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comments1.xml" ContentType="application/vnd.openxmlformats-officedocument.spreadsheetml.comments+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T:\_NEET MidAtlantic\Formula Rate\2025 Formula Rate Filing\2025 Formula Rate Projection\"/>
    </mc:Choice>
  </mc:AlternateContent>
  <xr:revisionPtr revIDLastSave="0" documentId="13_ncr:1_{AA12BBCF-5635-40DE-B1DE-D06C5AFFAEA9}" xr6:coauthVersionLast="47" xr6:coauthVersionMax="47" xr10:uidLastSave="{00000000-0000-0000-0000-000000000000}"/>
  <bookViews>
    <workbookView xWindow="-110" yWindow="-110" windowWidth="38620" windowHeight="21100" tabRatio="815" firstSheet="1" activeTab="1" xr2:uid="{00000000-000D-0000-FFFF-FFFF00000000}"/>
  </bookViews>
  <sheets>
    <sheet name="_com.sap.ip.bi.xl.hiddensheet" sheetId="34"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8-Dep Rates" sheetId="13" r:id="rId10"/>
    <sheet name="7 - PBOP" sheetId="17" r:id="rId11"/>
  </sheets>
  <definedNames>
    <definedName name="\0">#REF!</definedName>
    <definedName name="\a">#REF!</definedName>
    <definedName name="\b">#REF!</definedName>
    <definedName name="\c">#REF!</definedName>
    <definedName name="\d">#REF!</definedName>
    <definedName name="\e">#REF!</definedName>
    <definedName name="\f">#REF!</definedName>
    <definedName name="\j">#REF!</definedName>
    <definedName name="\m">#REF!</definedName>
    <definedName name="\p">#REF!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dat1111">#REF!</definedName>
    <definedName name="____dat1111">#REF!</definedName>
    <definedName name="____n4" hidden="1">{"EXCELHLP.HLP!1802";5;10;5;10;13;13;13;8;5;5;10;14;13;13;13;13;5;10;14;13;5;10;1;2;24}</definedName>
    <definedName name="___dat1111">#REF!</definedName>
    <definedName name="___n4" hidden="1">{"EXCELHLP.HLP!1802";5;10;5;10;13;13;13;8;5;5;10;14;13;13;13;13;5;10;14;13;5;10;1;2;24}</definedName>
    <definedName name="__1__123Graph_ACHART_1" hidden="1">#REF!</definedName>
    <definedName name="__10__123Graph_XMKT_STOR" hidden="1">#REF!</definedName>
    <definedName name="__11__123Graph_XX_ACTUAL"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BAR" hidden="1">#REF!</definedName>
    <definedName name="__123Graph_EBAR"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2__123Graph_AMKT_STOR" hidden="1">#REF!</definedName>
    <definedName name="__3__123Graph_AX_ACTUAL" hidden="1">#REF!</definedName>
    <definedName name="__4__123Graph_BCHART_1" hidden="1">#REF!</definedName>
    <definedName name="__5__123Graph_BMKT_STOR" hidden="1">#REF!</definedName>
    <definedName name="__6__123Graph_CCHART_1" hidden="1">#REF!</definedName>
    <definedName name="__7__123Graph_CMKT_STOR" hidden="1">#REF!</definedName>
    <definedName name="__8__123Graph_CX_ACTUAL" hidden="1">#REF!</definedName>
    <definedName name="__9__123Graph_XCHART_1" hidden="1">#REF!</definedName>
    <definedName name="__dat1111">#REF!</definedName>
    <definedName name="__FDS_HYPERLINK_TOGGLE_STATE__" hidden="1">"ON"</definedName>
    <definedName name="__n4" hidden="1">{"EXCELHLP.HLP!1802";5;10;5;10;13;13;13;8;5;5;10;14;13;13;13;13;5;10;14;13;5;10;1;2;24}</definedName>
    <definedName name="__rm9" hidden="1">{"detail305",#N/A,FALSE,"BI-305"}</definedName>
    <definedName name="__WSH7">#REF!</definedName>
    <definedName name="_1__123Graph_ACHART_1" hidden="1">#REF!</definedName>
    <definedName name="_1_0c">#REF!</definedName>
    <definedName name="_10__123Graph_XMKT_STOR" hidden="1">#REF!</definedName>
    <definedName name="_11__123Graph_XX_ACTUAL" hidden="1">#REF!</definedName>
    <definedName name="_1E_1">#N/A</definedName>
    <definedName name="_2__123Graph_AMKT_STOR" hidden="1">#REF!</definedName>
    <definedName name="_2_0calculat">#REF!</definedName>
    <definedName name="_3__123Graph_AX_ACTUAL" hidden="1">#REF!</definedName>
    <definedName name="_3_0jen">#REF!</definedName>
    <definedName name="_31_Dec_00" localSheetId="3">#REF!</definedName>
    <definedName name="_31_Dec_00">#REF!</definedName>
    <definedName name="_31_Jan_01">#REF!</definedName>
    <definedName name="_4__123Graph_BCHART_1" hidden="1">#REF!</definedName>
    <definedName name="_4c">#REF!</definedName>
    <definedName name="_5__123Graph_BMKT_STOR" hidden="1">#REF!</definedName>
    <definedName name="_5calculat">#REF!</definedName>
    <definedName name="_6__123Graph_CCHART_1" hidden="1">#REF!</definedName>
    <definedName name="_6jen">#REF!</definedName>
    <definedName name="_7__123Graph_CMKT_STOR" hidden="1">#REF!</definedName>
    <definedName name="_8__123Graph_CX_ACTUAL" hidden="1">#REF!</definedName>
    <definedName name="_9__123Graph_XCHART_1" hidden="1">#REF!</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LK1">#REF!</definedName>
    <definedName name="_ALK2">#REF!</definedName>
    <definedName name="_ALK3">#REF!</definedName>
    <definedName name="_AMO_UniqueIdentifier" hidden="1">"'8403d099-e876-4d31-b913-cb2efff0232f'"</definedName>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bdm.37E2A9A526F14BE28438D0D77462415E.edm" hidden="1">#REF!</definedName>
    <definedName name="_bdm.67DB5193A043445CAC1F8C017AB81E09.edm" hidden="1">#REF!</definedName>
    <definedName name="_cs1">#REF!</definedName>
    <definedName name="_CS2">#REF!</definedName>
    <definedName name="_dat1111">#REF!</definedName>
    <definedName name="_DIC1">#REF!</definedName>
    <definedName name="_DIC2">#REF!</definedName>
    <definedName name="_Fill" hidden="1">#REF!</definedName>
    <definedName name="_Fill1" hidden="1">#REF!</definedName>
    <definedName name="_FLL2" hidden="1">#REF!</definedName>
    <definedName name="_Key1" hidden="1">#REF!</definedName>
    <definedName name="_Key2" hidden="1">#REF!</definedName>
    <definedName name="_n4" hidden="1">{"EXCELHLP.HLP!1802";5;10;5;10;13;13;13;8;5;5;10;14;13;13;13;13;5;10;14;13;5;10;1;2;24}</definedName>
    <definedName name="_Order1" hidden="1">255</definedName>
    <definedName name="_Order2" hidden="1">255</definedName>
    <definedName name="_PH1">#REF!</definedName>
    <definedName name="_PH2">#REF!</definedName>
    <definedName name="_PH3">#REF!</definedName>
    <definedName name="_pHF1">#REF!</definedName>
    <definedName name="_PP1">#REF!</definedName>
    <definedName name="_PP2">#REF!</definedName>
    <definedName name="_Regression_Out" hidden="1">#REF!</definedName>
    <definedName name="_Regression_X" hidden="1">#REF!</definedName>
    <definedName name="_Regression_Y" hidden="1">#REF!</definedName>
    <definedName name="_rm9" hidden="1">{"detail305",#N/A,FALSE,"BI-305"}</definedName>
    <definedName name="_SHT1">#REF!</definedName>
    <definedName name="_SHT2">#N/A</definedName>
    <definedName name="_SHT3">#N/A</definedName>
    <definedName name="_SO4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et12" hidden="1">{"assumptions",#N/A,FALSE,"Scenario 1";"valuation",#N/A,FALSE,"Scenario 1"}</definedName>
    <definedName name="_tet5" hidden="1">{"assumptions",#N/A,FALSE,"Scenario 1";"valuation",#N/A,FALSE,"Scenario 1"}</definedName>
    <definedName name="_WSH7">#REF!</definedName>
    <definedName name="_xlcn.WorksheetConnection_CopyofCableEventCostTrackingCURRENT2.xlsxtable_cable_splice" hidden="1">table_cable_splice</definedName>
    <definedName name="_xlcn.WorksheetConnection_CopyofCableEventCostTrackingCURRENT2.xlsxtable_demob" hidden="1">table_demob</definedName>
    <definedName name="_xlcn.WorksheetConnection_CopyofCableEventCostTrackingCURRENT2.xlsxtable_inspection" hidden="1">table_inspection</definedName>
    <definedName name="A">#REF!</definedName>
    <definedName name="aa" hidden="1">{"1999 Cash Budget",#N/A,FALSE,"99 Cash";"1999 Cash Budget YTD",#N/A,FALSE,"99 Cash";"1999 Cash Actual/Forcast",#N/A,FALSE,"99 Cash";"1999 Cash Actual/Forcast YTD",#N/A,FALSE,"99 Cash"}</definedName>
    <definedName name="aaa" hidden="1">{#N/A,#N/A,FALSE,"O&amp;M by processes";#N/A,#N/A,FALSE,"Elec Act vs Bud";#N/A,#N/A,FALSE,"G&amp;A";#N/A,#N/A,FALSE,"BGS";#N/A,#N/A,FALSE,"Res Cost"}</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cd" hidden="1">{#N/A,#N/A,TRUE,"TOTAL DSBN";#N/A,#N/A,TRUE,"WEST";#N/A,#N/A,TRUE,"SOUTH";#N/A,#N/A,TRUE,"NORTHEAST"}</definedName>
    <definedName name="AC_255">#REF!</definedName>
    <definedName name="Account_List">#REF!</definedName>
    <definedName name="ACDADD">#REF!</definedName>
    <definedName name="ACSR">#REF!</definedName>
    <definedName name="Actual">#REF!</definedName>
    <definedName name="ACwvu.OP." hidden="1">#REF!</definedName>
    <definedName name="AFUDC">#REF!</definedName>
    <definedName name="AFUDC_or_Not">#REF!</definedName>
    <definedName name="AG_Expense_Rate">#REF!</definedName>
    <definedName name="Alignment" hidden="1">"a1"</definedName>
    <definedName name="ALKADD">#REF!</definedName>
    <definedName name="ALKF">#REF!</definedName>
    <definedName name="AllASS">#REF!</definedName>
    <definedName name="ALLCGI">#REF!</definedName>
    <definedName name="ALLRD">#REF!</definedName>
    <definedName name="ALLSKP">#REF!</definedName>
    <definedName name="AllTemplate1">#REF!</definedName>
    <definedName name="AllTemplate2">#REF!</definedName>
    <definedName name="Amps">#REF!</definedName>
    <definedName name="Angle_DE_PoleCount">#REF!</definedName>
    <definedName name="Angle_DE_PoleCount_Column">#REF!</definedName>
    <definedName name="Angle_DE_PoleCount_Row">#REF!</definedName>
    <definedName name="Angle_List">#REF!</definedName>
    <definedName name="Angle_Pole_Costs">#REF!</definedName>
    <definedName name="Angle_Poles_Column">#REF!</definedName>
    <definedName name="Angle_Poles_Column_FPL">#REF!</definedName>
    <definedName name="Angle_Poles_Costs">#REF!</definedName>
    <definedName name="Angle_Tangents">#REF!</definedName>
    <definedName name="anscount" hidden="1">1</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d" hidden="1">{2;#N/A;"R13C16:R17C16";#N/A;"R13C14:R17C15";FALSE;FALSE;FALSE;95;#N/A;#N/A;"R13C19";#N/A;FALSE;FALSE;FALSE;FALSE;#N/A;"";#N/A;FALSE;"";"";#N/A;#N/A;#N/A}</definedName>
    <definedName name="Assembly_Costs">#REF!</definedName>
    <definedName name="Assembly_Labor">#REF!</definedName>
    <definedName name="Assumed_Equity_Return">#REF!</definedName>
    <definedName name="atpr" hidden="1">{"EXCELHLP.HLP!1802";5;10;5;10;13;13;13;8;5;5;10;14;13;13;13;13;5;10;14;13;5;10;1;2;24}</definedName>
    <definedName name="ATRR_Percent_Assigned">#REF!</definedName>
    <definedName name="Auger">#REF!</definedName>
    <definedName name="Auger_Setup">#REF!</definedName>
    <definedName name="BALANCE">#REF!</definedName>
    <definedName name="Balances">#REF!</definedName>
    <definedName name="Basis_Points">#REF!</definedName>
    <definedName name="bb">#REF!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cause" hidden="1">{#N/A,#N/A,TRUE,"TOTAL DISTRIBUTION";#N/A,#N/A,TRUE,"SOUTH";#N/A,#N/A,TRUE,"NORTHEAST";#N/A,#N/A,TRUE,"WEST"}</definedName>
    <definedName name="beg_CWIP">#REF!</definedName>
    <definedName name="BG_Del" hidden="1">15</definedName>
    <definedName name="BG_Ins" hidden="1">4</definedName>
    <definedName name="BG_Mod" hidden="1">6</definedName>
    <definedName name="BGS_Cost_Scenario">#REF!</definedName>
    <definedName name="BGS_RFP">#REF!</definedName>
    <definedName name="Bid_Data_Sub">#REF!</definedName>
    <definedName name="Bid_Data_TLine">#REF!</definedName>
    <definedName name="Bird_Diverters">#REF!</definedName>
    <definedName name="Bkr_Column">#REF!</definedName>
    <definedName name="BLE_Close_Date">#REF!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OEquipment_Concrete">#REF!</definedName>
    <definedName name="BOEquipment_Costs">#REF!</definedName>
    <definedName name="BOEquipment_Steel">#REF!</definedName>
    <definedName name="BoilerFeedwtrPumpNoiseEmiss">#REF!</definedName>
    <definedName name="BoilerFeedwtrPumpVend">#REF!</definedName>
    <definedName name="booby" hidden="1">{#N/A,#N/A,TRUE,"TOTAL DISTRIBUTION";#N/A,#N/A,TRUE,"SOUTH";#N/A,#N/A,TRUE,"NORTHEAST";#N/A,#N/A,TRUE,"WEST"}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BOPEquipment_Labor">#REF!</definedName>
    <definedName name="Bore">#REF!</definedName>
    <definedName name="BOY">#REF!</definedName>
    <definedName name="Breakers_LV">#REF!</definedName>
    <definedName name="BridgeCrane">#REF!</definedName>
    <definedName name="bud" hidden="1">{"summary",#N/A,FALSE,"PCR DIRECTORY"}</definedName>
    <definedName name="Bundle_Discount">#REF!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_Support_Spacing">#REF!</definedName>
    <definedName name="Butt_Dia">#REF!</definedName>
    <definedName name="bym" hidden="1">{"summary",#N/A,FALSE,"PCR DIRECTORY"}</definedName>
    <definedName name="CA1_">#REF!</definedName>
    <definedName name="CA2_">#REF!</definedName>
    <definedName name="CA3_">#REF!</definedName>
    <definedName name="CAADD">#REF!</definedName>
    <definedName name="Cable_Bus">#REF!</definedName>
    <definedName name="Cable_pick">#REF!</definedName>
    <definedName name="Cable_pick_ACSS">#REF!</definedName>
    <definedName name="Cable_Pick_Amps">#REF!</definedName>
    <definedName name="Cable_Pick_Auto">#REF!</definedName>
    <definedName name="Cable_Pick_Bundles">#REF!</definedName>
    <definedName name="Cable_Pick_Row">#REF!</definedName>
    <definedName name="Cable_Pick_Temp">#REF!</definedName>
    <definedName name="Cable_Pick_Type">#REF!</definedName>
    <definedName name="Cable_Pick_Voltage">#REF!</definedName>
    <definedName name="Cable_Pick_Voltage_Bundle">#REF!</definedName>
    <definedName name="CAF">#REF!</definedName>
    <definedName name="Caisson_Foundations">#REF!</definedName>
    <definedName name="can" hidden="1">{#N/A,#N/A,FALSE,"O&amp;M by processes";#N/A,#N/A,FALSE,"Elec Act vs Bud";#N/A,#N/A,FALSE,"G&amp;A";#N/A,#N/A,FALSE,"BGS";#N/A,#N/A,FALSE,"Res Cost"}</definedName>
    <definedName name="Cap_Bank_Series_Labor">#REF!</definedName>
    <definedName name="Cap_banks">#REF!</definedName>
    <definedName name="Cap_banks_concrete">#REF!</definedName>
    <definedName name="Cap_banks_labor">#REF!</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ap_interest">#REF!</definedName>
    <definedName name="CASAT1">#REF!</definedName>
    <definedName name="CASAT2">#REF!</definedName>
    <definedName name="CaseID1">#REF!</definedName>
    <definedName name="CaseID2">#REF!</definedName>
    <definedName name="Cash_Working_Capital_Percent">#REF!</definedName>
    <definedName name="CB">#REF!</definedName>
    <definedName name="CBS_Code_Labor">#REF!</definedName>
    <definedName name="CBS_Code_Mat">#REF!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cccc" hidden="1">{"EXCELHLP.HLP!1802";5;10;5;10;13;13;13;8;5;5;10;14;13;13;13;13;5;10;14;13;5;10;1;2;24}</definedName>
    <definedName name="CEP_Amortization">#REF!</definedName>
    <definedName name="CH_COS" localSheetId="2">#REF!</definedName>
    <definedName name="CH_COS">#REF!</definedName>
    <definedName name="Chloridetype">#REF!</definedName>
    <definedName name="CIQWBGuid" hidden="1">"1cbb647e-56c6-4fd6-8155-649f77b34fbe"</definedName>
    <definedName name="Circuit_Breaker">#REF!</definedName>
    <definedName name="Circuit_Breaker_Concrete">#REF!</definedName>
    <definedName name="Circuit_Breaker_Labor">#REF!</definedName>
    <definedName name="Circuit_Breaker_Steel">#REF!</definedName>
    <definedName name="Circuit_Switcher">#REF!</definedName>
    <definedName name="Circuit_Switcher_Concrete">#REF!</definedName>
    <definedName name="Circuit_Switcher_Labor">#REF!</definedName>
    <definedName name="Circuit_Switcher_Steel">#REF!</definedName>
    <definedName name="CL1_">#REF!</definedName>
    <definedName name="CL2DOSE">#REF!</definedName>
    <definedName name="CL2RESID">#REF!</definedName>
    <definedName name="CLADD">#REF!</definedName>
    <definedName name="Clearing">#REF!</definedName>
    <definedName name="Clearing_Cost">#REF!</definedName>
    <definedName name="Clearing_Debris_Type">#REF!</definedName>
    <definedName name="Clearing_Type">#REF!</definedName>
    <definedName name="ClientMatter" hidden="1">"b1"</definedName>
    <definedName name="CoCode0500">#REF!</definedName>
    <definedName name="COGEN">#REF!</definedName>
    <definedName name="colNEET_GL">#REF!</definedName>
    <definedName name="Columns">#REF!</definedName>
    <definedName name="colWBS">#REF!</definedName>
    <definedName name="colWBS_Suffix">#REF!</definedName>
    <definedName name="CombLiqProps">#REF!</definedName>
    <definedName name="Companies">#REF!:OFFSET(#REF!,0,0,COUNTA(#REF!)-COUNTBLANK(#REF!),)</definedName>
    <definedName name="company_id_valid_values">#REF!</definedName>
    <definedName name="compInc">#REF!</definedName>
    <definedName name="Concrete">#REF!</definedName>
    <definedName name="Concrete_Bulks_HV">#REF!</definedName>
    <definedName name="Concrete_Bulks_LV">#REF!</definedName>
    <definedName name="Concrete_PolePlant_Loc">#REF!</definedName>
    <definedName name="Condensate" hidden="1">{#N/A,#N/A,FALSE,"Earnings release"}</definedName>
    <definedName name="Conductor_Bundle">#REF!</definedName>
    <definedName name="Conductor_Information">#REF!</definedName>
    <definedName name="Conductor_Information_ACSR">#REF!</definedName>
    <definedName name="Conductor_Information_ACSR_T2">#REF!</definedName>
    <definedName name="Conductor_Information_ACSS">#REF!</definedName>
    <definedName name="Conductor_OH">#REF!</definedName>
    <definedName name="Conductor_Pick">#REF!</definedName>
    <definedName name="Conductor_Temp_ACSR">#REF!</definedName>
    <definedName name="Conductor_Temp_ACSS">#REF!</definedName>
    <definedName name="Conductor_Temp_Column_2">#REF!</definedName>
    <definedName name="Conduit">#REF!</definedName>
    <definedName name="Conduit_Bulks_HV">#REF!</definedName>
    <definedName name="Conduit_Bulks_LV">#REF!</definedName>
    <definedName name="Conduit_HDPE">#REF!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olingTowers">#REF!</definedName>
    <definedName name="CoolingTowersVendTable">#REF!</definedName>
    <definedName name="CORPTAX_DATAMAPDEFINITIONS_DataMap_1" hidden="1">#REF!</definedName>
    <definedName name="CORPTAX_DATAMAPDEFINITIONS_DataMap_2" hidden="1">#REF!</definedName>
    <definedName name="CORPTAX_DATAMAPDEFINITIONS_DataMap_3" hidden="1">#REF!</definedName>
    <definedName name="cost" hidden="1">{#N/A,#N/A,FALSE,"T COST";#N/A,#N/A,FALSE,"COST_FH"}</definedName>
    <definedName name="cost_of_good_sold">#REF!</definedName>
    <definedName name="cost2001">#REF!</definedName>
    <definedName name="CostCenters">#REF!</definedName>
    <definedName name="Country">#REF!</definedName>
    <definedName name="CPI">#REF!</definedName>
    <definedName name="cs">#REF!</definedName>
    <definedName name="Ct_Fe2___Fe_OH_2">#REF!</definedName>
    <definedName name="Current_Month">#REF!</definedName>
    <definedName name="Current_sum">#REF!</definedName>
    <definedName name="CUT">#REF!</definedName>
    <definedName name="CUTINS">#REF!</definedName>
    <definedName name="Cwvu.GREY_ALL." hidden="1">#REF!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ta">#REF!</definedName>
    <definedName name="data_3">#REF!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 hidden="1">"b1"</definedName>
    <definedName name="DavitArms">#REF!</definedName>
    <definedName name="DB_Type">#REF!</definedName>
    <definedName name="dd" hidden="1">{#N/A,#N/A,FALSE,"95CAPGRY"}</definedName>
    <definedName name="ddd" hidden="1">{#N/A,#N/A,FALSE,"Results";#N/A,#N/A,FALSE,"Input Data";#N/A,#N/A,FALSE,"Generation Calculation";#N/A,#N/A,FALSE,"Unit Heat Rate Calculation";#N/A,#N/A,FALSE,"BEFF.XLS";#N/A,#N/A,FALSE,"TURBEFF.XLS";#N/A,#N/A,FALSE,"Final FWH Extraction Flow";#N/A,#N/A,FALSE,"Condenser Performance";#N/A,#N/A,FALSE,"Stage Pressure Correction"}</definedName>
    <definedName name="Debt_Percent">#REF!</definedName>
    <definedName name="DefaultCopy" localSheetId="3">#REF!</definedName>
    <definedName name="DefaultCopy">#REF!</definedName>
    <definedName name="DefaultPaste">#REF!</definedName>
    <definedName name="Deferral_Interest_Rate">#REF!</definedName>
    <definedName name="Deferral_Recovery">#REF!</definedName>
    <definedName name="DefTax">#REF!</definedName>
    <definedName name="delete" hidden="1">{#N/A,#N/A,FALSE,"CURRENT"}</definedName>
    <definedName name="dep_book">#REF!</definedName>
    <definedName name="des" hidden="1">{#N/A,#N/A,FALSE,"Transaction Summary-DTW";#N/A,#N/A,FALSE,"Proforma Five Yr";#N/A,#N/A,FALSE,"Occ and Rate"}</definedName>
    <definedName name="DescriptionColumn1">#REF!</definedName>
    <definedName name="DescriptionColumn2">#REF!</definedName>
    <definedName name="detail">#REF!</definedName>
    <definedName name="df" hidden="1">{2;#N/A;"R13C16:R17C16";#N/A;"R13C14:R17C15";FALSE;FALSE;FALSE;95;#N/A;#N/A;"R13C19";#N/A;FALSE;FALSE;FALSE;FALSE;#N/A;"";#N/A;FALSE;"";"";#N/A;#N/A;#N/A}</definedName>
    <definedName name="DF_GRID_1">#REF!</definedName>
    <definedName name="DICF">#REF!</definedName>
    <definedName name="DIR_HOURS">#REF!</definedName>
    <definedName name="Directbury_Excavation">#REF!</definedName>
    <definedName name="Directbury_Width">#REF!</definedName>
    <definedName name="Disconnect_Switch">#REF!</definedName>
    <definedName name="Disconnect_Switch_Concrete">#REF!</definedName>
    <definedName name="Disconnect_Switch_Labor">#REF!</definedName>
    <definedName name="Disconnect_Switch_Steel">#REF!</definedName>
    <definedName name="dmoe" hidden="1">"45E1EZH1GI603A6TQ7A2B7Y0J"</definedName>
    <definedName name="DocumentName" hidden="1">"b1"</definedName>
    <definedName name="DocumentNum" hidden="1">"a1"</definedName>
    <definedName name="Dollar">#REF!</definedName>
    <definedName name="dr" hidden="1">"45E1COOP3K6ZCCKMU61PY1S6R"</definedName>
    <definedName name="Drop_CWIP">#REF!</definedName>
    <definedName name="dt">#REF!</definedName>
    <definedName name="Ductbank">#REF!</definedName>
    <definedName name="Ductbank_Excavation">#REF!</definedName>
    <definedName name="Ductbank_Width">#REF!</definedName>
    <definedName name="E">#REF!</definedName>
    <definedName name="eeee" hidden="1">{#N/A,#N/A,FALSE,"O&amp;M by processes";#N/A,#N/A,FALSE,"Elec Act vs Bud";#N/A,#N/A,FALSE,"G&amp;A";#N/A,#N/A,FALSE,"BGS";#N/A,#N/A,FALSE,"Res Cost"}</definedName>
    <definedName name="Embed_Ratio">#REF!</definedName>
    <definedName name="Embeds">#REF!</definedName>
    <definedName name="Embeds_AllIn">#REF!</definedName>
    <definedName name="Embeds_Labor">#REF!</definedName>
    <definedName name="Embeds_Mat">#REF!</definedName>
    <definedName name="Enthalpy">#REF!</definedName>
    <definedName name="Enthalpy3C">#REF!</definedName>
    <definedName name="Enthalpy3T">#REF!</definedName>
    <definedName name="Enthalpy4C">#REF!</definedName>
    <definedName name="enthalpy4c1">#REF!</definedName>
    <definedName name="Enthalpy4T">#REF!</definedName>
    <definedName name="Environmental">#REF!</definedName>
    <definedName name="EOY">#REF!</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quity_Percent">#REF!</definedName>
    <definedName name="erase" hidden="1">{#N/A,#N/A,TRUE,"TOTAL DISTRIBUTION";#N/A,#N/A,TRUE,"SOUTH";#N/A,#N/A,TRUE,"NORTHEAST";#N/A,#N/A,TRUE,"WEST"}</definedName>
    <definedName name="EROA">#REF!</definedName>
    <definedName name="error">#REF!</definedName>
    <definedName name="ert4e" hidden="1">{#N/A,#N/A,TRUE,"TOTAL DISTRIBUTION";#N/A,#N/A,TRUE,"SOUTH";#N/A,#N/A,TRUE,"NORTHEAST";#N/A,#N/A,TRUE,"WEST"}</definedName>
    <definedName name="Escalation">#REF!</definedName>
    <definedName name="Estimate">#REF!</definedName>
    <definedName name="Estimate_Data">#REF!</definedName>
    <definedName name="Estimate_Name">#REF!</definedName>
    <definedName name="Estimator_Last_Name">#REF!</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V__LASTREFTIME__" hidden="1">39826.8319444444</definedName>
    <definedName name="evt" hidden="1">{#N/A,#N/A,FALSE,"INPUTDATA";#N/A,#N/A,FALSE,"SUMMARY";#N/A,#N/A,FALSE,"CTAREP";#N/A,#N/A,FALSE,"CTBREP";#N/A,#N/A,FALSE,"TURBEFF";#N/A,#N/A,FALSE,"Condenser Performance"}</definedName>
    <definedName name="Excavation">#REF!</definedName>
    <definedName name="Exposures">#REF!</definedName>
    <definedName name="ExposuresRev">#REF!</definedName>
    <definedName name="F_I_">#REF!</definedName>
    <definedName name="fA">#REF!</definedName>
    <definedName name="Fac_Picks">#REF!</definedName>
    <definedName name="fB">#REF!</definedName>
    <definedName name="FD">#REF!</definedName>
    <definedName name="FDN_Wind_Spread_GE">#REF!</definedName>
    <definedName name="Fe_OH">#REF!</definedName>
    <definedName name="Fe_OH_3">#REF!</definedName>
    <definedName name="Fe2__Fe_CO3">#REF!</definedName>
    <definedName name="fed_inc_tax">#REF!</definedName>
    <definedName name="fer" hidden="1">{2;#N/A;"R13C16:R17C16";#N/A;"R13C14:R17C15";FALSE;FALSE;FALSE;95;#N/A;#N/A;"R13C19";#N/A;FALSE;FALSE;FALSE;FALSE;#N/A;"";#N/A;FALSE;"";"";#N/A;#N/A;#N/A}</definedName>
    <definedName name="fff" hidden="1">{#N/A,#N/A,FALSE,"SUMMARY";#N/A,#N/A,FALSE,"INPUTDATA";#N/A,#N/A,FALSE,"Condenser Performance"}</definedName>
    <definedName name="FilePath1">#REF!</definedName>
    <definedName name="FilePath2">#REF!</definedName>
    <definedName name="findwrn" hidden="1">{#N/A,#N/A,TRUE,"TOTAL DISTRIBUTION";#N/A,#N/A,TRUE,"SOUTH";#N/A,#N/A,TRUE,"NORTHEAST";#N/A,#N/A,TRUE,"WEST"}</definedName>
    <definedName name="findwrnor" hidden="1">{#N/A,#N/A,TRUE,"TOTAL DSBN";#N/A,#N/A,TRUE,"WEST";#N/A,#N/A,TRUE,"SOUTH";#N/A,#N/A,TRUE,"NORTHEAST"}</definedName>
    <definedName name="FINISH" hidden="1">{#N/A,#N/A,TRUE,"TOTAL DISTRIBUTION";#N/A,#N/A,TRUE,"SOUTH";#N/A,#N/A,TRUE,"NORTHEAST";#N/A,#N/A,TRUE,"WEST"}</definedName>
    <definedName name="FM">#REF!</definedName>
    <definedName name="Formwork">#REF!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ssil_BGS">#REF!</definedName>
    <definedName name="Fossil_Secur_Date">#REF!</definedName>
    <definedName name="Framing">#REF!</definedName>
    <definedName name="Framing_labor">#REF!</definedName>
    <definedName name="Frequencies">{"Annual";"Semiannual";"Quarterly";"Monthly"}</definedName>
    <definedName name="FrequencyNormalize">{"Annual","Annual",1;"Annually","Annual",1;1,"Annual",1;"Semiannual","Semiannual",2;"Semiannually","Semiannual",2;2,"Semiannual",2;"Quarterly","Quarterly",4;4,"Quarterly",4;"Monthly","Monthly",12;12,"Monthly",12}</definedName>
    <definedName name="ft">#REF!</definedName>
    <definedName name="G">#REF!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NERAL_INSTRUCTIONS_AND_RECOMMENDED_WORK_STEPS">#REF!</definedName>
    <definedName name="GenLedger">#REF!</definedName>
    <definedName name="GenStepUpXfmr">#REF!</definedName>
    <definedName name="ggg" hidden="1">{#N/A,#N/A,FALSE,"T COST";#N/A,#N/A,FALSE,"COST_FH"}</definedName>
    <definedName name="gggggggggg" hidden="1">{#N/A,#N/A,FALSE,"Aging Summary";#N/A,#N/A,FALSE,"Ratio Analysis";#N/A,#N/A,FALSE,"Test 120 Day Accts";#N/A,#N/A,FALSE,"Tickmarks"}</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oodwill">#REF!</definedName>
    <definedName name="Gravel">#REF!</definedName>
    <definedName name="GRC_Cost">#REF!</definedName>
    <definedName name="GRF_Table">#REF!</definedName>
    <definedName name="Grid">#REF!</definedName>
    <definedName name="Ground_Grid">#REF!</definedName>
    <definedName name="Ground_Points">#REF!</definedName>
    <definedName name="Grubbing_Costs">#REF!</definedName>
    <definedName name="H">#REF!</definedName>
    <definedName name="hd" hidden="1">{#N/A,#N/A,FALSE,"Aging Summary";#N/A,#N/A,FALSE,"Ratio Analysis";#N/A,#N/A,FALSE,"Test 120 Day Accts";#N/A,#N/A,FALSE,"Tickmarks"}</definedName>
    <definedName name="HDD">#REF!</definedName>
    <definedName name="HDD_Dia">#REF!</definedName>
    <definedName name="hello" hidden="1">{#N/A,#N/A,TRUE,"Facility-Input";#N/A,#N/A,TRUE,"Graphs";#N/A,#N/A,TRUE,"TOTAL"}</definedName>
    <definedName name="hhh" hidden="1">{"detail305",#N/A,FALSE,"BI-305"}</definedName>
    <definedName name="hi" hidden="1">{#N/A,#N/A,FALSE,"Aging Summary";#N/A,#N/A,FALSE,"Ratio Analysis";#N/A,#N/A,FALSE,"Test 120 Day Accts";#N/A,#N/A,FALSE,"Tickmarks"}</definedName>
    <definedName name="high" hidden="1">{#N/A,#N/A,TRUE,"TOTAL DSBN";#N/A,#N/A,TRUE,"WEST";#N/A,#N/A,TRUE,"SOUTH";#N/A,#N/A,TRUE,"NORTHEAST"}</definedName>
    <definedName name="HighSum" hidden="1">{#N/A,#N/A,TRUE,"TOTAL DISTRIBUTION";#N/A,#N/A,TRUE,"SOUTH";#N/A,#N/A,TRUE,"NORTHEAST";#N/A,#N/A,TRUE,"WEST"}</definedName>
    <definedName name="Historical_Dashboard">#REF!</definedName>
    <definedName name="History">#REF!</definedName>
    <definedName name="HV_Bus">#REF!</definedName>
    <definedName name="Hv_Column">#REF!</definedName>
    <definedName name="HV_Column_GenTie">#REF!</definedName>
    <definedName name="HV_Configeration">#REF!</definedName>
    <definedName name="HV_Sizing">#REF!</definedName>
    <definedName name="I">#REF!</definedName>
    <definedName name="Include">#REF!</definedName>
    <definedName name="Income_Tax_Fed">#REF!</definedName>
    <definedName name="Income_Tax_State">#REF!</definedName>
    <definedName name="inflation">#REF!</definedName>
    <definedName name="INSERT1">#REF!</definedName>
    <definedName name="INSERT2">#REF!</definedName>
    <definedName name="Insulator">#REF!</definedName>
    <definedName name="Insulator_Assembly_Costs">#REF!</definedName>
    <definedName name="Insulator_Assembly_Labor">#REF!</definedName>
    <definedName name="Insulator_Base_Type">#REF!</definedName>
    <definedName name="Insulator_Column">#REF!</definedName>
    <definedName name="Insulator_Costs">#REF!</definedName>
    <definedName name="Insulator_Labor">#REF!</definedName>
    <definedName name="Insulator_Material_Factors">#REF!</definedName>
    <definedName name="Insulator_Rating_Voltage">#REF!</definedName>
    <definedName name="Insulator_Type">#REF!</definedName>
    <definedName name="Insulator_Utility">#REF!</definedName>
    <definedName name="Insulator_Voltage">#REF!</definedName>
    <definedName name="intang_afudc910">#REF!</definedName>
    <definedName name="INTQ">#REF!</definedName>
    <definedName name="INTY">#REF!</definedName>
    <definedName name="InverterInitalSP">#REF!</definedName>
    <definedName name="Invertersize">#REF!</definedName>
    <definedName name="ipo" hidden="1">{#N/A,#N/A,FALSE,"Aging Summary";#N/A,#N/A,FALSE,"Ratio Analysis";#N/A,#N/A,FALSE,"Test 120 Day Accts";#N/A,#N/A,FALSE,"Tickmarks"}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42691.5412615741</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D40" hidden="1">"$D$41:$D$2543"</definedName>
    <definedName name="IQRD41" hidden="1">"$D$42:$D$2544"</definedName>
    <definedName name="IQRE41" hidden="1">"$E$42:$E$2544"</definedName>
    <definedName name="Iron">#REF!</definedName>
    <definedName name="itc">#REF!</definedName>
    <definedName name="JESUS" hidden="1">{#N/A,#N/A,TRUE,"Facility-Input";#N/A,#N/A,TRUE,"Graphs";#N/A,#N/A,TRUE,"TOTAL"}</definedName>
    <definedName name="jh" hidden="1">{#N/A,#N/A,FALSE,"Aging Summary";#N/A,#N/A,FALSE,"Ratio Analysis";#N/A,#N/A,FALSE,"Test 120 Day Accts";#N/A,#N/A,FALSE,"Tickmarks"}</definedName>
    <definedName name="jjj" hidden="1">{#N/A,#N/A,FALSE,"INPUTDATA";#N/A,#N/A,FALSE,"SUMMARY";#N/A,#N/A,FALSE,"CTAREP";#N/A,#N/A,FALSE,"CTBREP";#N/A,#N/A,FALSE,"PMG4ST86";#N/A,#N/A,FALSE,"TURBEFF";#N/A,#N/A,FALSE,"Condenser Performance"}</definedName>
    <definedName name="K1_">#REF!</definedName>
    <definedName name="K1P">#REF!</definedName>
    <definedName name="K2_">#REF!</definedName>
    <definedName name="K2P">#REF!</definedName>
    <definedName name="Kd">#REF!</definedName>
    <definedName name="KeyCon_Close_Date">#REF!</definedName>
    <definedName name="kk">#REF!</definedName>
    <definedName name="kkk" hidden="1">{#N/A,#N/A,FALSE,"INPUTDATA";#N/A,#N/A,FALSE,"SUMMARY";#N/A,#N/A,FALSE,"CTAREP";#N/A,#N/A,FALSE,"CTBREP";#N/A,#N/A,FALSE,"TURBEFF";#N/A,#N/A,FALSE,"Condenser Performance"}</definedName>
    <definedName name="ko" hidden="1">{#N/A,#N/A,FALSE,"Aging Summary";#N/A,#N/A,FALSE,"Ratio Analysis";#N/A,#N/A,FALSE,"Test 120 Day Accts";#N/A,#N/A,FALSE,"Tickmarks"}</definedName>
    <definedName name="KS">#REF!</definedName>
    <definedName name="KSP">#REF!</definedName>
    <definedName name="Kva_Column">#REF!</definedName>
    <definedName name="KW">#REF!</definedName>
    <definedName name="KWP">#REF!</definedName>
    <definedName name="Kz_Table">#REF!</definedName>
    <definedName name="l">#REF!</definedName>
    <definedName name="Labor">#REF!</definedName>
    <definedName name="Labor_Impact">#REF!</definedName>
    <definedName name="LaborPole">#REF!</definedName>
    <definedName name="LastRow1">#REF!</definedName>
    <definedName name="LastRow2">#REF!</definedName>
    <definedName name="lew" hidden="1">{#N/A,#N/A,FALSE,"INPUTDATA";#N/A,#N/A,FALSE,"SUMMARY"}</definedName>
    <definedName name="Library" hidden="1">"a1"</definedName>
    <definedName name="limcount" hidden="1">1</definedName>
    <definedName name="Line_Loss90">#REF!</definedName>
    <definedName name="LiqProps">#REF!</definedName>
    <definedName name="Liquids" hidden="1">{#N/A,#N/A,FALSE,"Earnings release"}</definedName>
    <definedName name="lll" hidden="1">{#N/A,#N/A,FALSE,"INPUTDATA";#N/A,#N/A,FALSE,"SUMMARY";#N/A,#N/A,FALSE,"CTAREP";#N/A,#N/A,FALSE,"CTBREP";#N/A,#N/A,FALSE,"TURBEFF";#N/A,#N/A,FALSE,"Condenser Performance"}</definedName>
    <definedName name="Load_Factors">#REF!</definedName>
    <definedName name="Load_Growth">#REF!</definedName>
    <definedName name="Loading_Districts">#REF!</definedName>
    <definedName name="Location">#REF!</definedName>
    <definedName name="Location_Factors_2">#REF!</definedName>
    <definedName name="Location_Table">#REF!</definedName>
    <definedName name="LocationColumn1">#REF!</definedName>
    <definedName name="LocationColumn2">#REF!</definedName>
    <definedName name="lpo" hidden="1">{#N/A,#N/A,FALSE,"Aging Summary";#N/A,#N/A,FALSE,"Ratio Analysis";#N/A,#N/A,FALSE,"Test 120 Day Accts";#N/A,#N/A,FALSE,"Tickmarks"}</definedName>
    <definedName name="lslkjd" hidden="1">#REF!</definedName>
    <definedName name="Main_auto_1ph_xfmr_price">#REF!</definedName>
    <definedName name="Main_auto_xfmr_price">#REF!</definedName>
    <definedName name="Main_xfmr_concrete">#REF!</definedName>
    <definedName name="Main_xfmr_phase">#REF!</definedName>
    <definedName name="Main_xfmr_rock">#REF!</definedName>
    <definedName name="Main_xfmr_steel">#REF!</definedName>
    <definedName name="Main_xfmr_Type">#REF!</definedName>
    <definedName name="Major_Minor">#REF!</definedName>
    <definedName name="MARL" hidden="1">{"summary",#N/A,FALSE,"PCR DIRECTORY"}</definedName>
    <definedName name="MARY" hidden="1">{#N/A,#N/A,TRUE,"TOTAL DISTRIBUTION";#N/A,#N/A,TRUE,"SOUTH";#N/A,#N/A,TRUE,"NORTHEAST";#N/A,#N/A,TRUE,"WEST"}</definedName>
    <definedName name="Materials_Percent">#REF!</definedName>
    <definedName name="Maturity_Index">#REF!</definedName>
    <definedName name="Meter_Type">#REF!</definedName>
    <definedName name="Metering">#REF!</definedName>
    <definedName name="Metering_Concrete">#REF!</definedName>
    <definedName name="Metering_Labor">#REF!</definedName>
    <definedName name="Metering_Steel">#REF!</definedName>
    <definedName name="Mgmt" localSheetId="3">#REF!</definedName>
    <definedName name="Mgmt">#REF!</definedName>
    <definedName name="Miles_Per_Week_Base">#REF!</definedName>
    <definedName name="million">1000000</definedName>
    <definedName name="mmm" hidden="1">{"summary",#N/A,FALSE,"PCR DIRECTORY"}</definedName>
    <definedName name="mmmmm" hidden="1">{#N/A,#N/A,FALSE,"SUMMARY";#N/A,#N/A,FALSE,"INPUTDATA";#N/A,#N/A,FALSE,"Condenser Performance"}</definedName>
    <definedName name="Model_Rackup_Data">#REF!</definedName>
    <definedName name="ModelID1">#REF!</definedName>
    <definedName name="ModelID2">#REF!</definedName>
    <definedName name="MonoPoleColumn">#REF!</definedName>
    <definedName name="MonoPoleColumn_FPL">#REF!</definedName>
    <definedName name="MonoPoleCost">#REF!</definedName>
    <definedName name="month">#REF!</definedName>
    <definedName name="months">#REF!</definedName>
    <definedName name="MTC_Amortization">#REF!</definedName>
    <definedName name="Mtlconc">#REF!</definedName>
    <definedName name="n"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A" hidden="1">{#N/A,#N/A,FALSE,"Expenses";#N/A,#N/A,FALSE,"Revenue"}</definedName>
    <definedName name="nada" hidden="1">{2;#N/A;"R13C16:R17C16";#N/A;"R13C14:R17C15";FALSE;FALSE;FALSE;95;#N/A;#N/A;"R13C19";#N/A;FALSE;FALSE;FALSE;FALSE;#N/A;"";#N/A;FALSE;"";"";#N/A;#N/A;#N/A}</definedName>
    <definedName name="NamesColumn1">#REF!</definedName>
    <definedName name="NamesColumn2">#REF!</definedName>
    <definedName name="NESC">#REF!</definedName>
    <definedName name="NESC_Code_Adopted">#REF!</definedName>
    <definedName name="new" localSheetId="3">#REF!</definedName>
    <definedName name="new">#REF!</definedName>
    <definedName name="newname" hidden="1">{#N/A,#N/A,FALSE,"CAP 1998";#N/A,#N/A,FALSE,"CAP 1999";#N/A,#N/A,FALSE,"CAP 2000";#N/A,#N/A,FALSE,"CAP_2001";#N/A,#N/A,FALSE,"CAP_2002";#N/A,#N/A,FALSE,"MAINT_1998";#N/A,#N/A,FALSE,"MAINT_1999";#N/A,#N/A,FALSE,"MAINT_2000";#N/A,#N/A,FALSE,"MAINT_2001";#N/A,#N/A,FALSE,"MAINT_2002"}</definedName>
    <definedName name="nnnn" hidden="1">{#N/A,#N/A,FALSE,"T COST";#N/A,#N/A,FALSE,"COST_FH"}</definedName>
    <definedName name="No.Cassion">#REF!</definedName>
    <definedName name="No_Circuits">#REF!</definedName>
    <definedName name="non_cap_int">#REF!</definedName>
    <definedName name="none" hidden="1">{#N/A,#N/A,TRUE,"TOTAL DISTRIBUTION";#N/A,#N/A,TRUE,"SOUTH";#N/A,#N/A,TRUE,"NORTHEAST";#N/A,#N/A,TRUE,"WEST"}</definedName>
    <definedName name="NonWood">#REF!</definedName>
    <definedName name="NSP_COS" localSheetId="2">#REF!</definedName>
    <definedName name="NSP_COS">#REF!</definedName>
    <definedName name="Nuclear_Secur_Date">#REF!</definedName>
    <definedName name="NvsAnswerCol">"'[RP Consolidating IS YTD - 2017 - 9.xlsx]BU List'!$A$4:$A$19"</definedName>
    <definedName name="NvsASD">"V2016-12-31"</definedName>
    <definedName name="NvsAutoDrillOk">"VN"</definedName>
    <definedName name="NvsElapsedTime">0.0000462962925666943</definedName>
    <definedName name="NvsEndTime">42816.4573842593</definedName>
    <definedName name="NvsInstLang">"VENG"</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"V10000"</definedName>
    <definedName name="NvsPanelEffdt">"V2016-02-06"</definedName>
    <definedName name="NvsPanelSetid">"VSHARE"</definedName>
    <definedName name="NvsReqBU">"V10000"</definedName>
    <definedName name="NvsReqBUOnly">"VN"</definedName>
    <definedName name="NvsTransLed">"VN"</definedName>
    <definedName name="NvsTreeASD">"V2016-12-31"</definedName>
    <definedName name="NvsValTbl.ACCOUNT">"GL_ACCOUNT_TBL"</definedName>
    <definedName name="NvsValTbl.AFFILIATE">"AFFILIATE_VW"</definedName>
    <definedName name="NvsValTbl.BUSINESS_UNIT">"BUS_UNIT_TBL_FS"</definedName>
    <definedName name="NvsValTbl.CHARTFIELD1">"CF1_ALL_VW"</definedName>
    <definedName name="NvsValTbl.DEPTID">"DEPTID_NB_VW"</definedName>
    <definedName name="O_M_Size">#REF!</definedName>
    <definedName name="OASDI">#REF!</definedName>
    <definedName name="OCT">#REF!</definedName>
    <definedName name="oct18_spendToDate">#REF!</definedName>
    <definedName name="OH_Conductor">#REF!</definedName>
    <definedName name="OH_Pole_Select">#REF!</definedName>
    <definedName name="OH_Poles">#REF!</definedName>
    <definedName name="ok" hidden="1">{#N/A,#N/A,FALSE,"Aging Summary";#N/A,#N/A,FALSE,"Ratio Analysis";#N/A,#N/A,FALSE,"Test 120 Day Accts";#N/A,#N/A,FALSE,"Tickmarks"}</definedName>
    <definedName name="Oklahoma">#REF!</definedName>
    <definedName name="oldname" hidden="1">{#N/A,#N/A,FALSE,"CAP 1998";#N/A,#N/A,FALSE,"CAP 1999";#N/A,#N/A,FALSE,"CAP 2000";#N/A,#N/A,FALSE,"CAP_2001";#N/A,#N/A,FALSE,"CAP_2002";#N/A,#N/A,FALSE,"MAINT_1998";#N/A,#N/A,FALSE,"MAINT_1999";#N/A,#N/A,FALSE,"MAINT_2000";#N/A,#N/A,FALSE,"MAINT_2001";#N/A,#N/A,FALSE,"MAINT_2002"}</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_Rate">#REF!</definedName>
    <definedName name="one">1</definedName>
    <definedName name="OnePager">#REF!</definedName>
    <definedName name="Operations">#REF!</definedName>
    <definedName name="OPGW_Table">#REF!</definedName>
    <definedName name="opiu" hidden="1">{2;#N/A;"R13C16:R17C16";#N/A;"R13C14:R17C15";FALSE;FALSE;FALSE;95;#N/A;#N/A;"R13C19";#N/A;FALSE;FALSE;FALSE;FALSE;#N/A;"";#N/A;FALSE;"";"";#N/A;#N/A;#N/A}</definedName>
    <definedName name="Organization">#REF!</definedName>
    <definedName name="Other_Tax">#REF!</definedName>
    <definedName name="OverallProps">#REF!</definedName>
    <definedName name="P" hidden="1">{#N/A,#N/A,FALSE,"Proforma Five Yr";#N/A,#N/A,FALSE,"Capital Input";#N/A,#N/A,FALSE,"Calculations";#N/A,#N/A,FALSE,"Transaction Summary-DTW"}</definedName>
    <definedName name="p_Fe">#REF!</definedName>
    <definedName name="p_Fe_OH_3">#REF!</definedName>
    <definedName name="p_FeOH">#REF!</definedName>
    <definedName name="Padmount">#REF!</definedName>
    <definedName name="PCap" hidden="1">#REF!</definedName>
    <definedName name="pctHW">#REF!</definedName>
    <definedName name="pctSWExp">#REF!</definedName>
    <definedName name="pctTraining">#REF!</definedName>
    <definedName name="pHF">#REF!</definedName>
    <definedName name="PHILOSOPHY">#REF!</definedName>
    <definedName name="PHS">#REF!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lant_Original_Cost">#REF!</definedName>
    <definedName name="Plant_Tax">#REF!</definedName>
    <definedName name="pms" hidden="1">{"detail305",#N/A,FALSE,"BI-305"}</definedName>
    <definedName name="pnc" hidden="1">{#N/A,#N/A,FALSE,"T COST";#N/A,#N/A,FALSE,"COST_FH"}</definedName>
    <definedName name="poiuy" hidden="1">{#N/A,#N/A,FALSE,"Aging Summary";#N/A,#N/A,FALSE,"Ratio Analysis";#N/A,#N/A,FALSE,"Test 120 Day Accts";#N/A,#N/A,FALSE,"Tickmarks"}</definedName>
    <definedName name="Pole_Class">#REF!</definedName>
    <definedName name="Pole_Column">#REF!</definedName>
    <definedName name="Pole_List">#REF!</definedName>
    <definedName name="Pole_Materials">#REF!</definedName>
    <definedName name="Pole_Selection">#REF!</definedName>
    <definedName name="Pole_Weight">#REF!</definedName>
    <definedName name="PosPhases">#REF!</definedName>
    <definedName name="post_fossil">#REF!</definedName>
    <definedName name="PPA">#REF!</definedName>
    <definedName name="ppp" hidden="1">{"summary",#N/A,FALSE,"PCR DIRECTORY"}</definedName>
    <definedName name="prb" hidden="1">{"summary",#N/A,FALSE,"PCR DIRECTORY"}</definedName>
    <definedName name="PreTaxDebt">#REF!</definedName>
    <definedName name="Pricing_Steel_Pole_BasePlate">#REF!</definedName>
    <definedName name="Pricing_Steel_Pole_Embed">#REF!</definedName>
    <definedName name="print_all">#REF!</definedName>
    <definedName name="print_all_D_1">#REF!</definedName>
    <definedName name="_xlnm.Print_Area" localSheetId="2">'1-Project Rev Req'!$A$1:$S$108</definedName>
    <definedName name="_xlnm.Print_Area" localSheetId="3">'2-Incentive ROE'!$A$1:$K$48</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10">'7 - PBOP'!$A$1:$F$22</definedName>
    <definedName name="_xlnm.Print_Area" localSheetId="9">'8-Dep Rates'!$A$1:$D$47</definedName>
    <definedName name="_xlnm.Print_Area" localSheetId="1">'Attachment H'!$A$1:$K$274</definedName>
    <definedName name="Print_Area_MI">#REF!</definedName>
    <definedName name="_xlnm.Print_Titles">#REF!</definedName>
    <definedName name="Print_Titles_MI">#REF!,#REF!</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Dec">#REF!,#REF!,#REF!</definedName>
    <definedName name="Project_Dashboard_Code">#REF!</definedName>
    <definedName name="Project_Data_Tline">#REF!</definedName>
    <definedName name="Project_Name">#REF!</definedName>
    <definedName name="Project_Name_Model">#REF!</definedName>
    <definedName name="Project_Rackup_List">#REF!</definedName>
    <definedName name="ProjectDefaults">#REF!</definedName>
    <definedName name="ProjIDList">#REF!</definedName>
    <definedName name="PropertyGroupName">#REF!</definedName>
    <definedName name="PropertyUnitName">#REF!</definedName>
    <definedName name="Proposed" hidden="1">{#N/A,#N/A,TRUE,"TOTAL DISTRIBUTION";#N/A,#N/A,TRUE,"SOUTH";#N/A,#N/A,TRUE,"NORTHEAST";#N/A,#N/A,TRUE,"WEST"}</definedName>
    <definedName name="protected_sheet_password">#REF!</definedName>
    <definedName name="prys" hidden="1">table_inspection</definedName>
    <definedName name="PSCo_COS">#REF!</definedName>
    <definedName name="Purchase_Price_Plant">#REF!</definedName>
    <definedName name="py_clint">#REF!</definedName>
    <definedName name="py_eec">#REF!</definedName>
    <definedName name="py_ei">#REF!</definedName>
    <definedName name="py_engl">#REF!</definedName>
    <definedName name="py_epc">#REF!</definedName>
    <definedName name="py_esc">#REF!</definedName>
    <definedName name="q_MTEP06_App_AB_Facility">#REF!</definedName>
    <definedName name="q_MTEP06_App_AB_Projects">#REF!</definedName>
    <definedName name="Quantity_Source">#REF!</definedName>
    <definedName name="query">#REF!</definedName>
    <definedName name="Rate_Case_Years">#REF!</definedName>
    <definedName name="Rating_All">#REF!</definedName>
    <definedName name="Rebar">#REF!</definedName>
    <definedName name="Rebar_Ratio">#REF!</definedName>
    <definedName name="Regulatory_RoR">#REF!</definedName>
    <definedName name="RemAnnual">#REF!</definedName>
    <definedName name="rename" hidden="1">{#N/A,#N/A,FALSE,"Aging Summary";#N/A,#N/A,FALSE,"Ratio Analysis";#N/A,#N/A,FALSE,"Test 120 Day Accts";#N/A,#N/A,FALSE,"Tickmarks"}</definedName>
    <definedName name="Replacement_Rate">#REF!</definedName>
    <definedName name="Request">#REF!</definedName>
    <definedName name="Rev_Tax">#REF!</definedName>
    <definedName name="revreq">#REF!</definedName>
    <definedName name="RevTracker_Column">#REF!</definedName>
    <definedName name="RevTrackerCode">#REF!</definedName>
    <definedName name="RiskAfterRecalcMacro">"Maximize_Cap_Structure"</definedName>
    <definedName name="RiskCollectDistributionSamples">2</definedName>
    <definedName name="RiskFixedSeed">1</definedName>
    <definedName name="RiskHasSettings">TRUE</definedName>
    <definedName name="RiskMinimizeOnStart">FALSE</definedName>
    <definedName name="RiskMonitorConvergence">TRUE</definedName>
    <definedName name="RiskNumIterations">1000</definedName>
    <definedName name="RiskNumSimulations">7</definedName>
    <definedName name="RiskPauseOnError">FALSE</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10</definedName>
    <definedName name="RiskUpdateDisplay">TRUE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ngEscalation">#REF!</definedName>
    <definedName name="Road_Soil">#REF!</definedName>
    <definedName name="RodDia">#REF!</definedName>
    <definedName name="ROE">#REF!</definedName>
    <definedName name="Route_Complexity">#REF!</definedName>
    <definedName name="ROW">#REF!</definedName>
    <definedName name="ROW_Column">#REF!</definedName>
    <definedName name="ROW_row">#REF!</definedName>
    <definedName name="ROW_Width_Factors">#REF!</definedName>
    <definedName name="rrr" hidden="1">{#N/A,#N/A,FALSE,"INPUTDATA";#N/A,#N/A,FALSE,"SUMMARY"}</definedName>
    <definedName name="rrrr" hidden="1">{#N/A,#N/A,FALSE,"O&amp;M by processes";#N/A,#N/A,FALSE,"Elec Act vs Bud";#N/A,#N/A,FALSE,"G&amp;A";#N/A,#N/A,FALSE,"BGS";#N/A,#N/A,FALSE,"Res Cost"}</definedName>
    <definedName name="SAPBEXdnldView" hidden="1">"4ACQ1TUIXACRYGL0BZ7F6HS6R"</definedName>
    <definedName name="SAPBEXhrIndnt" hidden="1">"Wide"</definedName>
    <definedName name="SAPBEXrevision" hidden="1">2</definedName>
    <definedName name="SAPBEXsysID" hidden="1">"GP1"</definedName>
    <definedName name="SAPBEXwbID" hidden="1">"0QPV4RF636ZQNL5RK8PWSJVGT"</definedName>
    <definedName name="SAPCrosstab1">#REF!</definedName>
    <definedName name="SAPCrosstab10">#REF!</definedName>
    <definedName name="SAPCrosstab2">#REF!</definedName>
    <definedName name="SAPCrosstab23">#REF!</definedName>
    <definedName name="SAPCrosstab3">#REF!</definedName>
    <definedName name="SAPCrosstab4">#REF!</definedName>
    <definedName name="SAPCrosstab5">#REF!</definedName>
    <definedName name="SAPCrosstab6">#REF!</definedName>
    <definedName name="SAPCrosstab7">#REF!</definedName>
    <definedName name="SAPCrosstab8">#REF!</definedName>
    <definedName name="SAPCrosstab9">#REF!</definedName>
    <definedName name="SAPsysID" hidden="1">"708C5W7SBKP804JT78WJ0JNKI"</definedName>
    <definedName name="SAPwbID" hidden="1">"ARS"</definedName>
    <definedName name="sdf_qww" hidden="1">table_demob</definedName>
    <definedName name="Seismic">#REF!</definedName>
    <definedName name="sencount" hidden="1">1</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iva" hidden="1">{#N/A,#N/A,FALSE,"O&amp;M by processes";#N/A,#N/A,FALSE,"Elec Act vs Bud";#N/A,#N/A,FALSE,"G&amp;A";#N/A,#N/A,FALSE,"BGS";#N/A,#N/A,FALSE,"Res Cost"}</definedName>
    <definedName name="Shunt_Reactors">#REF!</definedName>
    <definedName name="Shunt_Reactors_Concrete">#REF!</definedName>
    <definedName name="Shunt_Reactors_Labor">#REF!</definedName>
    <definedName name="Sites" hidden="1">{#N/A,#N/A,TRUE,"TOTAL DISTRIBUTION";#N/A,#N/A,TRUE,"SOUTH";#N/A,#N/A,TRUE,"NORTHEAST";#N/A,#N/A,TRUE,"WEST"}</definedName>
    <definedName name="Sitesdate" hidden="1">{#N/A,#N/A,TRUE,"TOTAL DSBN";#N/A,#N/A,TRUE,"WEST";#N/A,#N/A,TRUE,"SOUTH";#N/A,#N/A,TRUE,"NORTHEAST"}</definedName>
    <definedName name="Small_Large">#REF!</definedName>
    <definedName name="SO4ADD">#REF!</definedName>
    <definedName name="Soil">#REF!</definedName>
    <definedName name="SoilType">#REF!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V_Column_LookUp">#REF!</definedName>
    <definedName name="Space_Requirement_Span_Row">#REF!</definedName>
    <definedName name="Spacing_Requirements">#REF!</definedName>
    <definedName name="Spanner_Auto_File">"C:\Documents and Settings\linda\My Documents\Process .x2a"</definedName>
    <definedName name="Special_Equipment_Type">#REF!</definedName>
    <definedName name="Spool_Length">#REF!</definedName>
    <definedName name="Spread_Count">#REF!</definedName>
    <definedName name="Spread_Table">#REF!</definedName>
    <definedName name="SPS_COS" localSheetId="3">#REF!</definedName>
    <definedName name="SPS_COS">#REF!</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te">#REF!</definedName>
    <definedName name="State_Coordinates">#REF!</definedName>
    <definedName name="State_Impacts">#REF!</definedName>
    <definedName name="State_Impacts_GenTie">#REF!</definedName>
    <definedName name="statsrevised" hidden="1">{#N/A,#N/A,FALSE,"O&amp;M by processes";#N/A,#N/A,FALSE,"Elec Act vs Bud";#N/A,#N/A,FALSE,"G&amp;A";#N/A,#N/A,FALSE,"BGS";#N/A,#N/A,FALSE,"Res Cost"}</definedName>
    <definedName name="Status">#REF!</definedName>
    <definedName name="Steel_Bulks_HV">#REF!</definedName>
    <definedName name="Steel_Bulks_LV">#REF!</definedName>
    <definedName name="Steel_Wood_Arm">#REF!</definedName>
    <definedName name="STILL1040">#REF!</definedName>
    <definedName name="Structure_BaseCase">#REF!</definedName>
    <definedName name="Structure_GRF">#REF!</definedName>
    <definedName name="Structures">#REF!</definedName>
    <definedName name="Structures_pick">#REF!</definedName>
    <definedName name="SUB_SOV_Column_Lookup">#REF!</definedName>
    <definedName name="SUE" hidden="1">{#N/A,#N/A,TRUE,"TOTAL DISTRIBUTION";#N/A,#N/A,TRUE,"SOUTH";#N/A,#N/A,TRUE,"NORTHEAST";#N/A,#N/A,TRUE,"WEST"}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#REF!</definedName>
    <definedName name="Switch_Type">#REF!</definedName>
    <definedName name="Switchgear_Type">#REF!</definedName>
    <definedName name="SwitchYard">#REF!</definedName>
    <definedName name="t">#REF!</definedName>
    <definedName name="Tacx_Factor">#REF!</definedName>
    <definedName name="Takeoff_Concrete">#REF!</definedName>
    <definedName name="Takeoff_steel">#REF!</definedName>
    <definedName name="Tangent_Arm_Labor">#REF!</definedName>
    <definedName name="Tangent_Arm_Mat">#REF!</definedName>
    <definedName name="Tangent_Arm_Weight">#REF!</definedName>
    <definedName name="Tangent_Dist">#REF!</definedName>
    <definedName name="Tangent_Height">#REF!</definedName>
    <definedName name="Tangent_Type">#REF!</definedName>
    <definedName name="Target_List">#REF!</definedName>
    <definedName name="Tax_Adjustment">#REF!</definedName>
    <definedName name="tax_base_on_inc">#REF!</definedName>
    <definedName name="tax_basis">#REF!</definedName>
    <definedName name="Tax_Effective">#REF!</definedName>
    <definedName name="taxcalc">#REF!</definedName>
    <definedName name="tblLegacy_Org_to_WBS_Suffix">#REF!</definedName>
    <definedName name="tblLegacy_to_NEET">#REF!</definedName>
    <definedName name="TC">#REF!</definedName>
    <definedName name="TCOS_Year">#REF!</definedName>
    <definedName name="TDS">#REF!</definedName>
    <definedName name="teast" hidden="1">{#N/A,#N/A,TRUE,"TOTAL DSBN";#N/A,#N/A,TRUE,"WEST";#N/A,#N/A,TRUE,"SOUTH";#N/A,#N/A,TRUE,"NORTHEAST"}</definedName>
    <definedName name="Technology">#REF!</definedName>
    <definedName name="Temp4">#REF!</definedName>
    <definedName name="TEMPCELL">#REF!</definedName>
    <definedName name="Template_Rev_Tracker">#REF!</definedName>
    <definedName name="TemplateID1">#REF!</definedName>
    <definedName name="TemplateID2">#REF!</definedName>
    <definedName name="Terrain_Type">#REF!</definedName>
    <definedName name="Terrain_Use">#REF!</definedName>
    <definedName name="test" hidden="1">{#N/A,#N/A,TRUE,"Facility-Input";#N/A,#N/A,TRUE,"Graphs";#N/A,#N/A,TRUE,"TOTAL"}</definedName>
    <definedName name="test." hidden="1">{#N/A,#N/A,TRUE,"TOTAL DISTRIBUTION";#N/A,#N/A,TRUE,"SOUTH";#N/A,#N/A,TRUE,"NORTHEAST";#N/A,#N/A,TRUE,"WEST"}</definedName>
    <definedName name="TEST0">#REF!</definedName>
    <definedName name="TEST1">#REF!</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{#N/A,#N/A,TRUE,"TOTAL DISTRIBUTION";#N/A,#N/A,TRUE,"SOUTH";#N/A,#N/A,TRUE,"NORTHEAST";#N/A,#N/A,TRUE,"WEST"}</definedName>
    <definedName name="test21" hidden="1">{#N/A,#N/A,TRUE,"TOTAL DISTRIBUTION";#N/A,#N/A,TRUE,"SOUTH";#N/A,#N/A,TRUE,"NORTHEAST";#N/A,#N/A,TRUE,"WEST"}</definedName>
    <definedName name="test23" hidden="1">{#N/A,#N/A,TRUE,"TOTAL DISTRIBUTION";#N/A,#N/A,TRUE,"SOUTH";#N/A,#N/A,TRUE,"NORTHEAST";#N/A,#N/A,TRUE,"WEST"}</definedName>
    <definedName name="TESTHKEY">#REF!</definedName>
    <definedName name="testing" hidden="1">{"detail305",#N/A,FALSE,"BI-305"}</definedName>
    <definedName name="TESTKEYS">#REF!</definedName>
    <definedName name="TESTVKEY">#REF!</definedName>
    <definedName name="testwe" hidden="1">{#N/A,#N/A,TRUE,"TOTAL DSBN";#N/A,#N/A,TRUE,"WEST";#N/A,#N/A,TRUE,"SOUTH";#N/A,#N/A,TRUE,"NORTHEAST"}</definedName>
    <definedName name="TextRefCopyRangeCount" hidden="1">99</definedName>
    <definedName name="thjty" hidden="1">{#N/A,#N/A,TRUE,"TOTAL DSBN";#N/A,#N/A,TRUE,"WEST";#N/A,#N/A,TRUE,"SOUTH";#N/A,#N/A,TRUE,"NORTHEAST"}</definedName>
    <definedName name="thousand">1000</definedName>
    <definedName name="Time" hidden="1">"b1"</definedName>
    <definedName name="title">#REF!</definedName>
    <definedName name="TK">#REF!</definedName>
    <definedName name="TLINE_BID_DATA">#REF!</definedName>
    <definedName name="TO">#REF!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#REF!</definedName>
    <definedName name="Tota_Deferred">#REF!</definedName>
    <definedName name="total_spend">#REF!</definedName>
    <definedName name="totalcost">#REF!</definedName>
    <definedName name="TPower_Data">#REF!</definedName>
    <definedName name="TPower_Data_Output">#REF!</definedName>
    <definedName name="TPower_Rows">#REF!</definedName>
    <definedName name="TPower_Sleeves">#REF!</definedName>
    <definedName name="Transition">#REF!</definedName>
    <definedName name="Transition_Labor">#REF!</definedName>
    <definedName name="Tree_Clearing">#REF!</definedName>
    <definedName name="Trench_Hard">#REF!</definedName>
    <definedName name="ttt" hidden="1">{#N/A,#N/A,FALSE,"INPUTDATA";#N/A,#N/A,FALSE,"SUMMARY";#N/A,#N/A,FALSE,"CTAREP";#N/A,#N/A,FALSE,"CTBREP";#N/A,#N/A,FALSE,"PMG4ST86";#N/A,#N/A,FALSE,"TURBEFF";#N/A,#N/A,FALSE,"Condenser Performance"}</definedName>
    <definedName name="Turns">#REF!</definedName>
    <definedName name="Type">#REF!</definedName>
    <definedName name="Type_Of_Foundation">#REF!</definedName>
    <definedName name="Type_Tangent_Foundation">#REF!</definedName>
    <definedName name="Type_Tangents">#REF!</definedName>
    <definedName name="Typist" hidden="1">"b1"</definedName>
    <definedName name="u" hidden="1">{#N/A,#N/A,FALSE,"Expenses";#N/A,#N/A,FALSE,"Revenue"}</definedName>
    <definedName name="UG_Amps">#REF!</definedName>
    <definedName name="UG_DB">#REF!</definedName>
    <definedName name="UG_Material">#REF!</definedName>
    <definedName name="UG_Material_Selection">#REF!</definedName>
    <definedName name="UG_Spacing">#REF!</definedName>
    <definedName name="UG_Type">#REF!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ults">#REF!</definedName>
    <definedName name="Underground_Vaults_Labor">#REF!</definedName>
    <definedName name="Union">#REF!</definedName>
    <definedName name="uod" hidden="1">{"detail305",#N/A,FALSE,"BI-305"}</definedName>
    <definedName name="UOMColumn1">#REF!</definedName>
    <definedName name="UOMColumn2">#REF!</definedName>
    <definedName name="Upload_End">#REF!</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Date">#REF!</definedName>
    <definedName name="Value" hidden="1">{"assumptions",#N/A,FALSE,"Scenario 1";"valuation",#N/A,FALSE,"Scenario 1"}</definedName>
    <definedName name="value1" hidden="1">{#N/A,#N/A,FALSE,"Cashflow Analysis";#N/A,#N/A,FALSE,"Sensitivity Analysis";#N/A,#N/A,FALSE,"PV";#N/A,#N/A,FALSE,"Pro Forma"}</definedName>
    <definedName name="ValueColumn1">#REF!</definedName>
    <definedName name="ValueColumn2">#REF!</definedName>
    <definedName name="VapourProps">#REF!</definedName>
    <definedName name="VAR_Equip_Type">#REF!</definedName>
    <definedName name="Version" hidden="1">"a1"</definedName>
    <definedName name="vgtl" hidden="1">{#N/A,#N/A,FALSE,"INPUTDATA";#N/A,#N/A,FALSE,"SUMMARY"}</definedName>
    <definedName name="Voltage">#REF!</definedName>
    <definedName name="Voltage_Regulator_kVA">#REF!</definedName>
    <definedName name="Voltage_Regulator_Voltage">#REF!</definedName>
    <definedName name="Voltage_Regulators">#REF!</definedName>
    <definedName name="vvv" hidden="1">{"EXCELHLP.HLP!1802";5;10;5;10;13;13;13;8;5;5;10;14;13;13;13;13;5;10;14;13;5;10;1;2;24}</definedName>
    <definedName name="WACC_Pre_Tax">#REF!</definedName>
    <definedName name="WACC_Pre_TaxExempt">#REF!</definedName>
    <definedName name="Wage_Rate_LookUp">#REF!</definedName>
    <definedName name="Wages">#REF!</definedName>
    <definedName name="WCCGCR2">#REF!</definedName>
    <definedName name="WFC" hidden="1">#REF!</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nos" hidden="1">{#N/A,#N/A,TRUE,"TOTAL DSBN";#N/A,#N/A,TRUE,"WEST";#N/A,#N/A,TRUE,"SOUTH";#N/A,#N/A,TRUE,"NORTHEAST"}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hy?" hidden="1">{#N/A,#N/A,TRUE,"TOTAL DSBN";#N/A,#N/A,TRUE,"WEST";#N/A,#N/A,TRUE,"SOUTH";#N/A,#N/A,TRUE,"NORTHEAST"}</definedName>
    <definedName name="Wire">#REF!</definedName>
    <definedName name="Wire_GRF">#REF!</definedName>
    <definedName name="Wire_Size90">#REF!</definedName>
    <definedName name="WO_Description">#REF!</definedName>
    <definedName name="Wood_Class">#REF!</definedName>
    <definedName name="Work_Rule">#REF!</definedName>
    <definedName name="Work_Rule_Table">#REF!</definedName>
    <definedName name="WORK_SHEET_CODING_CONVENTIONS">#REF!</definedName>
    <definedName name="wpk" hidden="1">{#N/A,#N/A,FALSE,"INPUTDATA";#N/A,#N/A,FALSE,"SUMMARY"}</definedName>
    <definedName name="wrn" hidden="1">{#N/A,#N/A,FALSE,"O&amp;M by processes";#N/A,#N/A,FALSE,"Elec Act vs Bud";#N/A,#N/A,FALSE,"G&amp;A";#N/A,#N/A,FALSE,"BGS";#N/A,#N/A,FALSE,"Res Cost"}</definedName>
    <definedName name="wrn.1999._.Cash._.Report." hidden="1">{"1999 Cash Budget",#N/A,FALSE,"99 Cash";"1999 Cash Budget YTD",#N/A,FALSE,"99 Cash";"1999 Cash Actual/Forcast",#N/A,FALSE,"99 Cash";"1999 Cash Actual/Forcast YTD",#N/A,FALSE,"99 Cash"}</definedName>
    <definedName name="wrn.3cases." hidden="1">{#N/A,"Base",FALSE,"Dividend";#N/A,"Conservative",FALSE,"Dividend";#N/A,"Downside",FALSE,"Dividend"}</definedName>
    <definedName name="wrn.722." hidden="1">{#N/A,#N/A,FALSE,"CURRENT"}</definedName>
    <definedName name="wrn.95cap." hidden="1">{#N/A,#N/A,FALSE,"95CAPGRY"}</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GT." hidden="1">{"AGT",#N/A,FALSE,"Revenue"}</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hidden="1">{"Assumptions",#N/A,FALSE,"Assum"}</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AAP._.Report.JPG" hidden="1">{"Income Budget",#N/A,FALSE,"98 Income";"Running GAAP Budget Income",#N/A,FALSE,"98 Income";"GAAP Actual",#N/A,FALSE,"98 Income";"GAAP Varinance",#N/A,FALSE,"98 Income"}</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hidden="1">{#N/A,#N/A,FALSE,"Elec Deliv";#N/A,#N/A,FALSE,"Atlantic Pie";#N/A,#N/A,FALSE,"Bay Pie";#N/A,#N/A,FALSE,"New Castle Pie";#N/A,#N/A,FALSE,"Transmission Pie"}</definedName>
    <definedName name="wrn.Complete._.Review." hidden="1">{#N/A,#N/A,FALSE,"Occ and Rate";#N/A,#N/A,FALSE,"PF Input";#N/A,#N/A,FALSE,"Capital Input";#N/A,#N/A,FALSE,"Proforma Five Yr";#N/A,#N/A,FALSE,"Calculations";#N/A,#N/A,FALSE,"Transaction Summary-DTW"}</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ST." hidden="1">{#N/A,#N/A,FALSE,"T COST";#N/A,#N/A,FALSE,"COST_FH"}</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hidden="1">{#N/A,#N/A,FALSE,"Earnings release"}</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hidden="1">{#N/A,#N/A,FALSE,"INPUTDATA";#N/A,#N/A,FALSE,"SUMMARY"}</definedName>
    <definedName name="wrn.Exec1._.Summary" hidden="1">{#N/A,#N/A,FALSE,"INPUTDATA";#N/A,#N/A,FALSE,"SUMMARY"}</definedName>
    <definedName name="wrn.ExitAndSalesAssumptions." hidden="1">{#N/A,#N/A,FALSE,"ExitStrategy"}</definedName>
    <definedName name="wrn.FCB." hidden="1">{"FCB_ALL",#N/A,FALSE,"FCB"}</definedName>
    <definedName name="wrn.fcb2" hidden="1">{"FCB_ALL",#N/A,FALSE,"FCB"}</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hidden="1">{"Income Budget",#N/A,FALSE,"98 Income";"Running GAAP Budget Income",#N/A,FALSE,"98 Income";"GAAP Actual",#N/A,FALSE,"98 Income";"GAAP Varinance",#N/A,FALSE,"98 Income"}</definedName>
    <definedName name="wrn.HLP._.Detail." hidden="1">{"2002 - 2006 Detail Income Statement",#N/A,FALSE,"TUB Income Statement wo DW";"BGS Deferral",#N/A,FALSE,"BGS Deferral";"NNC Deferral",#N/A,FALSE,"NNC Deferral";"MTC Deferral",#N/A,FALSE,"MTC Deferral";#N/A,#N/A,FALSE,"Schedule D"}</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iniSum." hidden="1">{#N/A,#N/A,TRUE,"Facility-Input";#N/A,#N/A,TRUE,"Graphs";#N/A,#N/A,TRUE,"TOTAL"}</definedName>
    <definedName name="wrn.MonthlyRentRoll." hidden="1">{"MonthlyRentRoll",#N/A,FALSE,"RentRoll"}</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ut._.of._.Period." hidden="1">{"Out of Period",#N/A,FALSE,"Out of Period"}</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Reconcil._.Bk._.Depr._.to._.47G." hidden="1">{"By Account",#N/A,FALSE,"Reconcil Deprec Book to Tax   ";"Correction of JV 47G",#N/A,FALSE,"Reconcil Deprec Book to Tax   ";"Recalculation of JV 47G",#N/A,FALSE,"Reconcil Deprec Book to Tax   "}</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hidden="1">{#N/A,#N/A,TRUE,"Reserves";#N/A,#N/A,TRUE,"Graphs"}</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UM._.OF._.UNIT._.3." hidden="1">{#N/A,#N/A,FALSE,"INPUTDATA";#N/A,#N/A,FALSE,"SUMMARY";#N/A,#N/A,FALSE,"CTAREP";#N/A,#N/A,FALSE,"CTBREP";#N/A,#N/A,FALSE,"PMG4ST86";#N/A,#N/A,FALSE,"TURBEFF";#N/A,#N/A,FALSE,"Condenser Performance"}</definedName>
    <definedName name="wrn.Summary." hidden="1">{#N/A,#N/A,FALSE,"Summary"}</definedName>
    <definedName name="wrn.Supporting._.Calculations." hidden="1">{#N/A,#N/A,FALSE,"Work performed";#N/A,#N/A,FALSE,"Resources"}</definedName>
    <definedName name="wrn.Tax._.Accrual." hidden="1">{#N/A,#N/A,TRUE,"TAXPROV";#N/A,#N/A,TRUE,"FLOWTHRU";#N/A,#N/A,TRUE,"SCHEDULE M'S";#N/A,#N/A,TRUE,"PLANT M'S";#N/A,#N/A,TRUE,"TAXJE"}</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hidden="1">{#N/A,#N/A,TRUE,"TOTAL";#N/A,#N/A,TRUE,"Total Pipes"}</definedName>
    <definedName name="wrn.UTIL." hidden="1">{"Twelve Mo Ended Pg 2",#N/A,TRUE,"Utility";"YTD Adj _ Pg 1",#N/A,TRUE,"Utility"}</definedName>
    <definedName name="wrn.Value." hidden="1">{#N/A,#N/A,FALSE,"Cashflow Analysis";#N/A,#N/A,FALSE,"Sensitivity Analysis";#N/A,#N/A,FALSE,"PV";#N/A,#N/A,FALSE,"Pro Forma"}</definedName>
    <definedName name="wrn.Western._.District._.1997._.Capital._.Budget." hidden="1">{#N/A,#N/A,FALSE,"EXP97"}</definedName>
    <definedName name="wvi" hidden="1">{#N/A,#N/A,FALSE,"SUMMARY";#N/A,#N/A,FALSE,"INPUTDATA";#N/A,#N/A,FALSE,"Condenser Performance"}</definedName>
    <definedName name="wvo" hidden="1">{"EXCELHLP.HLP!1802";5;10;5;10;13;13;13;8;5;5;10;14;13;13;13;13;5;10;14;13;5;10;1;2;24}</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 hidden="1">{#N/A,#N/A,FALSE,"Earnings release"}</definedName>
    <definedName name="Xbracing">#REF!</definedName>
    <definedName name="Xbracing_labor">#REF!</definedName>
    <definedName name="Xcel" localSheetId="2">#REF!</definedName>
    <definedName name="Xcel">#REF!</definedName>
    <definedName name="Xcel_COS" localSheetId="2">#REF!</definedName>
    <definedName name="Xcel_COS" localSheetId="3">#REF!</definedName>
    <definedName name="Xcel_COS">#REF!</definedName>
    <definedName name="Xfmr_pit">#REF!</definedName>
    <definedName name="xx" hidden="1">{2;#N/A;"R13C16:R17C16";#N/A;"R13C14:R17C15";FALSE;FALSE;FALSE;95;#N/A;#N/A;"R13C19";#N/A;FALSE;FALSE;FALSE;FALSE;#N/A;"";#N/A;FALSE;"";"";#N/A;#N/A;#N/A}</definedName>
    <definedName name="xxx" hidden="1">{#N/A,#N/A,FALSE,"O&amp;M by processes";#N/A,#N/A,FALSE,"Elec Act vs Bud";#N/A,#N/A,FALSE,"G&amp;A";#N/A,#N/A,FALSE,"BGS";#N/A,#N/A,FALSE,"Res Cost"}</definedName>
    <definedName name="xxx.detail" hidden="1">{"detail305",#N/A,FALSE,"BI-305"}</definedName>
    <definedName name="xxx.directory" hidden="1">{"summary",#N/A,FALSE,"PCR DIRECTORY"}</definedName>
    <definedName name="xxxx" hidden="1">{#N/A,#N/A,FALSE,"O&amp;M by processes";#N/A,#N/A,FALSE,"Elec Act vs Bud";#N/A,#N/A,FALSE,"G&amp;A";#N/A,#N/A,FALSE,"BGS";#N/A,#N/A,FALSE,"Res Cost"}</definedName>
    <definedName name="xxxxx" hidden="1">{#N/A,#N/A,TRUE,"TOTAL DISTRIBUTION";#N/A,#N/A,TRUE,"SOUTH";#N/A,#N/A,TRUE,"NORTHEAST";#N/A,#N/A,TRUE,"WEST"}</definedName>
    <definedName name="xxxxxx" hidden="1">{#N/A,#N/A,TRUE,"TOTAL DSBN";#N/A,#N/A,TRUE,"WEST";#N/A,#N/A,TRUE,"SOUTH";#N/A,#N/A,TRUE,"NORTHEAST"}</definedName>
    <definedName name="Yard_Spacing">#REF!</definedName>
    <definedName name="YEAR1">#REF!</definedName>
    <definedName name="yeartodate">#REF!</definedName>
    <definedName name="YesNo">#REF!</definedName>
    <definedName name="yyy" hidden="1">{"detail305",#N/A,FALSE,"BI-305"}</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ero">0</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가설공사">#REF!</definedName>
    <definedName name="공종산출서">#REF!</definedName>
    <definedName name="단가">#REF!</definedName>
    <definedName name="대">#REF!</definedName>
    <definedName name="포">#REF!</definedName>
  </definedNames>
  <calcPr calcId="191029" concurrentManualCount="8"/>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9" i="2" l="1"/>
  <c r="H68" i="2" l="1"/>
  <c r="E18" i="21" l="1"/>
  <c r="E19" i="21"/>
  <c r="M24" i="6"/>
  <c r="D155" i="1"/>
  <c r="D159" i="1"/>
  <c r="C24" i="5"/>
  <c r="I24" i="5"/>
  <c r="D72" i="1"/>
  <c r="J24" i="5"/>
  <c r="D74" i="1"/>
  <c r="H10" i="7"/>
  <c r="G11" i="7"/>
  <c r="G12" i="7"/>
  <c r="G13" i="7"/>
  <c r="G14" i="7"/>
  <c r="G8" i="7"/>
  <c r="C24" i="6"/>
  <c r="D119" i="1"/>
  <c r="H24" i="5"/>
  <c r="D103" i="1"/>
  <c r="J104" i="26"/>
  <c r="J105" i="26"/>
  <c r="J106" i="26"/>
  <c r="J107" i="26"/>
  <c r="J108" i="26"/>
  <c r="J109" i="26"/>
  <c r="J110" i="26"/>
  <c r="J111" i="26"/>
  <c r="J112" i="26"/>
  <c r="J113" i="26"/>
  <c r="J114" i="26"/>
  <c r="J115" i="26"/>
  <c r="G45" i="6"/>
  <c r="D148" i="1"/>
  <c r="M45" i="6"/>
  <c r="D162" i="1"/>
  <c r="E26" i="16"/>
  <c r="J89" i="26"/>
  <c r="F24" i="6"/>
  <c r="D122" i="1"/>
  <c r="H14" i="7"/>
  <c r="I104" i="26"/>
  <c r="H8" i="7"/>
  <c r="G24" i="6"/>
  <c r="D123" i="1"/>
  <c r="I123" i="1"/>
  <c r="H24" i="6"/>
  <c r="D124" i="1"/>
  <c r="I124" i="1"/>
  <c r="I24" i="6"/>
  <c r="D126" i="1"/>
  <c r="J24" i="6"/>
  <c r="D129" i="1"/>
  <c r="I129" i="1"/>
  <c r="K24" i="6"/>
  <c r="D131" i="1"/>
  <c r="I131" i="1"/>
  <c r="L24" i="6"/>
  <c r="D132" i="1"/>
  <c r="G195" i="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04" i="26"/>
  <c r="D84" i="26"/>
  <c r="D83" i="26"/>
  <c r="D82" i="26"/>
  <c r="D81" i="26"/>
  <c r="D80" i="26"/>
  <c r="D79" i="26"/>
  <c r="D78" i="26"/>
  <c r="D77" i="26"/>
  <c r="D76" i="26"/>
  <c r="D75" i="26"/>
  <c r="D73" i="26"/>
  <c r="C74" i="26"/>
  <c r="D74" i="26"/>
  <c r="D53" i="26"/>
  <c r="D52" i="26"/>
  <c r="D51" i="26"/>
  <c r="D50" i="26"/>
  <c r="D49" i="26"/>
  <c r="D48" i="26"/>
  <c r="D47" i="26"/>
  <c r="D46" i="26"/>
  <c r="D45" i="26"/>
  <c r="D44" i="26"/>
  <c r="D42" i="26"/>
  <c r="D54" i="26"/>
  <c r="E42" i="26"/>
  <c r="F42" i="26"/>
  <c r="I42" i="26"/>
  <c r="J42" i="26"/>
  <c r="C43" i="26"/>
  <c r="D43" i="26"/>
  <c r="D22" i="26"/>
  <c r="D21" i="26"/>
  <c r="D20" i="26"/>
  <c r="D19" i="26"/>
  <c r="D18" i="26"/>
  <c r="D17" i="26"/>
  <c r="D16" i="26"/>
  <c r="D15" i="26"/>
  <c r="D14" i="26"/>
  <c r="D13" i="26"/>
  <c r="D12" i="26"/>
  <c r="D11" i="26"/>
  <c r="G212" i="1"/>
  <c r="H14" i="16"/>
  <c r="J14" i="16"/>
  <c r="J15" i="16"/>
  <c r="E20" i="16"/>
  <c r="D11" i="17"/>
  <c r="D13" i="17"/>
  <c r="I44" i="5"/>
  <c r="D91" i="1"/>
  <c r="E44" i="5"/>
  <c r="D87" i="1"/>
  <c r="D44" i="5"/>
  <c r="L45" i="6"/>
  <c r="D161" i="1"/>
  <c r="E25" i="16"/>
  <c r="K45" i="6"/>
  <c r="D160" i="1"/>
  <c r="E24" i="16"/>
  <c r="J45" i="6"/>
  <c r="D151" i="1"/>
  <c r="I45" i="6"/>
  <c r="D150" i="1"/>
  <c r="H45" i="6"/>
  <c r="D149" i="1"/>
  <c r="E45" i="6"/>
  <c r="D145" i="1"/>
  <c r="I145" i="1"/>
  <c r="D45" i="6"/>
  <c r="D140" i="1"/>
  <c r="I140" i="1"/>
  <c r="C45" i="6"/>
  <c r="D138" i="1"/>
  <c r="F45" i="6"/>
  <c r="D146" i="1"/>
  <c r="I146" i="1"/>
  <c r="C44" i="5"/>
  <c r="D94" i="1"/>
  <c r="I94" i="1"/>
  <c r="A56" i="6"/>
  <c r="A57" i="6"/>
  <c r="A58" i="6"/>
  <c r="A59" i="6"/>
  <c r="A60" i="6"/>
  <c r="A61" i="6"/>
  <c r="A62" i="6"/>
  <c r="A63" i="6"/>
  <c r="A64" i="6"/>
  <c r="A65" i="6"/>
  <c r="A66" i="6"/>
  <c r="A67" i="6"/>
  <c r="A68" i="6"/>
  <c r="A69" i="6"/>
  <c r="A70" i="6"/>
  <c r="A73" i="6"/>
  <c r="A75" i="6"/>
  <c r="A77" i="6"/>
  <c r="A78" i="6"/>
  <c r="A79" i="6"/>
  <c r="A80" i="6"/>
  <c r="A85" i="6"/>
  <c r="A86" i="6"/>
  <c r="A87" i="6"/>
  <c r="A88" i="6"/>
  <c r="G10" i="7"/>
  <c r="G9" i="7"/>
  <c r="G17" i="7"/>
  <c r="H13" i="7"/>
  <c r="H12" i="7"/>
  <c r="H11" i="7"/>
  <c r="H9"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H43" i="26"/>
  <c r="B60" i="26"/>
  <c r="J58" i="26"/>
  <c r="J57" i="26"/>
  <c r="B122" i="26"/>
  <c r="B91" i="26"/>
  <c r="B29" i="26"/>
  <c r="A6" i="26"/>
  <c r="A8" i="26"/>
  <c r="A9" i="26"/>
  <c r="A10" i="26"/>
  <c r="G211" i="1"/>
  <c r="D211" i="1"/>
  <c r="J80" i="6"/>
  <c r="G68" i="6"/>
  <c r="F68" i="6"/>
  <c r="I226" i="1"/>
  <c r="E68" i="6"/>
  <c r="I225" i="1"/>
  <c r="D68" i="6"/>
  <c r="I222" i="1"/>
  <c r="D14" i="1"/>
  <c r="C68" i="6"/>
  <c r="I219" i="1"/>
  <c r="I220" i="1"/>
  <c r="F54" i="6"/>
  <c r="F30" i="6"/>
  <c r="G30" i="6"/>
  <c r="H30" i="6"/>
  <c r="I30" i="6"/>
  <c r="J30" i="6"/>
  <c r="H9" i="6"/>
  <c r="I9" i="6"/>
  <c r="E59" i="21"/>
  <c r="B57" i="21"/>
  <c r="G39" i="21"/>
  <c r="D39" i="21"/>
  <c r="E37" i="21" s="1"/>
  <c r="E32" i="21"/>
  <c r="H37" i="21"/>
  <c r="H36" i="21"/>
  <c r="H35" i="21"/>
  <c r="H34" i="21"/>
  <c r="H33" i="21"/>
  <c r="H32" i="21"/>
  <c r="H31" i="21"/>
  <c r="H30" i="21"/>
  <c r="H29" i="21"/>
  <c r="H28" i="21"/>
  <c r="H27" i="21"/>
  <c r="H26" i="21"/>
  <c r="H25" i="21"/>
  <c r="H24" i="21"/>
  <c r="H23" i="21"/>
  <c r="H22" i="21"/>
  <c r="H21" i="21"/>
  <c r="H20" i="21"/>
  <c r="J20" i="21" s="1"/>
  <c r="H19" i="21"/>
  <c r="J19" i="21" s="1"/>
  <c r="I79" i="1"/>
  <c r="D59" i="5"/>
  <c r="I58" i="5"/>
  <c r="I54" i="5"/>
  <c r="I53" i="5"/>
  <c r="I59" i="5"/>
  <c r="D92" i="1"/>
  <c r="G92" i="1"/>
  <c r="I92" i="1"/>
  <c r="G56" i="2"/>
  <c r="G55" i="2"/>
  <c r="J12" i="16"/>
  <c r="E15" i="16"/>
  <c r="J13" i="16"/>
  <c r="A9" i="16"/>
  <c r="A12" i="16"/>
  <c r="A13" i="16"/>
  <c r="A14" i="16"/>
  <c r="A15" i="16"/>
  <c r="A16" i="16"/>
  <c r="A18" i="16"/>
  <c r="A19" i="16"/>
  <c r="D125" i="1"/>
  <c r="I125" i="1"/>
  <c r="S85" i="2"/>
  <c r="P86" i="2"/>
  <c r="D16" i="1"/>
  <c r="I34" i="2"/>
  <c r="L34" i="2"/>
  <c r="E24" i="6"/>
  <c r="D121" i="1"/>
  <c r="D24" i="6"/>
  <c r="D120" i="1"/>
  <c r="F129" i="1"/>
  <c r="G209" i="1"/>
  <c r="D95" i="1"/>
  <c r="I95" i="1"/>
  <c r="G24" i="5"/>
  <c r="D102" i="1"/>
  <c r="F24" i="5"/>
  <c r="D98" i="1"/>
  <c r="D24" i="5"/>
  <c r="D66" i="1"/>
  <c r="I66" i="1"/>
  <c r="C154" i="1"/>
  <c r="F120" i="1"/>
  <c r="F121"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A65" i="1"/>
  <c r="A66" i="1"/>
  <c r="A67" i="1"/>
  <c r="A68" i="1"/>
  <c r="A70" i="1"/>
  <c r="A71" i="1"/>
  <c r="F94" i="1"/>
  <c r="F93" i="1"/>
  <c r="G198" i="1"/>
  <c r="G197" i="1"/>
  <c r="D83" i="1"/>
  <c r="D81" i="1"/>
  <c r="D79" i="1"/>
  <c r="G73" i="1"/>
  <c r="I73" i="1"/>
  <c r="I81" i="1"/>
  <c r="K111" i="1"/>
  <c r="K177" i="1"/>
  <c r="K236" i="1"/>
  <c r="K54" i="1"/>
  <c r="D127" i="1"/>
  <c r="I127" i="1"/>
  <c r="I203" i="1"/>
  <c r="G66" i="1"/>
  <c r="G74" i="1"/>
  <c r="G122" i="1"/>
  <c r="H44" i="26"/>
  <c r="H45" i="26"/>
  <c r="D85" i="26"/>
  <c r="E73" i="26"/>
  <c r="F73" i="26"/>
  <c r="D116" i="26"/>
  <c r="E104" i="26"/>
  <c r="F104" i="26"/>
  <c r="D23" i="26"/>
  <c r="E12" i="26"/>
  <c r="F12" i="26"/>
  <c r="E19" i="26"/>
  <c r="F19" i="26"/>
  <c r="E106" i="26"/>
  <c r="F106" i="26"/>
  <c r="E16" i="26"/>
  <c r="F16" i="26"/>
  <c r="E108" i="26"/>
  <c r="F108" i="26"/>
  <c r="E79" i="26"/>
  <c r="F79" i="26"/>
  <c r="E80" i="26"/>
  <c r="F80" i="26"/>
  <c r="E13" i="26"/>
  <c r="F13" i="26"/>
  <c r="E50" i="26"/>
  <c r="F50" i="26"/>
  <c r="E49" i="26"/>
  <c r="F49" i="26"/>
  <c r="E114" i="26"/>
  <c r="F114" i="26"/>
  <c r="E22" i="26"/>
  <c r="F22" i="26"/>
  <c r="E105" i="26"/>
  <c r="F105" i="26"/>
  <c r="E17" i="26"/>
  <c r="F17" i="26"/>
  <c r="E43" i="26"/>
  <c r="F43" i="26"/>
  <c r="I43" i="26"/>
  <c r="J43" i="26"/>
  <c r="E53" i="26"/>
  <c r="E52" i="26"/>
  <c r="F52" i="26"/>
  <c r="E21" i="26"/>
  <c r="F21" i="26"/>
  <c r="E46" i="26"/>
  <c r="F46" i="26"/>
  <c r="E82" i="26"/>
  <c r="F82" i="26"/>
  <c r="E78" i="26"/>
  <c r="F78" i="26"/>
  <c r="E84" i="26"/>
  <c r="F84" i="26"/>
  <c r="E11" i="26"/>
  <c r="F11" i="26"/>
  <c r="E112" i="26"/>
  <c r="F112" i="26"/>
  <c r="E107" i="26"/>
  <c r="F107" i="26"/>
  <c r="E111" i="26"/>
  <c r="F111" i="26"/>
  <c r="E115" i="26"/>
  <c r="F115" i="26"/>
  <c r="E18" i="26"/>
  <c r="F18" i="26"/>
  <c r="E75" i="26"/>
  <c r="F75" i="26"/>
  <c r="H23" i="26"/>
  <c r="I23" i="26"/>
  <c r="H46" i="26"/>
  <c r="F53" i="26"/>
  <c r="A20" i="16"/>
  <c r="B23" i="16"/>
  <c r="F27" i="26"/>
  <c r="A11" i="26"/>
  <c r="A12" i="26"/>
  <c r="A13" i="26"/>
  <c r="A14" i="26"/>
  <c r="A15" i="26"/>
  <c r="A16" i="26"/>
  <c r="A17" i="26"/>
  <c r="A18" i="26"/>
  <c r="A19" i="26"/>
  <c r="A20" i="26"/>
  <c r="A21" i="26"/>
  <c r="A22" i="26"/>
  <c r="E51" i="26"/>
  <c r="F51" i="26"/>
  <c r="E47" i="26"/>
  <c r="F47" i="26"/>
  <c r="E109" i="26"/>
  <c r="F109" i="26"/>
  <c r="E110" i="26"/>
  <c r="F110" i="26"/>
  <c r="E81" i="26"/>
  <c r="F81" i="26"/>
  <c r="E83" i="26"/>
  <c r="F83" i="26"/>
  <c r="E44" i="26"/>
  <c r="F44" i="26"/>
  <c r="I44" i="26"/>
  <c r="J44" i="26"/>
  <c r="E48" i="26"/>
  <c r="F48" i="26"/>
  <c r="E15" i="26"/>
  <c r="F15" i="26"/>
  <c r="E20" i="26"/>
  <c r="F20" i="26"/>
  <c r="E45" i="26"/>
  <c r="F45" i="26"/>
  <c r="I45" i="26"/>
  <c r="J45" i="26"/>
  <c r="E113" i="26"/>
  <c r="F113" i="26"/>
  <c r="E74" i="26"/>
  <c r="F74" i="26"/>
  <c r="E76" i="26"/>
  <c r="F76" i="26"/>
  <c r="E14" i="26"/>
  <c r="F14" i="26"/>
  <c r="E77" i="26"/>
  <c r="F77" i="26"/>
  <c r="H47" i="26"/>
  <c r="I46" i="26"/>
  <c r="J46" i="26"/>
  <c r="I114" i="26"/>
  <c r="I106" i="26"/>
  <c r="I113" i="26"/>
  <c r="I105" i="26"/>
  <c r="I110" i="26"/>
  <c r="I112" i="26"/>
  <c r="I111" i="26"/>
  <c r="I109" i="26"/>
  <c r="I115" i="26"/>
  <c r="I107" i="26"/>
  <c r="I108" i="26"/>
  <c r="A23" i="26"/>
  <c r="A25" i="26"/>
  <c r="F30" i="26"/>
  <c r="A21" i="16"/>
  <c r="A22" i="16"/>
  <c r="A23" i="16"/>
  <c r="B27" i="16"/>
  <c r="H48" i="26"/>
  <c r="I47" i="26"/>
  <c r="J47" i="26"/>
  <c r="A24" i="16"/>
  <c r="A25" i="16"/>
  <c r="A26" i="16"/>
  <c r="A27" i="16"/>
  <c r="B29" i="16"/>
  <c r="B30" i="16"/>
  <c r="B28" i="16"/>
  <c r="F26" i="26"/>
  <c r="A26" i="26"/>
  <c r="A27" i="26"/>
  <c r="A28" i="26"/>
  <c r="H116" i="26"/>
  <c r="H49" i="26"/>
  <c r="I48" i="26"/>
  <c r="A28" i="16"/>
  <c r="A29" i="16"/>
  <c r="A30" i="16"/>
  <c r="A31" i="16"/>
  <c r="A33" i="16"/>
  <c r="A35" i="16"/>
  <c r="A36" i="16"/>
  <c r="A37" i="16"/>
  <c r="A38" i="16"/>
  <c r="A39" i="16"/>
  <c r="A40" i="16"/>
  <c r="B31" i="16"/>
  <c r="A29" i="26"/>
  <c r="A30" i="26"/>
  <c r="A31" i="26"/>
  <c r="J48" i="26"/>
  <c r="A32" i="26"/>
  <c r="A33" i="26"/>
  <c r="A36" i="26"/>
  <c r="A37" i="26"/>
  <c r="A39" i="26"/>
  <c r="A40" i="26"/>
  <c r="A41" i="26"/>
  <c r="I49" i="26"/>
  <c r="J49" i="26"/>
  <c r="H50" i="26"/>
  <c r="F29" i="26"/>
  <c r="A42" i="26"/>
  <c r="A43" i="26"/>
  <c r="A44" i="26"/>
  <c r="A45" i="26"/>
  <c r="A46" i="26"/>
  <c r="A47" i="26"/>
  <c r="A48" i="26"/>
  <c r="A49" i="26"/>
  <c r="A50" i="26"/>
  <c r="A51" i="26"/>
  <c r="A52" i="26"/>
  <c r="A53" i="26"/>
  <c r="F58" i="26"/>
  <c r="F33" i="26"/>
  <c r="I50" i="26"/>
  <c r="J50" i="26"/>
  <c r="H51" i="26"/>
  <c r="I51" i="26"/>
  <c r="J51" i="26"/>
  <c r="H52" i="26"/>
  <c r="A54" i="26"/>
  <c r="A56" i="26"/>
  <c r="F61" i="26"/>
  <c r="H53" i="26"/>
  <c r="I52" i="26"/>
  <c r="J52" i="26"/>
  <c r="A57" i="26"/>
  <c r="A58" i="26"/>
  <c r="A59" i="26"/>
  <c r="F57" i="26"/>
  <c r="A60" i="26"/>
  <c r="A61" i="26"/>
  <c r="A62" i="26"/>
  <c r="F60" i="26"/>
  <c r="I53" i="26"/>
  <c r="H54" i="26"/>
  <c r="J53" i="26"/>
  <c r="I54" i="26"/>
  <c r="F64" i="26"/>
  <c r="A63" i="26"/>
  <c r="A64" i="26"/>
  <c r="A67" i="26"/>
  <c r="A68" i="26"/>
  <c r="A70" i="26"/>
  <c r="A71" i="26"/>
  <c r="A72" i="26"/>
  <c r="J61" i="26"/>
  <c r="J60" i="26"/>
  <c r="J62" i="26"/>
  <c r="J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95" i="26"/>
  <c r="A104" i="26"/>
  <c r="A105" i="26"/>
  <c r="A106" i="26"/>
  <c r="A107" i="26"/>
  <c r="A108" i="26"/>
  <c r="A109" i="26"/>
  <c r="A110" i="26"/>
  <c r="A111" i="26"/>
  <c r="A112" i="26"/>
  <c r="A113" i="26"/>
  <c r="A114" i="26"/>
  <c r="A115" i="26"/>
  <c r="F120" i="26"/>
  <c r="A116" i="26"/>
  <c r="A118" i="26"/>
  <c r="F123" i="26"/>
  <c r="A119" i="26"/>
  <c r="A120" i="26"/>
  <c r="A121" i="26"/>
  <c r="F119" i="26"/>
  <c r="A122" i="26"/>
  <c r="A123" i="26"/>
  <c r="A124" i="26"/>
  <c r="A125" i="26"/>
  <c r="A126" i="26"/>
  <c r="F126" i="26"/>
  <c r="F122" i="26"/>
  <c r="I116" i="26"/>
  <c r="E31" i="21"/>
  <c r="E27" i="21"/>
  <c r="E22" i="21"/>
  <c r="G123" i="1"/>
  <c r="G138" i="1"/>
  <c r="C14" i="1"/>
  <c r="A224" i="1"/>
  <c r="A225" i="1"/>
  <c r="A226" i="1"/>
  <c r="A227" i="1"/>
  <c r="C15" i="1"/>
  <c r="A156" i="1"/>
  <c r="A157" i="1"/>
  <c r="A158" i="1"/>
  <c r="A159" i="1"/>
  <c r="A160" i="1"/>
  <c r="A161" i="1"/>
  <c r="A162" i="1"/>
  <c r="A163" i="1"/>
  <c r="A164" i="1"/>
  <c r="A165" i="1"/>
  <c r="A166" i="1"/>
  <c r="A167" i="1"/>
  <c r="A169" i="1"/>
  <c r="A172" i="1"/>
  <c r="B159" i="1"/>
  <c r="C79" i="1"/>
  <c r="A72" i="1"/>
  <c r="A73" i="1"/>
  <c r="J27" i="26"/>
  <c r="J11" i="26"/>
  <c r="J12" i="26"/>
  <c r="J13" i="26"/>
  <c r="J14" i="26"/>
  <c r="J15" i="26"/>
  <c r="J16" i="26"/>
  <c r="J17" i="26"/>
  <c r="J18" i="26"/>
  <c r="J19" i="26"/>
  <c r="J20" i="26"/>
  <c r="J21" i="26"/>
  <c r="J22" i="26"/>
  <c r="J88" i="26"/>
  <c r="G124" i="1"/>
  <c r="I138" i="1"/>
  <c r="G145" i="1"/>
  <c r="A74" i="1"/>
  <c r="A75" i="1"/>
  <c r="C81" i="1"/>
  <c r="G125" i="1"/>
  <c r="G146" i="1"/>
  <c r="G127" i="1"/>
  <c r="A76" i="1"/>
  <c r="A78" i="1"/>
  <c r="A79" i="1"/>
  <c r="A80" i="1"/>
  <c r="A81" i="1"/>
  <c r="A82" i="1"/>
  <c r="A83" i="1"/>
  <c r="A84" i="1"/>
  <c r="A86" i="1"/>
  <c r="A87" i="1"/>
  <c r="A88" i="1"/>
  <c r="A89" i="1"/>
  <c r="A90" i="1"/>
  <c r="A91" i="1"/>
  <c r="A93" i="1"/>
  <c r="A94" i="1"/>
  <c r="A95" i="1"/>
  <c r="A96" i="1"/>
  <c r="A98" i="1"/>
  <c r="A100" i="1"/>
  <c r="A101" i="1"/>
  <c r="A102" i="1"/>
  <c r="A103" i="1"/>
  <c r="A104" i="1"/>
  <c r="A106" i="1"/>
  <c r="C83" i="1"/>
  <c r="E19" i="16"/>
  <c r="E23" i="16"/>
  <c r="E28" i="21"/>
  <c r="E25" i="21"/>
  <c r="E24" i="5"/>
  <c r="I227" i="1"/>
  <c r="D15" i="1"/>
  <c r="D19" i="1"/>
  <c r="D164" i="1"/>
  <c r="D133" i="1"/>
  <c r="D134" i="1"/>
  <c r="D101" i="1"/>
  <c r="D104" i="1"/>
  <c r="H17" i="7"/>
  <c r="J41" i="21"/>
  <c r="P33" i="7"/>
  <c r="D210" i="1"/>
  <c r="I122" i="1"/>
  <c r="K66" i="2"/>
  <c r="K67" i="2"/>
  <c r="D137" i="1"/>
  <c r="D93" i="1"/>
  <c r="I93" i="1"/>
  <c r="J30" i="26"/>
  <c r="J29" i="26"/>
  <c r="E29" i="16"/>
  <c r="E30" i="16"/>
  <c r="E28" i="16"/>
  <c r="I74" i="1"/>
  <c r="I82" i="1"/>
  <c r="D82" i="1"/>
  <c r="D76" i="1"/>
  <c r="D152" i="1"/>
  <c r="J123" i="26"/>
  <c r="J122" i="26"/>
  <c r="E67" i="2"/>
  <c r="H66" i="2"/>
  <c r="D64" i="1"/>
  <c r="E66" i="2"/>
  <c r="H67" i="2"/>
  <c r="D166" i="1"/>
  <c r="D165" i="1"/>
  <c r="J26" i="26"/>
  <c r="J31" i="26"/>
  <c r="J33" i="26"/>
  <c r="H44" i="5"/>
  <c r="D90" i="1"/>
  <c r="J120" i="26"/>
  <c r="J119" i="26"/>
  <c r="J124" i="26"/>
  <c r="J126" i="26"/>
  <c r="G44" i="5"/>
  <c r="D89" i="1"/>
  <c r="E34" i="21"/>
  <c r="E33" i="21"/>
  <c r="E23" i="21"/>
  <c r="E29" i="21"/>
  <c r="E26" i="21"/>
  <c r="E30" i="21"/>
  <c r="I85" i="6"/>
  <c r="J33" i="21"/>
  <c r="K33" i="21"/>
  <c r="J27" i="21"/>
  <c r="K27" i="21"/>
  <c r="J37" i="21"/>
  <c r="K37" i="21"/>
  <c r="J32" i="21"/>
  <c r="K32" i="21"/>
  <c r="J26" i="21"/>
  <c r="K26" i="21"/>
  <c r="J29" i="21"/>
  <c r="K29" i="21"/>
  <c r="J28" i="21"/>
  <c r="K28" i="21"/>
  <c r="J35" i="21"/>
  <c r="K35" i="21"/>
  <c r="J34" i="21"/>
  <c r="K34" i="21"/>
  <c r="J22" i="21"/>
  <c r="K22" i="21"/>
  <c r="J23" i="21"/>
  <c r="K23" i="21"/>
  <c r="J24" i="21"/>
  <c r="K24" i="21"/>
  <c r="J25" i="21"/>
  <c r="K25" i="21"/>
  <c r="J31" i="21"/>
  <c r="K31" i="21"/>
  <c r="J30" i="21"/>
  <c r="K30" i="21"/>
  <c r="J36" i="21"/>
  <c r="K36" i="21"/>
  <c r="Q33" i="7"/>
  <c r="P34" i="7"/>
  <c r="D141" i="1"/>
  <c r="D80" i="1"/>
  <c r="I186" i="1"/>
  <c r="D68" i="1"/>
  <c r="G210" i="1"/>
  <c r="Q34" i="7"/>
  <c r="P35" i="7"/>
  <c r="I189" i="1"/>
  <c r="I191" i="1"/>
  <c r="D202" i="1"/>
  <c r="D205" i="1"/>
  <c r="G203" i="1"/>
  <c r="K203" i="1"/>
  <c r="G67" i="1"/>
  <c r="D84" i="1"/>
  <c r="I74" i="26"/>
  <c r="I78" i="26"/>
  <c r="I82" i="26"/>
  <c r="I77" i="26"/>
  <c r="I75" i="26"/>
  <c r="I79" i="26"/>
  <c r="I83" i="26"/>
  <c r="I81" i="26"/>
  <c r="I76" i="26"/>
  <c r="I80" i="26"/>
  <c r="I84" i="26"/>
  <c r="D212" i="1"/>
  <c r="F88" i="6"/>
  <c r="Q35" i="7"/>
  <c r="P36" i="7"/>
  <c r="G119" i="1"/>
  <c r="E196" i="1"/>
  <c r="G196" i="1"/>
  <c r="G199" i="1"/>
  <c r="G14" i="1"/>
  <c r="G64" i="1"/>
  <c r="I67" i="1"/>
  <c r="G75" i="1"/>
  <c r="I73" i="26"/>
  <c r="H85" i="26"/>
  <c r="D213" i="1"/>
  <c r="G86" i="6"/>
  <c r="G85" i="6"/>
  <c r="G87" i="6"/>
  <c r="Q36" i="7"/>
  <c r="P37" i="7"/>
  <c r="I85" i="26"/>
  <c r="J73" i="26"/>
  <c r="J74" i="26"/>
  <c r="J75" i="26"/>
  <c r="J76" i="26"/>
  <c r="J77" i="26"/>
  <c r="J78" i="26"/>
  <c r="J79" i="26"/>
  <c r="J80" i="26"/>
  <c r="J81" i="26"/>
  <c r="J82" i="26"/>
  <c r="J83" i="26"/>
  <c r="J84" i="26"/>
  <c r="E210" i="1"/>
  <c r="K85" i="6"/>
  <c r="I75" i="1"/>
  <c r="G128" i="1"/>
  <c r="I83" i="1"/>
  <c r="K87" i="6"/>
  <c r="I212" i="1"/>
  <c r="E212" i="1"/>
  <c r="E211" i="1"/>
  <c r="K86" i="6"/>
  <c r="I211" i="1"/>
  <c r="G72" i="1"/>
  <c r="I64" i="1"/>
  <c r="I14" i="1"/>
  <c r="G15" i="1"/>
  <c r="G126" i="1"/>
  <c r="I126" i="1"/>
  <c r="I119" i="1"/>
  <c r="G120" i="1"/>
  <c r="G102" i="1"/>
  <c r="I102" i="1"/>
  <c r="G132" i="1"/>
  <c r="I132" i="1"/>
  <c r="Q37" i="7"/>
  <c r="P38" i="7"/>
  <c r="I210" i="1"/>
  <c r="K88" i="6"/>
  <c r="I213" i="1"/>
  <c r="I80" i="1"/>
  <c r="I18" i="2"/>
  <c r="I68" i="1"/>
  <c r="G68" i="1"/>
  <c r="G139" i="1"/>
  <c r="I139" i="1"/>
  <c r="I26" i="2"/>
  <c r="I27" i="2"/>
  <c r="L27" i="2"/>
  <c r="I128" i="1"/>
  <c r="J92" i="26"/>
  <c r="J91" i="26"/>
  <c r="J93" i="26"/>
  <c r="J95" i="26"/>
  <c r="F44" i="5"/>
  <c r="D88" i="1"/>
  <c r="I72" i="1"/>
  <c r="I76" i="1"/>
  <c r="G98" i="1"/>
  <c r="G121" i="1"/>
  <c r="I121" i="1"/>
  <c r="I120" i="1"/>
  <c r="I15" i="1"/>
  <c r="G16" i="1"/>
  <c r="I16" i="1"/>
  <c r="G17" i="1"/>
  <c r="I134" i="1"/>
  <c r="I22" i="2"/>
  <c r="I23" i="2"/>
  <c r="L23" i="2"/>
  <c r="Q38" i="7"/>
  <c r="P39" i="7"/>
  <c r="D96" i="1"/>
  <c r="D106" i="1"/>
  <c r="D170" i="1"/>
  <c r="I101" i="1"/>
  <c r="I98" i="1"/>
  <c r="G137" i="1"/>
  <c r="I137" i="1"/>
  <c r="I141" i="1"/>
  <c r="G18" i="1"/>
  <c r="I18" i="1"/>
  <c r="I17" i="1"/>
  <c r="I19" i="1"/>
  <c r="I33" i="2"/>
  <c r="D156" i="1"/>
  <c r="G103" i="1"/>
  <c r="I103" i="1"/>
  <c r="G148" i="1"/>
  <c r="I19" i="2"/>
  <c r="I84" i="1"/>
  <c r="G84" i="1"/>
  <c r="Q39" i="7"/>
  <c r="P40" i="7"/>
  <c r="I148" i="1"/>
  <c r="G151" i="1"/>
  <c r="I151" i="1"/>
  <c r="G150" i="1"/>
  <c r="I150" i="1"/>
  <c r="I104" i="1"/>
  <c r="H28" i="16"/>
  <c r="G164" i="1"/>
  <c r="G88" i="1"/>
  <c r="D163" i="1"/>
  <c r="D167" i="1"/>
  <c r="D172" i="1"/>
  <c r="Q40" i="7"/>
  <c r="P41" i="7"/>
  <c r="G165" i="1"/>
  <c r="I164" i="1"/>
  <c r="H29" i="16"/>
  <c r="J28" i="16"/>
  <c r="I152" i="1"/>
  <c r="I30" i="2"/>
  <c r="I31" i="2"/>
  <c r="L31" i="2"/>
  <c r="L36" i="2"/>
  <c r="G89" i="1"/>
  <c r="I88" i="1"/>
  <c r="Q41" i="7"/>
  <c r="P42" i="7"/>
  <c r="G90" i="1"/>
  <c r="I90" i="1"/>
  <c r="G91" i="1"/>
  <c r="I91" i="1"/>
  <c r="I89" i="1"/>
  <c r="I96" i="1"/>
  <c r="I106" i="1"/>
  <c r="F74" i="2"/>
  <c r="G74" i="2"/>
  <c r="F73" i="2"/>
  <c r="G73" i="2"/>
  <c r="F76" i="2"/>
  <c r="G76" i="2"/>
  <c r="F79" i="2"/>
  <c r="G79" i="2"/>
  <c r="F67" i="2"/>
  <c r="G67" i="2"/>
  <c r="F81" i="2"/>
  <c r="G81" i="2"/>
  <c r="F71" i="2"/>
  <c r="G71" i="2"/>
  <c r="F68" i="2"/>
  <c r="G68" i="2"/>
  <c r="F72" i="2"/>
  <c r="G72" i="2"/>
  <c r="F78" i="2"/>
  <c r="G78" i="2"/>
  <c r="F69" i="2"/>
  <c r="G69" i="2"/>
  <c r="F70" i="2"/>
  <c r="G70" i="2"/>
  <c r="F82" i="2"/>
  <c r="G82" i="2"/>
  <c r="F66" i="2"/>
  <c r="G66" i="2"/>
  <c r="F84" i="2"/>
  <c r="G84" i="2"/>
  <c r="F83" i="2"/>
  <c r="G83" i="2"/>
  <c r="F80" i="2"/>
  <c r="G80" i="2"/>
  <c r="F75" i="2"/>
  <c r="G75" i="2"/>
  <c r="F77" i="2"/>
  <c r="G77" i="2"/>
  <c r="H30" i="16"/>
  <c r="J30" i="16"/>
  <c r="J29" i="16"/>
  <c r="G166" i="1"/>
  <c r="I166" i="1"/>
  <c r="I165" i="1"/>
  <c r="Q42" i="7"/>
  <c r="P43" i="7"/>
  <c r="K7" i="16"/>
  <c r="I170" i="1"/>
  <c r="P44" i="7"/>
  <c r="Q43" i="7"/>
  <c r="K35" i="16"/>
  <c r="I43" i="2"/>
  <c r="I44" i="2"/>
  <c r="I163" i="1"/>
  <c r="I167" i="1"/>
  <c r="I172" i="1"/>
  <c r="I11" i="1"/>
  <c r="I21" i="1"/>
  <c r="K39" i="16"/>
  <c r="K16" i="16"/>
  <c r="J27" i="16"/>
  <c r="J31" i="16"/>
  <c r="K31" i="16"/>
  <c r="K33" i="16"/>
  <c r="E27" i="16"/>
  <c r="E31" i="16"/>
  <c r="Q44" i="7"/>
  <c r="P45" i="7"/>
  <c r="K36" i="16"/>
  <c r="K37" i="16"/>
  <c r="K38" i="16"/>
  <c r="K40" i="16"/>
  <c r="I39" i="2"/>
  <c r="I40" i="2"/>
  <c r="L40" i="2"/>
  <c r="L44" i="2"/>
  <c r="I46" i="2"/>
  <c r="P46" i="7"/>
  <c r="Q45" i="7"/>
  <c r="L46" i="2"/>
  <c r="N72" i="2"/>
  <c r="N83" i="2"/>
  <c r="N77" i="2"/>
  <c r="N75" i="2"/>
  <c r="N82" i="2"/>
  <c r="N73" i="2"/>
  <c r="N69" i="2"/>
  <c r="N68" i="2"/>
  <c r="N67" i="2"/>
  <c r="N80" i="2"/>
  <c r="N81" i="2"/>
  <c r="N84" i="2"/>
  <c r="N76" i="2"/>
  <c r="N78" i="2"/>
  <c r="N70" i="2"/>
  <c r="N79" i="2"/>
  <c r="N71" i="2"/>
  <c r="N66" i="2"/>
  <c r="N74" i="2"/>
  <c r="P47" i="7"/>
  <c r="Q46" i="7"/>
  <c r="I70" i="2"/>
  <c r="J70" i="2"/>
  <c r="L70" i="2"/>
  <c r="I67" i="2"/>
  <c r="J67" i="2"/>
  <c r="L67" i="2"/>
  <c r="I72" i="2"/>
  <c r="J72" i="2"/>
  <c r="L72" i="2"/>
  <c r="I82" i="2"/>
  <c r="J82" i="2"/>
  <c r="L82" i="2"/>
  <c r="I83" i="2"/>
  <c r="J83" i="2"/>
  <c r="L83" i="2"/>
  <c r="I80" i="2"/>
  <c r="J80" i="2"/>
  <c r="L80" i="2"/>
  <c r="I84" i="2"/>
  <c r="J84" i="2"/>
  <c r="L84" i="2"/>
  <c r="I68" i="2"/>
  <c r="J68" i="2"/>
  <c r="L68" i="2"/>
  <c r="O68" i="2" s="1"/>
  <c r="I75" i="2"/>
  <c r="J75" i="2"/>
  <c r="L75" i="2"/>
  <c r="I77" i="2"/>
  <c r="J77" i="2"/>
  <c r="L77" i="2"/>
  <c r="I74" i="2"/>
  <c r="J74" i="2"/>
  <c r="L74" i="2"/>
  <c r="I69" i="2"/>
  <c r="J69" i="2"/>
  <c r="L69" i="2" s="1"/>
  <c r="I79" i="2"/>
  <c r="J79" i="2"/>
  <c r="L79" i="2"/>
  <c r="I66" i="2"/>
  <c r="J66" i="2"/>
  <c r="L66" i="2"/>
  <c r="I76" i="2"/>
  <c r="J76" i="2"/>
  <c r="L76" i="2"/>
  <c r="I71" i="2"/>
  <c r="J71" i="2"/>
  <c r="L71" i="2"/>
  <c r="I81" i="2"/>
  <c r="J81" i="2"/>
  <c r="L81" i="2"/>
  <c r="I78" i="2"/>
  <c r="J78" i="2"/>
  <c r="L78" i="2"/>
  <c r="I73" i="2"/>
  <c r="J73" i="2"/>
  <c r="L73" i="2"/>
  <c r="P48" i="7"/>
  <c r="Q47" i="7"/>
  <c r="S80" i="2"/>
  <c r="Q80" i="2"/>
  <c r="O80" i="2"/>
  <c r="S76" i="2"/>
  <c r="O76" i="2"/>
  <c r="Q76" i="2"/>
  <c r="O72" i="2"/>
  <c r="S72" i="2"/>
  <c r="Q72" i="2"/>
  <c r="S81" i="2"/>
  <c r="O81" i="2"/>
  <c r="Q81" i="2"/>
  <c r="S82" i="2"/>
  <c r="O82" i="2"/>
  <c r="Q82" i="2"/>
  <c r="O67" i="2"/>
  <c r="Q67" i="2"/>
  <c r="O79" i="2"/>
  <c r="S79" i="2"/>
  <c r="Q79" i="2"/>
  <c r="Q70" i="2"/>
  <c r="S70" i="2"/>
  <c r="O70" i="2"/>
  <c r="S78" i="2"/>
  <c r="O78" i="2"/>
  <c r="Q78" i="2"/>
  <c r="S84" i="2"/>
  <c r="Q84" i="2"/>
  <c r="O84" i="2"/>
  <c r="O71" i="2"/>
  <c r="S71" i="2"/>
  <c r="Q71" i="2"/>
  <c r="O66" i="2"/>
  <c r="Q66" i="2"/>
  <c r="S74" i="2"/>
  <c r="O74" i="2"/>
  <c r="Q74" i="2"/>
  <c r="O73" i="2"/>
  <c r="Q73" i="2"/>
  <c r="S73" i="2"/>
  <c r="S77" i="2"/>
  <c r="Q77" i="2"/>
  <c r="O77" i="2"/>
  <c r="O83" i="2"/>
  <c r="Q83" i="2"/>
  <c r="S83" i="2"/>
  <c r="Q75" i="2"/>
  <c r="S75" i="2"/>
  <c r="O75" i="2"/>
  <c r="Q48" i="7"/>
  <c r="P49" i="7"/>
  <c r="Q49" i="7"/>
  <c r="P50" i="7"/>
  <c r="Q50" i="7"/>
  <c r="P51" i="7"/>
  <c r="Q51" i="7"/>
  <c r="O69" i="2" l="1"/>
  <c r="Q69" i="2"/>
  <c r="J21" i="21"/>
  <c r="K21" i="21" s="1"/>
  <c r="R69" i="2" s="1"/>
  <c r="S69" i="2" s="1"/>
  <c r="Q68" i="2"/>
  <c r="K20" i="21"/>
  <c r="R68" i="2" s="1"/>
  <c r="K19" i="21"/>
  <c r="R67" i="2" s="1"/>
  <c r="E20" i="21"/>
  <c r="E36" i="21"/>
  <c r="E24" i="21"/>
  <c r="E35" i="21"/>
  <c r="E21" i="21"/>
  <c r="S68" i="2" l="1"/>
  <c r="E39" i="21"/>
  <c r="F39" i="21"/>
  <c r="H18" i="21" l="1"/>
  <c r="H39" i="21" l="1"/>
  <c r="J18" i="21"/>
  <c r="J39" i="21" s="1"/>
  <c r="J42" i="21" s="1"/>
  <c r="K18" i="21" l="1"/>
  <c r="R66" i="2" s="1"/>
  <c r="K39" i="21" l="1"/>
  <c r="D23" i="1" s="1"/>
  <c r="I23" i="1" s="1"/>
  <c r="I25" i="1" s="1"/>
  <c r="S67" i="2"/>
  <c r="S66" i="2"/>
  <c r="S8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Beilhart, Alex</author>
  </authors>
  <commentList>
    <comment ref="C11" authorId="0" shapeId="0" xr:uid="{B0A93480-2B4C-47D1-8914-6C089B81F3B6}">
      <text>
        <r>
          <rPr>
            <b/>
            <sz val="9"/>
            <color indexed="81"/>
            <rFont val="Tahoma"/>
            <family val="2"/>
          </rPr>
          <t>Beilhart, Alex:</t>
        </r>
        <r>
          <rPr>
            <sz val="9"/>
            <color indexed="81"/>
            <rFont val="Tahoma"/>
            <family val="2"/>
          </rPr>
          <t xml:space="preserve">
$395,093.67 Capital Reclass of contractor charges from NEETMA to NEETSW</t>
        </r>
      </text>
    </comment>
    <comment ref="C12" authorId="0" shapeId="0" xr:uid="{8829DF65-CFC5-4843-9476-18A093108094}">
      <text>
        <r>
          <rPr>
            <b/>
            <sz val="9"/>
            <color indexed="81"/>
            <rFont val="Tahoma"/>
            <family val="2"/>
          </rPr>
          <t>Beilhart, Alex:</t>
        </r>
        <r>
          <rPr>
            <sz val="9"/>
            <color indexed="81"/>
            <rFont val="Tahoma"/>
            <family val="2"/>
          </rPr>
          <t xml:space="preserve">
$395,093.67 Capital Reclass of contractor charges from NEETMA to NEETSW</t>
        </r>
      </text>
    </comment>
    <comment ref="C13" authorId="0" shapeId="0" xr:uid="{CD5EE008-7DEF-44F3-A9FC-45D4E13EC2B5}">
      <text>
        <r>
          <rPr>
            <b/>
            <sz val="9"/>
            <color indexed="81"/>
            <rFont val="Tahoma"/>
            <family val="2"/>
          </rPr>
          <t>Beilhart, Alex:</t>
        </r>
        <r>
          <rPr>
            <sz val="9"/>
            <color indexed="81"/>
            <rFont val="Tahoma"/>
            <family val="2"/>
          </rPr>
          <t xml:space="preserve">
$395,093.67 Capital Reclass of contractor charges from NEETMA to NEETSW</t>
        </r>
      </text>
    </comment>
  </commentList>
</comments>
</file>

<file path=xl/sharedStrings.xml><?xml version="1.0" encoding="utf-8"?>
<sst xmlns="http://schemas.openxmlformats.org/spreadsheetml/2006/main" count="1468" uniqueCount="882">
  <si>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</si>
  <si>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</si>
  <si>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</si>
  <si>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</si>
  <si>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</si>
  <si>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</si>
  <si>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</si>
  <si>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</si>
  <si>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</si>
  <si>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</si>
  <si>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</si>
  <si>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</si>
  <si>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</si>
  <si>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</si>
  <si>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</si>
  <si>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</si>
  <si>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</si>
  <si>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</si>
  <si>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</si>
  <si>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</si>
  <si>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</si>
  <si>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</si>
  <si>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</si>
  <si>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</si>
  <si>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</si>
  <si>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</si>
  <si>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</si>
  <si>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</si>
  <si>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</si>
  <si>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</si>
  <si>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</si>
  <si>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</si>
  <si>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</si>
  <si>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</si>
  <si>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</si>
  <si>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</si>
  <si>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</si>
  <si>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</si>
  <si>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</si>
  <si>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</si>
  <si>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</si>
  <si>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</si>
  <si>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</si>
  <si>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</si>
  <si>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</si>
  <si>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</si>
  <si>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</si>
  <si>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</si>
  <si>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</si>
  <si>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</si>
  <si>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</si>
  <si>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</si>
  <si>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</si>
  <si>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</si>
  <si>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</si>
  <si>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</si>
  <si>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</si>
  <si>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</si>
  <si>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</si>
  <si>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</si>
  <si>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</si>
  <si>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</si>
  <si>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</si>
  <si>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</si>
  <si>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</si>
  <si>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</si>
  <si>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</si>
  <si>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</si>
  <si>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</si>
  <si>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</si>
  <si>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</si>
  <si>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</si>
  <si>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</si>
  <si>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</si>
  <si>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</si>
  <si>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</si>
  <si>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</si>
  <si>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</si>
  <si>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</si>
  <si>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</si>
  <si>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</si>
  <si>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</si>
  <si>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</si>
  <si>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</si>
  <si>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</si>
  <si>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</si>
  <si>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</si>
  <si>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</si>
  <si>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</si>
  <si>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</si>
  <si>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</si>
  <si>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</si>
  <si>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</si>
  <si>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</si>
  <si>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</si>
  <si>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</si>
  <si>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</si>
  <si>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</si>
  <si>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</si>
  <si>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</si>
  <si>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</si>
  <si>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</si>
  <si>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</si>
  <si>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</si>
  <si>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</si>
  <si>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</si>
  <si>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</si>
  <si>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</si>
  <si>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</si>
  <si>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</si>
  <si>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</si>
  <si>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</si>
  <si>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</si>
  <si>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</si>
  <si>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</si>
  <si>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</si>
  <si>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</si>
  <si>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</si>
  <si>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</si>
  <si>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</si>
  <si>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</si>
  <si>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</si>
  <si>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</si>
  <si>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</si>
  <si>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</si>
  <si>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</si>
  <si>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</si>
  <si>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</si>
  <si>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</si>
  <si>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</si>
  <si>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</si>
  <si>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</si>
  <si>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</si>
  <si>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</si>
  <si>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</si>
  <si>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</si>
  <si>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</si>
  <si>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</si>
  <si>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</si>
  <si>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</si>
  <si>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</si>
  <si>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</si>
  <si>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</si>
  <si>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</si>
  <si>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</si>
  <si>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</si>
  <si>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</si>
  <si>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</si>
  <si>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</si>
  <si>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</si>
  <si>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</si>
  <si>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</si>
  <si>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</si>
  <si>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</si>
  <si>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</si>
  <si>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</si>
  <si>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</si>
  <si>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</si>
  <si>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</si>
  <si>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</si>
  <si>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</si>
  <si>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</si>
  <si>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</si>
  <si>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</si>
  <si>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</si>
  <si>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</si>
  <si>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</si>
  <si>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</si>
  <si>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</si>
  <si>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</si>
  <si>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</si>
  <si>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</si>
  <si>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</si>
  <si>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</si>
  <si>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</si>
  <si>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</si>
  <si>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</si>
  <si>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</si>
  <si>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</si>
  <si>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</si>
  <si>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</si>
  <si>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</si>
  <si>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</si>
  <si>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</si>
  <si>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</si>
  <si>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</si>
  <si>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</si>
  <si>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</si>
  <si>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</si>
  <si>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</si>
  <si>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</si>
  <si>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</si>
  <si>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</si>
  <si>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</si>
  <si>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</si>
  <si>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</si>
  <si>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</si>
  <si>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</si>
  <si>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</si>
  <si>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</si>
  <si>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</si>
  <si>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</si>
  <si>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</si>
  <si>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</si>
  <si>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</si>
  <si>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</si>
  <si>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</si>
  <si>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</si>
  <si>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</si>
  <si>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</si>
  <si>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</si>
  <si>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</si>
  <si>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</si>
  <si>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</si>
  <si>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</si>
  <si>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</si>
  <si>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</si>
  <si>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</si>
  <si>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</si>
  <si>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</si>
  <si>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</si>
  <si>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</si>
  <si>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</si>
  <si>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</si>
  <si>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</si>
  <si>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</si>
  <si>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</si>
  <si>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</si>
  <si>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</si>
  <si>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</si>
  <si>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</si>
  <si>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</si>
  <si>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</si>
  <si>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</si>
  <si>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</si>
  <si>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</si>
  <si>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</si>
  <si>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</si>
  <si>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</si>
  <si>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</si>
  <si>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</si>
  <si>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</si>
  <si>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</si>
  <si>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</si>
  <si>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</si>
  <si>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</si>
  <si>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</si>
  <si>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</si>
  <si>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</si>
  <si>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</si>
  <si>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</si>
  <si>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</si>
  <si>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</si>
  <si>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</si>
  <si>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</si>
  <si>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</si>
  <si>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</si>
  <si>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</si>
  <si>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</si>
  <si>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</si>
  <si>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</si>
  <si>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</si>
  <si>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</si>
  <si>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</si>
  <si>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</si>
  <si>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</si>
  <si>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</si>
  <si>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</si>
  <si>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</si>
  <si>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</si>
  <si>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</si>
  <si>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</si>
  <si>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</si>
  <si>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</si>
  <si>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</si>
  <si>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</si>
  <si>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</si>
  <si>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</si>
  <si>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</si>
  <si>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</si>
  <si>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</si>
  <si>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</si>
  <si>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</si>
  <si>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</si>
  <si>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</si>
  <si>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</si>
  <si>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</si>
  <si>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</si>
  <si>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</si>
  <si>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</si>
  <si>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</si>
  <si>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</si>
  <si>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</si>
  <si>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</si>
  <si>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</si>
  <si>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</si>
  <si>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</si>
  <si>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</si>
  <si>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</si>
  <si>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</si>
  <si>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</si>
  <si>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</si>
  <si>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</si>
  <si>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</si>
  <si>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</si>
  <si>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</si>
  <si>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</si>
  <si>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</si>
  <si>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</si>
  <si>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</si>
  <si>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</si>
  <si>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</si>
  <si>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</si>
  <si>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</si>
  <si>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</si>
  <si>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</si>
  <si>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</si>
  <si>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</si>
  <si>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</si>
  <si>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</si>
  <si>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</si>
  <si>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</si>
  <si>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</si>
  <si>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</si>
  <si>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</si>
  <si>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</si>
  <si>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</si>
  <si>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</si>
  <si>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</si>
  <si>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</si>
  <si>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</si>
  <si>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</si>
  <si>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</si>
  <si>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</si>
  <si>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</si>
  <si>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</si>
  <si>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</si>
  <si>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</si>
  <si>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</si>
  <si>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</si>
  <si>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</si>
  <si>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</si>
  <si>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</si>
  <si>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</si>
  <si>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</si>
  <si>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</si>
  <si>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</si>
  <si>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</si>
  <si>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</si>
  <si>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</si>
  <si>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</si>
  <si>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</si>
  <si>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</si>
  <si>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</si>
  <si>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</si>
  <si>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</si>
  <si>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</si>
  <si>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</si>
  <si>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</si>
  <si>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</si>
  <si>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</si>
  <si>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</si>
  <si>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</si>
  <si>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</si>
  <si>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</si>
  <si>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</si>
  <si>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</si>
  <si>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</si>
  <si>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</si>
  <si>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</si>
  <si>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</si>
  <si>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</si>
  <si>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</si>
  <si>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</si>
  <si>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</si>
  <si>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</si>
  <si>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</si>
  <si>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</si>
  <si>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</si>
  <si>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</si>
  <si>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</si>
  <si>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</si>
  <si>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</si>
  <si>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</si>
  <si>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</si>
  <si>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</si>
  <si>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</si>
  <si>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</si>
  <si>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</si>
  <si>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</si>
  <si>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</si>
  <si>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</si>
  <si>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</si>
  <si>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</si>
  <si>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</si>
  <si>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</si>
  <si>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</si>
  <si>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</si>
  <si>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</si>
  <si>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</si>
  <si>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</si>
  <si>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</si>
  <si>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</si>
  <si>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</si>
  <si>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</si>
  <si>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</si>
  <si>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</si>
  <si>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</si>
  <si>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</si>
  <si>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</si>
  <si>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</si>
  <si>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</si>
  <si>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</si>
  <si>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</si>
  <si>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</si>
  <si>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</si>
  <si>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</si>
  <si>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</si>
  <si>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</si>
  <si>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</si>
  <si>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</si>
  <si>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</si>
  <si>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</si>
  <si>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</si>
  <si>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</si>
  <si>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</si>
  <si>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</si>
  <si>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</si>
  <si>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</si>
  <si>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</si>
  <si>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</si>
  <si>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</si>
  <si>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</si>
  <si>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</si>
  <si>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</si>
  <si>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</si>
  <si>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</si>
  <si>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</si>
  <si>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</si>
  <si>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</si>
  <si>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</si>
  <si>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</si>
  <si>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</si>
  <si>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</si>
  <si>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</si>
  <si>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</si>
  <si>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</si>
  <si>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</si>
  <si>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</si>
  <si>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</si>
  <si>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</si>
  <si>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</si>
  <si>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</si>
  <si>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</si>
  <si>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</si>
  <si>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</si>
  <si>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</si>
  <si>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</si>
  <si>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</si>
  <si>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</si>
  <si>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</si>
  <si>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</si>
  <si>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</si>
  <si>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</si>
  <si>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</si>
  <si>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</si>
  <si>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</si>
  <si>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</si>
  <si>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</si>
  <si>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</si>
  <si>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</si>
  <si>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</si>
  <si>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</si>
  <si>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</si>
  <si>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</si>
  <si>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</si>
  <si>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</si>
  <si>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</si>
  <si>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</si>
  <si>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</si>
  <si>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</si>
  <si>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</si>
  <si>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</si>
  <si>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</si>
  <si>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</si>
  <si>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</si>
  <si>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</si>
  <si>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</si>
  <si>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</si>
  <si>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</si>
  <si>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</si>
  <si>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</si>
  <si>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</si>
  <si>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</si>
  <si>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</si>
  <si>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</si>
  <si>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</si>
  <si>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</si>
  <si>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</si>
  <si>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</si>
  <si>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</si>
  <si>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</si>
  <si>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</si>
  <si>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</si>
  <si>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</si>
  <si>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</si>
  <si>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</si>
  <si>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</si>
  <si>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</si>
  <si>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</si>
  <si>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</si>
  <si>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</si>
  <si>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</si>
  <si>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</si>
  <si>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</si>
  <si>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</si>
  <si>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</si>
  <si>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</si>
  <si>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</si>
  <si>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</si>
  <si>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</si>
  <si>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</si>
  <si>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</si>
  <si>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</si>
  <si>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</si>
  <si>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</si>
  <si>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</si>
  <si>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</si>
  <si>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</si>
  <si>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</si>
  <si>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</si>
  <si>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</si>
  <si>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</si>
  <si>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</si>
  <si>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</si>
  <si>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</si>
  <si>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</si>
  <si>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</si>
  <si>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</si>
  <si>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</si>
  <si>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</si>
  <si>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</si>
  <si>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</si>
  <si>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</si>
  <si>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</si>
  <si>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</si>
  <si>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</si>
  <si>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</si>
  <si>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</si>
  <si>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</si>
  <si>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</si>
  <si>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</si>
  <si>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</si>
  <si>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</si>
  <si>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</si>
  <si>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</si>
  <si>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</si>
  <si>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</si>
  <si>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</si>
  <si>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</si>
  <si>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</si>
  <si>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</si>
  <si>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</si>
  <si>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</si>
  <si>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</si>
  <si>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</si>
  <si>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</si>
  <si>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</si>
  <si>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</si>
  <si>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</si>
  <si>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</si>
  <si>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</si>
  <si>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</si>
  <si>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</si>
  <si>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</si>
  <si>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</si>
  <si>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</si>
  <si>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</si>
  <si>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</si>
  <si>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</si>
  <si>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</si>
  <si>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</si>
  <si>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</si>
  <si>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</si>
  <si>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</si>
  <si>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</si>
  <si>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</si>
  <si>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</si>
  <si>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</si>
  <si>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</si>
  <si>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</si>
  <si>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</si>
  <si>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</si>
  <si>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</si>
  <si>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</si>
  <si>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</si>
  <si>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</si>
  <si>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</si>
  <si>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</si>
  <si>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</si>
  <si>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</si>
  <si>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</si>
  <si>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</si>
  <si>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</si>
  <si>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</si>
  <si>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</si>
  <si>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</si>
  <si>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</si>
  <si>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</si>
  <si>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</si>
  <si>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</si>
  <si>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</si>
  <si>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</si>
  <si>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</si>
  <si>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</si>
  <si>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</si>
  <si>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</si>
  <si>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</si>
  <si>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</si>
  <si>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</si>
  <si>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</si>
  <si>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</si>
  <si>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</si>
  <si>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</si>
  <si>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</si>
  <si>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</si>
  <si>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</si>
  <si>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</si>
  <si>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</si>
  <si>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</si>
  <si>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</si>
  <si>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</si>
  <si>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</si>
  <si>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</si>
  <si>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</si>
  <si>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</si>
  <si>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</si>
  <si>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</si>
  <si>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</si>
  <si>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</si>
  <si>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</si>
  <si>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</si>
  <si>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</si>
  <si>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</si>
  <si>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</si>
  <si>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</si>
  <si>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</si>
  <si>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</si>
  <si>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</si>
  <si>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</si>
  <si>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</si>
  <si>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</si>
  <si>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</si>
  <si>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</si>
  <si>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</si>
  <si>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</si>
  <si>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</si>
  <si>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</si>
  <si>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</si>
  <si>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</si>
  <si>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</si>
  <si>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</si>
  <si>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</si>
  <si>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</si>
  <si>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</si>
  <si>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</si>
  <si>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</si>
  <si>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</si>
  <si>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</si>
  <si>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</si>
  <si>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</si>
  <si>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</si>
  <si>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</si>
  <si>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</si>
  <si>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</si>
  <si>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</si>
  <si>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</si>
  <si>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</si>
  <si>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</si>
  <si>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</si>
  <si>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</si>
  <si>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</si>
  <si>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</si>
  <si>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</si>
  <si>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</si>
  <si>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</si>
  <si>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</si>
  <si>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</si>
  <si>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</si>
  <si>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</si>
  <si>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</si>
  <si>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</si>
  <si>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</si>
  <si>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</si>
  <si>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</si>
  <si>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</si>
  <si>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</si>
  <si>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</si>
  <si>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</si>
  <si>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</si>
  <si>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</si>
  <si>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</si>
  <si>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</si>
  <si>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</si>
  <si>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</si>
  <si>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</si>
  <si>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</si>
  <si>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</si>
  <si>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</si>
  <si>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</si>
  <si>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</si>
  <si>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</si>
  <si>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</si>
  <si>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</si>
  <si>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</si>
  <si>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</si>
  <si>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</si>
  <si>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</si>
  <si>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</si>
  <si>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</si>
  <si>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</si>
  <si>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</si>
  <si>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</si>
  <si>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</si>
  <si>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</si>
  <si>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</si>
  <si>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</si>
  <si>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</si>
  <si>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</si>
  <si>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</si>
  <si>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</si>
  <si>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</si>
  <si>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</si>
  <si>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</si>
  <si>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</si>
  <si>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</si>
  <si>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</si>
  <si>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</si>
  <si>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</si>
  <si>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</si>
  <si>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</si>
  <si>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</si>
  <si>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</si>
  <si>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</si>
  <si>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</si>
  <si>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</si>
  <si>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</si>
  <si>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</si>
  <si>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</si>
  <si>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</si>
  <si>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</si>
  <si>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</si>
  <si>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</si>
  <si>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</si>
  <si>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</si>
  <si>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</si>
  <si>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</si>
  <si>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</si>
  <si>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</si>
  <si>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</si>
  <si>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</si>
  <si>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</si>
  <si>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</si>
  <si>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</si>
  <si>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</si>
  <si>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</si>
  <si>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</si>
  <si>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</si>
  <si>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</si>
  <si>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</si>
  <si>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</si>
  <si>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</si>
  <si>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</si>
  <si>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</si>
  <si>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</si>
  <si>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</si>
  <si>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</si>
  <si>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</si>
  <si>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</si>
  <si>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</si>
  <si>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</si>
  <si>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</si>
  <si>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</si>
  <si>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</si>
  <si>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</si>
  <si>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</si>
  <si>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</si>
  <si>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</si>
  <si>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</si>
  <si>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</si>
  <si>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</si>
  <si>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</si>
  <si>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</si>
  <si>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</si>
  <si>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</si>
  <si>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</si>
  <si>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</si>
  <si>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</si>
  <si>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</si>
  <si>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</si>
  <si>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</si>
  <si>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</si>
  <si>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</si>
  <si>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</si>
  <si>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</si>
  <si>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</si>
  <si>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</si>
  <si>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</si>
  <si>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</si>
  <si>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</si>
  <si>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</si>
  <si>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</si>
  <si>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</si>
  <si>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</si>
  <si>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</si>
  <si>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</si>
  <si>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</si>
  <si>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</si>
  <si>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</si>
  <si>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</si>
  <si>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</si>
  <si>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</si>
  <si>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</si>
  <si>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</si>
  <si>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</si>
  <si>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</si>
  <si>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</si>
  <si>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</si>
  <si>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</si>
  <si>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</si>
  <si>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</si>
  <si>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</si>
  <si>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</si>
  <si>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</si>
  <si>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</si>
  <si>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</si>
  <si>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</si>
  <si>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</si>
  <si>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</si>
  <si>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</si>
  <si>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</si>
  <si>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 xml:space="preserve">Less non Prorated Items </t>
  </si>
  <si>
    <t>Line 17, Col H + (Lines 20 + 23)/2</t>
  </si>
  <si>
    <t xml:space="preserve"> Line 44, Col H + (Lines 47 + 50)/2</t>
  </si>
  <si>
    <t>Line 71, Col H + (Lines 74 + 77)/2</t>
  </si>
  <si>
    <t>Line 98, Col H + (Lines 101 + 104)/2</t>
  </si>
  <si>
    <t>Green Acres</t>
  </si>
  <si>
    <t xml:space="preserve">St. John Substation </t>
  </si>
  <si>
    <t>MidAtlantic Resiliency Link</t>
  </si>
  <si>
    <t>Projected 2025</t>
  </si>
  <si>
    <t>NextEra Energy Transmission MidAtlantic, Inc.</t>
  </si>
  <si>
    <r>
      <t>NextEra Energy Transmission MidAtlantic, Inc</t>
    </r>
    <r>
      <rPr>
        <sz val="10"/>
        <color rgb="FFFF0000"/>
        <rFont val="Times New Roman"/>
        <family val="1"/>
      </rPr>
      <t>.</t>
    </r>
  </si>
  <si>
    <t>For  the 12 months ended 12/31/2025</t>
  </si>
  <si>
    <t>b3800.102</t>
  </si>
  <si>
    <t>s2509/s2631</t>
  </si>
  <si>
    <t>b3775.2</t>
  </si>
  <si>
    <t>Year Ended December 31, 2025</t>
  </si>
  <si>
    <t>L6617/L6615/L97008 Rebuild/Reconductor</t>
  </si>
  <si>
    <t>L94507 Reconductor</t>
  </si>
  <si>
    <t>15d</t>
  </si>
  <si>
    <t>b3800.106</t>
  </si>
  <si>
    <t>b3800.107</t>
  </si>
  <si>
    <t>b3800.108</t>
  </si>
  <si>
    <t>b3800.109</t>
  </si>
  <si>
    <t>b3800.110</t>
  </si>
  <si>
    <t>b3800.113</t>
  </si>
  <si>
    <t>b3800.115</t>
  </si>
  <si>
    <t>b3800.117</t>
  </si>
  <si>
    <t>3d</t>
  </si>
  <si>
    <t>3e</t>
  </si>
  <si>
    <t>3f</t>
  </si>
  <si>
    <t>3g</t>
  </si>
  <si>
    <t>3h</t>
  </si>
  <si>
    <t>3i</t>
  </si>
  <si>
    <t>3j</t>
  </si>
  <si>
    <t>15e</t>
  </si>
  <si>
    <t>15f</t>
  </si>
  <si>
    <t>15g</t>
  </si>
  <si>
    <t>15h</t>
  </si>
  <si>
    <t>15i</t>
  </si>
  <si>
    <t>15j</t>
  </si>
  <si>
    <t>15k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</si>
</sst>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409]mmm\-yy;@"/>
    <numFmt numFmtId="282" formatCode="###,000"/>
    <numFmt numFmtId="283" formatCode="_(&quot;$&quot;* #,##0.0000_);_(&quot;$&quot;* \(#,##0.0000\);_(&quot;$&quot;* &quot;-&quot;????_);_(@_)"/>
    <numFmt numFmtId="284" formatCode="[&gt;=0]#,##0;[&lt;0]\(#,##0\)"/>
    <numFmt numFmtId="285" formatCode="[$$-1409]#,##0.00"/>
  </numFmts>
  <fonts count="19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9"/>
      <color indexed="81"/>
      <name val="Tahoma"/>
      <family val="2"/>
    </font>
    <font>
      <b/>
      <sz val="9"/>
      <color indexed="81"/>
      <name val="Tahoma"/>
      <family val="2"/>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0"/>
      <name val="Arial"/>
      <family val="2"/>
    </font>
    <font>
      <sz val="9"/>
      <color theme="1"/>
      <name val="Arial"/>
      <family val="2"/>
    </font>
    <font>
      <sz val="10"/>
      <color theme="1"/>
      <name val="Calibri"/>
      <family val="2"/>
    </font>
    <font>
      <b/>
      <sz val="10"/>
      <color theme="1"/>
      <name val="Calibri"/>
      <family val="2"/>
      <scheme val="minor"/>
    </font>
    <font>
      <sz val="9"/>
      <color theme="1"/>
      <name val="Calibri"/>
      <family val="2"/>
      <scheme val="minor"/>
    </font>
    <font>
      <sz val="10"/>
      <color theme="1"/>
      <name val="Calibri"/>
      <family val="2"/>
      <scheme val="minor"/>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
      <sz val="8"/>
      <name val="Arial"/>
      <family val="2"/>
    </font>
    <font>
      <sz val="12"/>
      <name val="Arial MT"/>
      <family val="2"/>
    </font>
    <font>
      <b/>
      <sz val="10"/>
      <color rgb="FF0000FF"/>
      <name val="Times New Roman"/>
      <family val="1"/>
    </font>
    <font>
      <sz val="10"/>
      <color rgb="FF0000FF"/>
      <name val="Times New Roman"/>
      <family val="1"/>
    </font>
    <font>
      <b/>
      <sz val="10"/>
      <color rgb="FF7030A0"/>
      <name val="Times New Roman"/>
      <family val="1"/>
    </font>
    <font>
      <sz val="12"/>
      <color theme="0"/>
      <name val="Calibri"/>
      <family val="2"/>
      <scheme val="minor"/>
    </font>
    <font>
      <b/>
      <sz val="10"/>
      <color theme="0"/>
      <name val="Calibri"/>
      <family val="2"/>
      <scheme val="minor"/>
    </font>
    <font>
      <sz val="10"/>
      <color theme="1"/>
      <name val="Arial"/>
      <family val="2"/>
    </font>
  </fonts>
  <fills count="95">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FFFFCC"/>
      </patternFill>
    </fill>
    <fill>
      <patternFill patternType="solid">
        <fgColor theme="2"/>
        <bgColor indexed="64"/>
      </patternFill>
    </fill>
    <fill>
      <patternFill patternType="solid">
        <fgColor rgb="FFD5E3FF"/>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theme="4" tint="-0.24994659260841701"/>
        <bgColor indexed="64"/>
      </patternFill>
    </fill>
    <fill>
      <patternFill patternType="solid">
        <fgColor rgb="FF90ABDC"/>
        <bgColor rgb="FF8FB4FF"/>
      </patternFill>
    </fill>
  </fills>
  <borders count="59">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s>
  <cellStyleXfs count="817">
    <xf numFmtId="174" fontId="0" fillId="0" borderId="0" applyProtection="0"/>
    <xf numFmtId="0" fontId="23" fillId="0" borderId="0"/>
    <xf numFmtId="186" fontId="61" fillId="0" borderId="0" applyFont="0" applyFill="0" applyBorder="0" applyAlignment="0" applyProtection="0"/>
    <xf numFmtId="187" fontId="61" fillId="0" borderId="0" applyFont="0" applyFill="0" applyBorder="0" applyAlignment="0" applyProtection="0"/>
    <xf numFmtId="188" fontId="61" fillId="0" borderId="0" applyFont="0" applyFill="0" applyBorder="0" applyAlignment="0" applyProtection="0"/>
    <xf numFmtId="189" fontId="61" fillId="0" borderId="0" applyFont="0" applyFill="0" applyBorder="0" applyAlignment="0" applyProtection="0"/>
    <xf numFmtId="190" fontId="61" fillId="0" borderId="0" applyFont="0" applyFill="0" applyBorder="0" applyAlignment="0" applyProtection="0"/>
    <xf numFmtId="191" fontId="61" fillId="0" borderId="0" applyFont="0" applyFill="0" applyBorder="0" applyAlignment="0" applyProtection="0"/>
    <xf numFmtId="0" fontId="31" fillId="0" borderId="0"/>
    <xf numFmtId="192" fontId="23" fillId="2" borderId="0" applyNumberFormat="0" applyFill="0" applyBorder="0" applyAlignment="0" applyProtection="0">
      <alignment horizontal="right" vertical="center"/>
    </xf>
    <xf numFmtId="192" fontId="55" fillId="0" borderId="0" applyNumberFormat="0" applyFill="0" applyBorder="0" applyAlignment="0" applyProtection="0"/>
    <xf numFmtId="0" fontId="23" fillId="0" borderId="1" applyNumberFormat="0" applyFont="0" applyFill="0" applyAlignment="0" applyProtection="0"/>
    <xf numFmtId="193" fontId="53" fillId="0" borderId="0" applyFont="0" applyFill="0" applyBorder="0" applyAlignment="0" applyProtection="0"/>
    <xf numFmtId="194" fontId="61" fillId="0" borderId="0" applyFont="0" applyFill="0" applyBorder="0" applyProtection="0">
      <alignment horizontal="left"/>
    </xf>
    <xf numFmtId="195" fontId="61" fillId="0" borderId="0" applyFont="0" applyFill="0" applyBorder="0" applyProtection="0">
      <alignment horizontal="left"/>
    </xf>
    <xf numFmtId="196" fontId="61" fillId="0" borderId="0" applyFont="0" applyFill="0" applyBorder="0" applyProtection="0">
      <alignment horizontal="left"/>
    </xf>
    <xf numFmtId="37" fontId="62" fillId="0" borderId="0" applyFont="0" applyFill="0" applyBorder="0" applyAlignment="0" applyProtection="0">
      <alignment vertical="center"/>
      <protection locked="0"/>
    </xf>
    <xf numFmtId="197" fontId="63" fillId="0" borderId="0" applyFont="0" applyFill="0" applyBorder="0" applyAlignment="0" applyProtection="0"/>
    <xf numFmtId="0" fontId="64" fillId="0" borderId="0"/>
    <xf numFmtId="0" fontId="64" fillId="0" borderId="0"/>
    <xf numFmtId="174" fontId="21" fillId="0" borderId="0" applyFill="0"/>
    <xf numFmtId="174" fontId="21" fillId="0" borderId="0">
      <alignment horizontal="center"/>
    </xf>
    <xf numFmtId="0" fontId="21" fillId="0" borderId="0" applyFill="0">
      <alignment horizontal="center"/>
    </xf>
    <xf numFmtId="174" fontId="22" fillId="0" borderId="2" applyFill="0"/>
    <xf numFmtId="0" fontId="23" fillId="0" borderId="0" applyFont="0" applyAlignment="0"/>
    <xf numFmtId="0" fontId="24" fillId="0" borderId="0" applyFill="0">
      <alignment vertical="top"/>
    </xf>
    <xf numFmtId="0" fontId="22" fillId="0" borderId="0" applyFill="0">
      <alignment horizontal="left" vertical="top"/>
    </xf>
    <xf numFmtId="174" fontId="25" fillId="0" borderId="3" applyFill="0"/>
    <xf numFmtId="0" fontId="23" fillId="0" borderId="0" applyNumberFormat="0" applyFont="0" applyAlignment="0"/>
    <xf numFmtId="0" fontId="24" fillId="0" borderId="0" applyFill="0">
      <alignment wrapText="1"/>
    </xf>
    <xf numFmtId="0" fontId="22" fillId="0" borderId="0" applyFill="0">
      <alignment horizontal="left" vertical="top" wrapText="1"/>
    </xf>
    <xf numFmtId="174" fontId="26" fillId="0" borderId="0" applyFill="0"/>
    <xf numFmtId="0" fontId="27" fillId="0" borderId="0" applyNumberFormat="0" applyFont="0" applyAlignment="0">
      <alignment horizontal="center"/>
    </xf>
    <xf numFmtId="0" fontId="28" fillId="0" borderId="0" applyFill="0">
      <alignment vertical="top" wrapText="1"/>
    </xf>
    <xf numFmtId="0" fontId="25" fillId="0" borderId="0" applyFill="0">
      <alignment horizontal="left" vertical="top" wrapText="1"/>
    </xf>
    <xf numFmtId="174" fontId="23" fillId="0" borderId="0" applyFill="0"/>
    <xf numFmtId="0" fontId="27" fillId="0" borderId="0" applyNumberFormat="0" applyFont="0" applyAlignment="0">
      <alignment horizontal="center"/>
    </xf>
    <xf numFmtId="0" fontId="29" fillId="0" borderId="0" applyFill="0">
      <alignment vertical="center" wrapText="1"/>
    </xf>
    <xf numFmtId="0" fontId="30" fillId="0" borderId="0">
      <alignment horizontal="left" vertical="center" wrapText="1"/>
    </xf>
    <xf numFmtId="174" fontId="31" fillId="0" borderId="0" applyFill="0"/>
    <xf numFmtId="0" fontId="27" fillId="0" borderId="0" applyNumberFormat="0" applyFont="0" applyAlignment="0">
      <alignment horizontal="center"/>
    </xf>
    <xf numFmtId="0" fontId="32" fillId="0" borderId="0" applyFill="0">
      <alignment horizontal="center" vertical="center" wrapText="1"/>
    </xf>
    <xf numFmtId="0" fontId="33" fillId="0" borderId="0" applyFill="0">
      <alignment horizontal="center" vertical="center" wrapText="1"/>
    </xf>
    <xf numFmtId="0" fontId="23" fillId="0" borderId="0" applyFill="0">
      <alignment horizontal="center" vertical="center" wrapText="1"/>
    </xf>
    <xf numFmtId="174" fontId="34" fillId="0" borderId="0" applyFill="0"/>
    <xf numFmtId="0" fontId="27" fillId="0" borderId="0" applyNumberFormat="0" applyFont="0" applyAlignment="0">
      <alignment horizontal="center"/>
    </xf>
    <xf numFmtId="0" fontId="35" fillId="0" borderId="0" applyFill="0">
      <alignment horizontal="center" vertical="center" wrapText="1"/>
    </xf>
    <xf numFmtId="0" fontId="36" fillId="0" borderId="0" applyFill="0">
      <alignment horizontal="center" vertical="center" wrapText="1"/>
    </xf>
    <xf numFmtId="174" fontId="37" fillId="0" borderId="0" applyFill="0"/>
    <xf numFmtId="0" fontId="27" fillId="0" borderId="0" applyNumberFormat="0" applyFont="0" applyAlignment="0">
      <alignment horizontal="center"/>
    </xf>
    <xf numFmtId="0" fontId="38" fillId="0" borderId="0">
      <alignment horizontal="center" wrapText="1"/>
    </xf>
    <xf numFmtId="0" fontId="34" fillId="0" borderId="0" applyFill="0">
      <alignment horizontal="center" wrapText="1"/>
    </xf>
    <xf numFmtId="180" fontId="65" fillId="0" borderId="0" applyFont="0" applyFill="0" applyBorder="0" applyAlignment="0" applyProtection="0">
      <protection locked="0"/>
    </xf>
    <xf numFmtId="198" fontId="65" fillId="0" borderId="0" applyFont="0" applyFill="0" applyBorder="0" applyAlignment="0" applyProtection="0">
      <protection locked="0"/>
    </xf>
    <xf numFmtId="39" fontId="23" fillId="0" borderId="0" applyFont="0" applyFill="0" applyBorder="0" applyAlignment="0" applyProtection="0"/>
    <xf numFmtId="199" fontId="66" fillId="0" borderId="0" applyFont="0" applyFill="0" applyBorder="0" applyAlignment="0" applyProtection="0"/>
    <xf numFmtId="183" fontId="63" fillId="0" borderId="0" applyFont="0" applyFill="0" applyBorder="0" applyAlignment="0" applyProtection="0"/>
    <xf numFmtId="0" fontId="23" fillId="0" borderId="1" applyNumberFormat="0" applyFont="0" applyFill="0" applyBorder="0" applyProtection="0">
      <alignment horizontal="centerContinuous" vertical="center"/>
    </xf>
    <xf numFmtId="0" fontId="47" fillId="0" borderId="0" applyFill="0" applyBorder="0" applyProtection="0">
      <alignment horizontal="center"/>
      <protection locked="0"/>
    </xf>
    <xf numFmtId="43" fontId="23" fillId="0" borderId="0" applyFont="0" applyFill="0" applyBorder="0" applyAlignment="0" applyProtection="0"/>
    <xf numFmtId="0" fontId="23"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41" fontId="23" fillId="0" borderId="0" applyFont="0" applyFill="0" applyBorder="0" applyAlignment="0" applyProtection="0"/>
    <xf numFmtId="200" fontId="61" fillId="0" borderId="0" applyFont="0" applyFill="0" applyBorder="0" applyAlignment="0" applyProtection="0"/>
    <xf numFmtId="201" fontId="61" fillId="0" borderId="0" applyFont="0" applyFill="0" applyBorder="0" applyAlignment="0" applyProtection="0"/>
    <xf numFmtId="202" fontId="61" fillId="0" borderId="0" applyFont="0" applyFill="0" applyBorder="0" applyAlignment="0" applyProtection="0"/>
    <xf numFmtId="203" fontId="59" fillId="0" borderId="0" applyFont="0" applyFill="0" applyBorder="0" applyAlignment="0" applyProtection="0"/>
    <xf numFmtId="204" fontId="68" fillId="0" borderId="0" applyFont="0" applyFill="0" applyBorder="0" applyAlignment="0" applyProtection="0"/>
    <xf numFmtId="205" fontId="68" fillId="0" borderId="0" applyFont="0" applyFill="0" applyBorder="0" applyAlignment="0" applyProtection="0"/>
    <xf numFmtId="206" fontId="26" fillId="0" borderId="0" applyFont="0" applyFill="0" applyBorder="0" applyAlignment="0" applyProtection="0">
      <protection locked="0"/>
    </xf>
    <xf numFmtId="43" fontId="19"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23" fillId="0" borderId="0" applyFont="0" applyFill="0" applyBorder="0" applyAlignment="0" applyProtection="0"/>
    <xf numFmtId="43" fontId="57"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07" fillId="0" borderId="0" applyFont="0" applyFill="0" applyBorder="0" applyAlignment="0" applyProtection="0"/>
    <xf numFmtId="37" fontId="69" fillId="0" borderId="0" applyFill="0" applyBorder="0" applyAlignment="0" applyProtection="0"/>
    <xf numFmtId="3" fontId="23" fillId="0" borderId="0" applyFont="0" applyFill="0" applyBorder="0" applyAlignment="0" applyProtection="0"/>
    <xf numFmtId="0" fontId="22" fillId="0" borderId="0" applyFill="0" applyBorder="0" applyAlignment="0" applyProtection="0">
      <protection locked="0"/>
    </xf>
    <xf numFmtId="0" fontId="23" fillId="0" borderId="4"/>
    <xf numFmtId="44" fontId="23" fillId="0" borderId="0" applyFont="0" applyFill="0" applyBorder="0" applyAlignment="0" applyProtection="0"/>
    <xf numFmtId="207" fontId="61" fillId="0" borderId="0" applyFont="0" applyFill="0" applyBorder="0" applyAlignment="0" applyProtection="0"/>
    <xf numFmtId="208" fontId="61" fillId="0" borderId="0" applyFont="0" applyFill="0" applyBorder="0" applyAlignment="0" applyProtection="0"/>
    <xf numFmtId="209" fontId="61" fillId="0" borderId="0" applyFont="0" applyFill="0" applyBorder="0" applyAlignment="0" applyProtection="0"/>
    <xf numFmtId="210" fontId="68" fillId="0" borderId="0" applyFont="0" applyFill="0" applyBorder="0" applyAlignment="0" applyProtection="0"/>
    <xf numFmtId="211" fontId="68" fillId="0" borderId="0" applyFont="0" applyFill="0" applyBorder="0" applyAlignment="0" applyProtection="0"/>
    <xf numFmtId="212" fontId="68" fillId="0" borderId="0" applyFont="0" applyFill="0" applyBorder="0" applyAlignment="0" applyProtection="0"/>
    <xf numFmtId="213" fontId="26" fillId="0" borderId="0" applyFont="0" applyFill="0" applyBorder="0" applyAlignment="0" applyProtection="0">
      <protection locked="0"/>
    </xf>
    <xf numFmtId="44" fontId="33" fillId="0" borderId="0" applyFont="0" applyFill="0" applyBorder="0" applyAlignment="0" applyProtection="0"/>
    <xf numFmtId="44" fontId="23" fillId="0" borderId="0" applyFont="0" applyFill="0" applyBorder="0" applyAlignment="0" applyProtection="0"/>
    <xf numFmtId="44" fontId="57"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5" fontId="69" fillId="0" borderId="0" applyFill="0" applyBorder="0" applyAlignment="0" applyProtection="0"/>
    <xf numFmtId="5" fontId="23" fillId="0" borderId="0" applyFont="0" applyFill="0" applyBorder="0" applyAlignment="0" applyProtection="0"/>
    <xf numFmtId="5" fontId="23" fillId="0" borderId="0" applyFont="0" applyFill="0" applyBorder="0" applyAlignment="0" applyProtection="0"/>
    <xf numFmtId="214" fontId="63" fillId="0" borderId="0" applyFont="0" applyFill="0" applyBorder="0" applyAlignment="0" applyProtection="0"/>
    <xf numFmtId="182" fontId="23" fillId="0" borderId="0" applyFont="0" applyFill="0" applyBorder="0" applyAlignment="0" applyProtection="0"/>
    <xf numFmtId="215" fontId="65" fillId="0" borderId="0" applyFont="0" applyFill="0" applyBorder="0" applyAlignment="0" applyProtection="0">
      <protection locked="0"/>
    </xf>
    <xf numFmtId="7" fontId="21" fillId="0" borderId="0" applyFont="0" applyFill="0" applyBorder="0" applyAlignment="0" applyProtection="0"/>
    <xf numFmtId="216" fontId="66" fillId="0" borderId="0" applyFont="0" applyFill="0" applyBorder="0" applyAlignment="0" applyProtection="0"/>
    <xf numFmtId="181" fontId="70" fillId="0" borderId="0" applyFont="0" applyFill="0" applyBorder="0" applyAlignment="0" applyProtection="0"/>
    <xf numFmtId="0" fontId="71" fillId="3" borderId="5" applyNumberFormat="0" applyFont="0" applyFill="0" applyAlignment="0" applyProtection="0">
      <alignment horizontal="left" indent="1"/>
    </xf>
    <xf numFmtId="14" fontId="23" fillId="0" borderId="0" applyFont="0" applyFill="0" applyBorder="0" applyAlignment="0" applyProtection="0"/>
    <xf numFmtId="217" fontId="61" fillId="0" borderId="0" applyFont="0" applyFill="0" applyBorder="0" applyProtection="0"/>
    <xf numFmtId="218" fontId="61" fillId="0" borderId="0" applyFont="0" applyFill="0" applyBorder="0" applyProtection="0"/>
    <xf numFmtId="219" fontId="61" fillId="0" borderId="0" applyFont="0" applyFill="0" applyBorder="0" applyAlignment="0" applyProtection="0"/>
    <xf numFmtId="220" fontId="61" fillId="0" borderId="0" applyFont="0" applyFill="0" applyBorder="0" applyAlignment="0" applyProtection="0"/>
    <xf numFmtId="221" fontId="61" fillId="0" borderId="0" applyFont="0" applyFill="0" applyBorder="0" applyAlignment="0" applyProtection="0"/>
    <xf numFmtId="222" fontId="72" fillId="0" borderId="0" applyFont="0" applyFill="0" applyBorder="0" applyAlignment="0" applyProtection="0"/>
    <xf numFmtId="5" fontId="73" fillId="0" borderId="0" applyBorder="0"/>
    <xf numFmtId="182" fontId="73" fillId="0" borderId="0" applyBorder="0"/>
    <xf numFmtId="7" fontId="73" fillId="0" borderId="0" applyBorder="0"/>
    <xf numFmtId="37" fontId="73" fillId="0" borderId="0" applyBorder="0"/>
    <xf numFmtId="180" fontId="73" fillId="0" borderId="0" applyBorder="0"/>
    <xf numFmtId="223" fontId="73" fillId="0" borderId="0" applyBorder="0"/>
    <xf numFmtId="39" fontId="73" fillId="0" borderId="0" applyBorder="0"/>
    <xf numFmtId="224" fontId="73" fillId="0" borderId="0" applyBorder="0"/>
    <xf numFmtId="7" fontId="23" fillId="0" borderId="0" applyFont="0" applyFill="0" applyBorder="0" applyAlignment="0" applyProtection="0"/>
    <xf numFmtId="225" fontId="63" fillId="0" borderId="0" applyFont="0" applyFill="0" applyBorder="0" applyAlignment="0" applyProtection="0"/>
    <xf numFmtId="226" fontId="63" fillId="0" borderId="0" applyFont="0" applyFill="0" applyAlignment="0" applyProtection="0"/>
    <xf numFmtId="225" fontId="63" fillId="0" borderId="0" applyFont="0" applyFill="0" applyBorder="0" applyAlignment="0" applyProtection="0"/>
    <xf numFmtId="227" fontId="21" fillId="0" borderId="0" applyFont="0" applyFill="0" applyBorder="0" applyAlignment="0" applyProtection="0"/>
    <xf numFmtId="2" fontId="23" fillId="0" borderId="0" applyFont="0" applyFill="0" applyBorder="0" applyAlignment="0" applyProtection="0"/>
    <xf numFmtId="0" fontId="74" fillId="0" borderId="0"/>
    <xf numFmtId="180" fontId="75" fillId="0" borderId="0" applyNumberFormat="0" applyFill="0" applyBorder="0" applyAlignment="0" applyProtection="0"/>
    <xf numFmtId="0" fontId="21" fillId="0" borderId="0" applyFont="0" applyFill="0" applyBorder="0" applyAlignment="0" applyProtection="0"/>
    <xf numFmtId="0" fontId="61" fillId="0" borderId="0" applyFont="0" applyFill="0" applyBorder="0" applyProtection="0">
      <alignment horizontal="center" wrapText="1"/>
    </xf>
    <xf numFmtId="228" fontId="61" fillId="0" borderId="0" applyFont="0" applyFill="0" applyBorder="0" applyProtection="0">
      <alignment horizontal="right"/>
    </xf>
    <xf numFmtId="0" fontId="75" fillId="0" borderId="0" applyNumberFormat="0" applyFill="0" applyBorder="0" applyAlignment="0" applyProtection="0"/>
    <xf numFmtId="0" fontId="76" fillId="4" borderId="0" applyNumberFormat="0" applyFill="0" applyBorder="0" applyAlignment="0" applyProtection="0"/>
    <xf numFmtId="0" fontId="25" fillId="0" borderId="6" applyNumberFormat="0" applyAlignment="0" applyProtection="0">
      <alignment horizontal="left" vertical="center"/>
    </xf>
    <xf numFmtId="0" fontId="25" fillId="0" borderId="7">
      <alignment horizontal="left" vertical="center"/>
    </xf>
    <xf numFmtId="14" fontId="48" fillId="5" borderId="8">
      <alignment horizontal="center" vertical="center" wrapText="1"/>
    </xf>
    <xf numFmtId="0" fontId="39" fillId="0" borderId="0" applyFont="0" applyFill="0" applyBorder="0" applyAlignment="0" applyProtection="0"/>
    <xf numFmtId="0" fontId="40" fillId="0" borderId="0" applyFont="0" applyFill="0" applyBorder="0" applyAlignment="0" applyProtection="0"/>
    <xf numFmtId="0" fontId="25" fillId="0" borderId="0" applyFont="0" applyFill="0" applyBorder="0" applyAlignment="0" applyProtection="0"/>
    <xf numFmtId="0" fontId="47" fillId="0" borderId="0" applyFill="0" applyAlignment="0" applyProtection="0">
      <protection locked="0"/>
    </xf>
    <xf numFmtId="0" fontId="47" fillId="0" borderId="1" applyFill="0" applyAlignment="0" applyProtection="0">
      <protection locked="0"/>
    </xf>
    <xf numFmtId="0" fontId="41" fillId="0" borderId="8"/>
    <xf numFmtId="0" fontId="42" fillId="0" borderId="0"/>
    <xf numFmtId="0" fontId="77" fillId="0" borderId="1" applyNumberFormat="0" applyFill="0" applyAlignment="0" applyProtection="0"/>
    <xf numFmtId="0" fontId="72" fillId="6" borderId="0" applyNumberFormat="0" applyFont="0" applyBorder="0" applyAlignment="0" applyProtection="0"/>
    <xf numFmtId="0" fontId="78" fillId="0" borderId="0" applyNumberFormat="0" applyFill="0" applyBorder="0" applyAlignment="0" applyProtection="0">
      <alignment vertical="top"/>
      <protection locked="0"/>
    </xf>
    <xf numFmtId="0" fontId="58" fillId="7" borderId="9" applyNumberFormat="0" applyAlignment="0" applyProtection="0"/>
    <xf numFmtId="229" fontId="61" fillId="0" borderId="0" applyFont="0" applyFill="0" applyBorder="0" applyProtection="0">
      <alignment horizontal="left"/>
    </xf>
    <xf numFmtId="230" fontId="61" fillId="0" borderId="0" applyFont="0" applyFill="0" applyBorder="0" applyProtection="0">
      <alignment horizontal="left"/>
    </xf>
    <xf numFmtId="231" fontId="61" fillId="0" borderId="0" applyFont="0" applyFill="0" applyBorder="0" applyProtection="0">
      <alignment horizontal="left"/>
    </xf>
    <xf numFmtId="232" fontId="61" fillId="0" borderId="0" applyFont="0" applyFill="0" applyBorder="0" applyProtection="0">
      <alignment horizontal="left"/>
    </xf>
    <xf numFmtId="10" fontId="21" fillId="8" borderId="9" applyNumberFormat="0" applyBorder="0" applyAlignment="0" applyProtection="0"/>
    <xf numFmtId="5" fontId="79" fillId="0" borderId="0" applyBorder="0"/>
    <xf numFmtId="182" fontId="79" fillId="0" borderId="0" applyBorder="0"/>
    <xf numFmtId="7" fontId="79" fillId="0" borderId="0" applyBorder="0"/>
    <xf numFmtId="37" fontId="79" fillId="0" borderId="0" applyBorder="0"/>
    <xf numFmtId="180" fontId="79" fillId="0" borderId="0" applyBorder="0"/>
    <xf numFmtId="223" fontId="79" fillId="0" borderId="0" applyBorder="0"/>
    <xf numFmtId="39" fontId="79" fillId="0" borderId="0" applyBorder="0"/>
    <xf numFmtId="224" fontId="79" fillId="0" borderId="0" applyBorder="0"/>
    <xf numFmtId="0" fontId="72" fillId="0" borderId="10" applyNumberFormat="0" applyFont="0" applyFill="0" applyAlignment="0" applyProtection="0"/>
    <xf numFmtId="0" fontId="80" fillId="0" borderId="0"/>
    <xf numFmtId="0" fontId="21" fillId="9" borderId="0"/>
    <xf numFmtId="233" fontId="23" fillId="0" borderId="0" applyFont="0" applyFill="0" applyBorder="0" applyAlignment="0" applyProtection="0"/>
    <xf numFmtId="234" fontId="23" fillId="0" borderId="0" applyFont="0" applyFill="0" applyBorder="0" applyAlignment="0" applyProtection="0"/>
    <xf numFmtId="235" fontId="23" fillId="0" borderId="0" applyFont="0" applyFill="0" applyBorder="0" applyAlignment="0" applyProtection="0"/>
    <xf numFmtId="236" fontId="23" fillId="0" borderId="0" applyFont="0" applyFill="0" applyBorder="0" applyAlignment="0" applyProtection="0"/>
    <xf numFmtId="0" fontId="23" fillId="0" borderId="0" applyFont="0" applyFill="0" applyBorder="0" applyAlignment="0" applyProtection="0">
      <alignment horizontal="right"/>
    </xf>
    <xf numFmtId="237" fontId="23" fillId="0" borderId="0" applyFont="0" applyFill="0" applyBorder="0" applyAlignment="0" applyProtection="0"/>
    <xf numFmtId="37" fontId="81" fillId="0" borderId="0"/>
    <xf numFmtId="0" fontId="63" fillId="0" borderId="0"/>
    <xf numFmtId="0" fontId="110" fillId="0" borderId="0"/>
    <xf numFmtId="7" fontId="108" fillId="0" borderId="0"/>
    <xf numFmtId="0" fontId="23" fillId="0" borderId="0"/>
    <xf numFmtId="0" fontId="59" fillId="0" borderId="0"/>
    <xf numFmtId="0" fontId="33" fillId="0" borderId="0"/>
    <xf numFmtId="0" fontId="23" fillId="0" borderId="0"/>
    <xf numFmtId="0" fontId="23" fillId="0" borderId="0"/>
    <xf numFmtId="0" fontId="57" fillId="0" borderId="0"/>
    <xf numFmtId="0" fontId="23" fillId="0" borderId="0"/>
    <xf numFmtId="0" fontId="23" fillId="0" borderId="0"/>
    <xf numFmtId="0" fontId="23"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0" fontId="110" fillId="0" borderId="0"/>
    <xf numFmtId="174" fontId="43" fillId="0" borderId="0" applyProtection="0"/>
    <xf numFmtId="0" fontId="110" fillId="0" borderId="0"/>
    <xf numFmtId="0" fontId="110" fillId="0" borderId="0"/>
    <xf numFmtId="0" fontId="110" fillId="0" borderId="0"/>
    <xf numFmtId="0" fontId="110" fillId="0" borderId="0"/>
    <xf numFmtId="0" fontId="43" fillId="0" borderId="0" applyProtection="0"/>
    <xf numFmtId="174" fontId="43" fillId="0" borderId="0" applyProtection="0"/>
    <xf numFmtId="174" fontId="43" fillId="0" borderId="0" applyProtection="0"/>
    <xf numFmtId="174" fontId="43" fillId="0" borderId="0" applyProtection="0"/>
    <xf numFmtId="0" fontId="23" fillId="0" borderId="0"/>
    <xf numFmtId="174" fontId="43" fillId="0" borderId="0" applyProtection="0"/>
    <xf numFmtId="0" fontId="23" fillId="0" borderId="0"/>
    <xf numFmtId="0" fontId="53" fillId="10" borderId="0" applyNumberFormat="0" applyFont="0" applyBorder="0" applyAlignment="0"/>
    <xf numFmtId="238" fontId="23" fillId="0" borderId="0" applyFont="0" applyFill="0" applyBorder="0" applyAlignment="0" applyProtection="0"/>
    <xf numFmtId="239" fontId="82" fillId="0" borderId="0"/>
    <xf numFmtId="238" fontId="23" fillId="0" borderId="0" applyFont="0" applyFill="0" applyBorder="0" applyAlignment="0" applyProtection="0"/>
    <xf numFmtId="238" fontId="23" fillId="0" borderId="0" applyFont="0" applyFill="0" applyBorder="0" applyAlignment="0" applyProtection="0"/>
    <xf numFmtId="238" fontId="23" fillId="0" borderId="0" applyFont="0" applyFill="0" applyBorder="0" applyAlignment="0" applyProtection="0"/>
    <xf numFmtId="240" fontId="23" fillId="0" borderId="0"/>
    <xf numFmtId="241" fontId="63" fillId="0" borderId="0"/>
    <xf numFmtId="241" fontId="63" fillId="0" borderId="0"/>
    <xf numFmtId="239" fontId="82" fillId="0" borderId="0"/>
    <xf numFmtId="0" fontId="63" fillId="0" borderId="0"/>
    <xf numFmtId="239" fontId="69" fillId="0" borderId="0"/>
    <xf numFmtId="240" fontId="23" fillId="0" borderId="0"/>
    <xf numFmtId="241" fontId="63" fillId="0" borderId="0"/>
    <xf numFmtId="241" fontId="63" fillId="0" borderId="0"/>
    <xf numFmtId="0" fontId="63" fillId="0" borderId="0"/>
    <xf numFmtId="0" fontId="63" fillId="0" borderId="0"/>
    <xf numFmtId="242" fontId="63" fillId="0" borderId="0"/>
    <xf numFmtId="170" fontId="63" fillId="0" borderId="0"/>
    <xf numFmtId="243" fontId="63" fillId="0" borderId="0"/>
    <xf numFmtId="242" fontId="63" fillId="0" borderId="0"/>
    <xf numFmtId="170" fontId="63" fillId="0" borderId="0"/>
    <xf numFmtId="244" fontId="63" fillId="0" borderId="0"/>
    <xf numFmtId="244" fontId="63" fillId="0" borderId="0"/>
    <xf numFmtId="178" fontId="63" fillId="0" borderId="0"/>
    <xf numFmtId="243" fontId="63" fillId="0" borderId="0"/>
    <xf numFmtId="169" fontId="63" fillId="0" borderId="0"/>
    <xf numFmtId="178" fontId="63" fillId="0" borderId="0"/>
    <xf numFmtId="178" fontId="63" fillId="0" borderId="0"/>
    <xf numFmtId="0" fontId="63" fillId="0" borderId="0"/>
    <xf numFmtId="238" fontId="23" fillId="0" borderId="0" applyFont="0" applyFill="0" applyBorder="0" applyAlignment="0" applyProtection="0"/>
    <xf numFmtId="238" fontId="23" fillId="0" borderId="0" applyFont="0" applyFill="0" applyBorder="0" applyAlignment="0" applyProtection="0"/>
    <xf numFmtId="238" fontId="23" fillId="0" borderId="0" applyFont="0" applyFill="0" applyBorder="0" applyAlignment="0" applyProtection="0"/>
    <xf numFmtId="239" fontId="82" fillId="0" borderId="0"/>
    <xf numFmtId="239" fontId="82" fillId="0" borderId="0"/>
    <xf numFmtId="238" fontId="23" fillId="0" borderId="0" applyFont="0" applyFill="0" applyBorder="0" applyAlignment="0" applyProtection="0"/>
    <xf numFmtId="239" fontId="82" fillId="0" borderId="0"/>
    <xf numFmtId="239" fontId="82" fillId="0" borderId="0"/>
    <xf numFmtId="242" fontId="63" fillId="0" borderId="0"/>
    <xf numFmtId="170" fontId="63" fillId="0" borderId="0"/>
    <xf numFmtId="243" fontId="63" fillId="0" borderId="0"/>
    <xf numFmtId="242" fontId="63" fillId="0" borderId="0"/>
    <xf numFmtId="170" fontId="63" fillId="0" borderId="0"/>
    <xf numFmtId="244" fontId="63" fillId="0" borderId="0"/>
    <xf numFmtId="244" fontId="63" fillId="0" borderId="0"/>
    <xf numFmtId="178" fontId="63" fillId="0" borderId="0"/>
    <xf numFmtId="243" fontId="63" fillId="0" borderId="0"/>
    <xf numFmtId="169" fontId="63" fillId="0" borderId="0"/>
    <xf numFmtId="178" fontId="63" fillId="0" borderId="0"/>
    <xf numFmtId="178" fontId="63" fillId="0" borderId="0"/>
    <xf numFmtId="245" fontId="31" fillId="11" borderId="0" applyFont="0" applyFill="0" applyBorder="0" applyAlignment="0" applyProtection="0"/>
    <xf numFmtId="246" fontId="31" fillId="11" borderId="0" applyFont="0" applyFill="0" applyBorder="0" applyAlignment="0" applyProtection="0"/>
    <xf numFmtId="247" fontId="23" fillId="0" borderId="0" applyFont="0" applyFill="0" applyBorder="0" applyAlignment="0" applyProtection="0"/>
    <xf numFmtId="9" fontId="23" fillId="0" borderId="0" applyFont="0" applyFill="0" applyBorder="0" applyAlignment="0" applyProtection="0"/>
    <xf numFmtId="248" fontId="68" fillId="0" borderId="0" applyFont="0" applyFill="0" applyBorder="0" applyAlignment="0" applyProtection="0"/>
    <xf numFmtId="249" fontId="59" fillId="0" borderId="0" applyFont="0" applyFill="0" applyBorder="0" applyAlignment="0" applyProtection="0"/>
    <xf numFmtId="250" fontId="23" fillId="0" borderId="0" applyFont="0" applyFill="0" applyBorder="0" applyAlignment="0" applyProtection="0"/>
    <xf numFmtId="251" fontId="61" fillId="0" borderId="0" applyFont="0" applyFill="0" applyBorder="0" applyAlignment="0" applyProtection="0"/>
    <xf numFmtId="252" fontId="61" fillId="0" borderId="0" applyFont="0" applyFill="0" applyBorder="0" applyAlignment="0" applyProtection="0"/>
    <xf numFmtId="253" fontId="61" fillId="0" borderId="0" applyFont="0" applyFill="0" applyBorder="0" applyAlignment="0" applyProtection="0"/>
    <xf numFmtId="254" fontId="61" fillId="0" borderId="0" applyFont="0" applyFill="0" applyBorder="0" applyAlignment="0" applyProtection="0"/>
    <xf numFmtId="255" fontId="68" fillId="0" borderId="0" applyFont="0" applyFill="0" applyBorder="0" applyAlignment="0" applyProtection="0"/>
    <xf numFmtId="256" fontId="59" fillId="0" borderId="0" applyFont="0" applyFill="0" applyBorder="0" applyAlignment="0" applyProtection="0"/>
    <xf numFmtId="257" fontId="68" fillId="0" borderId="0" applyFont="0" applyFill="0" applyBorder="0" applyAlignment="0" applyProtection="0"/>
    <xf numFmtId="258" fontId="59" fillId="0" borderId="0" applyFont="0" applyFill="0" applyBorder="0" applyAlignment="0" applyProtection="0"/>
    <xf numFmtId="259" fontId="68" fillId="0" borderId="0" applyFont="0" applyFill="0" applyBorder="0" applyAlignment="0" applyProtection="0"/>
    <xf numFmtId="260" fontId="59" fillId="0" borderId="0" applyFont="0" applyFill="0" applyBorder="0" applyAlignment="0" applyProtection="0"/>
    <xf numFmtId="261" fontId="26" fillId="0" borderId="0" applyFont="0" applyFill="0" applyBorder="0" applyAlignment="0" applyProtection="0">
      <protection locked="0"/>
    </xf>
    <xf numFmtId="262" fontId="59" fillId="0" borderId="0" applyFont="0" applyFill="0" applyBorder="0" applyAlignment="0" applyProtection="0"/>
    <xf numFmtId="9" fontId="33" fillId="0" borderId="0" applyFont="0" applyFill="0" applyBorder="0" applyAlignment="0" applyProtection="0"/>
    <xf numFmtId="9" fontId="23" fillId="0" borderId="0" applyFont="0" applyFill="0" applyBorder="0" applyAlignment="0" applyProtection="0"/>
    <xf numFmtId="9" fontId="5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192" fontId="69" fillId="0" borderId="0" applyFill="0" applyBorder="0" applyAlignment="0" applyProtection="0"/>
    <xf numFmtId="9" fontId="73" fillId="0" borderId="0" applyBorder="0"/>
    <xf numFmtId="171" fontId="73" fillId="0" borderId="0" applyBorder="0"/>
    <xf numFmtId="10" fontId="73" fillId="0" borderId="0" applyBorder="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3" fontId="23" fillId="0" borderId="0">
      <alignment horizontal="left" vertical="top"/>
    </xf>
    <xf numFmtId="0" fontId="45" fillId="0" borderId="8">
      <alignment horizontal="center"/>
    </xf>
    <xf numFmtId="3" fontId="44" fillId="0" borderId="0" applyFont="0" applyFill="0" applyBorder="0" applyAlignment="0" applyProtection="0"/>
    <xf numFmtId="0" fontId="44" fillId="12" borderId="0" applyNumberFormat="0" applyFont="0" applyBorder="0" applyAlignment="0" applyProtection="0"/>
    <xf numFmtId="3" fontId="23" fillId="0" borderId="0">
      <alignment horizontal="right" vertical="top"/>
    </xf>
    <xf numFmtId="41" fontId="30" fillId="9" borderId="11" applyFill="0"/>
    <xf numFmtId="0" fontId="46" fillId="0" borderId="0">
      <alignment horizontal="left" indent="7"/>
    </xf>
    <xf numFmtId="41" fontId="30" fillId="0" borderId="11" applyFill="0">
      <alignment horizontal="left" indent="2"/>
    </xf>
    <xf numFmtId="174" fontId="47" fillId="0" borderId="1" applyFill="0">
      <alignment horizontal="right"/>
    </xf>
    <xf numFmtId="0" fontId="48" fillId="0" borderId="9" applyNumberFormat="0" applyFont="0" applyBorder="0">
      <alignment horizontal="right"/>
    </xf>
    <xf numFmtId="0" fontId="49" fillId="0" borderId="0" applyFill="0"/>
    <xf numFmtId="0" fontId="25" fillId="0" borderId="0" applyFill="0"/>
    <xf numFmtId="4" fontId="47" fillId="0" borderId="1" applyFill="0"/>
    <xf numFmtId="0" fontId="23" fillId="0" borderId="0" applyNumberFormat="0" applyFont="0" applyBorder="0" applyAlignment="0"/>
    <xf numFmtId="0" fontId="28" fillId="0" borderId="0" applyFill="0">
      <alignment horizontal="left" indent="1"/>
    </xf>
    <xf numFmtId="0" fontId="50" fillId="0" borderId="0" applyFill="0">
      <alignment horizontal="left" indent="1"/>
    </xf>
    <xf numFmtId="4" fontId="31" fillId="0" borderId="0" applyFill="0"/>
    <xf numFmtId="0" fontId="23" fillId="0" borderId="0" applyNumberFormat="0" applyFont="0" applyFill="0" applyBorder="0" applyAlignment="0"/>
    <xf numFmtId="0" fontId="28" fillId="0" borderId="0" applyFill="0">
      <alignment horizontal="left" indent="2"/>
    </xf>
    <xf numFmtId="0" fontId="25" fillId="0" borderId="0" applyFill="0">
      <alignment horizontal="left" indent="2"/>
    </xf>
    <xf numFmtId="4" fontId="31" fillId="0" borderId="0" applyFill="0"/>
    <xf numFmtId="0" fontId="23" fillId="0" borderId="0" applyNumberFormat="0" applyFont="0" applyBorder="0" applyAlignment="0"/>
    <xf numFmtId="0" fontId="51" fillId="0" borderId="0">
      <alignment horizontal="left" indent="3"/>
    </xf>
    <xf numFmtId="0" fontId="52" fillId="0" borderId="0" applyFill="0">
      <alignment horizontal="left" indent="3"/>
    </xf>
    <xf numFmtId="4" fontId="31" fillId="0" borderId="0" applyFill="0"/>
    <xf numFmtId="0" fontId="23" fillId="0" borderId="0" applyNumberFormat="0" applyFont="0" applyBorder="0" applyAlignment="0"/>
    <xf numFmtId="0" fontId="32" fillId="0" borderId="0">
      <alignment horizontal="left" indent="4"/>
    </xf>
    <xf numFmtId="0" fontId="33" fillId="0" borderId="0" applyFill="0">
      <alignment horizontal="left" indent="4"/>
    </xf>
    <xf numFmtId="0" fontId="23" fillId="0" borderId="0" applyFill="0">
      <alignment horizontal="left" indent="4"/>
    </xf>
    <xf numFmtId="4" fontId="34" fillId="0" borderId="0" applyFill="0"/>
    <xf numFmtId="0" fontId="23" fillId="0" borderId="0" applyNumberFormat="0" applyFont="0" applyBorder="0" applyAlignment="0"/>
    <xf numFmtId="0" fontId="35" fillId="0" borderId="0">
      <alignment horizontal="left" indent="5"/>
    </xf>
    <xf numFmtId="0" fontId="36" fillId="0" borderId="0" applyFill="0">
      <alignment horizontal="left" indent="5"/>
    </xf>
    <xf numFmtId="4" fontId="37" fillId="0" borderId="0" applyFill="0"/>
    <xf numFmtId="0" fontId="23" fillId="0" borderId="0" applyNumberFormat="0" applyFont="0" applyFill="0" applyBorder="0" applyAlignment="0"/>
    <xf numFmtId="0" fontId="38" fillId="0" borderId="0" applyFill="0">
      <alignment horizontal="left" indent="6"/>
    </xf>
    <xf numFmtId="0" fontId="34" fillId="0" borderId="0" applyFill="0">
      <alignment horizontal="left" indent="6"/>
    </xf>
    <xf numFmtId="0" fontId="72" fillId="0" borderId="12" applyNumberFormat="0" applyFont="0" applyFill="0" applyAlignment="0" applyProtection="0"/>
    <xf numFmtId="0" fontId="83" fillId="0" borderId="0" applyNumberFormat="0" applyFill="0" applyBorder="0" applyAlignment="0" applyProtection="0"/>
    <xf numFmtId="0" fontId="84" fillId="0" borderId="0"/>
    <xf numFmtId="0" fontId="84" fillId="0" borderId="0"/>
    <xf numFmtId="0" fontId="60" fillId="0" borderId="8">
      <alignment horizontal="right"/>
    </xf>
    <xf numFmtId="0" fontId="22" fillId="13" borderId="0"/>
    <xf numFmtId="263" fontId="70" fillId="0" borderId="0">
      <alignment horizontal="center"/>
    </xf>
    <xf numFmtId="264" fontId="85" fillId="0" borderId="0">
      <alignment horizontal="center"/>
    </xf>
    <xf numFmtId="0" fontId="86" fillId="0" borderId="0" applyNumberFormat="0" applyFill="0" applyBorder="0" applyAlignment="0" applyProtection="0"/>
    <xf numFmtId="0" fontId="87" fillId="0" borderId="0" applyNumberFormat="0" applyBorder="0" applyAlignment="0"/>
    <xf numFmtId="0" fontId="56" fillId="0" borderId="0" applyNumberFormat="0" applyBorder="0" applyAlignment="0"/>
    <xf numFmtId="0" fontId="23" fillId="9" borderId="4" applyNumberFormat="0" applyFont="0" applyAlignment="0"/>
    <xf numFmtId="0" fontId="72" fillId="3" borderId="0" applyNumberFormat="0" applyFont="0" applyBorder="0" applyAlignment="0" applyProtection="0"/>
    <xf numFmtId="245" fontId="88" fillId="0" borderId="7" applyNumberFormat="0" applyFont="0" applyFill="0" applyAlignment="0" applyProtection="0"/>
    <xf numFmtId="0" fontId="54" fillId="0" borderId="0" applyFill="0" applyBorder="0" applyProtection="0">
      <alignment horizontal="left" vertical="top"/>
    </xf>
    <xf numFmtId="0" fontId="89" fillId="0" borderId="0" applyAlignment="0">
      <alignment horizontal="centerContinuous"/>
    </xf>
    <xf numFmtId="0" fontId="23" fillId="0" borderId="3" applyNumberFormat="0" applyFont="0" applyFill="0" applyAlignment="0" applyProtection="0"/>
    <xf numFmtId="0" fontId="23" fillId="0" borderId="0" applyFont="0" applyFill="0" applyBorder="0" applyAlignment="0" applyProtection="0"/>
    <xf numFmtId="0" fontId="90" fillId="0" borderId="0" applyNumberFormat="0" applyFill="0" applyBorder="0" applyAlignment="0" applyProtection="0"/>
    <xf numFmtId="265" fontId="59" fillId="0" borderId="0" applyFont="0" applyFill="0" applyBorder="0" applyAlignment="0" applyProtection="0"/>
    <xf numFmtId="266" fontId="59" fillId="0" borderId="0" applyFont="0" applyFill="0" applyBorder="0" applyAlignment="0" applyProtection="0"/>
    <xf numFmtId="267" fontId="59" fillId="0" borderId="0" applyFont="0" applyFill="0" applyBorder="0" applyAlignment="0" applyProtection="0"/>
    <xf numFmtId="268" fontId="59" fillId="0" borderId="0" applyFont="0" applyFill="0" applyBorder="0" applyAlignment="0" applyProtection="0"/>
    <xf numFmtId="269" fontId="59" fillId="0" borderId="0" applyFont="0" applyFill="0" applyBorder="0" applyAlignment="0" applyProtection="0"/>
    <xf numFmtId="270" fontId="59" fillId="0" borderId="0" applyFont="0" applyFill="0" applyBorder="0" applyAlignment="0" applyProtection="0"/>
    <xf numFmtId="271" fontId="59" fillId="0" borderId="0" applyFont="0" applyFill="0" applyBorder="0" applyAlignment="0" applyProtection="0"/>
    <xf numFmtId="272" fontId="59" fillId="0" borderId="0" applyFont="0" applyFill="0" applyBorder="0" applyAlignment="0" applyProtection="0"/>
    <xf numFmtId="273" fontId="91" fillId="3" borderId="13" applyFont="0" applyFill="0" applyBorder="0" applyAlignment="0" applyProtection="0"/>
    <xf numFmtId="273" fontId="63" fillId="0" borderId="0" applyFont="0" applyFill="0" applyBorder="0" applyAlignment="0" applyProtection="0"/>
    <xf numFmtId="274" fontId="66" fillId="0" borderId="0" applyFont="0" applyFill="0" applyBorder="0" applyAlignment="0" applyProtection="0"/>
    <xf numFmtId="275" fontId="70" fillId="0" borderId="7" applyFont="0" applyFill="0" applyBorder="0" applyAlignment="0" applyProtection="0">
      <alignment horizontal="right"/>
      <protection locked="0"/>
    </xf>
    <xf numFmtId="43" fontId="19" fillId="0" borderId="0" applyFont="0" applyFill="0" applyBorder="0" applyAlignment="0" applyProtection="0"/>
    <xf numFmtId="43" fontId="87"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117" fillId="0" borderId="0"/>
    <xf numFmtId="0" fontId="16" fillId="0" borderId="0"/>
    <xf numFmtId="43" fontId="16" fillId="0" borderId="0" applyFont="0" applyFill="0" applyBorder="0" applyAlignment="0" applyProtection="0"/>
    <xf numFmtId="0" fontId="23" fillId="0" borderId="0"/>
    <xf numFmtId="174" fontId="43" fillId="0" borderId="0" applyProtection="0"/>
    <xf numFmtId="0" fontId="15" fillId="0" borderId="0"/>
    <xf numFmtId="0" fontId="124" fillId="19" borderId="0" applyNumberFormat="0" applyBorder="0" applyAlignment="0" applyProtection="0"/>
    <xf numFmtId="0" fontId="124" fillId="20" borderId="0" applyNumberFormat="0" applyBorder="0" applyAlignment="0" applyProtection="0"/>
    <xf numFmtId="0" fontId="124" fillId="21" borderId="0" applyNumberFormat="0" applyBorder="0" applyAlignment="0" applyProtection="0"/>
    <xf numFmtId="0" fontId="124" fillId="22" borderId="0" applyNumberFormat="0" applyBorder="0" applyAlignment="0" applyProtection="0"/>
    <xf numFmtId="0" fontId="124" fillId="23" borderId="0" applyNumberFormat="0" applyBorder="0" applyAlignment="0" applyProtection="0"/>
    <xf numFmtId="0" fontId="124" fillId="24" borderId="0" applyNumberFormat="0" applyBorder="0" applyAlignment="0" applyProtection="0"/>
    <xf numFmtId="0" fontId="124" fillId="25" borderId="0" applyNumberFormat="0" applyBorder="0" applyAlignment="0" applyProtection="0"/>
    <xf numFmtId="0" fontId="124" fillId="26" borderId="0" applyNumberFormat="0" applyBorder="0" applyAlignment="0" applyProtection="0"/>
    <xf numFmtId="0" fontId="124" fillId="27" borderId="0" applyNumberFormat="0" applyBorder="0" applyAlignment="0" applyProtection="0"/>
    <xf numFmtId="0" fontId="124" fillId="28" borderId="0" applyNumberFormat="0" applyBorder="0" applyAlignment="0" applyProtection="0"/>
    <xf numFmtId="0" fontId="124" fillId="29" borderId="0" applyNumberFormat="0" applyBorder="0" applyAlignment="0" applyProtection="0"/>
    <xf numFmtId="0" fontId="124" fillId="30" borderId="0" applyNumberFormat="0" applyBorder="0" applyAlignment="0" applyProtection="0"/>
    <xf numFmtId="0" fontId="124" fillId="31" borderId="0" applyNumberFormat="0" applyBorder="0" applyAlignment="0" applyProtection="0"/>
    <xf numFmtId="0" fontId="124" fillId="32" borderId="0" applyNumberFormat="0" applyBorder="0" applyAlignment="0" applyProtection="0"/>
    <xf numFmtId="0" fontId="124" fillId="33" borderId="0" applyNumberFormat="0" applyBorder="0" applyAlignment="0" applyProtection="0"/>
    <xf numFmtId="0" fontId="124" fillId="34" borderId="0" applyNumberFormat="0" applyBorder="0" applyAlignment="0" applyProtection="0"/>
    <xf numFmtId="0" fontId="124" fillId="35" borderId="0" applyNumberFormat="0" applyBorder="0" applyAlignment="0" applyProtection="0"/>
    <xf numFmtId="0" fontId="124" fillId="36" borderId="0" applyNumberFormat="0" applyBorder="0" applyAlignment="0" applyProtection="0"/>
    <xf numFmtId="0" fontId="125" fillId="37" borderId="0" applyNumberFormat="0" applyBorder="0" applyAlignment="0" applyProtection="0"/>
    <xf numFmtId="0" fontId="125" fillId="38" borderId="0" applyNumberFormat="0" applyBorder="0" applyAlignment="0" applyProtection="0"/>
    <xf numFmtId="0" fontId="125" fillId="39" borderId="0" applyNumberFormat="0" applyBorder="0" applyAlignment="0" applyProtection="0"/>
    <xf numFmtId="0" fontId="125" fillId="40" borderId="0" applyNumberFormat="0" applyBorder="0" applyAlignment="0" applyProtection="0"/>
    <xf numFmtId="0" fontId="125" fillId="41" borderId="0" applyNumberFormat="0" applyBorder="0" applyAlignment="0" applyProtection="0"/>
    <xf numFmtId="0" fontId="125" fillId="42" borderId="0" applyNumberFormat="0" applyBorder="0" applyAlignment="0" applyProtection="0"/>
    <xf numFmtId="0" fontId="126" fillId="43" borderId="0" applyNumberFormat="0" applyBorder="0" applyAlignment="0" applyProtection="0"/>
    <xf numFmtId="0" fontId="127" fillId="44" borderId="26" applyNumberFormat="0" applyAlignment="0" applyProtection="0"/>
    <xf numFmtId="0" fontId="128" fillId="45" borderId="29" applyNumberFormat="0" applyAlignment="0" applyProtection="0"/>
    <xf numFmtId="43" fontId="124" fillId="0" borderId="0" applyFill="0" applyBorder="0" applyAlignment="0" applyProtection="0"/>
    <xf numFmtId="43" fontId="124" fillId="0" borderId="0" applyFill="0" applyBorder="0" applyAlignment="0" applyProtection="0"/>
    <xf numFmtId="0" fontId="129" fillId="0" borderId="0" applyNumberFormat="0" applyFill="0" applyBorder="0" applyAlignment="0" applyProtection="0"/>
    <xf numFmtId="0" fontId="130" fillId="46" borderId="0" applyNumberFormat="0" applyBorder="0" applyAlignment="0" applyProtection="0"/>
    <xf numFmtId="0" fontId="131" fillId="0" borderId="25" applyNumberFormat="0" applyFill="0" applyAlignment="0" applyProtection="0"/>
    <xf numFmtId="0" fontId="131" fillId="0" borderId="0" applyNumberFormat="0" applyFill="0" applyBorder="0" applyAlignment="0" applyProtection="0"/>
    <xf numFmtId="0" fontId="132" fillId="18" borderId="26" applyNumberFormat="0" applyAlignment="0" applyProtection="0"/>
    <xf numFmtId="0" fontId="132" fillId="18" borderId="26" applyNumberFormat="0" applyAlignment="0" applyProtection="0"/>
    <xf numFmtId="0" fontId="133" fillId="0" borderId="28" applyNumberFormat="0" applyFill="0" applyAlignment="0" applyProtection="0"/>
    <xf numFmtId="0" fontId="134" fillId="47" borderId="0" applyNumberFormat="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124" fillId="0" borderId="0"/>
    <xf numFmtId="0" fontId="43" fillId="8" borderId="30" applyNumberFormat="0" applyFont="0" applyAlignment="0" applyProtection="0"/>
    <xf numFmtId="0" fontId="135" fillId="44" borderId="27" applyNumberFormat="0" applyAlignment="0" applyProtection="0"/>
    <xf numFmtId="9" fontId="124" fillId="0" borderId="0" applyFill="0" applyBorder="0" applyAlignment="0" applyProtection="0"/>
    <xf numFmtId="0" fontId="22" fillId="8" borderId="0"/>
    <xf numFmtId="0" fontId="136" fillId="0" borderId="0" applyNumberFormat="0" applyFill="0" applyBorder="0" applyAlignment="0" applyProtection="0"/>
    <xf numFmtId="0" fontId="137" fillId="0" borderId="0" applyNumberForma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43" fontId="23" fillId="0" borderId="0" applyFont="0" applyFill="0" applyBorder="0" applyAlignment="0" applyProtection="0"/>
    <xf numFmtId="0" fontId="141" fillId="0" borderId="0"/>
    <xf numFmtId="0" fontId="30" fillId="0" borderId="0"/>
    <xf numFmtId="0" fontId="141" fillId="0" borderId="0"/>
    <xf numFmtId="0" fontId="141" fillId="0" borderId="0"/>
    <xf numFmtId="0" fontId="141" fillId="0" borderId="0"/>
    <xf numFmtId="0" fontId="141" fillId="0" borderId="0"/>
    <xf numFmtId="0" fontId="30" fillId="0" borderId="0"/>
    <xf numFmtId="0" fontId="30" fillId="0" borderId="0"/>
    <xf numFmtId="0" fontId="30" fillId="0" borderId="0"/>
    <xf numFmtId="0" fontId="30" fillId="0" borderId="0"/>
    <xf numFmtId="0" fontId="30" fillId="0" borderId="0"/>
    <xf numFmtId="0" fontId="148" fillId="48" borderId="31" applyNumberFormat="0" applyAlignment="0" applyProtection="0">
      <alignment horizontal="left" vertical="center" indent="1"/>
    </xf>
    <xf numFmtId="282" fontId="149" fillId="0" borderId="32" applyNumberFormat="0" applyProtection="0">
      <alignment horizontal="right" vertical="center"/>
    </xf>
    <xf numFmtId="282" fontId="148" fillId="0" borderId="33" applyNumberFormat="0" applyProtection="0">
      <alignment horizontal="right" vertical="center"/>
    </xf>
    <xf numFmtId="282" fontId="149" fillId="49" borderId="31" applyNumberFormat="0" applyAlignment="0" applyProtection="0">
      <alignment horizontal="left" vertical="center" indent="1"/>
    </xf>
    <xf numFmtId="0" fontId="150" fillId="50" borderId="33" applyNumberFormat="0" applyAlignment="0">
      <alignment horizontal="left" vertical="center" indent="1"/>
      <protection locked="0"/>
    </xf>
    <xf numFmtId="0" fontId="150" fillId="51" borderId="33" applyNumberFormat="0" applyAlignment="0" applyProtection="0">
      <alignment horizontal="left" vertical="center" indent="1"/>
    </xf>
    <xf numFmtId="282" fontId="149" fillId="52" borderId="32" applyNumberFormat="0" applyBorder="0">
      <alignment horizontal="right" vertical="center"/>
      <protection locked="0"/>
    </xf>
    <xf numFmtId="0" fontId="150" fillId="50" borderId="33" applyNumberFormat="0" applyAlignment="0">
      <alignment horizontal="left" vertical="center" indent="1"/>
      <protection locked="0"/>
    </xf>
    <xf numFmtId="282" fontId="148" fillId="51" borderId="33" applyNumberFormat="0" applyProtection="0">
      <alignment horizontal="right" vertical="center"/>
    </xf>
    <xf numFmtId="282" fontId="148" fillId="52" borderId="33" applyNumberFormat="0" applyBorder="0">
      <alignment horizontal="right" vertical="center"/>
      <protection locked="0"/>
    </xf>
    <xf numFmtId="282" fontId="151" fillId="53" borderId="34" applyNumberFormat="0" applyBorder="0" applyAlignment="0" applyProtection="0">
      <alignment horizontal="right" vertical="center" indent="1"/>
    </xf>
    <xf numFmtId="282" fontId="152" fillId="54" borderId="34" applyNumberFormat="0" applyBorder="0" applyAlignment="0" applyProtection="0">
      <alignment horizontal="right" vertical="center" indent="1"/>
    </xf>
    <xf numFmtId="282" fontId="152" fillId="55" borderId="34" applyNumberFormat="0" applyBorder="0" applyAlignment="0" applyProtection="0">
      <alignment horizontal="right" vertical="center" indent="1"/>
    </xf>
    <xf numFmtId="282" fontId="153" fillId="56" borderId="34" applyNumberFormat="0" applyBorder="0" applyAlignment="0" applyProtection="0">
      <alignment horizontal="right" vertical="center" indent="1"/>
    </xf>
    <xf numFmtId="282" fontId="153" fillId="57" borderId="34" applyNumberFormat="0" applyBorder="0" applyAlignment="0" applyProtection="0">
      <alignment horizontal="right" vertical="center" indent="1"/>
    </xf>
    <xf numFmtId="282" fontId="153" fillId="58" borderId="34" applyNumberFormat="0" applyBorder="0" applyAlignment="0" applyProtection="0">
      <alignment horizontal="right" vertical="center" indent="1"/>
    </xf>
    <xf numFmtId="282" fontId="154" fillId="59" borderId="34" applyNumberFormat="0" applyBorder="0" applyAlignment="0" applyProtection="0">
      <alignment horizontal="right" vertical="center" indent="1"/>
    </xf>
    <xf numFmtId="282" fontId="154" fillId="60" borderId="34" applyNumberFormat="0" applyBorder="0" applyAlignment="0" applyProtection="0">
      <alignment horizontal="right" vertical="center" indent="1"/>
    </xf>
    <xf numFmtId="282" fontId="154" fillId="61" borderId="34" applyNumberFormat="0" applyBorder="0" applyAlignment="0" applyProtection="0">
      <alignment horizontal="right" vertical="center" indent="1"/>
    </xf>
    <xf numFmtId="0" fontId="155" fillId="0" borderId="31" applyNumberFormat="0" applyFont="0" applyFill="0" applyAlignment="0" applyProtection="0"/>
    <xf numFmtId="282" fontId="156" fillId="49" borderId="0" applyNumberFormat="0" applyAlignment="0" applyProtection="0">
      <alignment horizontal="left" vertical="center" indent="1"/>
    </xf>
    <xf numFmtId="0" fontId="155" fillId="0" borderId="35" applyNumberFormat="0" applyFont="0" applyFill="0" applyAlignment="0" applyProtection="0"/>
    <xf numFmtId="282" fontId="149" fillId="0" borderId="32" applyNumberFormat="0" applyFill="0" applyBorder="0" applyAlignment="0" applyProtection="0">
      <alignment horizontal="right" vertical="center"/>
    </xf>
    <xf numFmtId="282" fontId="149" fillId="49" borderId="31" applyNumberFormat="0" applyAlignment="0" applyProtection="0">
      <alignment horizontal="left" vertical="center" indent="1"/>
    </xf>
    <xf numFmtId="0" fontId="148" fillId="48" borderId="33" applyNumberFormat="0" applyAlignment="0" applyProtection="0">
      <alignment horizontal="left" vertical="center" indent="1"/>
    </xf>
    <xf numFmtId="0" fontId="150" fillId="62" borderId="31" applyNumberFormat="0" applyAlignment="0" applyProtection="0">
      <alignment horizontal="left" vertical="center" indent="1"/>
    </xf>
    <xf numFmtId="0" fontId="150" fillId="63" borderId="31" applyNumberFormat="0" applyAlignment="0" applyProtection="0">
      <alignment horizontal="left" vertical="center" indent="1"/>
    </xf>
    <xf numFmtId="0" fontId="150" fillId="64" borderId="31" applyNumberFormat="0" applyAlignment="0" applyProtection="0">
      <alignment horizontal="left" vertical="center" indent="1"/>
    </xf>
    <xf numFmtId="0" fontId="150" fillId="52" borderId="31" applyNumberFormat="0" applyAlignment="0" applyProtection="0">
      <alignment horizontal="left" vertical="center" indent="1"/>
    </xf>
    <xf numFmtId="0" fontId="150" fillId="51" borderId="33" applyNumberFormat="0" applyAlignment="0" applyProtection="0">
      <alignment horizontal="left" vertical="center" indent="1"/>
    </xf>
    <xf numFmtId="0" fontId="157" fillId="0" borderId="36" applyNumberFormat="0" applyFill="0" applyBorder="0" applyAlignment="0" applyProtection="0"/>
    <xf numFmtId="0" fontId="158" fillId="0" borderId="36" applyNumberFormat="0" applyBorder="0" applyAlignment="0" applyProtection="0"/>
    <xf numFmtId="0" fontId="157" fillId="50" borderId="33" applyNumberFormat="0" applyAlignment="0">
      <alignment horizontal="left" vertical="center" indent="1"/>
      <protection locked="0"/>
    </xf>
    <xf numFmtId="0" fontId="157" fillId="50" borderId="33" applyNumberFormat="0" applyAlignment="0">
      <alignment horizontal="left" vertical="center" indent="1"/>
      <protection locked="0"/>
    </xf>
    <xf numFmtId="0" fontId="157" fillId="51" borderId="33" applyNumberFormat="0" applyAlignment="0" applyProtection="0">
      <alignment horizontal="left" vertical="center" indent="1"/>
    </xf>
    <xf numFmtId="282" fontId="159" fillId="51" borderId="33" applyNumberFormat="0" applyProtection="0">
      <alignment horizontal="right" vertical="center"/>
    </xf>
    <xf numFmtId="282" fontId="160" fillId="52" borderId="32" applyNumberFormat="0" applyBorder="0">
      <alignment horizontal="right" vertical="center"/>
      <protection locked="0"/>
    </xf>
    <xf numFmtId="282" fontId="159" fillId="52" borderId="33" applyNumberFormat="0" applyBorder="0">
      <alignment horizontal="right" vertical="center"/>
      <protection locked="0"/>
    </xf>
    <xf numFmtId="282" fontId="149" fillId="0" borderId="32" applyNumberFormat="0" applyFill="0" applyBorder="0" applyAlignment="0" applyProtection="0">
      <alignment horizontal="right" vertical="center"/>
    </xf>
    <xf numFmtId="0" fontId="13" fillId="0" borderId="0"/>
    <xf numFmtId="0" fontId="12" fillId="0" borderId="0"/>
    <xf numFmtId="0" fontId="161" fillId="0" borderId="0"/>
    <xf numFmtId="0" fontId="22" fillId="0" borderId="0" applyNumberFormat="0" applyFill="0" applyBorder="0" applyAlignment="0" applyProtection="0"/>
    <xf numFmtId="0" fontId="30" fillId="0" borderId="0" applyNumberFormat="0" applyFill="0" applyBorder="0" applyAlignment="0" applyProtection="0"/>
    <xf numFmtId="0" fontId="48" fillId="0" borderId="1" applyNumberFormat="0" applyFill="0" applyProtection="0">
      <alignment horizontal="center" wrapText="1"/>
    </xf>
    <xf numFmtId="0" fontId="23" fillId="0" borderId="0" applyNumberFormat="0" applyFont="0" applyFill="0" applyBorder="0" applyProtection="0">
      <alignment horizontal="left" indent="1"/>
    </xf>
    <xf numFmtId="37" fontId="23" fillId="0" borderId="0" applyFont="0" applyFill="0" applyBorder="0" applyAlignment="0" applyProtection="0"/>
    <xf numFmtId="37" fontId="23" fillId="0" borderId="1" applyFont="0" applyFill="0" applyAlignment="0" applyProtection="0"/>
    <xf numFmtId="0" fontId="48" fillId="0" borderId="0" applyNumberFormat="0" applyFill="0" applyBorder="0" applyAlignment="0" applyProtection="0"/>
    <xf numFmtId="37" fontId="23" fillId="0" borderId="14" applyFont="0" applyFill="0" applyAlignment="0" applyProtection="0"/>
    <xf numFmtId="174" fontId="43" fillId="0" borderId="0" applyProtection="0"/>
    <xf numFmtId="0" fontId="11" fillId="0" borderId="0"/>
    <xf numFmtId="0" fontId="11" fillId="0" borderId="0"/>
    <xf numFmtId="0" fontId="11" fillId="0" borderId="0"/>
    <xf numFmtId="0" fontId="124" fillId="0" borderId="0"/>
    <xf numFmtId="0" fontId="162" fillId="0" borderId="0"/>
    <xf numFmtId="0" fontId="23" fillId="0" borderId="0"/>
    <xf numFmtId="0" fontId="163" fillId="0" borderId="0"/>
    <xf numFmtId="0" fontId="11" fillId="0" borderId="0"/>
    <xf numFmtId="43" fontId="162" fillId="0" borderId="0" applyFont="0" applyFill="0" applyBorder="0" applyAlignment="0" applyProtection="0"/>
    <xf numFmtId="0" fontId="10" fillId="0" borderId="0"/>
    <xf numFmtId="43" fontId="10" fillId="0" borderId="0" applyFont="0" applyFill="0" applyBorder="0" applyAlignment="0" applyProtection="0"/>
    <xf numFmtId="0" fontId="23" fillId="0" borderId="0"/>
    <xf numFmtId="281" fontId="164" fillId="66" borderId="37">
      <alignment horizontal="center"/>
    </xf>
    <xf numFmtId="0" fontId="164" fillId="66" borderId="37">
      <alignment horizontal="center"/>
    </xf>
    <xf numFmtId="37" fontId="165" fillId="44" borderId="38" applyProtection="0">
      <alignment horizontal="center"/>
    </xf>
    <xf numFmtId="3" fontId="166" fillId="65" borderId="30" applyProtection="0">
      <alignment horizontal="center"/>
    </xf>
    <xf numFmtId="37" fontId="165" fillId="67" borderId="37">
      <alignment horizont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21" fillId="68" borderId="0"/>
    <xf numFmtId="0" fontId="9" fillId="0" borderId="0"/>
    <xf numFmtId="43" fontId="9" fillId="0" borderId="0" applyFont="0" applyFill="0" applyBorder="0" applyAlignment="0" applyProtection="0"/>
    <xf numFmtId="37" fontId="23" fillId="0" borderId="7" applyFont="0" applyFill="0" applyAlignment="0" applyProtection="0"/>
    <xf numFmtId="37" fontId="23" fillId="0" borderId="39" applyFont="0" applyFill="0" applyAlignment="0" applyProtection="0"/>
    <xf numFmtId="37" fontId="23" fillId="0" borderId="8" applyFont="0" applyFill="0" applyAlignment="0" applyProtection="0"/>
    <xf numFmtId="10" fontId="23" fillId="0" borderId="0" applyFont="0" applyFill="0" applyBorder="0" applyAlignment="0" applyProtection="0"/>
    <xf numFmtId="0" fontId="9" fillId="0" borderId="0"/>
    <xf numFmtId="43" fontId="9" fillId="0" borderId="0" applyFont="0" applyFill="0" applyBorder="0" applyAlignment="0" applyProtection="0"/>
    <xf numFmtId="0" fontId="21" fillId="68" borderId="0"/>
    <xf numFmtId="0" fontId="167" fillId="69" borderId="0" applyNumberFormat="0" applyBorder="0" applyAlignment="0" applyProtection="0"/>
    <xf numFmtId="0" fontId="19" fillId="70" borderId="0" applyNumberFormat="0" applyBorder="0" applyAlignment="0" applyProtection="0"/>
    <xf numFmtId="0" fontId="19" fillId="71" borderId="0" applyNumberFormat="0" applyBorder="0" applyAlignment="0" applyProtection="0"/>
    <xf numFmtId="0" fontId="167" fillId="72" borderId="0" applyNumberFormat="0" applyBorder="0" applyAlignment="0" applyProtection="0"/>
    <xf numFmtId="0" fontId="167" fillId="73" borderId="0" applyNumberFormat="0" applyBorder="0" applyAlignment="0" applyProtection="0"/>
    <xf numFmtId="0" fontId="19" fillId="74" borderId="0" applyNumberFormat="0" applyBorder="0" applyAlignment="0" applyProtection="0"/>
    <xf numFmtId="0" fontId="19" fillId="75" borderId="0" applyNumberFormat="0" applyBorder="0" applyAlignment="0" applyProtection="0"/>
    <xf numFmtId="0" fontId="167" fillId="76" borderId="0" applyNumberFormat="0" applyBorder="0" applyAlignment="0" applyProtection="0"/>
    <xf numFmtId="0" fontId="167" fillId="77" borderId="0" applyNumberFormat="0" applyBorder="0" applyAlignment="0" applyProtection="0"/>
    <xf numFmtId="0" fontId="19" fillId="78" borderId="0" applyNumberFormat="0" applyBorder="0" applyAlignment="0" applyProtection="0"/>
    <xf numFmtId="0" fontId="19" fillId="79" borderId="0" applyNumberFormat="0" applyBorder="0" applyAlignment="0" applyProtection="0"/>
    <xf numFmtId="0" fontId="167" fillId="80" borderId="0" applyNumberFormat="0" applyBorder="0" applyAlignment="0" applyProtection="0"/>
    <xf numFmtId="0" fontId="167" fillId="81" borderId="0" applyNumberFormat="0" applyBorder="0" applyAlignment="0" applyProtection="0"/>
    <xf numFmtId="0" fontId="19" fillId="74" borderId="0" applyNumberFormat="0" applyBorder="0" applyAlignment="0" applyProtection="0"/>
    <xf numFmtId="0" fontId="19" fillId="82" borderId="0" applyNumberFormat="0" applyBorder="0" applyAlignment="0" applyProtection="0"/>
    <xf numFmtId="0" fontId="167" fillId="75" borderId="0" applyNumberFormat="0" applyBorder="0" applyAlignment="0" applyProtection="0"/>
    <xf numFmtId="0" fontId="167" fillId="72" borderId="0" applyNumberFormat="0" applyBorder="0" applyAlignment="0" applyProtection="0"/>
    <xf numFmtId="0" fontId="19" fillId="83" borderId="0" applyNumberFormat="0" applyBorder="0" applyAlignment="0" applyProtection="0"/>
    <xf numFmtId="0" fontId="19" fillId="84" borderId="0" applyNumberFormat="0" applyBorder="0" applyAlignment="0" applyProtection="0"/>
    <xf numFmtId="0" fontId="167" fillId="72" borderId="0" applyNumberFormat="0" applyBorder="0" applyAlignment="0" applyProtection="0"/>
    <xf numFmtId="0" fontId="167" fillId="85" borderId="0" applyNumberFormat="0" applyBorder="0" applyAlignment="0" applyProtection="0"/>
    <xf numFmtId="0" fontId="19" fillId="86" borderId="0" applyNumberFormat="0" applyBorder="0" applyAlignment="0" applyProtection="0"/>
    <xf numFmtId="0" fontId="19" fillId="87" borderId="0" applyNumberFormat="0" applyBorder="0" applyAlignment="0" applyProtection="0"/>
    <xf numFmtId="0" fontId="167" fillId="88" borderId="0" applyNumberFormat="0" applyBorder="0" applyAlignment="0" applyProtection="0"/>
    <xf numFmtId="0" fontId="168" fillId="86" borderId="0" applyNumberFormat="0" applyBorder="0" applyAlignment="0" applyProtection="0"/>
    <xf numFmtId="0" fontId="169" fillId="89" borderId="40" applyNumberFormat="0" applyAlignment="0" applyProtection="0"/>
    <xf numFmtId="0" fontId="170" fillId="81" borderId="41" applyNumberFormat="0" applyAlignment="0" applyProtection="0"/>
    <xf numFmtId="0" fontId="171" fillId="90" borderId="0" applyNumberFormat="0" applyBorder="0" applyAlignment="0" applyProtection="0"/>
    <xf numFmtId="0" fontId="171" fillId="91" borderId="0" applyNumberFormat="0" applyBorder="0" applyAlignment="0" applyProtection="0"/>
    <xf numFmtId="0" fontId="171" fillId="92" borderId="0" applyNumberFormat="0" applyBorder="0" applyAlignment="0" applyProtection="0"/>
    <xf numFmtId="0" fontId="19" fillId="79" borderId="0" applyNumberFormat="0" applyBorder="0" applyAlignment="0" applyProtection="0"/>
    <xf numFmtId="0" fontId="172" fillId="0" borderId="42" applyNumberFormat="0" applyFill="0" applyAlignment="0" applyProtection="0"/>
    <xf numFmtId="0" fontId="173" fillId="0" borderId="43" applyNumberFormat="0" applyFill="0" applyAlignment="0" applyProtection="0"/>
    <xf numFmtId="0" fontId="174" fillId="0" borderId="44" applyNumberFormat="0" applyFill="0" applyAlignment="0" applyProtection="0"/>
    <xf numFmtId="0" fontId="174" fillId="0" borderId="0" applyNumberFormat="0" applyFill="0" applyBorder="0" applyAlignment="0" applyProtection="0"/>
    <xf numFmtId="0" fontId="175" fillId="87" borderId="40" applyNumberFormat="0" applyAlignment="0" applyProtection="0"/>
    <xf numFmtId="0" fontId="176" fillId="0" borderId="45" applyNumberFormat="0" applyFill="0" applyAlignment="0" applyProtection="0"/>
    <xf numFmtId="0" fontId="176" fillId="87" borderId="0" applyNumberFormat="0" applyBorder="0" applyAlignment="0" applyProtection="0"/>
    <xf numFmtId="0" fontId="21" fillId="86" borderId="40" applyNumberFormat="0" applyFont="0" applyAlignment="0" applyProtection="0"/>
    <xf numFmtId="0" fontId="177" fillId="89" borderId="46" applyNumberFormat="0" applyAlignment="0" applyProtection="0"/>
    <xf numFmtId="0" fontId="150" fillId="50" borderId="33" applyNumberFormat="0" applyAlignment="0" applyProtection="0">
      <alignment horizontal="left" vertical="center" indent="1"/>
    </xf>
    <xf numFmtId="0" fontId="150" fillId="50" borderId="33" applyNumberFormat="0" applyAlignment="0" applyProtection="0">
      <alignment horizontal="left" vertical="center" indent="1"/>
    </xf>
    <xf numFmtId="0" fontId="157" fillId="50" borderId="33" applyNumberFormat="0" applyAlignment="0" applyProtection="0">
      <alignment horizontal="left" vertical="center" indent="1"/>
    </xf>
    <xf numFmtId="0" fontId="157" fillId="50" borderId="33" applyNumberFormat="0" applyAlignment="0" applyProtection="0">
      <alignment horizontal="left" vertical="center" indent="1"/>
    </xf>
    <xf numFmtId="282" fontId="160" fillId="52" borderId="32" applyNumberFormat="0" applyBorder="0" applyProtection="0">
      <alignment horizontal="right" vertical="center"/>
    </xf>
    <xf numFmtId="282" fontId="159" fillId="52" borderId="33" applyNumberFormat="0" applyBorder="0" applyProtection="0">
      <alignment horizontal="right" vertical="center"/>
    </xf>
    <xf numFmtId="0" fontId="158" fillId="0" borderId="36" applyBorder="0" applyAlignment="0" applyProtection="0"/>
    <xf numFmtId="282" fontId="180" fillId="55" borderId="34" applyNumberFormat="0" applyBorder="0" applyAlignment="0" applyProtection="0">
      <alignment horizontal="right" vertical="center" indent="1"/>
    </xf>
    <xf numFmtId="282" fontId="181" fillId="58" borderId="34" applyNumberFormat="0" applyBorder="0" applyAlignment="0" applyProtection="0">
      <alignment horizontal="right" vertical="center" indent="1"/>
    </xf>
    <xf numFmtId="282" fontId="182" fillId="60" borderId="34" applyNumberFormat="0" applyBorder="0" applyAlignment="0" applyProtection="0">
      <alignment horizontal="right" vertical="center" indent="1"/>
    </xf>
    <xf numFmtId="282" fontId="149" fillId="52" borderId="32" applyNumberFormat="0" applyBorder="0" applyProtection="0">
      <alignment horizontal="right" vertical="center"/>
    </xf>
    <xf numFmtId="282" fontId="148" fillId="52" borderId="33" applyNumberFormat="0" applyBorder="0" applyProtection="0">
      <alignment horizontal="right" vertical="center"/>
    </xf>
    <xf numFmtId="0" fontId="178" fillId="0" borderId="0" applyNumberFormat="0" applyFill="0" applyBorder="0" applyAlignment="0" applyProtection="0"/>
    <xf numFmtId="0" fontId="171" fillId="0" borderId="47" applyNumberFormat="0" applyFill="0" applyAlignment="0" applyProtection="0"/>
    <xf numFmtId="0" fontId="179" fillId="0" borderId="0" applyNumberFormat="0" applyFill="0" applyBorder="0" applyAlignment="0" applyProtection="0"/>
    <xf numFmtId="43" fontId="21" fillId="0" borderId="0" applyFont="0" applyFill="0" applyBorder="0" applyAlignment="0" applyProtection="0"/>
    <xf numFmtId="0" fontId="48" fillId="0" borderId="0" applyFill="0" applyBorder="0" applyProtection="0">
      <alignment horizontal="center" wrapText="1"/>
    </xf>
    <xf numFmtId="0" fontId="183" fillId="68" borderId="0"/>
    <xf numFmtId="0" fontId="167" fillId="69" borderId="0" applyNumberFormat="0" applyBorder="0" applyAlignment="0" applyProtection="0"/>
    <xf numFmtId="0" fontId="167" fillId="73" borderId="0" applyNumberFormat="0" applyBorder="0" applyAlignment="0" applyProtection="0"/>
    <xf numFmtId="0" fontId="167" fillId="77" borderId="0" applyNumberFormat="0" applyBorder="0" applyAlignment="0" applyProtection="0"/>
    <xf numFmtId="0" fontId="167" fillId="81" borderId="0" applyNumberFormat="0" applyBorder="0" applyAlignment="0" applyProtection="0"/>
    <xf numFmtId="0" fontId="167" fillId="72" borderId="0" applyNumberFormat="0" applyBorder="0" applyAlignment="0" applyProtection="0"/>
    <xf numFmtId="0" fontId="167" fillId="85" borderId="0" applyNumberFormat="0" applyBorder="0" applyAlignment="0" applyProtection="0"/>
    <xf numFmtId="0" fontId="175" fillId="87" borderId="40" applyNumberFormat="0" applyAlignment="0" applyProtection="0"/>
    <xf numFmtId="0" fontId="21" fillId="86" borderId="40" applyNumberFormat="0" applyFont="0" applyAlignment="0" applyProtection="0"/>
    <xf numFmtId="0" fontId="167" fillId="85" borderId="0" applyNumberFormat="0" applyBorder="0" applyAlignment="0" applyProtection="0"/>
    <xf numFmtId="0" fontId="167" fillId="72" borderId="0" applyNumberFormat="0" applyBorder="0" applyAlignment="0" applyProtection="0"/>
    <xf numFmtId="0" fontId="167" fillId="77" borderId="0" applyNumberFormat="0" applyBorder="0" applyAlignment="0" applyProtection="0"/>
    <xf numFmtId="0" fontId="167" fillId="73" borderId="0" applyNumberFormat="0" applyBorder="0" applyAlignment="0" applyProtection="0"/>
    <xf numFmtId="0" fontId="167" fillId="69" borderId="0" applyNumberFormat="0" applyBorder="0" applyAlignment="0" applyProtection="0"/>
    <xf numFmtId="0" fontId="183" fillId="68" borderId="0"/>
    <xf numFmtId="0" fontId="167" fillId="81" borderId="0" applyNumberFormat="0" applyBorder="0" applyAlignment="0" applyProtection="0"/>
    <xf numFmtId="0" fontId="175" fillId="87" borderId="40" applyNumberFormat="0" applyAlignment="0" applyProtection="0"/>
    <xf numFmtId="43" fontId="21" fillId="0" borderId="0" applyFont="0" applyFill="0" applyBorder="0" applyAlignment="0" applyProtection="0"/>
    <xf numFmtId="43" fontId="21" fillId="0" borderId="0" applyFont="0" applyFill="0" applyBorder="0" applyAlignment="0" applyProtection="0"/>
    <xf numFmtId="284" fontId="23" fillId="0" borderId="48" applyFont="0" applyFill="0" applyAlignment="0" applyProtection="0"/>
    <xf numFmtId="0" fontId="48" fillId="0" borderId="0" applyFill="0" applyBorder="0" applyAlignment="0" applyProtection="0"/>
    <xf numFmtId="284" fontId="23" fillId="0" borderId="0" applyFont="0" applyFill="0" applyBorder="0" applyAlignment="0" applyProtection="0"/>
    <xf numFmtId="284" fontId="23" fillId="0" borderId="1" applyFont="0" applyFill="0" applyAlignment="0" applyProtection="0"/>
    <xf numFmtId="0" fontId="23" fillId="0" borderId="0" applyFont="0" applyFill="0" applyBorder="0" applyProtection="0">
      <alignment horizontal="left" indent="1"/>
    </xf>
    <xf numFmtId="0" fontId="48" fillId="0" borderId="1" applyFill="0" applyProtection="0">
      <alignment horizontal="center" wrapText="1"/>
    </xf>
    <xf numFmtId="0" fontId="30" fillId="0" borderId="0" applyFill="0" applyBorder="0" applyAlignment="0" applyProtection="0"/>
    <xf numFmtId="0" fontId="22" fillId="0" borderId="0" applyFill="0" applyBorder="0" applyAlignment="0" applyProtection="0"/>
    <xf numFmtId="0" fontId="8" fillId="0" borderId="0"/>
    <xf numFmtId="0" fontId="8" fillId="0" borderId="0"/>
    <xf numFmtId="0" fontId="8" fillId="0" borderId="0"/>
    <xf numFmtId="284" fontId="23" fillId="0" borderId="39" applyFont="0" applyFill="0" applyAlignment="0" applyProtection="0"/>
    <xf numFmtId="284" fontId="23" fillId="0" borderId="49" applyFont="0" applyFill="0" applyAlignment="0" applyProtection="0"/>
    <xf numFmtId="284" fontId="23" fillId="0" borderId="7" applyFont="0" applyFill="0" applyAlignment="0" applyProtection="0"/>
    <xf numFmtId="0" fontId="7" fillId="0" borderId="0"/>
    <xf numFmtId="0" fontId="23" fillId="0" borderId="0"/>
    <xf numFmtId="9"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0" fontId="48" fillId="0" borderId="0" applyNumberFormat="0" applyFill="0" applyBorder="0" applyProtection="0">
      <alignment horizontal="center" wrapText="1"/>
    </xf>
    <xf numFmtId="0" fontId="23" fillId="0" borderId="0"/>
    <xf numFmtId="43" fontId="23" fillId="0" borderId="0" applyFont="0" applyFill="0" applyBorder="0" applyAlignment="0" applyProtection="0"/>
    <xf numFmtId="37" fontId="23" fillId="0" borderId="49" applyFont="0" applyFill="0" applyAlignment="0" applyProtection="0"/>
    <xf numFmtId="9" fontId="23" fillId="0" borderId="0" applyFont="0" applyFill="0" applyBorder="0" applyAlignment="0" applyProtection="0"/>
    <xf numFmtId="10" fontId="23" fillId="0" borderId="7" applyFont="0" applyFill="0" applyAlignment="0" applyProtection="0"/>
    <xf numFmtId="10" fontId="23" fillId="0" borderId="39" applyFont="0" applyFill="0" applyAlignment="0" applyProtection="0"/>
    <xf numFmtId="10" fontId="23" fillId="0" borderId="49" applyFont="0" applyFill="0" applyAlignment="0" applyProtection="0"/>
    <xf numFmtId="10" fontId="23" fillId="0" borderId="1" applyFont="0" applyFill="0" applyAlignment="0" applyProtection="0"/>
    <xf numFmtId="10" fontId="23" fillId="0" borderId="48" applyFont="0" applyFill="0" applyAlignment="0" applyProtection="0"/>
    <xf numFmtId="44" fontId="23" fillId="0" borderId="0" applyFont="0" applyFill="0" applyBorder="0" applyAlignment="0" applyProtection="0"/>
    <xf numFmtId="0" fontId="6" fillId="0" borderId="0"/>
    <xf numFmtId="227" fontId="63" fillId="0" borderId="0"/>
    <xf numFmtId="43" fontId="63" fillId="0" borderId="0" applyFont="0" applyFill="0" applyBorder="0" applyAlignment="0" applyProtection="0"/>
    <xf numFmtId="0" fontId="30" fillId="0" borderId="0"/>
    <xf numFmtId="0" fontId="6" fillId="0" borderId="0"/>
    <xf numFmtId="174" fontId="184" fillId="0" borderId="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166" fillId="0" borderId="0"/>
    <xf numFmtId="0" fontId="3" fillId="0" borderId="0"/>
    <xf numFmtId="0" fontId="188" fillId="93" borderId="0">
      <alignment horizontal="center" vertical="center" wrapText="1"/>
    </xf>
    <xf numFmtId="0" fontId="189" fillId="94" borderId="0">
      <alignment horizontal="center" vertical="center" wrapText="1"/>
    </xf>
    <xf numFmtId="37" fontId="166" fillId="44" borderId="38" applyProtection="0">
      <alignment horizontal="center"/>
    </xf>
    <xf numFmtId="37" fontId="166" fillId="67" borderId="37">
      <alignment horizontal="center"/>
    </xf>
    <xf numFmtId="0" fontId="166" fillId="65" borderId="30" applyProtection="0">
      <alignment horizontal="center"/>
    </xf>
    <xf numFmtId="37" fontId="166" fillId="65" borderId="30" applyProtection="0">
      <alignment horizontal="center"/>
    </xf>
    <xf numFmtId="9" fontId="3" fillId="0" borderId="0" applyFont="0" applyFill="0" applyBorder="0" applyAlignment="0" applyProtection="0"/>
    <xf numFmtId="44" fontId="3" fillId="0" borderId="0" applyFont="0" applyFill="0" applyBorder="0" applyAlignment="0" applyProtection="0"/>
    <xf numFmtId="0" fontId="124" fillId="0" borderId="0"/>
    <xf numFmtId="0" fontId="2" fillId="0" borderId="0"/>
    <xf numFmtId="43" fontId="2" fillId="0" borderId="0" applyFont="0" applyFill="0" applyBorder="0" applyAlignment="0" applyProtection="0"/>
    <xf numFmtId="0" fontId="124" fillId="0" borderId="0"/>
    <xf numFmtId="285" fontId="23" fillId="0" borderId="0"/>
    <xf numFmtId="285" fontId="23" fillId="0" borderId="0"/>
    <xf numFmtId="285" fontId="23" fillId="0" borderId="0"/>
    <xf numFmtId="285" fontId="23" fillId="0" borderId="0"/>
    <xf numFmtId="285" fontId="23" fillId="0" borderId="0"/>
    <xf numFmtId="285" fontId="23" fillId="0" borderId="0"/>
    <xf numFmtId="0" fontId="190" fillId="0" borderId="0"/>
    <xf numFmtId="174" fontId="43" fillId="0" borderId="0" applyProtection="0"/>
    <xf numFmtId="0" fontId="148" fillId="48" borderId="31" applyNumberFormat="0" applyAlignment="0" applyProtection="0">
      <alignment horizontal="left" vertical="center" indent="1"/>
    </xf>
    <xf numFmtId="0" fontId="150" fillId="62" borderId="31" applyNumberFormat="0" applyAlignment="0" applyProtection="0">
      <alignment horizontal="left" vertical="center" indent="1"/>
    </xf>
    <xf numFmtId="282" fontId="149" fillId="49" borderId="31" applyNumberFormat="0" applyAlignment="0" applyProtection="0">
      <alignment horizontal="left" vertical="center" indent="1"/>
    </xf>
    <xf numFmtId="0" fontId="148" fillId="48" borderId="33" applyNumberFormat="0" applyAlignment="0" applyProtection="0">
      <alignment horizontal="left" vertical="center" indent="1"/>
    </xf>
    <xf numFmtId="282" fontId="149" fillId="0" borderId="32" applyNumberFormat="0" applyProtection="0">
      <alignment horizontal="right" vertical="center"/>
    </xf>
    <xf numFmtId="282" fontId="148" fillId="0" borderId="33" applyNumberFormat="0" applyProtection="0">
      <alignment horizontal="right" vertical="center"/>
    </xf>
    <xf numFmtId="174" fontId="25" fillId="0" borderId="52" applyFill="0"/>
    <xf numFmtId="0" fontId="25" fillId="0" borderId="51">
      <alignment horizontal="left" vertical="center"/>
    </xf>
    <xf numFmtId="0" fontId="58" fillId="7" borderId="53" applyNumberFormat="0" applyAlignment="0" applyProtection="0"/>
    <xf numFmtId="10" fontId="21" fillId="8" borderId="53"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53" applyNumberFormat="0" applyFont="0" applyBorder="0">
      <alignment horizontal="right"/>
    </xf>
    <xf numFmtId="245" fontId="88" fillId="0" borderId="51" applyNumberFormat="0" applyFont="0" applyFill="0" applyAlignment="0" applyProtection="0"/>
    <xf numFmtId="0" fontId="23" fillId="0" borderId="52" applyNumberFormat="0" applyFont="0" applyFill="0" applyAlignment="0" applyProtection="0"/>
    <xf numFmtId="275" fontId="70" fillId="0" borderId="51" applyFont="0" applyFill="0" applyBorder="0" applyAlignment="0" applyProtection="0">
      <alignment horizontal="right"/>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37" fontId="23" fillId="0" borderId="51" applyFont="0" applyFill="0" applyAlignment="0" applyProtection="0"/>
    <xf numFmtId="37" fontId="23" fillId="0" borderId="54" applyFont="0" applyFill="0" applyAlignment="0" applyProtection="0"/>
    <xf numFmtId="0" fontId="2" fillId="0" borderId="0"/>
    <xf numFmtId="43" fontId="2" fillId="0" borderId="0" applyFont="0" applyFill="0" applyBorder="0" applyAlignment="0" applyProtection="0"/>
    <xf numFmtId="0" fontId="169" fillId="89" borderId="55" applyNumberFormat="0" applyAlignment="0" applyProtection="0"/>
    <xf numFmtId="0" fontId="175" fillId="87" borderId="55" applyNumberFormat="0" applyAlignment="0" applyProtection="0"/>
    <xf numFmtId="0" fontId="21" fillId="86" borderId="55" applyNumberFormat="0" applyFont="0" applyAlignment="0" applyProtection="0"/>
    <xf numFmtId="0" fontId="177" fillId="89" borderId="56" applyNumberFormat="0" applyAlignment="0" applyProtection="0"/>
    <xf numFmtId="0" fontId="171" fillId="0" borderId="57" applyNumberFormat="0" applyFill="0" applyAlignment="0" applyProtection="0"/>
    <xf numFmtId="284" fontId="23" fillId="0" borderId="58" applyFont="0" applyFill="0" applyAlignment="0" applyProtection="0"/>
    <xf numFmtId="284" fontId="23" fillId="0" borderId="54" applyFont="0" applyFill="0" applyAlignment="0" applyProtection="0"/>
    <xf numFmtId="284" fontId="23" fillId="0" borderId="51" applyFont="0" applyFill="0" applyAlignment="0" applyProtection="0"/>
    <xf numFmtId="0" fontId="2" fillId="0" borderId="0"/>
    <xf numFmtId="9" fontId="2" fillId="0" borderId="0" applyFont="0" applyFill="0" applyBorder="0" applyAlignment="0" applyProtection="0"/>
    <xf numFmtId="0" fontId="23" fillId="0" borderId="0"/>
    <xf numFmtId="284" fontId="23" fillId="0" borderId="14" applyFont="0" applyFill="0" applyAlignment="0" applyProtection="0"/>
    <xf numFmtId="43" fontId="19"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0" fontId="2" fillId="0" borderId="0"/>
    <xf numFmtId="0" fontId="12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809">
    <xf numFmtId="174" fontId="0" fillId="0" borderId="0" xfId="0" applyAlignment="1"/>
    <xf numFmtId="0" fontId="63" fillId="0" borderId="0" xfId="212" applyFont="1"/>
    <xf numFmtId="0" fontId="70" fillId="0" borderId="0" xfId="212" applyFont="1" applyAlignment="1">
      <alignment horizontal="centerContinuous"/>
    </xf>
    <xf numFmtId="0" fontId="70" fillId="0" borderId="0" xfId="212" applyFont="1" applyAlignment="1">
      <alignment horizontal="center" wrapText="1"/>
    </xf>
    <xf numFmtId="0" fontId="70" fillId="0" borderId="0" xfId="206" applyFont="1" applyFill="1" applyBorder="1" applyAlignment="1">
      <alignment horizontal="center" wrapText="1"/>
    </xf>
    <xf numFmtId="0" fontId="63" fillId="0" borderId="0" xfId="212" quotePrefix="1" applyFont="1" applyAlignment="1">
      <alignment horizontal="left"/>
    </xf>
    <xf numFmtId="41" fontId="63" fillId="14" borderId="0" xfId="212" applyNumberFormat="1" applyFont="1" applyFill="1"/>
    <xf numFmtId="0" fontId="63" fillId="0" borderId="0" xfId="212" applyFont="1" applyAlignment="1">
      <alignment horizontal="right"/>
    </xf>
    <xf numFmtId="43" fontId="63" fillId="0" borderId="14" xfId="59" applyFont="1" applyBorder="1"/>
    <xf numFmtId="37" fontId="63" fillId="0" borderId="0" xfId="212" applyNumberFormat="1" applyFont="1"/>
    <xf numFmtId="0" fontId="70" fillId="0" borderId="0" xfId="212" applyFont="1" applyAlignment="1">
      <alignment horizontal="centerContinuous" wrapText="1"/>
    </xf>
    <xf numFmtId="0" fontId="70" fillId="0" borderId="0" xfId="212" applyFont="1" applyAlignment="1">
      <alignment horizontal="center"/>
    </xf>
    <xf numFmtId="174" fontId="63" fillId="0" borderId="0" xfId="0" applyFont="1" applyAlignment="1">
      <alignment wrapText="1"/>
    </xf>
    <xf numFmtId="0" fontId="93" fillId="0" borderId="0" xfId="0" applyNumberFormat="1" applyFont="1" applyAlignment="1">
      <alignment horizontal="center"/>
    </xf>
    <xf numFmtId="174" fontId="93" fillId="0" borderId="0" xfId="0" applyFont="1" applyAlignment="1"/>
    <xf numFmtId="174" fontId="63" fillId="0" borderId="0" xfId="0" applyFont="1" applyAlignment="1"/>
    <xf numFmtId="174" fontId="63" fillId="0" borderId="0" xfId="207" applyFont="1" applyAlignment="1"/>
    <xf numFmtId="174" fontId="93" fillId="0" borderId="0" xfId="0" applyFont="1" applyAlignment="1">
      <alignment horizontal="center"/>
    </xf>
    <xf numFmtId="175" fontId="63" fillId="0" borderId="0" xfId="59" applyNumberFormat="1" applyFont="1" applyAlignment="1"/>
    <xf numFmtId="0" fontId="63" fillId="0" borderId="0" xfId="201" applyNumberFormat="1" applyFont="1" applyFill="1" applyBorder="1" applyAlignment="1" applyProtection="1">
      <protection locked="0"/>
    </xf>
    <xf numFmtId="0" fontId="63" fillId="0" borderId="0" xfId="201" applyNumberFormat="1" applyFont="1" applyFill="1" applyBorder="1" applyAlignment="1" applyProtection="1">
      <alignment horizontal="center"/>
      <protection locked="0"/>
    </xf>
    <xf numFmtId="0" fontId="63" fillId="14" borderId="0" xfId="201" applyNumberFormat="1" applyFont="1" applyFill="1" applyAlignment="1">
      <alignment horizontal="right"/>
    </xf>
    <xf numFmtId="3" fontId="63" fillId="0" borderId="0" xfId="201" applyNumberFormat="1" applyFont="1" applyFill="1" applyBorder="1" applyAlignment="1"/>
    <xf numFmtId="3" fontId="63" fillId="0" borderId="0" xfId="201" applyNumberFormat="1" applyFont="1" applyFill="1" applyBorder="1" applyAlignment="1">
      <alignment horizontal="center"/>
    </xf>
    <xf numFmtId="0" fontId="63" fillId="0" borderId="0" xfId="201" applyNumberFormat="1" applyFont="1" applyFill="1" applyBorder="1" applyProtection="1">
      <protection locked="0"/>
    </xf>
    <xf numFmtId="174" fontId="63" fillId="0" borderId="0" xfId="201" applyFont="1" applyFill="1" applyBorder="1" applyAlignment="1"/>
    <xf numFmtId="0" fontId="63" fillId="0" borderId="0" xfId="201" applyNumberFormat="1" applyFont="1" applyFill="1" applyBorder="1"/>
    <xf numFmtId="43" fontId="63" fillId="0" borderId="0" xfId="59" applyFont="1" applyAlignment="1"/>
    <xf numFmtId="0" fontId="63" fillId="0" borderId="0" xfId="211" applyNumberFormat="1" applyFont="1" applyAlignment="1" applyProtection="1">
      <protection locked="0"/>
    </xf>
    <xf numFmtId="3" fontId="63" fillId="0" borderId="0" xfId="211" applyNumberFormat="1" applyFont="1" applyAlignment="1"/>
    <xf numFmtId="3" fontId="63" fillId="0" borderId="8" xfId="211" applyNumberFormat="1" applyFont="1" applyBorder="1" applyAlignment="1">
      <alignment horizontal="center"/>
    </xf>
    <xf numFmtId="0" fontId="63" fillId="0" borderId="0" xfId="211" applyNumberFormat="1" applyFont="1" applyAlignment="1"/>
    <xf numFmtId="3" fontId="63" fillId="0" borderId="0" xfId="211" applyNumberFormat="1" applyFont="1" applyAlignment="1">
      <alignment horizontal="center"/>
    </xf>
    <xf numFmtId="0" fontId="63" fillId="0" borderId="8" xfId="211" applyNumberFormat="1" applyFont="1" applyBorder="1" applyAlignment="1" applyProtection="1">
      <alignment horizontal="center"/>
      <protection locked="0"/>
    </xf>
    <xf numFmtId="174" fontId="63" fillId="0" borderId="0" xfId="211" applyFont="1" applyFill="1" applyAlignment="1"/>
    <xf numFmtId="169" fontId="63" fillId="0" borderId="0" xfId="211" applyNumberFormat="1" applyFont="1" applyAlignment="1"/>
    <xf numFmtId="174" fontId="63" fillId="0" borderId="0" xfId="211" applyFont="1" applyAlignment="1"/>
    <xf numFmtId="3" fontId="63" fillId="0" borderId="0" xfId="211" applyNumberFormat="1" applyFont="1" applyFill="1" applyAlignment="1"/>
    <xf numFmtId="166" fontId="63" fillId="0" borderId="0" xfId="211" applyNumberFormat="1" applyFont="1" applyAlignment="1">
      <alignment horizontal="center"/>
    </xf>
    <xf numFmtId="164" fontId="63" fillId="0" borderId="0" xfId="211" applyNumberFormat="1" applyFont="1" applyAlignment="1">
      <alignment horizontal="left"/>
    </xf>
    <xf numFmtId="0" fontId="63" fillId="0" borderId="0" xfId="211" applyNumberFormat="1" applyFont="1" applyFill="1" applyAlignment="1"/>
    <xf numFmtId="164" fontId="63" fillId="0" borderId="0" xfId="211" applyNumberFormat="1" applyFont="1" applyFill="1" applyAlignment="1">
      <alignment horizontal="left"/>
    </xf>
    <xf numFmtId="175" fontId="63" fillId="0" borderId="0" xfId="59" applyNumberFormat="1" applyFont="1" applyBorder="1" applyAlignment="1"/>
    <xf numFmtId="10" fontId="63" fillId="0" borderId="0" xfId="211" applyNumberFormat="1" applyFont="1" applyFill="1" applyAlignment="1">
      <alignment horizontal="left"/>
    </xf>
    <xf numFmtId="3" fontId="63" fillId="0" borderId="0" xfId="188" applyNumberFormat="1" applyFont="1" applyAlignment="1"/>
    <xf numFmtId="166" fontId="63" fillId="0" borderId="0" xfId="188" applyNumberFormat="1" applyFont="1" applyAlignment="1"/>
    <xf numFmtId="0" fontId="63" fillId="0" borderId="0" xfId="188" applyFont="1" applyAlignment="1"/>
    <xf numFmtId="43" fontId="63" fillId="0" borderId="8" xfId="59" applyFont="1" applyBorder="1" applyAlignment="1"/>
    <xf numFmtId="164" fontId="63" fillId="0" borderId="0" xfId="211" applyNumberFormat="1" applyFont="1" applyFill="1" applyAlignment="1" applyProtection="1">
      <alignment horizontal="left"/>
      <protection locked="0"/>
    </xf>
    <xf numFmtId="174" fontId="63" fillId="14" borderId="0" xfId="201" applyFont="1" applyFill="1" applyBorder="1" applyAlignment="1"/>
    <xf numFmtId="174" fontId="63" fillId="0" borderId="1" xfId="201" applyFont="1" applyFill="1" applyBorder="1" applyAlignment="1"/>
    <xf numFmtId="174" fontId="63" fillId="0" borderId="15" xfId="201" applyFont="1" applyFill="1" applyBorder="1" applyAlignment="1"/>
    <xf numFmtId="175" fontId="63" fillId="0" borderId="0" xfId="59" applyNumberFormat="1" applyFont="1" applyFill="1" applyBorder="1" applyAlignment="1"/>
    <xf numFmtId="43" fontId="63" fillId="0" borderId="0" xfId="59" applyFont="1" applyFill="1" applyBorder="1" applyAlignment="1"/>
    <xf numFmtId="174" fontId="94" fillId="0" borderId="0" xfId="201" applyFont="1" applyFill="1" applyBorder="1" applyAlignment="1"/>
    <xf numFmtId="174" fontId="63" fillId="0" borderId="0" xfId="201" applyFont="1" applyFill="1" applyBorder="1" applyAlignment="1">
      <alignment horizontal="center"/>
    </xf>
    <xf numFmtId="174" fontId="63" fillId="0" borderId="0" xfId="201" applyFont="1" applyFill="1" applyBorder="1" applyAlignment="1">
      <alignment horizontal="right"/>
    </xf>
    <xf numFmtId="0" fontId="63" fillId="0" borderId="0" xfId="188" applyFont="1" applyFill="1"/>
    <xf numFmtId="0" fontId="63" fillId="0" borderId="0" xfId="201" applyNumberFormat="1" applyFont="1" applyFill="1" applyAlignment="1">
      <alignment horizontal="right"/>
    </xf>
    <xf numFmtId="0" fontId="95" fillId="0" borderId="0" xfId="201" applyNumberFormat="1" applyFont="1" applyFill="1" applyBorder="1"/>
    <xf numFmtId="0" fontId="95" fillId="0" borderId="0" xfId="201" applyNumberFormat="1" applyFont="1" applyFill="1" applyBorder="1" applyAlignment="1">
      <alignment horizontal="center"/>
    </xf>
    <xf numFmtId="49" fontId="63" fillId="0" borderId="0" xfId="201" applyNumberFormat="1" applyFont="1" applyFill="1" applyBorder="1"/>
    <xf numFmtId="3" fontId="63" fillId="0" borderId="0" xfId="201" applyNumberFormat="1" applyFont="1" applyFill="1" applyBorder="1"/>
    <xf numFmtId="0" fontId="63" fillId="0" borderId="0" xfId="201" applyNumberFormat="1" applyFont="1" applyFill="1" applyBorder="1" applyAlignment="1">
      <alignment horizontal="center"/>
    </xf>
    <xf numFmtId="49" fontId="63" fillId="0" borderId="0" xfId="201" applyNumberFormat="1" applyFont="1" applyFill="1" applyBorder="1" applyAlignment="1">
      <alignment horizontal="center"/>
    </xf>
    <xf numFmtId="0" fontId="63" fillId="0" borderId="0" xfId="201" applyNumberFormat="1" applyFont="1" applyFill="1" applyBorder="1" applyAlignment="1"/>
    <xf numFmtId="3" fontId="70" fillId="0" borderId="0" xfId="201" applyNumberFormat="1" applyFont="1" applyFill="1" applyBorder="1" applyAlignment="1">
      <alignment horizontal="center"/>
    </xf>
    <xf numFmtId="174" fontId="70" fillId="0" borderId="0" xfId="201" applyFont="1" applyFill="1" applyBorder="1" applyAlignment="1">
      <alignment horizontal="center"/>
    </xf>
    <xf numFmtId="0" fontId="70" fillId="0" borderId="0" xfId="201" applyNumberFormat="1" applyFont="1" applyFill="1" applyBorder="1" applyAlignment="1" applyProtection="1">
      <alignment horizontal="center"/>
      <protection locked="0"/>
    </xf>
    <xf numFmtId="0" fontId="70" fillId="0" borderId="0" xfId="201" applyNumberFormat="1" applyFont="1" applyFill="1" applyBorder="1" applyAlignment="1">
      <alignment horizontal="center"/>
    </xf>
    <xf numFmtId="0" fontId="70" fillId="0" borderId="0" xfId="201" applyNumberFormat="1" applyFont="1" applyFill="1" applyBorder="1" applyAlignment="1"/>
    <xf numFmtId="0" fontId="96" fillId="0" borderId="0" xfId="201" applyNumberFormat="1" applyFont="1" applyFill="1" applyBorder="1" applyAlignment="1" applyProtection="1">
      <alignment horizontal="center"/>
      <protection locked="0"/>
    </xf>
    <xf numFmtId="3" fontId="63" fillId="0" borderId="0" xfId="201" applyNumberFormat="1" applyFont="1" applyFill="1" applyBorder="1" applyAlignment="1">
      <alignment horizontal="left"/>
    </xf>
    <xf numFmtId="179" fontId="63" fillId="0" borderId="0" xfId="59" applyNumberFormat="1" applyFont="1" applyFill="1" applyBorder="1" applyAlignment="1"/>
    <xf numFmtId="10" fontId="97" fillId="0" borderId="0" xfId="266" applyNumberFormat="1" applyFont="1" applyFill="1" applyBorder="1" applyAlignment="1"/>
    <xf numFmtId="10" fontId="70" fillId="0" borderId="0" xfId="201" applyNumberFormat="1" applyFont="1" applyFill="1" applyBorder="1" applyAlignment="1"/>
    <xf numFmtId="3" fontId="70" fillId="0" borderId="0" xfId="201" applyNumberFormat="1" applyFont="1" applyFill="1" applyBorder="1" applyAlignment="1"/>
    <xf numFmtId="165" fontId="70" fillId="0" borderId="0" xfId="201" applyNumberFormat="1" applyFont="1" applyFill="1" applyBorder="1" applyAlignment="1"/>
    <xf numFmtId="10" fontId="63" fillId="0" borderId="0" xfId="201" applyNumberFormat="1" applyFont="1" applyFill="1" applyBorder="1" applyAlignment="1"/>
    <xf numFmtId="43" fontId="97" fillId="0" borderId="0" xfId="59" applyFont="1" applyFill="1" applyBorder="1" applyAlignment="1"/>
    <xf numFmtId="43" fontId="63" fillId="0" borderId="0" xfId="59" applyFont="1" applyFill="1" applyBorder="1" applyAlignment="1">
      <alignment horizontal="center"/>
    </xf>
    <xf numFmtId="49" fontId="70" fillId="0" borderId="0" xfId="201" applyNumberFormat="1" applyFont="1" applyFill="1" applyBorder="1" applyAlignment="1">
      <alignment horizontal="center"/>
    </xf>
    <xf numFmtId="174" fontId="70" fillId="0" borderId="0" xfId="201" applyFont="1" applyFill="1" applyBorder="1" applyAlignment="1"/>
    <xf numFmtId="3" fontId="70" fillId="0" borderId="0" xfId="201" applyNumberFormat="1" applyFont="1" applyFill="1" applyBorder="1" applyAlignment="1">
      <alignment horizontal="left"/>
    </xf>
    <xf numFmtId="43" fontId="70" fillId="0" borderId="0" xfId="59" applyFont="1" applyFill="1" applyBorder="1" applyAlignment="1"/>
    <xf numFmtId="10" fontId="70" fillId="0" borderId="0" xfId="266" applyNumberFormat="1" applyFont="1" applyFill="1" applyBorder="1" applyAlignment="1"/>
    <xf numFmtId="0" fontId="63" fillId="0" borderId="0" xfId="201" applyNumberFormat="1" applyFont="1" applyFill="1" applyBorder="1" applyAlignment="1">
      <alignment horizontal="fill"/>
    </xf>
    <xf numFmtId="174" fontId="98" fillId="0" borderId="0" xfId="201" applyFont="1" applyFill="1" applyBorder="1" applyAlignment="1"/>
    <xf numFmtId="3" fontId="98" fillId="0" borderId="0" xfId="201" applyNumberFormat="1" applyFont="1" applyFill="1" applyBorder="1" applyAlignment="1"/>
    <xf numFmtId="164" fontId="63" fillId="0" borderId="0" xfId="201" applyNumberFormat="1" applyFont="1" applyFill="1" applyBorder="1" applyAlignment="1">
      <alignment horizontal="left"/>
    </xf>
    <xf numFmtId="164" fontId="63" fillId="0" borderId="0" xfId="201" applyNumberFormat="1" applyFont="1" applyFill="1" applyBorder="1" applyAlignment="1">
      <alignment horizontal="center"/>
    </xf>
    <xf numFmtId="170" fontId="63" fillId="0" borderId="0" xfId="201" applyNumberFormat="1" applyFont="1" applyFill="1" applyBorder="1" applyAlignment="1"/>
    <xf numFmtId="0" fontId="98" fillId="0" borderId="0" xfId="201" applyNumberFormat="1" applyFont="1" applyFill="1" applyBorder="1"/>
    <xf numFmtId="49" fontId="63" fillId="0" borderId="0" xfId="201" applyNumberFormat="1" applyFont="1" applyFill="1" applyBorder="1" applyAlignment="1">
      <alignment horizontal="left"/>
    </xf>
    <xf numFmtId="0" fontId="63" fillId="0" borderId="0" xfId="201" applyNumberFormat="1" applyFont="1" applyFill="1" applyBorder="1" applyAlignment="1">
      <alignment horizontal="right"/>
    </xf>
    <xf numFmtId="177" fontId="70" fillId="0" borderId="0" xfId="201" applyNumberFormat="1" applyFont="1" applyFill="1" applyBorder="1" applyAlignment="1">
      <alignment horizontal="center"/>
    </xf>
    <xf numFmtId="174" fontId="70" fillId="0" borderId="16" xfId="201" applyFont="1" applyFill="1" applyBorder="1" applyAlignment="1">
      <alignment horizontal="center" wrapText="1"/>
    </xf>
    <xf numFmtId="174" fontId="70" fillId="0" borderId="7" xfId="201" applyFont="1" applyFill="1" applyBorder="1" applyAlignment="1"/>
    <xf numFmtId="174" fontId="70" fillId="0" borderId="7" xfId="201" applyFont="1" applyFill="1" applyBorder="1" applyAlignment="1">
      <alignment horizontal="center" wrapText="1"/>
    </xf>
    <xf numFmtId="0" fontId="70" fillId="0" borderId="7" xfId="201" applyNumberFormat="1" applyFont="1" applyFill="1" applyBorder="1" applyAlignment="1">
      <alignment horizontal="center" wrapText="1"/>
    </xf>
    <xf numFmtId="174" fontId="70" fillId="0" borderId="9" xfId="201" applyFont="1" applyFill="1" applyBorder="1" applyAlignment="1">
      <alignment horizontal="center" wrapText="1"/>
    </xf>
    <xf numFmtId="3" fontId="70" fillId="0" borderId="9" xfId="201" applyNumberFormat="1" applyFont="1" applyFill="1" applyBorder="1" applyAlignment="1">
      <alignment horizontal="center" wrapText="1"/>
    </xf>
    <xf numFmtId="0" fontId="63" fillId="0" borderId="16" xfId="201" applyNumberFormat="1" applyFont="1" applyFill="1" applyBorder="1"/>
    <xf numFmtId="0" fontId="63" fillId="0" borderId="7" xfId="201" applyNumberFormat="1" applyFont="1" applyFill="1" applyBorder="1"/>
    <xf numFmtId="0" fontId="63" fillId="0" borderId="7" xfId="201" applyNumberFormat="1" applyFont="1" applyFill="1" applyBorder="1" applyAlignment="1">
      <alignment horizontal="center"/>
    </xf>
    <xf numFmtId="0" fontId="63" fillId="0" borderId="9" xfId="201" applyNumberFormat="1" applyFont="1" applyFill="1" applyBorder="1" applyAlignment="1">
      <alignment horizontal="center"/>
    </xf>
    <xf numFmtId="3" fontId="63" fillId="0" borderId="9" xfId="201" applyNumberFormat="1" applyFont="1" applyFill="1" applyBorder="1" applyAlignment="1">
      <alignment horizontal="center" wrapText="1"/>
    </xf>
    <xf numFmtId="3" fontId="63" fillId="0" borderId="7" xfId="201" applyNumberFormat="1" applyFont="1" applyFill="1" applyBorder="1" applyAlignment="1">
      <alignment horizontal="center"/>
    </xf>
    <xf numFmtId="0" fontId="63" fillId="0" borderId="10" xfId="201" applyNumberFormat="1" applyFont="1" applyFill="1" applyBorder="1"/>
    <xf numFmtId="0" fontId="63" fillId="0" borderId="11" xfId="201" applyNumberFormat="1" applyFont="1" applyFill="1" applyBorder="1"/>
    <xf numFmtId="3" fontId="63" fillId="0" borderId="11" xfId="201" applyNumberFormat="1" applyFont="1" applyFill="1" applyBorder="1" applyAlignment="1"/>
    <xf numFmtId="174" fontId="63" fillId="0" borderId="10" xfId="209" applyFont="1" applyFill="1" applyBorder="1" applyAlignment="1"/>
    <xf numFmtId="174" fontId="63" fillId="0" borderId="0" xfId="209" applyFont="1" applyFill="1" applyBorder="1" applyAlignment="1"/>
    <xf numFmtId="174" fontId="63" fillId="14" borderId="0" xfId="209" applyFont="1" applyFill="1" applyBorder="1" applyAlignment="1"/>
    <xf numFmtId="0" fontId="63" fillId="14" borderId="0" xfId="59" applyNumberFormat="1" applyFont="1" applyFill="1" applyBorder="1" applyAlignment="1"/>
    <xf numFmtId="176" fontId="63" fillId="14" borderId="0" xfId="93" applyNumberFormat="1" applyFont="1" applyFill="1" applyBorder="1" applyAlignment="1"/>
    <xf numFmtId="43" fontId="63" fillId="0" borderId="11" xfId="59" applyFont="1" applyFill="1" applyBorder="1" applyAlignment="1"/>
    <xf numFmtId="174" fontId="63" fillId="0" borderId="10" xfId="201" applyFont="1" applyFill="1" applyBorder="1" applyAlignment="1"/>
    <xf numFmtId="174" fontId="63" fillId="0" borderId="17" xfId="201" applyFont="1" applyFill="1" applyBorder="1" applyAlignment="1"/>
    <xf numFmtId="175" fontId="63" fillId="0" borderId="0" xfId="59" applyNumberFormat="1" applyFont="1" applyFill="1" applyBorder="1" applyAlignment="1">
      <alignment horizontal="center"/>
    </xf>
    <xf numFmtId="1" fontId="63" fillId="0" borderId="0" xfId="59" applyNumberFormat="1" applyFont="1" applyFill="1" applyBorder="1" applyAlignment="1">
      <alignment horizontal="center"/>
    </xf>
    <xf numFmtId="174" fontId="63" fillId="0" borderId="8" xfId="201" applyFont="1" applyFill="1" applyBorder="1" applyAlignment="1"/>
    <xf numFmtId="174" fontId="63" fillId="0" borderId="0" xfId="201" applyFont="1" applyFill="1" applyBorder="1" applyAlignment="1">
      <alignment horizontal="center" vertical="top"/>
    </xf>
    <xf numFmtId="49" fontId="93" fillId="0" borderId="0" xfId="0" applyNumberFormat="1" applyFont="1" applyAlignment="1">
      <alignment horizontal="center"/>
    </xf>
    <xf numFmtId="3" fontId="93" fillId="0" borderId="0" xfId="211" applyNumberFormat="1" applyFont="1" applyAlignment="1"/>
    <xf numFmtId="3" fontId="63" fillId="0" borderId="0" xfId="211" applyNumberFormat="1" applyFont="1" applyAlignment="1">
      <alignment wrapText="1"/>
    </xf>
    <xf numFmtId="0" fontId="63" fillId="0" borderId="0" xfId="192" applyFont="1"/>
    <xf numFmtId="0" fontId="63" fillId="0" borderId="0" xfId="192" applyFont="1" applyAlignment="1">
      <alignment horizontal="center"/>
    </xf>
    <xf numFmtId="0" fontId="63" fillId="0" borderId="0" xfId="192" applyFont="1" applyFill="1" applyAlignment="1">
      <alignment horizontal="center"/>
    </xf>
    <xf numFmtId="0" fontId="63" fillId="0" borderId="3" xfId="192" applyFont="1" applyBorder="1"/>
    <xf numFmtId="0" fontId="63" fillId="0" borderId="0" xfId="192" applyFont="1" applyAlignment="1">
      <alignment horizontal="center" wrapText="1"/>
    </xf>
    <xf numFmtId="43" fontId="63" fillId="0" borderId="0" xfId="59" applyFont="1" applyFill="1"/>
    <xf numFmtId="43" fontId="63" fillId="0" borderId="0" xfId="192" applyNumberFormat="1" applyFont="1"/>
    <xf numFmtId="176" fontId="63" fillId="0" borderId="3" xfId="93" applyNumberFormat="1" applyFont="1" applyBorder="1"/>
    <xf numFmtId="0" fontId="63" fillId="0" borderId="0" xfId="192" applyFont="1" applyAlignment="1">
      <alignment horizontal="center" vertical="center" wrapText="1"/>
    </xf>
    <xf numFmtId="0" fontId="63" fillId="0" borderId="0" xfId="192" applyFont="1" applyFill="1" applyAlignment="1">
      <alignment horizontal="center" vertical="center" wrapText="1"/>
    </xf>
    <xf numFmtId="174" fontId="63" fillId="0" borderId="0" xfId="0" applyFont="1" applyAlignment="1">
      <alignment horizontal="center" vertical="center" wrapText="1"/>
    </xf>
    <xf numFmtId="0" fontId="63" fillId="0" borderId="0" xfId="192" applyFont="1" applyAlignment="1">
      <alignment wrapText="1"/>
    </xf>
    <xf numFmtId="0" fontId="92" fillId="0" borderId="0" xfId="192" applyFont="1"/>
    <xf numFmtId="0" fontId="63" fillId="0" borderId="0" xfId="192" applyFont="1" applyAlignment="1">
      <alignment horizontal="left" wrapText="1"/>
    </xf>
    <xf numFmtId="0" fontId="63" fillId="0" borderId="0" xfId="188" applyFont="1"/>
    <xf numFmtId="0" fontId="63" fillId="0" borderId="0" xfId="188" applyFont="1" applyAlignment="1">
      <alignment horizontal="right"/>
    </xf>
    <xf numFmtId="0" fontId="63" fillId="0" borderId="0" xfId="211" applyNumberFormat="1" applyFont="1" applyAlignment="1" applyProtection="1">
      <alignment horizontal="center"/>
      <protection locked="0"/>
    </xf>
    <xf numFmtId="0" fontId="63" fillId="0" borderId="0" xfId="211" applyNumberFormat="1" applyFont="1" applyFill="1" applyAlignment="1" applyProtection="1">
      <protection locked="0"/>
    </xf>
    <xf numFmtId="0" fontId="63" fillId="0" borderId="0" xfId="211" applyNumberFormat="1" applyFont="1" applyFill="1" applyProtection="1">
      <protection locked="0"/>
    </xf>
    <xf numFmtId="0" fontId="63" fillId="14" borderId="0" xfId="188" applyFont="1" applyFill="1"/>
    <xf numFmtId="0" fontId="63" fillId="14" borderId="0" xfId="211" applyNumberFormat="1" applyFont="1" applyFill="1"/>
    <xf numFmtId="0" fontId="63" fillId="0" borderId="0" xfId="211" applyNumberFormat="1" applyFont="1" applyProtection="1">
      <protection locked="0"/>
    </xf>
    <xf numFmtId="0" fontId="63" fillId="0" borderId="0" xfId="211" applyNumberFormat="1" applyFont="1"/>
    <xf numFmtId="0" fontId="101" fillId="0" borderId="0" xfId="211" applyNumberFormat="1" applyFont="1"/>
    <xf numFmtId="49" fontId="63" fillId="0" borderId="0" xfId="211" applyNumberFormat="1" applyFont="1" applyAlignment="1"/>
    <xf numFmtId="49" fontId="63" fillId="0" borderId="0" xfId="211" applyNumberFormat="1" applyFont="1" applyAlignment="1">
      <alignment horizontal="center"/>
    </xf>
    <xf numFmtId="0" fontId="63" fillId="0" borderId="0" xfId="211" applyNumberFormat="1" applyFont="1" applyAlignment="1">
      <alignment horizontal="center"/>
    </xf>
    <xf numFmtId="49" fontId="63" fillId="0" borderId="0" xfId="211" applyNumberFormat="1" applyFont="1"/>
    <xf numFmtId="3" fontId="63" fillId="0" borderId="0" xfId="211" applyNumberFormat="1" applyFont="1"/>
    <xf numFmtId="42" fontId="63" fillId="0" borderId="0" xfId="188" applyNumberFormat="1" applyFont="1"/>
    <xf numFmtId="0" fontId="63" fillId="0" borderId="0" xfId="211" applyNumberFormat="1" applyFont="1" applyFill="1"/>
    <xf numFmtId="0" fontId="63" fillId="0" borderId="8" xfId="211" applyNumberFormat="1" applyFont="1" applyBorder="1" applyAlignment="1" applyProtection="1">
      <alignment horizontal="centerContinuous"/>
      <protection locked="0"/>
    </xf>
    <xf numFmtId="43" fontId="63" fillId="0" borderId="0" xfId="59" applyFont="1" applyFill="1" applyAlignment="1"/>
    <xf numFmtId="3" fontId="63" fillId="0" borderId="0" xfId="211" applyNumberFormat="1" applyFont="1" applyFill="1" applyBorder="1"/>
    <xf numFmtId="3" fontId="63" fillId="0" borderId="0" xfId="211" applyNumberFormat="1" applyFont="1" applyAlignment="1">
      <alignment horizontal="left"/>
    </xf>
    <xf numFmtId="3" fontId="63" fillId="0" borderId="0" xfId="211" applyNumberFormat="1" applyFont="1" applyAlignment="1">
      <alignment horizontal="fill"/>
    </xf>
    <xf numFmtId="166" fontId="63" fillId="0" borderId="0" xfId="211" applyNumberFormat="1" applyFont="1" applyAlignment="1"/>
    <xf numFmtId="42" fontId="63" fillId="0" borderId="18" xfId="211" applyNumberFormat="1" applyFont="1" applyBorder="1" applyAlignment="1" applyProtection="1">
      <alignment horizontal="right"/>
      <protection locked="0"/>
    </xf>
    <xf numFmtId="170" fontId="94" fillId="0" borderId="0" xfId="0" applyNumberFormat="1" applyFont="1" applyAlignment="1"/>
    <xf numFmtId="174" fontId="94" fillId="0" borderId="0" xfId="0" applyFont="1" applyAlignment="1"/>
    <xf numFmtId="0" fontId="63" fillId="0" borderId="0" xfId="206" applyNumberFormat="1" applyFont="1" applyAlignment="1" applyProtection="1">
      <alignment horizontal="center"/>
      <protection locked="0"/>
    </xf>
    <xf numFmtId="0" fontId="63" fillId="0" borderId="0" xfId="206" applyNumberFormat="1" applyFont="1" applyAlignment="1"/>
    <xf numFmtId="0" fontId="63" fillId="0" borderId="0" xfId="206" applyNumberFormat="1" applyFont="1"/>
    <xf numFmtId="0" fontId="63" fillId="0" borderId="0" xfId="206" applyNumberFormat="1" applyFont="1" applyBorder="1" applyAlignment="1"/>
    <xf numFmtId="166" fontId="63" fillId="0" borderId="0" xfId="206" applyNumberFormat="1" applyFont="1" applyAlignment="1"/>
    <xf numFmtId="0" fontId="63" fillId="0" borderId="0" xfId="211" applyNumberFormat="1" applyFont="1" applyFill="1" applyBorder="1"/>
    <xf numFmtId="0" fontId="63" fillId="0" borderId="0" xfId="206" applyFont="1" applyAlignment="1"/>
    <xf numFmtId="3" fontId="63" fillId="0" borderId="0" xfId="206" applyNumberFormat="1" applyFont="1" applyAlignment="1"/>
    <xf numFmtId="42" fontId="63" fillId="0" borderId="18" xfId="206" applyNumberFormat="1" applyFont="1" applyBorder="1" applyAlignment="1" applyProtection="1">
      <alignment horizontal="right"/>
      <protection locked="0"/>
    </xf>
    <xf numFmtId="0" fontId="63" fillId="0" borderId="0" xfId="211" applyNumberFormat="1" applyFont="1" applyFill="1" applyBorder="1" applyAlignment="1" applyProtection="1">
      <alignment horizontal="center"/>
      <protection locked="0"/>
    </xf>
    <xf numFmtId="174" fontId="63" fillId="0" borderId="0" xfId="211" applyFont="1" applyFill="1" applyBorder="1" applyAlignment="1"/>
    <xf numFmtId="0" fontId="63" fillId="0" borderId="0" xfId="211" applyNumberFormat="1" applyFont="1" applyFill="1" applyBorder="1" applyProtection="1">
      <protection locked="0"/>
    </xf>
    <xf numFmtId="0" fontId="63" fillId="0" borderId="0" xfId="211" applyNumberFormat="1" applyFont="1" applyFill="1" applyBorder="1" applyAlignment="1"/>
    <xf numFmtId="0" fontId="63" fillId="0" borderId="0" xfId="211" applyNumberFormat="1" applyFont="1" applyFill="1" applyBorder="1" applyAlignment="1" applyProtection="1">
      <protection locked="0"/>
    </xf>
    <xf numFmtId="168" fontId="63" fillId="0" borderId="0" xfId="188" applyNumberFormat="1" applyFont="1" applyFill="1" applyBorder="1"/>
    <xf numFmtId="168" fontId="63" fillId="0" borderId="0" xfId="211" applyNumberFormat="1" applyFont="1" applyFill="1" applyBorder="1"/>
    <xf numFmtId="168" fontId="63" fillId="0" borderId="0" xfId="211" applyNumberFormat="1" applyFont="1" applyFill="1" applyBorder="1" applyAlignment="1">
      <alignment horizontal="center"/>
    </xf>
    <xf numFmtId="174" fontId="63" fillId="0" borderId="0" xfId="211" applyFont="1" applyFill="1" applyBorder="1" applyAlignment="1">
      <alignment horizontal="center"/>
    </xf>
    <xf numFmtId="0" fontId="63" fillId="0" borderId="0" xfId="211" applyNumberFormat="1" applyFont="1" applyFill="1" applyBorder="1" applyAlignment="1">
      <alignment horizontal="left"/>
    </xf>
    <xf numFmtId="173" fontId="63" fillId="0" borderId="0" xfId="188" applyNumberFormat="1" applyFont="1" applyFill="1" applyBorder="1" applyAlignment="1"/>
    <xf numFmtId="173" fontId="63" fillId="0" borderId="0" xfId="211" applyNumberFormat="1" applyFont="1" applyFill="1" applyBorder="1" applyProtection="1">
      <protection locked="0"/>
    </xf>
    <xf numFmtId="173" fontId="63" fillId="0" borderId="0" xfId="211" applyNumberFormat="1" applyFont="1" applyFill="1" applyProtection="1">
      <protection locked="0"/>
    </xf>
    <xf numFmtId="173" fontId="63" fillId="0" borderId="0" xfId="211" applyNumberFormat="1" applyFont="1" applyProtection="1">
      <protection locked="0"/>
    </xf>
    <xf numFmtId="169" fontId="63" fillId="0" borderId="0" xfId="211" applyNumberFormat="1" applyFont="1"/>
    <xf numFmtId="0" fontId="63" fillId="0" borderId="0" xfId="211" applyNumberFormat="1" applyFont="1" applyAlignment="1">
      <alignment horizontal="right"/>
    </xf>
    <xf numFmtId="0" fontId="92" fillId="0" borderId="0" xfId="211" applyNumberFormat="1" applyFont="1" applyAlignment="1"/>
    <xf numFmtId="3" fontId="70" fillId="0" borderId="0" xfId="211" applyNumberFormat="1" applyFont="1" applyAlignment="1">
      <alignment horizontal="center"/>
    </xf>
    <xf numFmtId="0" fontId="70" fillId="0" borderId="0" xfId="211" applyNumberFormat="1" applyFont="1" applyAlignment="1" applyProtection="1">
      <alignment horizontal="center"/>
      <protection locked="0"/>
    </xf>
    <xf numFmtId="174" fontId="70" fillId="0" borderId="0" xfId="211" applyFont="1" applyAlignment="1">
      <alignment horizontal="center"/>
    </xf>
    <xf numFmtId="3" fontId="70" fillId="0" borderId="0" xfId="211" applyNumberFormat="1" applyFont="1" applyAlignment="1"/>
    <xf numFmtId="0" fontId="70" fillId="0" borderId="0" xfId="211" applyNumberFormat="1" applyFont="1" applyAlignment="1"/>
    <xf numFmtId="175" fontId="63" fillId="14" borderId="0" xfId="59" applyNumberFormat="1" applyFont="1" applyFill="1" applyAlignment="1"/>
    <xf numFmtId="165" fontId="63" fillId="0" borderId="0" xfId="211" applyNumberFormat="1" applyFont="1" applyAlignment="1"/>
    <xf numFmtId="175" fontId="63" fillId="14" borderId="8" xfId="59" applyNumberFormat="1" applyFont="1" applyFill="1" applyBorder="1" applyAlignment="1"/>
    <xf numFmtId="175" fontId="63" fillId="0" borderId="8" xfId="59" applyNumberFormat="1" applyFont="1" applyBorder="1" applyAlignment="1"/>
    <xf numFmtId="43" fontId="63" fillId="0" borderId="0" xfId="59" applyFont="1" applyAlignment="1">
      <alignment horizontal="center"/>
    </xf>
    <xf numFmtId="164" fontId="63" fillId="0" borderId="0" xfId="211" applyNumberFormat="1" applyFont="1" applyAlignment="1">
      <alignment horizontal="center"/>
    </xf>
    <xf numFmtId="165" fontId="63" fillId="0" borderId="0" xfId="188" applyNumberFormat="1" applyFont="1" applyFill="1" applyAlignment="1">
      <alignment horizontal="right"/>
    </xf>
    <xf numFmtId="175" fontId="63" fillId="14" borderId="0" xfId="59" applyNumberFormat="1" applyFont="1" applyFill="1" applyBorder="1" applyAlignment="1"/>
    <xf numFmtId="185" fontId="63" fillId="0" borderId="0" xfId="59" applyNumberFormat="1" applyFont="1" applyAlignment="1"/>
    <xf numFmtId="3" fontId="63" fillId="0" borderId="0" xfId="206" applyNumberFormat="1" applyFont="1" applyBorder="1" applyAlignment="1"/>
    <xf numFmtId="3" fontId="63" fillId="0" borderId="0" xfId="206" applyNumberFormat="1" applyFont="1" applyFill="1" applyBorder="1" applyAlignment="1"/>
    <xf numFmtId="185" fontId="63" fillId="0" borderId="0" xfId="59" applyNumberFormat="1" applyFont="1" applyFill="1" applyBorder="1" applyAlignment="1"/>
    <xf numFmtId="0" fontId="63" fillId="0" borderId="0" xfId="206" applyFont="1" applyFill="1" applyBorder="1" applyAlignment="1"/>
    <xf numFmtId="3" fontId="63" fillId="0" borderId="0" xfId="206" applyNumberFormat="1" applyFont="1" applyFill="1" applyAlignment="1"/>
    <xf numFmtId="185" fontId="63" fillId="0" borderId="0" xfId="59" applyNumberFormat="1" applyFont="1" applyBorder="1" applyAlignment="1"/>
    <xf numFmtId="3" fontId="63" fillId="0" borderId="0" xfId="211" quotePrefix="1" applyNumberFormat="1" applyFont="1" applyAlignment="1">
      <alignment horizontal="left"/>
    </xf>
    <xf numFmtId="175" fontId="63" fillId="0" borderId="0" xfId="59" applyNumberFormat="1" applyFont="1" applyFill="1" applyAlignment="1"/>
    <xf numFmtId="3" fontId="63" fillId="0" borderId="0" xfId="188" applyNumberFormat="1" applyFont="1" applyFill="1" applyAlignment="1"/>
    <xf numFmtId="0" fontId="63" fillId="0" borderId="0" xfId="188" applyNumberFormat="1" applyFont="1"/>
    <xf numFmtId="175" fontId="63" fillId="0" borderId="18" xfId="59" applyNumberFormat="1" applyFont="1" applyBorder="1" applyAlignment="1"/>
    <xf numFmtId="164" fontId="63" fillId="0" borderId="0" xfId="188" applyNumberFormat="1" applyFont="1" applyAlignment="1">
      <alignment horizontal="center"/>
    </xf>
    <xf numFmtId="3" fontId="63" fillId="0" borderId="0" xfId="188" applyNumberFormat="1" applyFont="1" applyBorder="1" applyAlignment="1"/>
    <xf numFmtId="3" fontId="63" fillId="0" borderId="0" xfId="211" applyNumberFormat="1" applyFont="1" applyAlignment="1">
      <alignment horizontal="right"/>
    </xf>
    <xf numFmtId="0" fontId="63" fillId="0" borderId="0" xfId="206" applyNumberFormat="1" applyFont="1" applyFill="1" applyAlignment="1"/>
    <xf numFmtId="172" fontId="63" fillId="0" borderId="0" xfId="211" applyNumberFormat="1" applyFont="1" applyFill="1" applyAlignment="1">
      <alignment horizontal="left"/>
    </xf>
    <xf numFmtId="184" fontId="63" fillId="0" borderId="0" xfId="59" applyNumberFormat="1" applyFont="1" applyAlignment="1"/>
    <xf numFmtId="184" fontId="63" fillId="0" borderId="0" xfId="59" applyNumberFormat="1" applyFont="1" applyFill="1" applyAlignment="1"/>
    <xf numFmtId="184" fontId="63" fillId="0" borderId="0" xfId="59" applyNumberFormat="1" applyFont="1" applyFill="1" applyBorder="1" applyAlignment="1"/>
    <xf numFmtId="175" fontId="63" fillId="0" borderId="8" xfId="59" applyNumberFormat="1" applyFont="1" applyFill="1" applyBorder="1" applyAlignment="1"/>
    <xf numFmtId="0" fontId="63" fillId="0" borderId="0" xfId="211" applyNumberFormat="1" applyFont="1" applyAlignment="1">
      <alignment wrapText="1"/>
    </xf>
    <xf numFmtId="0" fontId="63" fillId="0" borderId="0" xfId="211" quotePrefix="1" applyNumberFormat="1" applyFont="1" applyAlignment="1">
      <alignment horizontal="left"/>
    </xf>
    <xf numFmtId="175" fontId="63" fillId="0" borderId="0" xfId="59" applyNumberFormat="1" applyFont="1" applyFill="1" applyAlignment="1">
      <alignment horizontal="right"/>
    </xf>
    <xf numFmtId="167" fontId="63" fillId="0" borderId="0" xfId="211" applyNumberFormat="1" applyFont="1" applyAlignment="1"/>
    <xf numFmtId="166" fontId="63" fillId="0" borderId="0" xfId="188" applyNumberFormat="1" applyFont="1" applyAlignment="1">
      <alignment horizontal="center"/>
    </xf>
    <xf numFmtId="164" fontId="63" fillId="0" borderId="0" xfId="211" applyNumberFormat="1" applyFont="1" applyAlignment="1" applyProtection="1">
      <alignment horizontal="left"/>
      <protection locked="0"/>
    </xf>
    <xf numFmtId="175" fontId="63" fillId="0" borderId="14" xfId="59" applyNumberFormat="1" applyFont="1" applyBorder="1" applyAlignment="1"/>
    <xf numFmtId="0" fontId="63" fillId="0" borderId="0" xfId="188" applyNumberFormat="1" applyFont="1" applyAlignment="1"/>
    <xf numFmtId="3" fontId="63" fillId="0" borderId="0" xfId="188" applyNumberFormat="1" applyFont="1" applyFill="1" applyBorder="1" applyAlignment="1"/>
    <xf numFmtId="174" fontId="63" fillId="0" borderId="0" xfId="211" applyFont="1" applyAlignment="1">
      <alignment horizontal="right"/>
    </xf>
    <xf numFmtId="0" fontId="93" fillId="0" borderId="0" xfId="211" applyNumberFormat="1" applyFont="1" applyAlignment="1" applyProtection="1">
      <alignment horizontal="center"/>
      <protection locked="0"/>
    </xf>
    <xf numFmtId="0" fontId="63" fillId="0" borderId="8" xfId="211" applyNumberFormat="1" applyFont="1" applyFill="1" applyBorder="1" applyProtection="1">
      <protection locked="0"/>
    </xf>
    <xf numFmtId="0" fontId="63" fillId="0" borderId="8" xfId="211" applyNumberFormat="1" applyFont="1" applyFill="1" applyBorder="1"/>
    <xf numFmtId="3" fontId="63" fillId="0" borderId="0" xfId="211" applyNumberFormat="1" applyFont="1" applyFill="1" applyAlignment="1">
      <alignment horizontal="center"/>
    </xf>
    <xf numFmtId="49" fontId="63" fillId="0" borderId="0" xfId="211" applyNumberFormat="1" applyFont="1" applyFill="1"/>
    <xf numFmtId="49" fontId="63" fillId="0" borderId="0" xfId="211" applyNumberFormat="1" applyFont="1" applyFill="1" applyAlignment="1"/>
    <xf numFmtId="49" fontId="63" fillId="0" borderId="0" xfId="211" applyNumberFormat="1" applyFont="1" applyFill="1" applyAlignment="1">
      <alignment horizontal="center"/>
    </xf>
    <xf numFmtId="184" fontId="63" fillId="0" borderId="0" xfId="59" applyNumberFormat="1" applyFont="1" applyFill="1" applyAlignment="1">
      <alignment horizontal="right"/>
    </xf>
    <xf numFmtId="3" fontId="63" fillId="0" borderId="8" xfId="211" applyNumberFormat="1" applyFont="1" applyBorder="1" applyAlignment="1"/>
    <xf numFmtId="43" fontId="63" fillId="0" borderId="0" xfId="59" applyNumberFormat="1" applyFont="1" applyAlignment="1"/>
    <xf numFmtId="4" fontId="63" fillId="0" borderId="0" xfId="211" applyNumberFormat="1" applyFont="1" applyAlignment="1"/>
    <xf numFmtId="3" fontId="63" fillId="0" borderId="0" xfId="188" applyNumberFormat="1" applyFont="1" applyBorder="1" applyAlignment="1">
      <alignment horizontal="center"/>
    </xf>
    <xf numFmtId="0" fontId="63" fillId="0" borderId="8" xfId="188" applyNumberFormat="1" applyFont="1" applyBorder="1" applyAlignment="1">
      <alignment horizontal="center"/>
    </xf>
    <xf numFmtId="0" fontId="63" fillId="0" borderId="0" xfId="188" applyNumberFormat="1" applyFont="1" applyAlignment="1">
      <alignment horizontal="center"/>
    </xf>
    <xf numFmtId="166" fontId="63" fillId="0" borderId="0" xfId="211" applyNumberFormat="1" applyFont="1" applyAlignment="1" applyProtection="1">
      <alignment horizontal="center"/>
      <protection locked="0"/>
    </xf>
    <xf numFmtId="185" fontId="63" fillId="0" borderId="0" xfId="59" applyNumberFormat="1" applyFont="1" applyAlignment="1">
      <alignment horizontal="center"/>
    </xf>
    <xf numFmtId="0" fontId="63" fillId="0" borderId="8" xfId="211" applyNumberFormat="1" applyFont="1" applyBorder="1" applyAlignment="1"/>
    <xf numFmtId="174" fontId="63" fillId="0" borderId="0" xfId="211" applyFont="1" applyFill="1" applyAlignment="1">
      <alignment horizontal="center"/>
    </xf>
    <xf numFmtId="3" fontId="63" fillId="0" borderId="0" xfId="211" quotePrefix="1" applyNumberFormat="1" applyFont="1" applyAlignment="1"/>
    <xf numFmtId="175" fontId="63" fillId="0" borderId="0" xfId="59" applyNumberFormat="1" applyFont="1" applyFill="1" applyAlignment="1">
      <alignment horizontal="center"/>
    </xf>
    <xf numFmtId="0" fontId="63" fillId="0" borderId="0" xfId="211" applyNumberFormat="1" applyFont="1" applyBorder="1" applyAlignment="1" applyProtection="1">
      <alignment horizontal="center"/>
      <protection locked="0"/>
    </xf>
    <xf numFmtId="0" fontId="98" fillId="0" borderId="0" xfId="211" applyNumberFormat="1" applyFont="1" applyProtection="1">
      <protection locked="0"/>
    </xf>
    <xf numFmtId="174" fontId="98" fillId="0" borderId="0" xfId="211" applyFont="1" applyAlignment="1"/>
    <xf numFmtId="174" fontId="63" fillId="0" borderId="0" xfId="211" applyFont="1" applyFill="1" applyAlignment="1" applyProtection="1"/>
    <xf numFmtId="179" fontId="63" fillId="14" borderId="0" xfId="59" applyNumberFormat="1" applyFont="1" applyFill="1" applyBorder="1" applyProtection="1">
      <protection locked="0"/>
    </xf>
    <xf numFmtId="38" fontId="63" fillId="0" borderId="0" xfId="211" applyNumberFormat="1" applyFont="1" applyAlignment="1" applyProtection="1"/>
    <xf numFmtId="174" fontId="63" fillId="0" borderId="8" xfId="211" applyFont="1" applyBorder="1" applyAlignment="1"/>
    <xf numFmtId="174" fontId="63" fillId="0" borderId="0" xfId="211" applyFont="1" applyBorder="1" applyAlignment="1"/>
    <xf numFmtId="0" fontId="63" fillId="0" borderId="0" xfId="211" applyNumberFormat="1" applyFont="1" applyBorder="1" applyProtection="1">
      <protection locked="0"/>
    </xf>
    <xf numFmtId="38" fontId="63" fillId="0" borderId="0" xfId="211" applyNumberFormat="1" applyFont="1" applyAlignment="1"/>
    <xf numFmtId="179" fontId="63" fillId="0" borderId="0" xfId="59" applyNumberFormat="1" applyFont="1" applyFill="1" applyBorder="1" applyProtection="1"/>
    <xf numFmtId="170" fontId="63" fillId="0" borderId="0" xfId="211" applyNumberFormat="1" applyFont="1" applyFill="1" applyBorder="1" applyProtection="1"/>
    <xf numFmtId="168" fontId="63" fillId="0" borderId="0" xfId="211" applyNumberFormat="1" applyFont="1" applyProtection="1">
      <protection locked="0"/>
    </xf>
    <xf numFmtId="175" fontId="63" fillId="14" borderId="0" xfId="59" applyNumberFormat="1" applyFont="1" applyFill="1" applyBorder="1" applyProtection="1"/>
    <xf numFmtId="1" fontId="63" fillId="0" borderId="0" xfId="211" applyNumberFormat="1" applyFont="1" applyFill="1" applyProtection="1"/>
    <xf numFmtId="1" fontId="63" fillId="0" borderId="0" xfId="211" applyNumberFormat="1" applyFont="1" applyFill="1" applyAlignment="1" applyProtection="1"/>
    <xf numFmtId="0" fontId="63" fillId="0" borderId="0" xfId="211" applyNumberFormat="1" applyFont="1" applyAlignment="1" applyProtection="1">
      <alignment horizontal="left"/>
      <protection locked="0"/>
    </xf>
    <xf numFmtId="175" fontId="63" fillId="14" borderId="0" xfId="59" applyNumberFormat="1" applyFont="1" applyFill="1" applyBorder="1" applyAlignment="1" applyProtection="1">
      <protection locked="0"/>
    </xf>
    <xf numFmtId="3" fontId="63" fillId="0" borderId="0" xfId="211" applyNumberFormat="1" applyFont="1" applyAlignment="1" applyProtection="1"/>
    <xf numFmtId="0" fontId="63" fillId="0" borderId="8" xfId="188" applyNumberFormat="1" applyFont="1" applyBorder="1" applyAlignment="1">
      <alignment horizontal="left" vertical="center" wrapText="1"/>
    </xf>
    <xf numFmtId="3" fontId="63" fillId="0" borderId="0" xfId="211" applyNumberFormat="1" applyFont="1" applyFill="1" applyAlignment="1" applyProtection="1">
      <alignment horizontal="right"/>
      <protection locked="0"/>
    </xf>
    <xf numFmtId="175" fontId="63" fillId="0" borderId="0" xfId="59" applyNumberFormat="1" applyFont="1" applyFill="1" applyBorder="1" applyAlignment="1" applyProtection="1"/>
    <xf numFmtId="3" fontId="63" fillId="0" borderId="0" xfId="211" applyNumberFormat="1" applyFont="1" applyFill="1" applyAlignment="1" applyProtection="1"/>
    <xf numFmtId="174" fontId="63" fillId="0" borderId="0" xfId="211" applyNumberFormat="1" applyFont="1" applyAlignment="1" applyProtection="1">
      <protection locked="0"/>
    </xf>
    <xf numFmtId="170" fontId="63" fillId="0" borderId="0" xfId="211" applyNumberFormat="1" applyFont="1" applyFill="1" applyBorder="1" applyAlignment="1" applyProtection="1"/>
    <xf numFmtId="170" fontId="63" fillId="0" borderId="0" xfId="211" applyNumberFormat="1" applyFont="1" applyAlignment="1" applyProtection="1">
      <alignment horizontal="right"/>
      <protection locked="0"/>
    </xf>
    <xf numFmtId="170" fontId="63" fillId="0" borderId="0" xfId="211" applyNumberFormat="1" applyFont="1" applyProtection="1">
      <protection locked="0"/>
    </xf>
    <xf numFmtId="0" fontId="63" fillId="0" borderId="0" xfId="211" applyNumberFormat="1" applyFont="1" applyAlignment="1" applyProtection="1">
      <alignment horizontal="left" indent="8"/>
      <protection locked="0"/>
    </xf>
    <xf numFmtId="3" fontId="63" fillId="0" borderId="0" xfId="211" applyNumberFormat="1" applyFont="1" applyAlignment="1">
      <alignment vertical="top" wrapText="1"/>
    </xf>
    <xf numFmtId="0" fontId="63" fillId="0" borderId="0" xfId="211" applyNumberFormat="1" applyFont="1" applyAlignment="1" applyProtection="1">
      <alignment vertical="top" wrapText="1"/>
      <protection locked="0"/>
    </xf>
    <xf numFmtId="174" fontId="63" fillId="0" borderId="0" xfId="0" applyFont="1" applyAlignment="1">
      <alignment horizontal="left"/>
    </xf>
    <xf numFmtId="177" fontId="70" fillId="0" borderId="0" xfId="201" quotePrefix="1" applyNumberFormat="1" applyFont="1" applyFill="1" applyBorder="1" applyAlignment="1">
      <alignment horizontal="center"/>
    </xf>
    <xf numFmtId="174" fontId="63" fillId="0" borderId="0" xfId="211" applyFont="1" applyAlignment="1">
      <alignment horizontal="center"/>
    </xf>
    <xf numFmtId="174" fontId="63" fillId="0" borderId="0" xfId="201" applyFont="1" applyFill="1" applyBorder="1" applyAlignment="1">
      <alignment horizontal="left"/>
    </xf>
    <xf numFmtId="10" fontId="63" fillId="0" borderId="0" xfId="266" applyNumberFormat="1" applyFont="1" applyAlignment="1"/>
    <xf numFmtId="2" fontId="63" fillId="0" borderId="0" xfId="0" applyNumberFormat="1" applyFont="1" applyAlignment="1">
      <alignment horizontal="center"/>
    </xf>
    <xf numFmtId="2" fontId="63" fillId="0" borderId="0" xfId="0" applyNumberFormat="1" applyFont="1" applyAlignment="1"/>
    <xf numFmtId="0" fontId="63" fillId="0" borderId="0" xfId="0" applyNumberFormat="1" applyFont="1" applyAlignment="1"/>
    <xf numFmtId="10" fontId="63" fillId="0" borderId="0" xfId="266" applyNumberFormat="1" applyFont="1" applyAlignment="1">
      <alignment horizontal="center"/>
    </xf>
    <xf numFmtId="0" fontId="63" fillId="0" borderId="0" xfId="187" applyFont="1" applyFill="1" applyBorder="1" applyAlignment="1">
      <alignment horizontal="center"/>
    </xf>
    <xf numFmtId="174" fontId="63" fillId="0" borderId="0" xfId="0" applyFont="1"/>
    <xf numFmtId="174" fontId="63" fillId="0" borderId="0" xfId="0" applyFont="1" applyFill="1" applyAlignment="1"/>
    <xf numFmtId="174" fontId="63" fillId="0" borderId="0" xfId="0" applyFont="1" applyFill="1"/>
    <xf numFmtId="174" fontId="63" fillId="0" borderId="0" xfId="0" applyFont="1" applyFill="1" applyBorder="1"/>
    <xf numFmtId="176" fontId="63" fillId="0" borderId="0" xfId="93" applyNumberFormat="1" applyFont="1" applyFill="1" applyBorder="1"/>
    <xf numFmtId="174" fontId="63" fillId="0" borderId="1" xfId="0" applyFont="1" applyFill="1" applyBorder="1"/>
    <xf numFmtId="176" fontId="63" fillId="0" borderId="1" xfId="93" applyNumberFormat="1" applyFont="1" applyFill="1" applyBorder="1"/>
    <xf numFmtId="174" fontId="63" fillId="0" borderId="0" xfId="0" applyFont="1" applyAlignment="1">
      <alignment horizontal="center"/>
    </xf>
    <xf numFmtId="0" fontId="63" fillId="0" borderId="0" xfId="212" applyFont="1" applyFill="1"/>
    <xf numFmtId="174" fontId="63" fillId="0" borderId="0" xfId="0" applyFont="1" applyAlignment="1">
      <alignment horizontal="right"/>
    </xf>
    <xf numFmtId="174" fontId="25" fillId="0" borderId="0" xfId="201" applyFont="1" applyAlignment="1"/>
    <xf numFmtId="174" fontId="30" fillId="0" borderId="0" xfId="201" applyFont="1" applyAlignment="1"/>
    <xf numFmtId="174" fontId="30" fillId="0" borderId="0" xfId="201" quotePrefix="1" applyFont="1" applyAlignment="1">
      <alignment horizontal="left"/>
    </xf>
    <xf numFmtId="174" fontId="103" fillId="0" borderId="0" xfId="201" quotePrefix="1" applyFont="1" applyAlignment="1">
      <alignment horizontal="left"/>
    </xf>
    <xf numFmtId="174" fontId="30" fillId="0" borderId="0" xfId="201" quotePrefix="1" applyFont="1" applyBorder="1" applyAlignment="1">
      <alignment horizontal="left"/>
    </xf>
    <xf numFmtId="174" fontId="30" fillId="0" borderId="0" xfId="201" applyFont="1" applyBorder="1" applyAlignment="1"/>
    <xf numFmtId="0" fontId="63" fillId="0" borderId="0" xfId="0" applyNumberFormat="1" applyFont="1" applyAlignment="1">
      <alignment horizontal="center"/>
    </xf>
    <xf numFmtId="0" fontId="63" fillId="0" borderId="0" xfId="0" applyNumberFormat="1" applyFont="1" applyAlignment="1">
      <alignment horizontal="center" wrapText="1"/>
    </xf>
    <xf numFmtId="0" fontId="92" fillId="0" borderId="0" xfId="0" applyNumberFormat="1" applyFont="1" applyAlignment="1">
      <alignment horizontal="center"/>
    </xf>
    <xf numFmtId="174" fontId="92" fillId="0" borderId="0" xfId="0" applyFont="1" applyAlignment="1">
      <alignment horizontal="center"/>
    </xf>
    <xf numFmtId="44" fontId="92" fillId="0" borderId="0" xfId="0" applyNumberFormat="1" applyFont="1" applyBorder="1" applyAlignment="1"/>
    <xf numFmtId="0" fontId="63" fillId="0" borderId="0" xfId="211" applyNumberFormat="1" applyFont="1" applyFill="1" applyAlignment="1" applyProtection="1">
      <alignment vertical="top" wrapText="1"/>
      <protection locked="0"/>
    </xf>
    <xf numFmtId="0" fontId="63" fillId="0" borderId="23" xfId="201" applyNumberFormat="1" applyFont="1" applyFill="1" applyBorder="1"/>
    <xf numFmtId="0" fontId="63" fillId="0" borderId="7" xfId="201" applyNumberFormat="1" applyFont="1" applyFill="1" applyBorder="1" applyAlignment="1">
      <alignment horizontal="center" wrapText="1"/>
    </xf>
    <xf numFmtId="175" fontId="0" fillId="0" borderId="0" xfId="59" applyNumberFormat="1" applyFont="1" applyAlignment="1"/>
    <xf numFmtId="0" fontId="30" fillId="0" borderId="0" xfId="201" applyNumberFormat="1" applyFont="1" applyFill="1" applyBorder="1" applyAlignment="1" applyProtection="1">
      <protection locked="0"/>
    </xf>
    <xf numFmtId="0" fontId="30" fillId="0" borderId="0" xfId="201" applyNumberFormat="1" applyFont="1" applyFill="1" applyBorder="1" applyAlignment="1" applyProtection="1">
      <alignment horizontal="center"/>
      <protection locked="0"/>
    </xf>
    <xf numFmtId="3" fontId="30" fillId="0" borderId="0" xfId="201" applyNumberFormat="1" applyFont="1" applyFill="1" applyBorder="1" applyAlignment="1"/>
    <xf numFmtId="0" fontId="30" fillId="0" borderId="0" xfId="201" applyNumberFormat="1" applyFont="1" applyFill="1" applyBorder="1" applyProtection="1">
      <protection locked="0"/>
    </xf>
    <xf numFmtId="174" fontId="43" fillId="0" borderId="0" xfId="201" applyFill="1" applyBorder="1" applyAlignment="1"/>
    <xf numFmtId="0" fontId="30" fillId="0" borderId="0" xfId="201" applyNumberFormat="1" applyFont="1" applyFill="1" applyBorder="1"/>
    <xf numFmtId="174" fontId="53" fillId="0" borderId="0" xfId="0" applyFont="1" applyAlignment="1"/>
    <xf numFmtId="43" fontId="53" fillId="0" borderId="0" xfId="59" applyFont="1" applyAlignment="1"/>
    <xf numFmtId="175" fontId="53" fillId="0" borderId="0" xfId="59" applyNumberFormat="1" applyFont="1" applyAlignment="1" applyProtection="1">
      <alignment horizontal="center"/>
      <protection locked="0"/>
    </xf>
    <xf numFmtId="0" fontId="53" fillId="0" borderId="0" xfId="211" applyNumberFormat="1" applyFont="1" applyAlignment="1" applyProtection="1">
      <protection locked="0"/>
    </xf>
    <xf numFmtId="3" fontId="53" fillId="0" borderId="0" xfId="211" applyNumberFormat="1" applyFont="1" applyAlignment="1"/>
    <xf numFmtId="3" fontId="53" fillId="0" borderId="8" xfId="211" applyNumberFormat="1" applyFont="1" applyBorder="1" applyAlignment="1">
      <alignment horizontal="center"/>
    </xf>
    <xf numFmtId="170" fontId="53" fillId="0" borderId="0" xfId="0" applyNumberFormat="1" applyFont="1" applyAlignment="1"/>
    <xf numFmtId="0" fontId="53" fillId="0" borderId="0" xfId="211" applyNumberFormat="1" applyFont="1" applyAlignment="1"/>
    <xf numFmtId="3" fontId="53" fillId="0" borderId="0" xfId="211" applyNumberFormat="1" applyFont="1" applyAlignment="1">
      <alignment horizontal="center"/>
    </xf>
    <xf numFmtId="0" fontId="53" fillId="0" borderId="8" xfId="211" applyNumberFormat="1" applyFont="1" applyBorder="1" applyAlignment="1" applyProtection="1">
      <alignment horizontal="center"/>
      <protection locked="0"/>
    </xf>
    <xf numFmtId="174" fontId="53" fillId="0" borderId="0" xfId="211" applyFont="1" applyFill="1" applyAlignment="1"/>
    <xf numFmtId="43" fontId="53" fillId="14" borderId="0" xfId="59" applyFont="1" applyFill="1" applyAlignment="1">
      <alignment horizontal="center"/>
    </xf>
    <xf numFmtId="174" fontId="53" fillId="0" borderId="0" xfId="211" applyFont="1" applyAlignment="1"/>
    <xf numFmtId="43" fontId="53" fillId="0" borderId="8" xfId="59" applyFont="1" applyBorder="1" applyAlignment="1">
      <alignment horizontal="center"/>
    </xf>
    <xf numFmtId="43" fontId="53" fillId="0" borderId="0" xfId="59" applyFont="1" applyFill="1" applyAlignment="1">
      <alignment horizontal="center"/>
    </xf>
    <xf numFmtId="3" fontId="53" fillId="0" borderId="0" xfId="211" applyNumberFormat="1" applyFont="1" applyFill="1" applyAlignment="1"/>
    <xf numFmtId="166" fontId="53" fillId="0" borderId="0" xfId="211" applyNumberFormat="1" applyFont="1" applyAlignment="1">
      <alignment horizontal="center"/>
    </xf>
    <xf numFmtId="164" fontId="53" fillId="0" borderId="0" xfId="211" applyNumberFormat="1" applyFont="1" applyAlignment="1">
      <alignment horizontal="left"/>
    </xf>
    <xf numFmtId="0" fontId="53" fillId="0" borderId="0" xfId="211" applyNumberFormat="1" applyFont="1" applyFill="1" applyAlignment="1"/>
    <xf numFmtId="164" fontId="53" fillId="0" borderId="0" xfId="211" applyNumberFormat="1" applyFont="1" applyFill="1" applyAlignment="1">
      <alignment horizontal="left"/>
    </xf>
    <xf numFmtId="43" fontId="53" fillId="0" borderId="0" xfId="59" applyFont="1" applyFill="1" applyAlignment="1">
      <alignment horizontal="right"/>
    </xf>
    <xf numFmtId="175" fontId="53" fillId="0" borderId="0" xfId="59" applyNumberFormat="1" applyFont="1" applyBorder="1" applyAlignment="1"/>
    <xf numFmtId="10" fontId="53" fillId="0" borderId="0" xfId="211" applyNumberFormat="1" applyFont="1" applyFill="1" applyAlignment="1">
      <alignment horizontal="left"/>
    </xf>
    <xf numFmtId="3" fontId="53" fillId="0" borderId="0" xfId="188" applyNumberFormat="1" applyFont="1" applyAlignment="1"/>
    <xf numFmtId="166" fontId="53" fillId="0" borderId="0" xfId="188" applyNumberFormat="1" applyFont="1" applyAlignment="1"/>
    <xf numFmtId="0" fontId="53" fillId="0" borderId="0" xfId="188" applyFont="1" applyAlignment="1"/>
    <xf numFmtId="164" fontId="53" fillId="0" borderId="0" xfId="211" applyNumberFormat="1" applyFont="1" applyFill="1" applyAlignment="1" applyProtection="1">
      <alignment horizontal="left"/>
      <protection locked="0"/>
    </xf>
    <xf numFmtId="43" fontId="53" fillId="0" borderId="1" xfId="59" applyFont="1" applyBorder="1" applyAlignment="1"/>
    <xf numFmtId="0" fontId="63" fillId="0" borderId="0" xfId="212" applyFont="1" applyAlignment="1">
      <alignment horizontal="center"/>
    </xf>
    <xf numFmtId="0" fontId="63" fillId="0" borderId="0" xfId="212" applyFont="1" applyAlignment="1">
      <alignment horizontal="center" wrapText="1"/>
    </xf>
    <xf numFmtId="0" fontId="63" fillId="0" borderId="0" xfId="206" applyFont="1" applyFill="1" applyBorder="1" applyAlignment="1">
      <alignment horizontal="center" wrapText="1"/>
    </xf>
    <xf numFmtId="43" fontId="63" fillId="14" borderId="0" xfId="59" applyFont="1" applyFill="1"/>
    <xf numFmtId="49" fontId="63" fillId="0" borderId="0" xfId="0" applyNumberFormat="1" applyFont="1" applyAlignment="1">
      <alignment horizontal="center"/>
    </xf>
    <xf numFmtId="0" fontId="63" fillId="0" borderId="0" xfId="192" applyFont="1" applyFill="1" applyAlignment="1">
      <alignment horizontal="center" wrapText="1"/>
    </xf>
    <xf numFmtId="0" fontId="63" fillId="0" borderId="0" xfId="211" applyNumberFormat="1" applyFont="1" applyFill="1" applyAlignment="1" applyProtection="1">
      <alignment vertical="top"/>
      <protection locked="0"/>
    </xf>
    <xf numFmtId="174" fontId="63" fillId="0" borderId="0" xfId="211" applyFont="1" applyFill="1" applyAlignment="1">
      <alignment vertical="top" wrapText="1"/>
    </xf>
    <xf numFmtId="0" fontId="63" fillId="0" borderId="0" xfId="188" applyFont="1" applyFill="1" applyAlignment="1">
      <alignment vertical="top" wrapText="1"/>
    </xf>
    <xf numFmtId="0" fontId="63" fillId="0" borderId="0" xfId="188" applyNumberFormat="1" applyFont="1" applyAlignment="1">
      <alignment vertical="top"/>
    </xf>
    <xf numFmtId="0" fontId="63" fillId="0" borderId="0" xfId="211" applyNumberFormat="1" applyFont="1" applyAlignment="1" applyProtection="1">
      <alignment vertical="top"/>
      <protection locked="0"/>
    </xf>
    <xf numFmtId="170" fontId="63" fillId="0" borderId="0" xfId="211" applyNumberFormat="1" applyFont="1" applyFill="1" applyBorder="1" applyAlignment="1" applyProtection="1">
      <alignment vertical="top"/>
    </xf>
    <xf numFmtId="3" fontId="63" fillId="0" borderId="0" xfId="211" applyNumberFormat="1" applyFont="1" applyAlignment="1" applyProtection="1">
      <alignment vertical="top"/>
    </xf>
    <xf numFmtId="3" fontId="63" fillId="0" borderId="0" xfId="211" applyNumberFormat="1" applyFont="1" applyFill="1" applyAlignment="1" applyProtection="1">
      <alignment vertical="top"/>
    </xf>
    <xf numFmtId="174" fontId="63" fillId="0" borderId="0" xfId="0" applyFont="1" applyAlignment="1">
      <alignment vertical="top"/>
    </xf>
    <xf numFmtId="0" fontId="23" fillId="0" borderId="0" xfId="187" applyFont="1" applyBorder="1"/>
    <xf numFmtId="0" fontId="23" fillId="0" borderId="19" xfId="187" applyFont="1" applyBorder="1" applyAlignment="1">
      <alignment horizontal="center"/>
    </xf>
    <xf numFmtId="0" fontId="23" fillId="0" borderId="0" xfId="187" applyFont="1" applyBorder="1" applyAlignment="1">
      <alignment horizontal="center"/>
    </xf>
    <xf numFmtId="0" fontId="23" fillId="0" borderId="0" xfId="187" applyFont="1" applyBorder="1" applyAlignment="1"/>
    <xf numFmtId="0" fontId="104" fillId="0" borderId="0" xfId="187" applyFont="1" applyBorder="1" applyAlignment="1">
      <alignment horizontal="left"/>
    </xf>
    <xf numFmtId="1" fontId="63" fillId="0" borderId="0" xfId="0" applyNumberFormat="1" applyFont="1" applyFill="1" applyAlignment="1">
      <alignment horizontal="center"/>
    </xf>
    <xf numFmtId="49" fontId="63" fillId="0" borderId="0" xfId="0" applyNumberFormat="1" applyFont="1" applyFill="1" applyAlignment="1">
      <alignment horizontal="center"/>
    </xf>
    <xf numFmtId="0" fontId="63" fillId="0" borderId="0" xfId="212" applyFont="1" applyFill="1" applyAlignment="1">
      <alignment horizontal="center"/>
    </xf>
    <xf numFmtId="0" fontId="63" fillId="0" borderId="0" xfId="212" applyFont="1" applyFill="1" applyAlignment="1">
      <alignment horizontal="center" wrapText="1"/>
    </xf>
    <xf numFmtId="175" fontId="53" fillId="0" borderId="0" xfId="59" applyNumberFormat="1" applyFont="1" applyAlignment="1"/>
    <xf numFmtId="174" fontId="105" fillId="0" borderId="0" xfId="0" applyFont="1" applyAlignment="1"/>
    <xf numFmtId="0" fontId="48" fillId="0" borderId="0" xfId="185" applyFont="1" applyAlignment="1">
      <alignment horizontal="center"/>
    </xf>
    <xf numFmtId="175" fontId="63" fillId="0" borderId="0" xfId="59" applyNumberFormat="1" applyFont="1" applyAlignment="1">
      <alignment horizontal="right"/>
    </xf>
    <xf numFmtId="175" fontId="63" fillId="0" borderId="8" xfId="59" applyNumberFormat="1" applyFont="1" applyBorder="1" applyAlignment="1">
      <alignment horizontal="right"/>
    </xf>
    <xf numFmtId="43" fontId="53" fillId="0" borderId="0" xfId="59" applyFont="1" applyAlignment="1">
      <alignment horizontal="right"/>
    </xf>
    <xf numFmtId="174" fontId="63" fillId="0" borderId="0" xfId="0" applyFont="1" applyFill="1" applyAlignment="1">
      <alignment horizontal="center"/>
    </xf>
    <xf numFmtId="174" fontId="30" fillId="0" borderId="0" xfId="201" applyFont="1" applyAlignment="1">
      <alignment horizontal="center"/>
    </xf>
    <xf numFmtId="174" fontId="0" fillId="0" borderId="0" xfId="0" applyFont="1" applyAlignment="1">
      <alignment horizontal="center"/>
    </xf>
    <xf numFmtId="0" fontId="30" fillId="0" borderId="0" xfId="201" applyNumberFormat="1" applyFont="1" applyFill="1" applyBorder="1" applyAlignment="1">
      <alignment horizontal="center"/>
    </xf>
    <xf numFmtId="175" fontId="63" fillId="0" borderId="11" xfId="59" applyNumberFormat="1" applyFont="1" applyFill="1" applyBorder="1" applyAlignment="1"/>
    <xf numFmtId="175" fontId="63" fillId="0" borderId="15" xfId="59" applyNumberFormat="1" applyFont="1" applyFill="1" applyBorder="1" applyAlignment="1"/>
    <xf numFmtId="184" fontId="30" fillId="0" borderId="0" xfId="59" applyNumberFormat="1" applyFont="1" applyFill="1" applyAlignment="1">
      <alignment horizontal="right"/>
    </xf>
    <xf numFmtId="43" fontId="63" fillId="0" borderId="0" xfId="59" applyFont="1" applyAlignment="1">
      <alignment horizontal="fill"/>
    </xf>
    <xf numFmtId="0" fontId="63" fillId="0" borderId="0" xfId="188" applyNumberFormat="1" applyFont="1" applyFill="1" applyAlignment="1">
      <alignment vertical="top"/>
    </xf>
    <xf numFmtId="179" fontId="63" fillId="0" borderId="8" xfId="59" applyNumberFormat="1" applyFont="1" applyFill="1" applyBorder="1" applyProtection="1">
      <protection locked="0"/>
    </xf>
    <xf numFmtId="175" fontId="63" fillId="0" borderId="8" xfId="59" applyNumberFormat="1" applyFont="1" applyFill="1" applyBorder="1" applyAlignment="1" applyProtection="1">
      <protection locked="0"/>
    </xf>
    <xf numFmtId="49" fontId="63" fillId="0" borderId="0" xfId="0" applyNumberFormat="1" applyFont="1" applyAlignment="1">
      <alignment horizontal="center" vertical="center" wrapText="1"/>
    </xf>
    <xf numFmtId="174" fontId="23" fillId="0" borderId="0" xfId="201" applyFont="1" applyFill="1" applyBorder="1" applyAlignment="1"/>
    <xf numFmtId="174" fontId="23" fillId="0" borderId="8" xfId="201" applyFont="1" applyFill="1" applyBorder="1" applyAlignment="1"/>
    <xf numFmtId="174" fontId="23" fillId="0" borderId="0" xfId="201" applyFont="1" applyFill="1" applyBorder="1" applyAlignment="1">
      <alignment horizontal="center" vertical="top"/>
    </xf>
    <xf numFmtId="3" fontId="63" fillId="0" borderId="0" xfId="211" applyNumberFormat="1" applyFont="1" applyFill="1" applyBorder="1" applyAlignment="1">
      <alignment horizontal="center"/>
    </xf>
    <xf numFmtId="3" fontId="63" fillId="0" borderId="0" xfId="211" applyNumberFormat="1" applyFont="1" applyBorder="1" applyAlignment="1">
      <alignment horizontal="center"/>
    </xf>
    <xf numFmtId="3" fontId="53" fillId="0" borderId="0" xfId="0" applyNumberFormat="1" applyFont="1" applyAlignment="1"/>
    <xf numFmtId="3" fontId="53" fillId="0" borderId="8" xfId="0" applyNumberFormat="1" applyFont="1" applyBorder="1" applyAlignment="1">
      <alignment horizontal="center"/>
    </xf>
    <xf numFmtId="3" fontId="53" fillId="0" borderId="0" xfId="0" applyNumberFormat="1" applyFont="1" applyFill="1" applyAlignment="1"/>
    <xf numFmtId="0" fontId="53" fillId="0" borderId="0" xfId="0" applyNumberFormat="1" applyFont="1" applyProtection="1">
      <protection locked="0"/>
    </xf>
    <xf numFmtId="3" fontId="53" fillId="0" borderId="0" xfId="0" applyNumberFormat="1" applyFont="1" applyAlignment="1">
      <alignment horizontal="center"/>
    </xf>
    <xf numFmtId="3" fontId="63" fillId="0" borderId="0" xfId="188" applyNumberFormat="1" applyFont="1" applyAlignment="1">
      <alignment wrapText="1"/>
    </xf>
    <xf numFmtId="174" fontId="109" fillId="0" borderId="0" xfId="201" applyFont="1" applyFill="1" applyBorder="1" applyAlignment="1"/>
    <xf numFmtId="175" fontId="0" fillId="0" borderId="0" xfId="59" applyNumberFormat="1" applyFont="1" applyAlignment="1">
      <alignment horizontal="center"/>
    </xf>
    <xf numFmtId="1" fontId="30" fillId="0" borderId="0" xfId="201" applyNumberFormat="1" applyFont="1" applyAlignment="1">
      <alignment horizontal="left"/>
    </xf>
    <xf numFmtId="174" fontId="30" fillId="0" borderId="0" xfId="201" applyFont="1" applyAlignment="1">
      <alignment horizontal="left"/>
    </xf>
    <xf numFmtId="174" fontId="53" fillId="0" borderId="0" xfId="211" applyFont="1" applyFill="1" applyAlignment="1">
      <alignment wrapText="1"/>
    </xf>
    <xf numFmtId="175" fontId="53" fillId="0" borderId="0" xfId="59" applyNumberFormat="1" applyFont="1" applyAlignment="1">
      <alignment horizontal="left" indent="2"/>
    </xf>
    <xf numFmtId="184" fontId="53" fillId="0" borderId="0" xfId="59" applyNumberFormat="1" applyFont="1" applyAlignment="1"/>
    <xf numFmtId="0" fontId="53" fillId="0" borderId="0" xfId="201" applyNumberFormat="1" applyFont="1" applyFill="1" applyAlignment="1">
      <alignment horizontal="right"/>
    </xf>
    <xf numFmtId="0" fontId="92" fillId="0" borderId="0" xfId="192" applyFont="1" applyFill="1" applyBorder="1" applyAlignment="1">
      <alignment horizontal="center" vertical="center" wrapText="1"/>
    </xf>
    <xf numFmtId="0" fontId="92" fillId="0" borderId="0" xfId="192" applyFont="1" applyFill="1" applyBorder="1" applyAlignment="1">
      <alignment horizontal="center"/>
    </xf>
    <xf numFmtId="174" fontId="93" fillId="0" borderId="0" xfId="0" applyFont="1" applyFill="1" applyBorder="1" applyAlignment="1">
      <alignment horizontal="center"/>
    </xf>
    <xf numFmtId="43" fontId="100" fillId="0" borderId="0" xfId="59" applyFont="1" applyFill="1" applyBorder="1"/>
    <xf numFmtId="176" fontId="92" fillId="0" borderId="0" xfId="93" applyNumberFormat="1" applyFont="1" applyFill="1" applyBorder="1"/>
    <xf numFmtId="0" fontId="92" fillId="0" borderId="0" xfId="192" applyFont="1" applyFill="1" applyBorder="1"/>
    <xf numFmtId="174" fontId="63" fillId="0" borderId="0" xfId="0" applyFont="1" applyFill="1" applyBorder="1" applyAlignment="1"/>
    <xf numFmtId="0" fontId="63" fillId="0" borderId="0" xfId="208" applyNumberFormat="1" applyFont="1" applyFill="1" applyBorder="1" applyAlignment="1" applyProtection="1">
      <alignment horizontal="center"/>
      <protection locked="0"/>
    </xf>
    <xf numFmtId="175" fontId="63" fillId="0" borderId="8" xfId="59" applyNumberFormat="1" applyFont="1" applyFill="1" applyBorder="1" applyAlignment="1">
      <alignment horizontal="center"/>
    </xf>
    <xf numFmtId="0" fontId="63" fillId="0" borderId="20" xfId="201" applyNumberFormat="1" applyFont="1" applyFill="1" applyBorder="1"/>
    <xf numFmtId="175" fontId="63" fillId="14" borderId="10" xfId="59" applyNumberFormat="1" applyFont="1" applyFill="1" applyBorder="1" applyAlignment="1"/>
    <xf numFmtId="0" fontId="63" fillId="0" borderId="9" xfId="201" applyNumberFormat="1" applyFont="1" applyFill="1" applyBorder="1" applyAlignment="1">
      <alignment horizontal="center" wrapText="1"/>
    </xf>
    <xf numFmtId="41" fontId="63" fillId="15" borderId="0" xfId="212" applyNumberFormat="1" applyFont="1" applyFill="1"/>
    <xf numFmtId="43" fontId="53" fillId="14" borderId="0" xfId="59" applyFont="1" applyFill="1" applyAlignment="1"/>
    <xf numFmtId="175" fontId="53" fillId="14" borderId="0" xfId="59" applyNumberFormat="1" applyFont="1" applyFill="1" applyAlignment="1"/>
    <xf numFmtId="175" fontId="53" fillId="0" borderId="0" xfId="59" applyNumberFormat="1" applyFont="1" applyFill="1" applyAlignment="1" applyProtection="1">
      <protection locked="0"/>
    </xf>
    <xf numFmtId="175" fontId="53" fillId="14" borderId="8" xfId="59" applyNumberFormat="1" applyFont="1" applyFill="1" applyBorder="1" applyAlignment="1"/>
    <xf numFmtId="43" fontId="30" fillId="0" borderId="0" xfId="59" applyFont="1" applyAlignment="1"/>
    <xf numFmtId="43" fontId="30" fillId="0" borderId="0" xfId="59" applyFont="1" applyBorder="1" applyAlignment="1"/>
    <xf numFmtId="169" fontId="53" fillId="17" borderId="0" xfId="59" applyNumberFormat="1" applyFont="1" applyFill="1" applyAlignment="1"/>
    <xf numFmtId="0" fontId="63" fillId="0" borderId="0" xfId="0" applyNumberFormat="1" applyFont="1" applyAlignment="1">
      <alignment horizontal="center"/>
    </xf>
    <xf numFmtId="44" fontId="63" fillId="0" borderId="0" xfId="0" applyNumberFormat="1" applyFont="1" applyBorder="1" applyAlignment="1"/>
    <xf numFmtId="44" fontId="63" fillId="0" borderId="0" xfId="0" applyNumberFormat="1" applyFont="1" applyFill="1" applyBorder="1" applyAlignment="1"/>
    <xf numFmtId="0" fontId="63" fillId="0" borderId="0" xfId="187" applyFont="1" applyFill="1" applyBorder="1" applyAlignment="1"/>
    <xf numFmtId="3" fontId="63" fillId="0" borderId="0" xfId="187" applyNumberFormat="1" applyFont="1" applyFill="1" applyBorder="1" applyAlignment="1">
      <alignment horizontal="center" wrapText="1"/>
    </xf>
    <xf numFmtId="0" fontId="63" fillId="0" borderId="0" xfId="187" applyFont="1" applyFill="1" applyBorder="1" applyAlignment="1">
      <alignment horizontal="center" wrapText="1"/>
    </xf>
    <xf numFmtId="174" fontId="93" fillId="0" borderId="0" xfId="0" applyFont="1" applyBorder="1" applyAlignment="1"/>
    <xf numFmtId="0" fontId="63" fillId="16" borderId="0" xfId="187" applyFont="1" applyFill="1" applyBorder="1" applyAlignment="1"/>
    <xf numFmtId="175" fontId="63" fillId="16" borderId="0" xfId="59" applyNumberFormat="1" applyFont="1" applyFill="1" applyBorder="1" applyAlignment="1">
      <alignment horizontal="center"/>
    </xf>
    <xf numFmtId="174" fontId="93" fillId="16" borderId="0" xfId="0" applyFont="1" applyFill="1" applyAlignment="1"/>
    <xf numFmtId="175" fontId="63" fillId="0" borderId="0" xfId="59" applyNumberFormat="1" applyFont="1" applyFill="1" applyBorder="1" applyAlignment="1">
      <alignment horizontal="center" wrapText="1"/>
    </xf>
    <xf numFmtId="175" fontId="63" fillId="16" borderId="0" xfId="59" applyNumberFormat="1" applyFont="1" applyFill="1" applyBorder="1"/>
    <xf numFmtId="0" fontId="63" fillId="16" borderId="1" xfId="187" applyFont="1" applyFill="1" applyBorder="1" applyAlignment="1"/>
    <xf numFmtId="175" fontId="63" fillId="16" borderId="1" xfId="59" applyNumberFormat="1" applyFont="1" applyFill="1" applyBorder="1"/>
    <xf numFmtId="175" fontId="63" fillId="16" borderId="1" xfId="59" applyNumberFormat="1" applyFont="1" applyFill="1" applyBorder="1" applyAlignment="1">
      <alignment horizontal="center"/>
    </xf>
    <xf numFmtId="174" fontId="93" fillId="16" borderId="1" xfId="0" applyFont="1" applyFill="1" applyBorder="1" applyAlignment="1"/>
    <xf numFmtId="175" fontId="63" fillId="0" borderId="1" xfId="59" applyNumberFormat="1" applyFont="1" applyFill="1" applyBorder="1" applyAlignment="1">
      <alignment horizontal="center" wrapText="1"/>
    </xf>
    <xf numFmtId="175" fontId="63" fillId="0" borderId="0" xfId="59" applyNumberFormat="1" applyFont="1" applyFill="1" applyBorder="1"/>
    <xf numFmtId="174" fontId="63" fillId="0" borderId="0" xfId="0" applyFont="1" applyBorder="1" applyAlignment="1"/>
    <xf numFmtId="0" fontId="63" fillId="0" borderId="0" xfId="0" applyNumberFormat="1" applyFont="1" applyAlignment="1">
      <alignment horizontal="center" vertical="top"/>
    </xf>
    <xf numFmtId="0" fontId="63" fillId="0" borderId="0" xfId="0" applyNumberFormat="1" applyFont="1" applyFill="1" applyAlignment="1">
      <alignment horizontal="center"/>
    </xf>
    <xf numFmtId="3" fontId="63" fillId="0" borderId="0" xfId="188" applyNumberFormat="1" applyFont="1" applyFill="1" applyAlignment="1">
      <alignment wrapText="1"/>
    </xf>
    <xf numFmtId="0" fontId="70" fillId="0" borderId="0" xfId="212" applyFont="1" applyFill="1" applyAlignment="1">
      <alignment horizontal="center" wrapText="1"/>
    </xf>
    <xf numFmtId="0" fontId="63" fillId="0" borderId="0" xfId="211" applyNumberFormat="1" applyFont="1" applyFill="1" applyAlignment="1" applyProtection="1">
      <alignment horizontal="center"/>
      <protection locked="0"/>
    </xf>
    <xf numFmtId="185" fontId="63" fillId="0" borderId="0" xfId="59" applyNumberFormat="1" applyFont="1" applyFill="1" applyAlignment="1"/>
    <xf numFmtId="164" fontId="63" fillId="0" borderId="0" xfId="211" applyNumberFormat="1" applyFont="1" applyFill="1" applyAlignment="1">
      <alignment horizontal="center"/>
    </xf>
    <xf numFmtId="174" fontId="63" fillId="0" borderId="20" xfId="0" applyFont="1" applyBorder="1"/>
    <xf numFmtId="174" fontId="63" fillId="0" borderId="21" xfId="0" applyFont="1" applyBorder="1"/>
    <xf numFmtId="174" fontId="63" fillId="0" borderId="23" xfId="0" applyFont="1" applyBorder="1" applyAlignment="1">
      <alignment horizontal="center"/>
    </xf>
    <xf numFmtId="174" fontId="63" fillId="0" borderId="3" xfId="0" applyFont="1" applyBorder="1"/>
    <xf numFmtId="174" fontId="63" fillId="0" borderId="15" xfId="0" applyFont="1" applyBorder="1" applyAlignment="1">
      <alignment horizontal="center"/>
    </xf>
    <xf numFmtId="174" fontId="63" fillId="0" borderId="23" xfId="0" applyFont="1" applyBorder="1"/>
    <xf numFmtId="174" fontId="63" fillId="0" borderId="11" xfId="0" applyFont="1" applyBorder="1"/>
    <xf numFmtId="174" fontId="63" fillId="0" borderId="9" xfId="0" applyFont="1" applyBorder="1" applyAlignment="1">
      <alignment horizontal="center"/>
    </xf>
    <xf numFmtId="174" fontId="63" fillId="0" borderId="11" xfId="0" applyFont="1" applyBorder="1" applyAlignment="1">
      <alignment horizontal="center"/>
    </xf>
    <xf numFmtId="174" fontId="63" fillId="0" borderId="15" xfId="0" applyFont="1" applyBorder="1"/>
    <xf numFmtId="174" fontId="63" fillId="0" borderId="1" xfId="0" applyFont="1" applyBorder="1"/>
    <xf numFmtId="176" fontId="63" fillId="0" borderId="22" xfId="93" applyNumberFormat="1" applyFont="1" applyFill="1" applyBorder="1"/>
    <xf numFmtId="174" fontId="63" fillId="0" borderId="0" xfId="0" applyNumberFormat="1" applyFont="1" applyFill="1" applyBorder="1" applyAlignment="1" applyProtection="1"/>
    <xf numFmtId="174" fontId="63" fillId="0" borderId="0" xfId="201" applyFont="1" applyAlignment="1"/>
    <xf numFmtId="174" fontId="63" fillId="0" borderId="0" xfId="201" applyFont="1" applyAlignment="1">
      <alignment horizontal="center"/>
    </xf>
    <xf numFmtId="174" fontId="63" fillId="0" borderId="1" xfId="201" applyFont="1" applyFill="1" applyBorder="1" applyAlignment="1">
      <alignment horizontal="center"/>
    </xf>
    <xf numFmtId="174" fontId="63" fillId="0" borderId="20" xfId="201" applyFont="1" applyFill="1" applyBorder="1" applyAlignment="1">
      <alignment horizontal="center"/>
    </xf>
    <xf numFmtId="174" fontId="63" fillId="0" borderId="23" xfId="201" applyFont="1" applyFill="1" applyBorder="1" applyAlignment="1">
      <alignment horizontal="center"/>
    </xf>
    <xf numFmtId="174" fontId="63" fillId="0" borderId="23" xfId="201" applyFont="1" applyBorder="1" applyAlignment="1">
      <alignment horizontal="center"/>
    </xf>
    <xf numFmtId="174" fontId="63" fillId="0" borderId="10" xfId="201" applyFont="1" applyBorder="1" applyAlignment="1">
      <alignment horizontal="center"/>
    </xf>
    <xf numFmtId="174" fontId="63" fillId="0" borderId="11" xfId="201" applyFont="1" applyBorder="1" applyAlignment="1">
      <alignment horizontal="center"/>
    </xf>
    <xf numFmtId="43" fontId="63" fillId="16" borderId="10" xfId="59" applyFont="1" applyFill="1" applyBorder="1" applyAlignment="1">
      <alignment horizontal="center"/>
    </xf>
    <xf numFmtId="43" fontId="63" fillId="16" borderId="11" xfId="59" applyFont="1" applyFill="1" applyBorder="1" applyAlignment="1"/>
    <xf numFmtId="175" fontId="63" fillId="0" borderId="11" xfId="59" applyNumberFormat="1" applyFont="1" applyBorder="1" applyAlignment="1"/>
    <xf numFmtId="174" fontId="63" fillId="0" borderId="17" xfId="201" applyFont="1" applyFill="1" applyBorder="1" applyAlignment="1">
      <alignment horizontal="center"/>
    </xf>
    <xf numFmtId="0" fontId="63" fillId="0" borderId="0" xfId="210" applyFont="1"/>
    <xf numFmtId="0" fontId="63" fillId="0" borderId="0" xfId="0" applyNumberFormat="1" applyFont="1" applyFill="1" applyAlignment="1">
      <alignment horizontal="center" vertical="top"/>
    </xf>
    <xf numFmtId="174" fontId="63" fillId="16" borderId="11" xfId="0" applyFont="1" applyFill="1" applyBorder="1"/>
    <xf numFmtId="43" fontId="63" fillId="16" borderId="0" xfId="59" applyFont="1" applyFill="1" applyBorder="1"/>
    <xf numFmtId="0" fontId="63" fillId="0" borderId="0" xfId="206" applyNumberFormat="1" applyFont="1" applyFill="1" applyAlignment="1">
      <alignment horizontal="left"/>
    </xf>
    <xf numFmtId="0" fontId="23" fillId="0" borderId="19" xfId="187" applyFont="1" applyFill="1" applyBorder="1" applyAlignment="1">
      <alignment horizontal="center"/>
    </xf>
    <xf numFmtId="49" fontId="23" fillId="0" borderId="0" xfId="187" applyNumberFormat="1" applyFont="1" applyFill="1" applyBorder="1" applyAlignment="1">
      <alignment horizontal="center"/>
    </xf>
    <xf numFmtId="0" fontId="23" fillId="0" borderId="0" xfId="187" applyFont="1" applyFill="1" applyBorder="1" applyAlignment="1"/>
    <xf numFmtId="174" fontId="0" fillId="0" borderId="0" xfId="0" applyFill="1" applyAlignment="1"/>
    <xf numFmtId="0" fontId="63" fillId="0" borderId="0" xfId="187" applyFont="1" applyBorder="1" applyAlignment="1">
      <alignment horizontal="center"/>
    </xf>
    <xf numFmtId="3" fontId="63" fillId="0" borderId="0" xfId="187" applyNumberFormat="1" applyFont="1" applyFill="1" applyBorder="1" applyAlignment="1"/>
    <xf numFmtId="174" fontId="70" fillId="0" borderId="1" xfId="201" applyFont="1" applyBorder="1" applyAlignment="1">
      <alignment horizontal="center" wrapText="1"/>
    </xf>
    <xf numFmtId="174" fontId="70" fillId="0" borderId="0" xfId="201" applyFont="1" applyFill="1" applyAlignment="1">
      <alignment horizontal="center" wrapText="1"/>
    </xf>
    <xf numFmtId="0" fontId="63" fillId="0" borderId="0" xfId="204" applyFont="1" applyBorder="1" applyAlignment="1"/>
    <xf numFmtId="0" fontId="63" fillId="0" borderId="0" xfId="204" applyFont="1" applyFill="1" applyBorder="1" applyAlignment="1">
      <alignment wrapText="1"/>
    </xf>
    <xf numFmtId="174" fontId="63" fillId="14" borderId="0" xfId="0" applyFont="1" applyFill="1" applyAlignment="1"/>
    <xf numFmtId="0" fontId="63" fillId="0" borderId="0" xfId="192" applyFont="1" applyFill="1" applyAlignment="1">
      <alignment horizontal="left" wrapText="1"/>
    </xf>
    <xf numFmtId="174" fontId="106" fillId="0" borderId="0" xfId="0" applyFont="1" applyFill="1" applyAlignment="1"/>
    <xf numFmtId="0" fontId="23" fillId="0" borderId="0" xfId="0" applyNumberFormat="1" applyFont="1" applyFill="1" applyAlignment="1">
      <alignment horizontal="center" vertical="center"/>
    </xf>
    <xf numFmtId="0" fontId="63" fillId="0" borderId="0" xfId="206" applyNumberFormat="1" applyFont="1" applyFill="1" applyAlignment="1">
      <alignment horizontal="center" wrapText="1"/>
    </xf>
    <xf numFmtId="174" fontId="63" fillId="0" borderId="0" xfId="201" applyFont="1" applyFill="1" applyBorder="1" applyAlignment="1">
      <alignment vertical="top"/>
    </xf>
    <xf numFmtId="174" fontId="63" fillId="0" borderId="0" xfId="0" applyFont="1" applyFill="1" applyAlignment="1">
      <alignment horizontal="left" vertical="center" wrapText="1"/>
    </xf>
    <xf numFmtId="174" fontId="63" fillId="0" borderId="0" xfId="0" applyFont="1" applyAlignment="1"/>
    <xf numFmtId="0" fontId="63" fillId="0" borderId="0" xfId="201" applyNumberFormat="1" applyFont="1" applyFill="1" applyBorder="1" applyAlignment="1" applyProtection="1">
      <alignment horizontal="center"/>
      <protection locked="0"/>
    </xf>
    <xf numFmtId="0" fontId="63" fillId="0" borderId="0" xfId="0" applyNumberFormat="1" applyFont="1" applyAlignment="1">
      <alignment horizontal="center"/>
    </xf>
    <xf numFmtId="175" fontId="63" fillId="14" borderId="0" xfId="59" applyNumberFormat="1" applyFont="1" applyFill="1"/>
    <xf numFmtId="175" fontId="63" fillId="14" borderId="0" xfId="59" applyNumberFormat="1" applyFont="1" applyFill="1" applyAlignment="1">
      <alignment horizontal="right"/>
    </xf>
    <xf numFmtId="0" fontId="63" fillId="0" borderId="0" xfId="59" applyNumberFormat="1" applyFont="1" applyFill="1" applyBorder="1" applyAlignment="1">
      <alignment horizontal="center"/>
    </xf>
    <xf numFmtId="0" fontId="63" fillId="0" borderId="0" xfId="59" applyNumberFormat="1" applyFont="1" applyFill="1" applyBorder="1" applyAlignment="1" applyProtection="1">
      <alignment horizontal="center"/>
      <protection locked="0"/>
    </xf>
    <xf numFmtId="0" fontId="63" fillId="0" borderId="0" xfId="59" applyNumberFormat="1" applyFont="1" applyAlignment="1">
      <alignment horizontal="center"/>
    </xf>
    <xf numFmtId="176" fontId="63" fillId="16" borderId="10" xfId="93" applyNumberFormat="1" applyFont="1" applyFill="1" applyBorder="1"/>
    <xf numFmtId="174" fontId="63" fillId="0" borderId="20" xfId="0" applyFont="1" applyBorder="1" applyAlignment="1">
      <alignment horizontal="center"/>
    </xf>
    <xf numFmtId="174" fontId="63" fillId="0" borderId="10" xfId="0" applyFont="1" applyBorder="1" applyAlignment="1">
      <alignment horizontal="center"/>
    </xf>
    <xf numFmtId="174" fontId="63" fillId="0" borderId="12" xfId="0" applyFont="1" applyBorder="1" applyAlignment="1">
      <alignment horizontal="center"/>
    </xf>
    <xf numFmtId="174" fontId="109" fillId="0" borderId="15" xfId="201" applyFont="1" applyFill="1" applyBorder="1" applyAlignment="1">
      <alignment horizontal="center"/>
    </xf>
    <xf numFmtId="43" fontId="63" fillId="0" borderId="12" xfId="59" applyFont="1" applyBorder="1"/>
    <xf numFmtId="43" fontId="63" fillId="0" borderId="11" xfId="59" applyFont="1" applyBorder="1" applyAlignment="1">
      <alignment horizontal="center"/>
    </xf>
    <xf numFmtId="43" fontId="63" fillId="16" borderId="10" xfId="59" applyFont="1" applyFill="1" applyBorder="1"/>
    <xf numFmtId="43" fontId="63" fillId="0" borderId="11" xfId="59" applyFont="1" applyBorder="1"/>
    <xf numFmtId="43" fontId="63" fillId="16" borderId="12" xfId="59" applyFont="1" applyFill="1" applyBorder="1"/>
    <xf numFmtId="43" fontId="63" fillId="16" borderId="11" xfId="59" applyFont="1" applyFill="1" applyBorder="1"/>
    <xf numFmtId="176" fontId="63" fillId="0" borderId="17" xfId="93" applyNumberFormat="1" applyFont="1" applyFill="1" applyBorder="1"/>
    <xf numFmtId="10" fontId="63" fillId="0" borderId="15" xfId="266" applyNumberFormat="1" applyFont="1" applyBorder="1"/>
    <xf numFmtId="43" fontId="63" fillId="0" borderId="0" xfId="59" applyFont="1"/>
    <xf numFmtId="0" fontId="70" fillId="0" borderId="0" xfId="59" applyNumberFormat="1" applyFont="1" applyFill="1" applyBorder="1" applyAlignment="1">
      <alignment horizontal="left"/>
    </xf>
    <xf numFmtId="0" fontId="63" fillId="0" borderId="0" xfId="59" applyNumberFormat="1" applyFont="1" applyFill="1" applyAlignment="1">
      <alignment horizontal="center"/>
    </xf>
    <xf numFmtId="0" fontId="63" fillId="0" borderId="0" xfId="59" applyNumberFormat="1" applyFont="1" applyFill="1" applyAlignment="1">
      <alignment horizontal="center" vertical="top"/>
    </xf>
    <xf numFmtId="3" fontId="63" fillId="0" borderId="0" xfId="188" applyNumberFormat="1" applyFont="1" applyAlignment="1">
      <alignment horizontal="center" wrapText="1"/>
    </xf>
    <xf numFmtId="174" fontId="63" fillId="0" borderId="0" xfId="0" applyFont="1" applyFill="1" applyAlignment="1">
      <alignment vertical="center" wrapText="1"/>
    </xf>
    <xf numFmtId="174" fontId="63" fillId="0" borderId="0" xfId="0" applyFont="1" applyFill="1" applyAlignment="1">
      <alignment horizontal="left" vertical="center"/>
    </xf>
    <xf numFmtId="0" fontId="63" fillId="0" borderId="0" xfId="0" applyNumberFormat="1" applyFont="1" applyFill="1" applyBorder="1" applyAlignment="1">
      <alignment vertical="top"/>
    </xf>
    <xf numFmtId="174" fontId="63" fillId="0" borderId="0" xfId="0" applyFont="1" applyAlignment="1">
      <alignment horizontal="center" wrapText="1"/>
    </xf>
    <xf numFmtId="174" fontId="70" fillId="0" borderId="0" xfId="0" applyFont="1" applyAlignment="1"/>
    <xf numFmtId="174" fontId="70" fillId="0" borderId="0" xfId="211" applyFont="1" applyBorder="1" applyAlignment="1">
      <alignment horizontal="center" wrapText="1"/>
    </xf>
    <xf numFmtId="0" fontId="70" fillId="0" borderId="0" xfId="211" applyNumberFormat="1" applyFont="1" applyBorder="1" applyAlignment="1" applyProtection="1">
      <alignment horizontal="center" wrapText="1"/>
      <protection locked="0"/>
    </xf>
    <xf numFmtId="0" fontId="70" fillId="0" borderId="0" xfId="188" applyNumberFormat="1" applyFont="1" applyBorder="1" applyAlignment="1">
      <alignment horizontal="center" vertical="center" wrapText="1"/>
    </xf>
    <xf numFmtId="0" fontId="70" fillId="0" borderId="0" xfId="211" applyNumberFormat="1" applyFont="1" applyAlignment="1">
      <alignment horizontal="center" wrapText="1"/>
    </xf>
    <xf numFmtId="43" fontId="63" fillId="0" borderId="0" xfId="59" applyFont="1" applyBorder="1" applyAlignment="1"/>
    <xf numFmtId="174" fontId="63" fillId="16" borderId="0" xfId="0" applyFont="1" applyFill="1" applyBorder="1" applyAlignment="1"/>
    <xf numFmtId="175" fontId="95" fillId="0" borderId="0" xfId="59" applyNumberFormat="1" applyFont="1" applyFill="1" applyBorder="1"/>
    <xf numFmtId="43" fontId="63" fillId="0" borderId="0" xfId="59" applyNumberFormat="1" applyFont="1" applyFill="1" applyBorder="1" applyAlignment="1"/>
    <xf numFmtId="277" fontId="97" fillId="0" borderId="0" xfId="59" applyNumberFormat="1" applyFont="1" applyFill="1" applyBorder="1" applyAlignment="1"/>
    <xf numFmtId="276" fontId="70" fillId="0" borderId="0" xfId="59" applyNumberFormat="1" applyFont="1" applyFill="1" applyBorder="1" applyAlignment="1"/>
    <xf numFmtId="0" fontId="63" fillId="0" borderId="0" xfId="211" quotePrefix="1" applyNumberFormat="1" applyFont="1" applyFill="1" applyProtection="1">
      <protection locked="0"/>
    </xf>
    <xf numFmtId="174" fontId="63" fillId="0" borderId="0" xfId="0" applyFont="1" applyAlignment="1"/>
    <xf numFmtId="174" fontId="63" fillId="0" borderId="0" xfId="201" applyFont="1" applyFill="1" applyBorder="1" applyAlignment="1"/>
    <xf numFmtId="175" fontId="63" fillId="0" borderId="0" xfId="59" applyNumberFormat="1" applyFont="1" applyFill="1" applyBorder="1" applyAlignment="1"/>
    <xf numFmtId="174" fontId="63" fillId="0" borderId="0" xfId="201" applyFont="1" applyFill="1" applyBorder="1" applyAlignment="1">
      <alignment horizontal="center"/>
    </xf>
    <xf numFmtId="0" fontId="63" fillId="0" borderId="0" xfId="211" applyNumberFormat="1" applyFont="1" applyFill="1" applyProtection="1">
      <protection locked="0"/>
    </xf>
    <xf numFmtId="174" fontId="63" fillId="0" borderId="20" xfId="0" applyFont="1" applyBorder="1" applyAlignment="1">
      <alignment horizontal="center"/>
    </xf>
    <xf numFmtId="174" fontId="63" fillId="0" borderId="21" xfId="0" applyFont="1" applyBorder="1" applyAlignment="1">
      <alignment horizontal="center"/>
    </xf>
    <xf numFmtId="174" fontId="63" fillId="0" borderId="0" xfId="0" applyFont="1" applyAlignment="1"/>
    <xf numFmtId="174" fontId="63" fillId="0" borderId="10" xfId="0" applyFont="1" applyFill="1" applyBorder="1" applyAlignment="1">
      <alignment horizontal="center"/>
    </xf>
    <xf numFmtId="174" fontId="63" fillId="0" borderId="0" xfId="0" applyFont="1" applyFill="1" applyBorder="1" applyAlignment="1">
      <alignment horizontal="center"/>
    </xf>
    <xf numFmtId="43" fontId="63" fillId="0" borderId="0" xfId="59" applyFont="1" applyFill="1" applyBorder="1"/>
    <xf numFmtId="174" fontId="63" fillId="0" borderId="0" xfId="0" applyFont="1" applyBorder="1" applyAlignment="1">
      <alignment horizontal="center"/>
    </xf>
    <xf numFmtId="43" fontId="63" fillId="16" borderId="0" xfId="59" applyFont="1" applyFill="1" applyBorder="1" applyAlignment="1">
      <alignment horizontal="center"/>
    </xf>
    <xf numFmtId="174" fontId="63" fillId="0" borderId="12" xfId="0" applyFont="1" applyBorder="1" applyAlignment="1"/>
    <xf numFmtId="174" fontId="63" fillId="16" borderId="12" xfId="0" applyFont="1" applyFill="1" applyBorder="1" applyAlignment="1"/>
    <xf numFmtId="10" fontId="63" fillId="0" borderId="1" xfId="266" applyNumberFormat="1" applyFont="1" applyFill="1" applyBorder="1"/>
    <xf numFmtId="174" fontId="63" fillId="0" borderId="1" xfId="0" applyFont="1" applyBorder="1" applyAlignment="1"/>
    <xf numFmtId="174" fontId="63" fillId="0" borderId="22" xfId="0" applyFont="1" applyBorder="1" applyAlignment="1"/>
    <xf numFmtId="174" fontId="63" fillId="0" borderId="16" xfId="0" applyFont="1" applyFill="1" applyBorder="1" applyAlignment="1">
      <alignment horizontal="center"/>
    </xf>
    <xf numFmtId="174" fontId="63" fillId="0" borderId="7" xfId="0" applyFont="1" applyFill="1" applyBorder="1" applyAlignment="1">
      <alignment horizontal="center"/>
    </xf>
    <xf numFmtId="174" fontId="63" fillId="0" borderId="7" xfId="0" applyFont="1" applyBorder="1" applyAlignment="1">
      <alignment horizontal="center"/>
    </xf>
    <xf numFmtId="174" fontId="63" fillId="0" borderId="24" xfId="0" applyFont="1" applyBorder="1" applyAlignment="1">
      <alignment horizontal="center"/>
    </xf>
    <xf numFmtId="174" fontId="63" fillId="0" borderId="10" xfId="0" applyFont="1" applyBorder="1" applyAlignment="1"/>
    <xf numFmtId="43" fontId="63" fillId="0" borderId="10" xfId="59" applyFont="1" applyBorder="1" applyAlignment="1"/>
    <xf numFmtId="43" fontId="63" fillId="0" borderId="17" xfId="59" applyFont="1" applyBorder="1" applyAlignment="1"/>
    <xf numFmtId="174" fontId="63" fillId="0" borderId="20" xfId="0" applyFont="1" applyBorder="1" applyAlignment="1"/>
    <xf numFmtId="174" fontId="63" fillId="0" borderId="23" xfId="0" applyFont="1" applyBorder="1" applyAlignment="1"/>
    <xf numFmtId="174" fontId="63" fillId="0" borderId="11" xfId="0" applyFont="1" applyBorder="1" applyAlignment="1"/>
    <xf numFmtId="174" fontId="63" fillId="0" borderId="15" xfId="0" applyFont="1" applyBorder="1" applyAlignment="1"/>
    <xf numFmtId="43" fontId="53" fillId="0" borderId="8" xfId="59" applyFont="1" applyBorder="1" applyAlignment="1"/>
    <xf numFmtId="43" fontId="63" fillId="14" borderId="0" xfId="59" applyFont="1" applyFill="1" applyBorder="1" applyAlignment="1">
      <alignment horizontal="right"/>
    </xf>
    <xf numFmtId="175" fontId="63" fillId="0" borderId="14" xfId="59" applyNumberFormat="1" applyFont="1" applyBorder="1"/>
    <xf numFmtId="175" fontId="63" fillId="16" borderId="0" xfId="59" applyNumberFormat="1" applyFont="1" applyFill="1" applyAlignment="1"/>
    <xf numFmtId="174" fontId="63" fillId="0" borderId="17" xfId="0" applyFont="1" applyBorder="1" applyAlignment="1">
      <alignment horizontal="center"/>
    </xf>
    <xf numFmtId="174" fontId="63" fillId="0" borderId="22" xfId="0" applyFont="1" applyBorder="1" applyAlignment="1">
      <alignment horizontal="center"/>
    </xf>
    <xf numFmtId="174" fontId="63" fillId="0" borderId="17" xfId="0" applyFont="1" applyBorder="1" applyAlignment="1"/>
    <xf numFmtId="174" fontId="63" fillId="0" borderId="17" xfId="0" applyFont="1" applyFill="1" applyBorder="1" applyAlignment="1">
      <alignment horizontal="center"/>
    </xf>
    <xf numFmtId="174" fontId="63" fillId="0" borderId="1" xfId="0" applyFont="1" applyFill="1" applyBorder="1" applyAlignment="1">
      <alignment horizontal="center"/>
    </xf>
    <xf numFmtId="174" fontId="109" fillId="0" borderId="1" xfId="201" applyFont="1" applyFill="1" applyBorder="1" applyAlignment="1">
      <alignment horizontal="center"/>
    </xf>
    <xf numFmtId="174" fontId="63" fillId="0" borderId="1" xfId="0" applyFont="1" applyBorder="1" applyAlignment="1">
      <alignment horizontal="center"/>
    </xf>
    <xf numFmtId="278" fontId="63" fillId="0" borderId="11" xfId="59" applyNumberFormat="1" applyFont="1" applyBorder="1" applyAlignment="1"/>
    <xf numFmtId="43" fontId="63" fillId="0" borderId="0" xfId="59" applyFont="1" applyFill="1" applyAlignment="1" applyProtection="1">
      <alignment vertical="top"/>
      <protection locked="0"/>
    </xf>
    <xf numFmtId="0" fontId="63" fillId="0" borderId="0" xfId="211" applyNumberFormat="1" applyFont="1" applyFill="1" applyAlignment="1">
      <alignment horizontal="center"/>
    </xf>
    <xf numFmtId="0" fontId="63" fillId="0" borderId="0" xfId="201" applyNumberFormat="1" applyFont="1" applyFill="1" applyBorder="1" applyAlignment="1" applyProtection="1">
      <alignment horizontal="center"/>
      <protection locked="0"/>
    </xf>
    <xf numFmtId="0" fontId="63" fillId="0" borderId="0" xfId="0" applyNumberFormat="1" applyFont="1" applyAlignment="1">
      <alignment horizontal="center"/>
    </xf>
    <xf numFmtId="174" fontId="0" fillId="0" borderId="0" xfId="201" applyFont="1" applyFill="1" applyBorder="1" applyAlignment="1"/>
    <xf numFmtId="174" fontId="0" fillId="0" borderId="0" xfId="0" applyAlignment="1">
      <alignment horizontal="right"/>
    </xf>
    <xf numFmtId="0" fontId="63" fillId="0" borderId="0" xfId="201" applyNumberFormat="1" applyFont="1" applyFill="1" applyBorder="1" applyAlignment="1" applyProtection="1">
      <alignment horizontal="right"/>
      <protection locked="0"/>
    </xf>
    <xf numFmtId="169" fontId="63" fillId="0" borderId="0" xfId="211" applyNumberFormat="1" applyFont="1" applyFill="1" applyAlignment="1"/>
    <xf numFmtId="43" fontId="63" fillId="0" borderId="0" xfId="59" applyFont="1" applyFill="1" applyAlignment="1">
      <alignment horizontal="center"/>
    </xf>
    <xf numFmtId="43" fontId="63" fillId="0" borderId="8" xfId="59" applyFont="1" applyFill="1" applyBorder="1" applyAlignment="1">
      <alignment horizontal="center"/>
    </xf>
    <xf numFmtId="175" fontId="63" fillId="0" borderId="1" xfId="59" applyNumberFormat="1" applyFont="1" applyFill="1" applyBorder="1" applyAlignment="1"/>
    <xf numFmtId="175" fontId="92" fillId="0" borderId="17" xfId="59" applyNumberFormat="1" applyFont="1" applyFill="1" applyBorder="1" applyAlignment="1"/>
    <xf numFmtId="175" fontId="92" fillId="0" borderId="15" xfId="59" applyNumberFormat="1" applyFont="1" applyFill="1" applyBorder="1" applyAlignment="1"/>
    <xf numFmtId="175" fontId="92" fillId="0" borderId="1" xfId="59" applyNumberFormat="1" applyFont="1" applyFill="1" applyBorder="1" applyAlignment="1"/>
    <xf numFmtId="175" fontId="112" fillId="0" borderId="0" xfId="59" applyNumberFormat="1" applyFont="1" applyAlignment="1">
      <alignment horizontal="center"/>
    </xf>
    <xf numFmtId="174" fontId="112" fillId="0" borderId="0" xfId="0" applyFont="1" applyFill="1"/>
    <xf numFmtId="174" fontId="112" fillId="0" borderId="0" xfId="0" applyFont="1" applyAlignment="1"/>
    <xf numFmtId="43" fontId="114" fillId="0" borderId="0" xfId="59" applyFont="1" applyFill="1"/>
    <xf numFmtId="49" fontId="112" fillId="0" borderId="0" xfId="59" applyNumberFormat="1" applyFont="1" applyFill="1"/>
    <xf numFmtId="39" fontId="112" fillId="0" borderId="0" xfId="59" applyNumberFormat="1" applyFont="1" applyFill="1" applyAlignment="1">
      <alignment horizontal="right"/>
    </xf>
    <xf numFmtId="49" fontId="112" fillId="0" borderId="0" xfId="59" applyNumberFormat="1" applyFont="1" applyAlignment="1"/>
    <xf numFmtId="49" fontId="112" fillId="0" borderId="0" xfId="0" applyNumberFormat="1" applyFont="1" applyAlignment="1"/>
    <xf numFmtId="175" fontId="112" fillId="0" borderId="0" xfId="59" applyNumberFormat="1" applyFont="1" applyFill="1" applyAlignment="1">
      <alignment horizontal="center"/>
    </xf>
    <xf numFmtId="49" fontId="112" fillId="0" borderId="0" xfId="0" applyNumberFormat="1" applyFont="1" applyFill="1"/>
    <xf numFmtId="2" fontId="112" fillId="0" borderId="0" xfId="0" applyNumberFormat="1" applyFont="1" applyFill="1"/>
    <xf numFmtId="174" fontId="112" fillId="0" borderId="0" xfId="0" applyFont="1" applyAlignment="1">
      <alignment vertical="center" wrapText="1"/>
    </xf>
    <xf numFmtId="174" fontId="70" fillId="0" borderId="3" xfId="201" applyFont="1" applyFill="1" applyBorder="1" applyAlignment="1"/>
    <xf numFmtId="174" fontId="23" fillId="0" borderId="0" xfId="201" applyFont="1" applyFill="1" applyBorder="1" applyAlignment="1">
      <alignment horizontal="left"/>
    </xf>
    <xf numFmtId="174" fontId="23" fillId="0" borderId="0" xfId="0" applyFont="1" applyFill="1" applyAlignment="1"/>
    <xf numFmtId="174" fontId="63" fillId="0" borderId="0" xfId="59" applyNumberFormat="1" applyFont="1" applyFill="1" applyBorder="1" applyAlignment="1"/>
    <xf numFmtId="174" fontId="23" fillId="0" borderId="0" xfId="201" applyFont="1" applyFill="1" applyBorder="1" applyAlignment="1">
      <alignment vertical="top"/>
    </xf>
    <xf numFmtId="174" fontId="23" fillId="0" borderId="0" xfId="0" applyFont="1" applyAlignment="1"/>
    <xf numFmtId="174" fontId="23" fillId="17" borderId="0" xfId="0" applyFont="1" applyFill="1"/>
    <xf numFmtId="10" fontId="112" fillId="0" borderId="0" xfId="266" applyNumberFormat="1" applyFont="1" applyAlignment="1">
      <alignment horizontal="center"/>
    </xf>
    <xf numFmtId="174" fontId="112" fillId="0" borderId="0" xfId="0" applyFont="1" applyAlignment="1">
      <alignment horizontal="left"/>
    </xf>
    <xf numFmtId="175" fontId="63" fillId="16" borderId="8" xfId="59" applyNumberFormat="1" applyFont="1" applyFill="1" applyBorder="1" applyAlignment="1">
      <alignment horizontal="center"/>
    </xf>
    <xf numFmtId="10" fontId="63" fillId="0" borderId="0" xfId="266" applyNumberFormat="1" applyFont="1" applyFill="1" applyAlignment="1">
      <alignment horizontal="right"/>
    </xf>
    <xf numFmtId="43" fontId="63" fillId="0" borderId="0" xfId="59" applyFont="1" applyFill="1" applyAlignment="1">
      <alignment horizontal="right"/>
    </xf>
    <xf numFmtId="10" fontId="63" fillId="0" borderId="0" xfId="266" applyNumberFormat="1" applyFont="1" applyFill="1" applyAlignment="1"/>
    <xf numFmtId="174" fontId="116" fillId="0" borderId="0" xfId="0" applyFont="1" applyAlignment="1">
      <alignment horizontal="center" vertical="center"/>
    </xf>
    <xf numFmtId="0" fontId="87" fillId="0" borderId="0" xfId="383" applyFont="1" applyAlignment="1">
      <alignment horizontal="center"/>
    </xf>
    <xf numFmtId="0" fontId="87" fillId="0" borderId="0" xfId="383" applyFont="1"/>
    <xf numFmtId="0" fontId="30" fillId="0" borderId="0" xfId="383" applyNumberFormat="1" applyFont="1" applyFill="1" applyAlignment="1">
      <alignment horizontal="center"/>
    </xf>
    <xf numFmtId="0" fontId="30" fillId="0" borderId="0" xfId="383" applyFont="1" applyFill="1" applyAlignment="1">
      <alignment horizontal="center"/>
    </xf>
    <xf numFmtId="279" fontId="30" fillId="0" borderId="0" xfId="266" applyNumberFormat="1" applyFont="1" applyFill="1" applyAlignment="1">
      <alignment horizontal="center"/>
    </xf>
    <xf numFmtId="0" fontId="87" fillId="0" borderId="0" xfId="383" applyFont="1" applyAlignment="1">
      <alignment horizontal="center" wrapText="1"/>
    </xf>
    <xf numFmtId="10" fontId="118" fillId="14" borderId="0" xfId="383" applyNumberFormat="1" applyFont="1" applyFill="1"/>
    <xf numFmtId="0" fontId="87" fillId="0" borderId="0" xfId="383" applyFont="1" applyFill="1" applyBorder="1" applyAlignment="1">
      <alignment horizontal="center"/>
    </xf>
    <xf numFmtId="0" fontId="87" fillId="0" borderId="0" xfId="383" applyFont="1" applyFill="1" applyBorder="1"/>
    <xf numFmtId="0" fontId="30" fillId="0" borderId="0" xfId="383" applyNumberFormat="1" applyFont="1" applyFill="1" applyBorder="1" applyAlignment="1">
      <alignment horizontal="center"/>
    </xf>
    <xf numFmtId="0" fontId="30" fillId="0" borderId="0" xfId="383" applyFont="1" applyFill="1" applyBorder="1" applyAlignment="1">
      <alignment horizontal="center"/>
    </xf>
    <xf numFmtId="279" fontId="30" fillId="0" borderId="0" xfId="266" applyNumberFormat="1" applyFont="1" applyFill="1" applyBorder="1" applyAlignment="1">
      <alignment horizontal="center"/>
    </xf>
    <xf numFmtId="0" fontId="87" fillId="0" borderId="0" xfId="383" applyFont="1" applyFill="1" applyBorder="1" applyAlignment="1">
      <alignment horizontal="center" wrapText="1"/>
    </xf>
    <xf numFmtId="10" fontId="118" fillId="0" borderId="0" xfId="383" applyNumberFormat="1" applyFont="1" applyFill="1" applyBorder="1"/>
    <xf numFmtId="10" fontId="87" fillId="0" borderId="0" xfId="383" applyNumberFormat="1" applyFont="1" applyFill="1" applyBorder="1"/>
    <xf numFmtId="0" fontId="119" fillId="0" borderId="0" xfId="383" applyFont="1" applyFill="1" applyBorder="1"/>
    <xf numFmtId="174" fontId="63" fillId="0" borderId="0" xfId="0" applyFont="1" applyAlignment="1">
      <alignment horizontal="center" vertical="center"/>
    </xf>
    <xf numFmtId="43" fontId="112" fillId="0" borderId="0" xfId="59" applyNumberFormat="1" applyFont="1" applyAlignment="1"/>
    <xf numFmtId="0" fontId="63" fillId="0" borderId="0" xfId="188" applyNumberFormat="1" applyFont="1" applyFill="1" applyAlignment="1">
      <alignment vertical="top" wrapText="1"/>
    </xf>
    <xf numFmtId="174" fontId="63" fillId="0" borderId="0" xfId="0" applyFont="1" applyFill="1" applyAlignment="1">
      <alignment horizontal="left" vertical="center" wrapText="1"/>
    </xf>
    <xf numFmtId="0" fontId="63" fillId="0" borderId="0" xfId="0" applyNumberFormat="1" applyFont="1" applyAlignment="1">
      <alignment horizontal="center"/>
    </xf>
    <xf numFmtId="0" fontId="112" fillId="0" borderId="0" xfId="59" applyNumberFormat="1" applyFont="1" applyAlignment="1">
      <alignment horizontal="center"/>
    </xf>
    <xf numFmtId="174" fontId="120" fillId="17" borderId="0" xfId="0" applyFont="1" applyFill="1"/>
    <xf numFmtId="174" fontId="122" fillId="17" borderId="0" xfId="0" applyFont="1" applyFill="1"/>
    <xf numFmtId="174" fontId="122" fillId="17" borderId="0" xfId="0" applyFont="1" applyFill="1" applyAlignment="1"/>
    <xf numFmtId="2" fontId="120" fillId="0" borderId="0" xfId="0" applyNumberFormat="1" applyFont="1" applyAlignment="1">
      <alignment horizontal="center"/>
    </xf>
    <xf numFmtId="10" fontId="120" fillId="0" borderId="0" xfId="266" applyNumberFormat="1" applyFont="1" applyAlignment="1">
      <alignment horizontal="center"/>
    </xf>
    <xf numFmtId="174" fontId="123" fillId="0" borderId="0" xfId="0" applyFont="1" applyAlignment="1"/>
    <xf numFmtId="174" fontId="120" fillId="0" borderId="0" xfId="0" applyFont="1" applyFill="1"/>
    <xf numFmtId="0" fontId="63" fillId="0" borderId="0" xfId="388" applyFont="1" applyAlignment="1">
      <alignment vertical="center"/>
    </xf>
    <xf numFmtId="174" fontId="63" fillId="0" borderId="0" xfId="0" applyFont="1" applyAlignment="1"/>
    <xf numFmtId="174" fontId="63" fillId="0" borderId="0" xfId="0" applyFont="1" applyFill="1" applyAlignment="1"/>
    <xf numFmtId="49" fontId="63" fillId="0" borderId="0" xfId="0" applyNumberFormat="1" applyFont="1" applyFill="1" applyAlignment="1">
      <alignment horizontal="center"/>
    </xf>
    <xf numFmtId="0" fontId="63" fillId="0" borderId="0" xfId="0" applyNumberFormat="1" applyFont="1" applyFill="1" applyBorder="1" applyAlignment="1" applyProtection="1"/>
    <xf numFmtId="174" fontId="63" fillId="17" borderId="0" xfId="0" applyNumberFormat="1" applyFont="1" applyFill="1" applyBorder="1" applyAlignment="1" applyProtection="1"/>
    <xf numFmtId="174" fontId="63" fillId="0" borderId="0" xfId="209" applyFont="1" applyFill="1" applyBorder="1" applyAlignment="1">
      <alignment vertical="top"/>
    </xf>
    <xf numFmtId="174" fontId="63" fillId="0" borderId="0" xfId="0" applyFont="1" applyAlignment="1">
      <alignment horizontal="left" vertical="center"/>
    </xf>
    <xf numFmtId="174" fontId="30" fillId="0" borderId="0" xfId="0" applyFont="1" applyAlignment="1">
      <alignment horizontal="center" vertical="center"/>
    </xf>
    <xf numFmtId="9" fontId="63" fillId="14" borderId="0" xfId="59" applyNumberFormat="1" applyFont="1" applyFill="1" applyAlignment="1">
      <alignment horizontal="right"/>
    </xf>
    <xf numFmtId="9" fontId="63" fillId="14" borderId="0" xfId="59" applyNumberFormat="1" applyFont="1" applyFill="1" applyAlignment="1" applyProtection="1">
      <alignment vertical="top"/>
      <protection locked="0"/>
    </xf>
    <xf numFmtId="164" fontId="63" fillId="14" borderId="0" xfId="59" applyNumberFormat="1" applyFont="1" applyFill="1" applyAlignment="1" applyProtection="1">
      <alignment vertical="top"/>
      <protection locked="0"/>
    </xf>
    <xf numFmtId="175" fontId="63" fillId="0" borderId="0" xfId="192" applyNumberFormat="1" applyFont="1"/>
    <xf numFmtId="10" fontId="30" fillId="0" borderId="0" xfId="266" applyNumberFormat="1" applyFont="1" applyAlignment="1"/>
    <xf numFmtId="43" fontId="63" fillId="0" borderId="0" xfId="59" applyNumberFormat="1" applyFont="1" applyFill="1" applyAlignment="1">
      <alignment horizontal="right"/>
    </xf>
    <xf numFmtId="0" fontId="116" fillId="0" borderId="0" xfId="380" applyFont="1"/>
    <xf numFmtId="0" fontId="142" fillId="0" borderId="0" xfId="380" applyFont="1"/>
    <xf numFmtId="0" fontId="142" fillId="0" borderId="0" xfId="380" applyFont="1" applyAlignment="1">
      <alignment horizontal="right"/>
    </xf>
    <xf numFmtId="0" fontId="143" fillId="16" borderId="0" xfId="380" applyFont="1" applyFill="1"/>
    <xf numFmtId="0" fontId="144" fillId="0" borderId="0" xfId="380" applyFont="1"/>
    <xf numFmtId="0" fontId="144" fillId="0" borderId="0" xfId="380" applyFont="1" applyBorder="1" applyAlignment="1">
      <alignment vertical="center"/>
    </xf>
    <xf numFmtId="0" fontId="144" fillId="0" borderId="0" xfId="380" applyFont="1" applyBorder="1" applyAlignment="1">
      <alignment horizontal="center" vertical="center" wrapText="1"/>
    </xf>
    <xf numFmtId="0" fontId="144" fillId="0" borderId="23" xfId="380" applyFont="1" applyBorder="1" applyAlignment="1">
      <alignment horizontal="center" vertical="center"/>
    </xf>
    <xf numFmtId="0" fontId="144" fillId="0" borderId="0" xfId="380" applyFont="1" applyBorder="1" applyAlignment="1">
      <alignment horizontal="center" vertical="center"/>
    </xf>
    <xf numFmtId="0" fontId="142" fillId="0" borderId="15" xfId="380" applyFont="1" applyBorder="1" applyAlignment="1">
      <alignment horizontal="center" vertical="center" wrapText="1"/>
    </xf>
    <xf numFmtId="0" fontId="142" fillId="0" borderId="0" xfId="380" applyFont="1" applyBorder="1" applyAlignment="1">
      <alignment horizontal="center" vertical="center" wrapText="1"/>
    </xf>
    <xf numFmtId="0" fontId="142" fillId="0" borderId="0" xfId="380" applyFont="1" applyBorder="1" applyAlignment="1">
      <alignment horizontal="left" vertical="center"/>
    </xf>
    <xf numFmtId="15" fontId="142" fillId="0" borderId="0" xfId="380" applyNumberFormat="1" applyFont="1" applyBorder="1" applyAlignment="1">
      <alignment vertical="center" wrapText="1"/>
    </xf>
    <xf numFmtId="175" fontId="142" fillId="0" borderId="0" xfId="381" applyNumberFormat="1" applyFont="1" applyBorder="1" applyAlignment="1">
      <alignment horizontal="right" vertical="center" wrapText="1"/>
    </xf>
    <xf numFmtId="175" fontId="142" fillId="0" borderId="0" xfId="381" applyNumberFormat="1" applyFont="1" applyBorder="1" applyAlignment="1">
      <alignment vertical="center" wrapText="1"/>
    </xf>
    <xf numFmtId="175" fontId="142" fillId="16" borderId="0" xfId="381" applyNumberFormat="1" applyFont="1" applyFill="1" applyBorder="1" applyAlignment="1">
      <alignment vertical="center" wrapText="1"/>
    </xf>
    <xf numFmtId="175" fontId="142" fillId="0" borderId="0" xfId="381" applyNumberFormat="1" applyFont="1" applyFill="1" applyBorder="1" applyAlignment="1">
      <alignment horizontal="right" vertical="center" wrapText="1"/>
    </xf>
    <xf numFmtId="175" fontId="142" fillId="16" borderId="0" xfId="381" applyNumberFormat="1" applyFont="1" applyFill="1" applyBorder="1" applyAlignment="1">
      <alignment horizontal="right" vertical="center" wrapText="1"/>
    </xf>
    <xf numFmtId="175" fontId="142" fillId="0" borderId="0" xfId="464" applyNumberFormat="1" applyFont="1" applyBorder="1" applyAlignment="1"/>
    <xf numFmtId="43" fontId="142" fillId="0" borderId="0" xfId="59" applyFont="1"/>
    <xf numFmtId="0" fontId="142" fillId="0" borderId="3" xfId="380" applyFont="1" applyBorder="1" applyAlignment="1">
      <alignment vertical="center" wrapText="1"/>
    </xf>
    <xf numFmtId="175" fontId="142" fillId="0" borderId="3" xfId="380" applyNumberFormat="1" applyFont="1" applyBorder="1" applyAlignment="1">
      <alignment vertical="center" wrapText="1"/>
    </xf>
    <xf numFmtId="0" fontId="142" fillId="0" borderId="3" xfId="380" applyFont="1" applyBorder="1" applyAlignment="1">
      <alignment horizontal="right" vertical="center" wrapText="1"/>
    </xf>
    <xf numFmtId="175" fontId="142" fillId="0" borderId="3" xfId="381" applyNumberFormat="1" applyFont="1" applyBorder="1" applyAlignment="1">
      <alignment vertical="center" wrapText="1"/>
    </xf>
    <xf numFmtId="0" fontId="142" fillId="0" borderId="0" xfId="380" applyFont="1" applyBorder="1" applyAlignment="1">
      <alignment horizontal="right" vertical="center" wrapText="1"/>
    </xf>
    <xf numFmtId="0" fontId="142" fillId="0" borderId="0" xfId="380" applyFont="1" applyBorder="1" applyAlignment="1">
      <alignment vertical="center" wrapText="1"/>
    </xf>
    <xf numFmtId="0" fontId="142" fillId="0" borderId="0" xfId="380" applyFont="1" applyBorder="1"/>
    <xf numFmtId="0" fontId="142" fillId="0" borderId="0" xfId="380" applyFont="1" applyBorder="1" applyAlignment="1">
      <alignment horizontal="justify" vertical="center" wrapText="1"/>
    </xf>
    <xf numFmtId="0" fontId="142" fillId="0" borderId="0" xfId="380" applyFont="1" applyFill="1"/>
    <xf numFmtId="175" fontId="142" fillId="0" borderId="0" xfId="381" applyNumberFormat="1" applyFont="1" applyFill="1" applyBorder="1" applyAlignment="1">
      <alignment vertical="center" wrapText="1"/>
    </xf>
    <xf numFmtId="175" fontId="144" fillId="0" borderId="0" xfId="380" applyNumberFormat="1" applyFont="1"/>
    <xf numFmtId="0" fontId="142" fillId="0" borderId="0" xfId="380" applyFont="1" applyFill="1" applyBorder="1"/>
    <xf numFmtId="0" fontId="144" fillId="0" borderId="0" xfId="380" applyFont="1" applyFill="1" applyBorder="1"/>
    <xf numFmtId="175" fontId="144" fillId="0" borderId="0" xfId="381" applyNumberFormat="1" applyFont="1" applyFill="1" applyBorder="1" applyAlignment="1">
      <alignment vertical="center" wrapText="1"/>
    </xf>
    <xf numFmtId="175" fontId="142" fillId="0" borderId="0" xfId="59" applyNumberFormat="1" applyFont="1"/>
    <xf numFmtId="175" fontId="53" fillId="0" borderId="0" xfId="59" applyNumberFormat="1" applyFont="1" applyFill="1" applyAlignment="1">
      <alignment horizontal="center"/>
    </xf>
    <xf numFmtId="280" fontId="142" fillId="0" borderId="0" xfId="59" applyNumberFormat="1" applyFont="1" applyBorder="1" applyAlignment="1">
      <alignment horizontal="right" vertical="center" wrapText="1"/>
    </xf>
    <xf numFmtId="175" fontId="142" fillId="0" borderId="0" xfId="380" applyNumberFormat="1" applyFont="1"/>
    <xf numFmtId="0" fontId="145" fillId="0" borderId="0" xfId="380" applyFont="1"/>
    <xf numFmtId="43" fontId="142" fillId="0" borderId="0" xfId="380" applyNumberFormat="1" applyFont="1" applyBorder="1"/>
    <xf numFmtId="0" fontId="146" fillId="0" borderId="0" xfId="187" applyFont="1" applyAlignment="1">
      <alignment horizontal="left" indent="1"/>
    </xf>
    <xf numFmtId="0" fontId="147" fillId="0" borderId="0" xfId="380" applyFont="1"/>
    <xf numFmtId="0" fontId="63" fillId="16" borderId="0" xfId="59" applyNumberFormat="1" applyFont="1" applyFill="1"/>
    <xf numFmtId="1" fontId="63" fillId="16" borderId="0" xfId="59" applyNumberFormat="1" applyFont="1" applyFill="1"/>
    <xf numFmtId="10" fontId="63" fillId="16" borderId="0" xfId="266" applyNumberFormat="1" applyFont="1" applyFill="1"/>
    <xf numFmtId="10" fontId="63" fillId="16" borderId="0" xfId="59" applyNumberFormat="1" applyFont="1" applyFill="1" applyAlignment="1"/>
    <xf numFmtId="10" fontId="87" fillId="0" borderId="0" xfId="266" applyNumberFormat="1" applyFont="1"/>
    <xf numFmtId="10" fontId="87" fillId="0" borderId="1" xfId="266" applyNumberFormat="1" applyFont="1" applyBorder="1"/>
    <xf numFmtId="10" fontId="30" fillId="0" borderId="1" xfId="266" applyNumberFormat="1" applyFont="1" applyBorder="1" applyAlignment="1"/>
    <xf numFmtId="43" fontId="142" fillId="0" borderId="0" xfId="380" applyNumberFormat="1" applyFont="1"/>
    <xf numFmtId="1" fontId="30" fillId="0" borderId="0" xfId="59" applyNumberFormat="1" applyFont="1" applyFill="1" applyAlignment="1"/>
    <xf numFmtId="175" fontId="142" fillId="0" borderId="1" xfId="381" applyNumberFormat="1" applyFont="1" applyBorder="1" applyAlignment="1">
      <alignment vertical="center" wrapText="1"/>
    </xf>
    <xf numFmtId="10" fontId="63" fillId="0" borderId="0" xfId="0" applyNumberFormat="1" applyFont="1" applyAlignment="1"/>
    <xf numFmtId="283" fontId="63" fillId="0" borderId="0" xfId="0" applyNumberFormat="1" applyFont="1" applyAlignment="1"/>
    <xf numFmtId="0" fontId="142" fillId="0" borderId="0" xfId="380" applyFont="1" applyFill="1" applyBorder="1" applyAlignment="1">
      <alignment horizontal="right" vertical="center" wrapText="1"/>
    </xf>
    <xf numFmtId="0" fontId="142" fillId="0" borderId="0" xfId="380" applyFont="1" applyFill="1" applyBorder="1" applyAlignment="1">
      <alignment horizontal="center" vertical="center" wrapText="1"/>
    </xf>
    <xf numFmtId="175" fontId="53" fillId="0" borderId="3" xfId="381" applyNumberFormat="1" applyFont="1" applyFill="1" applyBorder="1" applyAlignment="1">
      <alignment vertical="center" wrapText="1"/>
    </xf>
    <xf numFmtId="175" fontId="146" fillId="16" borderId="21" xfId="59" applyNumberFormat="1" applyFont="1" applyFill="1" applyBorder="1"/>
    <xf numFmtId="175" fontId="63" fillId="16" borderId="20" xfId="59" applyNumberFormat="1" applyFont="1" applyFill="1" applyBorder="1"/>
    <xf numFmtId="175" fontId="142" fillId="0" borderId="0" xfId="86" applyNumberFormat="1" applyFont="1" applyFill="1" applyBorder="1" applyAlignment="1">
      <alignment vertical="center" wrapText="1"/>
    </xf>
    <xf numFmtId="175" fontId="53" fillId="0" borderId="50" xfId="381" applyNumberFormat="1" applyFont="1" applyFill="1" applyBorder="1" applyAlignment="1">
      <alignment vertical="center" wrapText="1"/>
    </xf>
    <xf numFmtId="174" fontId="138" fillId="0" borderId="0" xfId="0" applyFont="1" applyFill="1" applyAlignment="1"/>
    <xf numFmtId="41" fontId="63" fillId="16" borderId="0" xfId="59" applyNumberFormat="1" applyFont="1" applyFill="1"/>
    <xf numFmtId="41" fontId="187" fillId="0" borderId="0" xfId="188" applyNumberFormat="1" applyFont="1" applyFill="1" applyBorder="1" applyAlignment="1"/>
    <xf numFmtId="41" fontId="187" fillId="0" borderId="0" xfId="211" applyNumberFormat="1" applyFont="1" applyAlignment="1"/>
    <xf numFmtId="174" fontId="187" fillId="0" borderId="0" xfId="211" applyFont="1" applyAlignment="1">
      <alignment horizontal="right"/>
    </xf>
    <xf numFmtId="3" fontId="187" fillId="0" borderId="0" xfId="188" applyNumberFormat="1" applyFont="1" applyAlignment="1">
      <alignment horizontal="right"/>
    </xf>
    <xf numFmtId="174" fontId="187" fillId="0" borderId="0" xfId="0" applyFont="1" applyAlignment="1">
      <alignment horizontal="right"/>
    </xf>
    <xf numFmtId="10" fontId="187" fillId="0" borderId="0" xfId="0" applyNumberFormat="1" applyFont="1" applyAlignment="1"/>
    <xf numFmtId="41" fontId="187" fillId="0" borderId="0" xfId="211" applyNumberFormat="1" applyFont="1" applyBorder="1" applyAlignment="1"/>
    <xf numFmtId="0" fontId="185" fillId="0" borderId="0" xfId="190" applyFont="1" applyBorder="1" applyAlignment="1">
      <alignment horizontal="left"/>
    </xf>
    <xf numFmtId="176" fontId="186" fillId="0" borderId="0" xfId="190" applyNumberFormat="1" applyFont="1" applyBorder="1"/>
    <xf numFmtId="43" fontId="186" fillId="0" borderId="0" xfId="190" applyNumberFormat="1" applyFont="1" applyBorder="1"/>
    <xf numFmtId="176" fontId="186" fillId="0" borderId="0" xfId="190" applyNumberFormat="1" applyFont="1" applyFill="1" applyBorder="1"/>
    <xf numFmtId="0" fontId="186" fillId="0" borderId="0" xfId="190" applyFont="1" applyBorder="1" applyAlignment="1">
      <alignment horizontal="left"/>
    </xf>
    <xf numFmtId="44" fontId="186" fillId="0" borderId="0" xfId="190" applyNumberFormat="1" applyFont="1" applyFill="1" applyBorder="1"/>
    <xf numFmtId="279" fontId="186" fillId="0" borderId="0" xfId="190" applyNumberFormat="1" applyFont="1" applyFill="1" applyBorder="1"/>
    <xf numFmtId="43" fontId="186" fillId="0" borderId="0" xfId="190" applyNumberFormat="1" applyFont="1" applyFill="1" applyBorder="1"/>
    <xf numFmtId="0" fontId="186" fillId="0" borderId="0" xfId="190" applyFont="1" applyBorder="1"/>
    <xf numFmtId="176" fontId="186" fillId="0" borderId="0" xfId="190" applyNumberFormat="1" applyFont="1" applyFill="1" applyBorder="1" applyAlignment="1">
      <alignment horizontal="left"/>
    </xf>
    <xf numFmtId="37" fontId="186" fillId="0" borderId="0" xfId="190" applyNumberFormat="1" applyFont="1" applyBorder="1" applyAlignment="1">
      <alignment horizontal="left"/>
    </xf>
    <xf numFmtId="44" fontId="186" fillId="0" borderId="0" xfId="190" applyNumberFormat="1" applyFont="1" applyBorder="1"/>
    <xf numFmtId="41" fontId="63" fillId="0" borderId="11" xfId="59" applyNumberFormat="1" applyFont="1" applyBorder="1" applyAlignment="1">
      <alignment horizontal="center"/>
    </xf>
    <xf numFmtId="41" fontId="63" fillId="0" borderId="12" xfId="59" applyNumberFormat="1" applyFont="1" applyBorder="1"/>
    <xf numFmtId="175" fontId="63" fillId="14" borderId="0" xfId="59" applyNumberFormat="1" applyFont="1" applyFill="1" applyAlignment="1">
      <alignment horizontal="right"/>
    </xf>
    <xf numFmtId="2" fontId="63" fillId="0" borderId="23" xfId="59" applyNumberFormat="1" applyFont="1" applyBorder="1"/>
    <xf numFmtId="41" fontId="53" fillId="0" borderId="1" xfId="59" applyNumberFormat="1" applyFont="1" applyBorder="1" applyAlignment="1">
      <alignment horizontal="right"/>
    </xf>
    <xf numFmtId="41" fontId="63" fillId="0" borderId="0" xfId="59" applyNumberFormat="1" applyFont="1"/>
    <xf numFmtId="175" fontId="63" fillId="16" borderId="12" xfId="59" applyNumberFormat="1" applyFont="1" applyFill="1" applyBorder="1"/>
    <xf numFmtId="175" fontId="63" fillId="0" borderId="11" xfId="59" applyNumberFormat="1" applyFont="1" applyBorder="1"/>
    <xf numFmtId="175" fontId="63" fillId="0" borderId="11" xfId="59" applyNumberFormat="1" applyFont="1" applyBorder="1" applyAlignment="1">
      <alignment horizontal="center"/>
    </xf>
    <xf numFmtId="174" fontId="63" fillId="0" borderId="0" xfId="211" applyFont="1" applyAlignment="1">
      <alignment horizontal="center"/>
    </xf>
    <xf numFmtId="49" fontId="63" fillId="0" borderId="0" xfId="211" applyNumberFormat="1" applyFont="1" applyAlignment="1" applyProtection="1">
      <alignment horizontal="center"/>
      <protection locked="0"/>
    </xf>
    <xf numFmtId="0" fontId="63" fillId="0" borderId="0" xfId="211" applyNumberFormat="1" applyFont="1" applyFill="1" applyAlignment="1" applyProtection="1">
      <alignment vertical="top" wrapText="1"/>
      <protection locked="0"/>
    </xf>
    <xf numFmtId="0" fontId="102" fillId="0" borderId="0" xfId="211" applyNumberFormat="1" applyFont="1" applyFill="1" applyAlignment="1" applyProtection="1">
      <alignment vertical="top" wrapText="1"/>
      <protection locked="0"/>
    </xf>
    <xf numFmtId="174" fontId="63" fillId="0" borderId="0" xfId="0" applyFont="1" applyFill="1" applyAlignment="1">
      <alignment horizontal="left" wrapText="1"/>
    </xf>
    <xf numFmtId="0" fontId="63" fillId="0" borderId="0" xfId="211" quotePrefix="1" applyNumberFormat="1" applyFont="1" applyFill="1" applyAlignment="1">
      <alignment vertical="top" wrapText="1"/>
    </xf>
    <xf numFmtId="0" fontId="63" fillId="0" borderId="0" xfId="211" applyNumberFormat="1" applyFont="1" applyFill="1" applyAlignment="1">
      <alignment vertical="top" wrapText="1"/>
    </xf>
    <xf numFmtId="0" fontId="63" fillId="0" borderId="0" xfId="188" quotePrefix="1" applyNumberFormat="1" applyFont="1" applyFill="1" applyAlignment="1">
      <alignment vertical="top" wrapText="1"/>
    </xf>
    <xf numFmtId="0" fontId="63" fillId="0" borderId="0" xfId="188" applyNumberFormat="1" applyFont="1" applyFill="1" applyAlignment="1">
      <alignment vertical="top" wrapText="1"/>
    </xf>
    <xf numFmtId="0" fontId="63" fillId="17" borderId="0" xfId="0" applyNumberFormat="1" applyFont="1" applyFill="1" applyBorder="1" applyAlignment="1" applyProtection="1">
      <alignment vertical="top" wrapText="1"/>
    </xf>
    <xf numFmtId="0" fontId="63" fillId="0" borderId="0" xfId="206" applyFont="1" applyFill="1" applyAlignment="1">
      <alignment vertical="top" wrapText="1"/>
    </xf>
    <xf numFmtId="0" fontId="63" fillId="0" borderId="0" xfId="0" applyNumberFormat="1" applyFont="1" applyFill="1" applyBorder="1" applyAlignment="1">
      <alignment horizontal="left" vertical="top" wrapText="1"/>
    </xf>
    <xf numFmtId="174" fontId="53" fillId="0" borderId="0" xfId="0" applyFont="1" applyAlignment="1">
      <alignment horizontal="left" vertical="center" wrapText="1"/>
    </xf>
    <xf numFmtId="174" fontId="63" fillId="0" borderId="0" xfId="201" applyFont="1" applyFill="1" applyBorder="1" applyAlignment="1">
      <alignment horizontal="left"/>
    </xf>
    <xf numFmtId="174" fontId="63" fillId="0" borderId="0" xfId="201" applyFont="1" applyFill="1" applyBorder="1" applyAlignment="1">
      <alignment horizontal="left" vertical="top" wrapText="1"/>
    </xf>
    <xf numFmtId="174" fontId="63" fillId="0" borderId="0" xfId="201" applyFont="1" applyFill="1" applyBorder="1" applyAlignment="1">
      <alignment horizontal="left" wrapText="1"/>
    </xf>
    <xf numFmtId="174" fontId="63" fillId="0" borderId="0" xfId="201" applyFont="1" applyAlignment="1">
      <alignment horizontal="left" vertical="top" wrapText="1"/>
    </xf>
    <xf numFmtId="174" fontId="63" fillId="0" borderId="20" xfId="0" applyFont="1" applyBorder="1" applyAlignment="1">
      <alignment horizontal="center"/>
    </xf>
    <xf numFmtId="174" fontId="63" fillId="0" borderId="21" xfId="0" applyFont="1" applyBorder="1" applyAlignment="1">
      <alignment horizontal="center"/>
    </xf>
    <xf numFmtId="174" fontId="63" fillId="0" borderId="17" xfId="0" applyFont="1" applyBorder="1" applyAlignment="1">
      <alignment horizontal="center"/>
    </xf>
    <xf numFmtId="174" fontId="63" fillId="0" borderId="22" xfId="0" applyFont="1" applyBorder="1" applyAlignment="1">
      <alignment horizontal="center"/>
    </xf>
    <xf numFmtId="174" fontId="63" fillId="0" borderId="0" xfId="0" applyFont="1" applyFill="1" applyAlignment="1">
      <alignment horizontal="left" vertical="top" wrapText="1"/>
    </xf>
    <xf numFmtId="0" fontId="63" fillId="0" borderId="0" xfId="188" applyNumberFormat="1" applyFont="1" applyFill="1" applyAlignment="1">
      <alignment horizontal="left" vertical="top" wrapText="1"/>
    </xf>
    <xf numFmtId="174" fontId="70" fillId="0" borderId="0" xfId="0" applyFont="1" applyAlignment="1">
      <alignment horizontal="center"/>
    </xf>
    <xf numFmtId="0" fontId="70" fillId="0" borderId="0" xfId="212" applyFont="1" applyAlignment="1">
      <alignment horizontal="center"/>
    </xf>
    <xf numFmtId="174" fontId="63" fillId="0" borderId="0" xfId="0" applyFont="1" applyFill="1" applyAlignment="1">
      <alignment horizontal="left" vertical="center" wrapText="1"/>
    </xf>
    <xf numFmtId="0" fontId="92" fillId="0" borderId="0" xfId="188" applyNumberFormat="1" applyFont="1" applyFill="1" applyAlignment="1">
      <alignment horizontal="left" vertical="top" wrapText="1"/>
    </xf>
    <xf numFmtId="0" fontId="144" fillId="0" borderId="20" xfId="380" applyFont="1" applyBorder="1" applyAlignment="1">
      <alignment horizontal="center" vertical="center"/>
    </xf>
    <xf numFmtId="0" fontId="144" fillId="0" borderId="3" xfId="380" applyFont="1" applyBorder="1" applyAlignment="1">
      <alignment horizontal="center" vertical="center"/>
    </xf>
    <xf numFmtId="0" fontId="144" fillId="0" borderId="21" xfId="380" applyFont="1" applyBorder="1" applyAlignment="1">
      <alignment horizontal="center" vertical="center"/>
    </xf>
    <xf numFmtId="0" fontId="144" fillId="0" borderId="16" xfId="380" applyFont="1" applyBorder="1" applyAlignment="1">
      <alignment horizontal="center" vertical="center"/>
    </xf>
    <xf numFmtId="0" fontId="144" fillId="0" borderId="7" xfId="380" applyFont="1" applyBorder="1" applyAlignment="1">
      <alignment horizontal="center" vertical="center"/>
    </xf>
    <xf numFmtId="0" fontId="144" fillId="0" borderId="24" xfId="380" applyFont="1" applyBorder="1" applyAlignment="1">
      <alignment horizontal="center" vertical="center"/>
    </xf>
    <xf numFmtId="0" fontId="116" fillId="0" borderId="0" xfId="380" applyFont="1" applyFill="1" applyAlignment="1">
      <alignment horizontal="center"/>
    </xf>
    <xf numFmtId="0" fontId="116" fillId="0" borderId="0" xfId="380" applyFont="1" applyAlignment="1">
      <alignment horizontal="center"/>
    </xf>
    <xf numFmtId="0" fontId="116" fillId="16" borderId="0" xfId="380" applyFont="1" applyFill="1" applyAlignment="1">
      <alignment horizontal="center"/>
    </xf>
    <xf numFmtId="174" fontId="63" fillId="0" borderId="10" xfId="0" applyFont="1" applyFill="1" applyBorder="1" applyAlignment="1">
      <alignment horizontal="center"/>
    </xf>
    <xf numFmtId="174" fontId="63" fillId="0" borderId="0" xfId="0" applyFont="1" applyFill="1" applyBorder="1" applyAlignment="1">
      <alignment horizontal="center"/>
    </xf>
    <xf numFmtId="174" fontId="63" fillId="0" borderId="12" xfId="0" applyFont="1" applyFill="1" applyBorder="1" applyAlignment="1">
      <alignment horizontal="center"/>
    </xf>
    <xf numFmtId="0" fontId="63" fillId="0" borderId="0" xfId="201" applyNumberFormat="1" applyFont="1" applyFill="1" applyBorder="1" applyAlignment="1" applyProtection="1">
      <alignment horizontal="center"/>
      <protection locked="0"/>
    </xf>
    <xf numFmtId="0" fontId="63" fillId="0" borderId="0" xfId="0" applyNumberFormat="1" applyFont="1" applyAlignment="1">
      <alignment horizontal="center"/>
    </xf>
    <xf numFmtId="10" fontId="63" fillId="0" borderId="0" xfId="266" applyNumberFormat="1" applyFont="1" applyFill="1" applyAlignment="1">
      <alignment horizontal="center"/>
    </xf>
  </cellXfs>
  <cellStyles count="817">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95" xr:uid="{A55200CF-5178-4953-B262-2A33FB82812D}"/>
    <cellStyle name="Accent1 - 40%" xfId="596" xr:uid="{5188C1BF-F7A5-4EEB-A192-7FEF5F65FDD6}"/>
    <cellStyle name="Accent1 - 60%" xfId="597" xr:uid="{7D946914-A58F-46C0-863B-E66E255A310F}"/>
    <cellStyle name="Accent1 2" xfId="407" xr:uid="{00000000-0005-0000-0000-000019000000}"/>
    <cellStyle name="Accent1 3" xfId="594" xr:uid="{C2FF9493-72E5-488A-942C-B9E16971D21B}"/>
    <cellStyle name="Accent1 4" xfId="652" xr:uid="{0CBAB108-A447-454A-B9F5-984BCDD902B2}"/>
    <cellStyle name="Accent1 5" xfId="664" xr:uid="{39D6162D-29FF-4D68-8EE4-0782799BA2F4}"/>
    <cellStyle name="Accent2 - 20%" xfId="599" xr:uid="{294A45C0-80FE-4C15-A40D-145C8BD91241}"/>
    <cellStyle name="Accent2 - 40%" xfId="600" xr:uid="{6EB530F1-45D9-4E4B-8F45-0A2E9EB49C41}"/>
    <cellStyle name="Accent2 - 60%" xfId="601" xr:uid="{CC237959-26C1-4E6E-81B1-9A74C9312637}"/>
    <cellStyle name="Accent2 2" xfId="408" xr:uid="{00000000-0005-0000-0000-00001A000000}"/>
    <cellStyle name="Accent2 3" xfId="598" xr:uid="{557E481E-395B-49BC-9593-D7BD105BCA1B}"/>
    <cellStyle name="Accent2 4" xfId="653" xr:uid="{125DDEA5-7551-4E15-8C57-AB58B0E3D2D4}"/>
    <cellStyle name="Accent2 5" xfId="663" xr:uid="{0F6B151E-809F-4B4D-9F52-60F3D9A782B9}"/>
    <cellStyle name="Accent3 - 20%" xfId="603" xr:uid="{B20F90FF-19E2-4294-88D3-20CB77C1180B}"/>
    <cellStyle name="Accent3 - 40%" xfId="604" xr:uid="{CEAF7744-5930-478F-B99F-FFFF68CC639D}"/>
    <cellStyle name="Accent3 - 60%" xfId="605" xr:uid="{A2588A12-BF3F-4122-8783-0A69008FF5EB}"/>
    <cellStyle name="Accent3 2" xfId="409" xr:uid="{00000000-0005-0000-0000-00001B000000}"/>
    <cellStyle name="Accent3 3" xfId="602" xr:uid="{1DDDE77C-DA97-44D8-88A4-C1EC518AEB49}"/>
    <cellStyle name="Accent3 4" xfId="654" xr:uid="{0D8DA810-6A01-4568-8B29-78C15C7098B8}"/>
    <cellStyle name="Accent3 5" xfId="662" xr:uid="{D9AA867C-1FC2-4AE4-87D7-4675488FC641}"/>
    <cellStyle name="Accent4 - 20%" xfId="607" xr:uid="{D97A3B01-4EA5-45EA-B5A6-1962865DA6C9}"/>
    <cellStyle name="Accent4 - 40%" xfId="608" xr:uid="{0CB909D5-2524-4532-BE9B-F7DA802A0747}"/>
    <cellStyle name="Accent4 - 60%" xfId="609" xr:uid="{2A72B11B-A2F3-4C6E-9901-95D3047F6F5D}"/>
    <cellStyle name="Accent4 2" xfId="410" xr:uid="{00000000-0005-0000-0000-00001C000000}"/>
    <cellStyle name="Accent4 3" xfId="606" xr:uid="{161A29DF-0512-47E8-BB5A-B6A2F6A442A4}"/>
    <cellStyle name="Accent4 4" xfId="655" xr:uid="{32CDB0B5-3BC8-4571-9427-3CA33D227CDB}"/>
    <cellStyle name="Accent4 5" xfId="666" xr:uid="{7B86FB88-F4AB-48AD-B6F4-DEFAF26997D4}"/>
    <cellStyle name="Accent5 - 20%" xfId="611" xr:uid="{401847B6-FB2C-44D1-B238-03EAF53E88E7}"/>
    <cellStyle name="Accent5 - 40%" xfId="612" xr:uid="{F04F398A-C6A9-4B52-912E-A5F100A391BB}"/>
    <cellStyle name="Accent5 - 60%" xfId="613" xr:uid="{21DEEC27-02C9-495E-9903-1A883B2429EC}"/>
    <cellStyle name="Accent5 2" xfId="411" xr:uid="{00000000-0005-0000-0000-00001D000000}"/>
    <cellStyle name="Accent5 3" xfId="610" xr:uid="{A0C2950A-B516-44B7-9D48-34FE7C9F007F}"/>
    <cellStyle name="Accent5 4" xfId="656" xr:uid="{7C481D3D-419C-4E72-8C53-1C2FD4F5E479}"/>
    <cellStyle name="Accent5 5" xfId="661" xr:uid="{8F41DBE8-F3B6-4DCB-B005-D3FAE275ADE6}"/>
    <cellStyle name="Accent6 - 20%" xfId="615" xr:uid="{BE73DFF0-F36F-42EB-842B-6727F6041786}"/>
    <cellStyle name="Accent6 - 40%" xfId="616" xr:uid="{23638822-99FB-460B-9827-1770F6F52055}"/>
    <cellStyle name="Accent6 - 60%" xfId="617" xr:uid="{A9200EED-88B2-44BD-BE90-18E9E64D2588}"/>
    <cellStyle name="Accent6 2" xfId="412" xr:uid="{00000000-0005-0000-0000-00001E000000}"/>
    <cellStyle name="Accent6 3" xfId="614" xr:uid="{299A5C83-219A-4D4C-8ED5-965D2262F40D}"/>
    <cellStyle name="Accent6 4" xfId="657" xr:uid="{363E1ED2-0987-4DEB-A807-A196DC9AB910}"/>
    <cellStyle name="Accent6 5" xfId="660" xr:uid="{E6F6B375-2A1D-42A1-889B-4F58CE485004}"/>
    <cellStyle name="Bad 2" xfId="413" xr:uid="{00000000-0005-0000-0000-00001F000000}"/>
    <cellStyle name="Bad 3" xfId="618" xr:uid="{550C5C4D-FC70-4456-83D3-E7CE97A122BD}"/>
    <cellStyle name="Basic" xfId="8" xr:uid="{00000000-0005-0000-0000-000020000000}"/>
    <cellStyle name="black" xfId="9" xr:uid="{00000000-0005-0000-0000-000021000000}"/>
    <cellStyle name="blu" xfId="10" xr:uid="{00000000-0005-0000-0000-000022000000}"/>
    <cellStyle name="BoldUnderlineNumber" xfId="589" xr:uid="{6ED20EAA-5AE3-4188-9BB4-5E5B6A317E43}"/>
    <cellStyle name="BoldUnderlineNumber 2" xfId="682" xr:uid="{18697351-6560-49C3-A281-0831A487DC96}"/>
    <cellStyle name="BoldUnderlineNumber 3" xfId="693" xr:uid="{F0F4C1D5-69A6-4978-AE5B-59C976827A4F}"/>
    <cellStyle name="BoldUnderlineRate" xfId="697" xr:uid="{9EAABA9E-1643-4AFD-8BA4-52CB3CC1580D}"/>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A 2" xfId="743" xr:uid="{A57FFEE7-DE8C-464D-B7A9-610CD10B2944}"/>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 0,000." xfId="543" xr:uid="{80D19574-2BBC-487B-AF05-42A48D024D67}"/>
    <cellStyle name="Calc 0,000. 2" xfId="720" xr:uid="{F88CC4F0-1A94-45D1-99BF-188449351C0B}"/>
    <cellStyle name="Calculation 2" xfId="414" xr:uid="{00000000-0005-0000-0000-000051000000}"/>
    <cellStyle name="Calculation 3" xfId="619" xr:uid="{6BA25A7D-FC77-4764-B030-346F5D1C84E9}"/>
    <cellStyle name="Calculation 3 2" xfId="792" xr:uid="{1ECAC02D-DA2A-4870-AD69-8408E8F8D070}"/>
    <cellStyle name="cas" xfId="57" xr:uid="{00000000-0005-0000-0000-000052000000}"/>
    <cellStyle name="Centered Heading" xfId="58" xr:uid="{00000000-0005-0000-0000-000053000000}"/>
    <cellStyle name="Check Cell 2" xfId="415" xr:uid="{00000000-0005-0000-0000-000054000000}"/>
    <cellStyle name="Check Cell 3" xfId="620" xr:uid="{9182442E-E04D-44B1-AED9-37D513620353}"/>
    <cellStyle name="ColumnHeader" xfId="520" xr:uid="{509A42E5-13B9-4917-B9FC-45DACB9C5A6A}"/>
    <cellStyle name="ColumnHeader 2" xfId="675" xr:uid="{9126107A-45A4-4DF2-BC18-C6494D1E7C7D}"/>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37" xr:uid="{E7B8ACC1-F427-4EE0-9E48-9BA3E68ECB16}"/>
    <cellStyle name="Comma 12 3 2" xfId="586" xr:uid="{C3B636D8-CCBC-46AE-947E-EADEF2F19BC5}"/>
    <cellStyle name="Comma 12 3 3" xfId="787" xr:uid="{A268A09A-D311-4307-94CE-A465ADF5DA81}"/>
    <cellStyle name="Comma 12 4" xfId="592" xr:uid="{66C10EA7-66E9-46C5-9B2A-04116B9B7015}"/>
    <cellStyle name="Comma 12 4 2" xfId="791" xr:uid="{0CC12E30-70F2-4AE1-BAE9-0AEE97035B2D}"/>
    <cellStyle name="Comma 12 5" xfId="571" xr:uid="{96744987-70EF-4A63-89F5-DA41F791564A}"/>
    <cellStyle name="Comma 12 6" xfId="778" xr:uid="{FB8C7C41-F226-4B98-9C47-0380D5B4B769}"/>
    <cellStyle name="Comma 13" xfId="462" xr:uid="{00000000-0005-0000-0000-00006A000000}"/>
    <cellStyle name="Comma 13 2" xfId="577" xr:uid="{BD26C10F-1E78-4ED6-8577-6E22035BF8DA}"/>
    <cellStyle name="Comma 13 3" xfId="784" xr:uid="{193E8B0E-911C-4AD7-8361-9DA3CF4B25FE}"/>
    <cellStyle name="Comma 14" xfId="649" xr:uid="{4EF95D73-CC4B-40BB-83A9-2588B37E3B18}"/>
    <cellStyle name="Comma 15" xfId="668" xr:uid="{9AE36A24-9B69-4550-B8EA-11DCEA95A73F}"/>
    <cellStyle name="Comma 16" xfId="669" xr:uid="{8ECA33A1-F578-4F25-8FC5-40A182B9B29E}"/>
    <cellStyle name="Comma 17" xfId="689" xr:uid="{C40D3FFF-323A-4541-873A-FC1910C0CBDB}"/>
    <cellStyle name="Comma 18" xfId="692" xr:uid="{B17963A6-CC00-4AC3-AB6B-50F0FE421309}"/>
    <cellStyle name="Comma 19" xfId="727" xr:uid="{A6AC563D-47AB-4D21-8C98-5D4E9FE7D0F0}"/>
    <cellStyle name="Comma 2" xfId="78" xr:uid="{00000000-0005-0000-0000-00006B000000}"/>
    <cellStyle name="Comma 2 2" xfId="79" xr:uid="{00000000-0005-0000-0000-00006C000000}"/>
    <cellStyle name="Comma 2 2 2" xfId="805" xr:uid="{17F6BA2A-296F-45E9-8476-FD8519466508}"/>
    <cellStyle name="Comma 2 2 2 2" xfId="806" xr:uid="{F36C5839-9F3C-485D-8964-ED38F29BE60A}"/>
    <cellStyle name="Comma 2 3" xfId="535" xr:uid="{21F13029-DCF9-45A7-8C55-54C23431620E}"/>
    <cellStyle name="Comma 2 3 2" xfId="703" xr:uid="{0BB3FE0B-3709-4DB0-AE5C-CDA5405246F5}"/>
    <cellStyle name="Comma 2 3 3" xfId="804" xr:uid="{17CF05E5-54C9-451D-83FF-A3171D9EBB35}"/>
    <cellStyle name="Comma 20" xfId="810" xr:uid="{B4041EEB-7604-434D-A691-AD80B330664D}"/>
    <cellStyle name="Comma 21" xfId="814" xr:uid="{8735BEAE-559F-4DDA-B973-388F1C5844EC}"/>
    <cellStyle name="Comma 22" xfId="811" xr:uid="{4848F76F-F639-4D44-99D5-EF1921C76B65}"/>
    <cellStyle name="Comma 23" xfId="812" xr:uid="{6BF5A666-2007-42D5-B8D7-B752BF47AB25}"/>
    <cellStyle name="Comma 3" xfId="80" xr:uid="{00000000-0005-0000-0000-00006D000000}"/>
    <cellStyle name="Comma 3 2" xfId="81" xr:uid="{00000000-0005-0000-0000-00006E000000}"/>
    <cellStyle name="Comma 3 3" xfId="707" xr:uid="{686902AE-5F2C-440A-BA21-C1AFA164E347}"/>
    <cellStyle name="Comma 4" xfId="82" xr:uid="{00000000-0005-0000-0000-00006F000000}"/>
    <cellStyle name="Comma 4 2" xfId="709" xr:uid="{9BE6D9BB-68E5-4A1F-9B6F-1563305E9FA7}"/>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6 2 3" xfId="574" xr:uid="{0805ACCF-8354-491C-A532-C402F83E1489}"/>
    <cellStyle name="Comma 6 2 4" xfId="781" xr:uid="{1FB26CF9-A4F4-4C21-97DE-3995627A7EC2}"/>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0] 2" xfId="688" xr:uid="{F4751363-B32F-4403-B820-F45B40C45E40}"/>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5" xfId="687" xr:uid="{CAB2AAA9-0609-400F-9BB0-66BA31F08867}"/>
    <cellStyle name="Currency 6" xfId="700" xr:uid="{112A9162-94AC-4DC5-8374-9D860141E88E}"/>
    <cellStyle name="Currency 7" xfId="712" xr:uid="{73582FD4-FAEF-473E-BED3-938411B24CC4}"/>
    <cellStyle name="Currency 8" xfId="714" xr:uid="{C2251073-81C6-425D-B2CC-32D2E7C850B4}"/>
    <cellStyle name="Currency 9" xfId="724" xr:uid="{115A33B7-D0F8-4672-ABA8-CBA989C5290B}"/>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1" xr:uid="{4EF753E3-F5E3-4128-BE76-CFFBCC29437F}"/>
    <cellStyle name="DetailIndented 2" xfId="674" xr:uid="{E6B79E74-24D7-4346-A24D-1780E31B564A}"/>
    <cellStyle name="DetailTotalNumber" xfId="523" xr:uid="{17EE4C8F-90E4-42D4-9866-F43595F64FD2}"/>
    <cellStyle name="DetailTotalNumber 2" xfId="673" xr:uid="{9E5E5E62-16E4-4DA5-8090-107A03357957}"/>
    <cellStyle name="DetailTotalRate" xfId="698" xr:uid="{12C26731-1E7B-4287-A265-49DCA4CD8011}"/>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621" xr:uid="{F597C2D6-2110-4DD5-8D77-5520FFEE31CE}"/>
    <cellStyle name="Emphasis 2" xfId="622" xr:uid="{85E943B9-A994-4D7E-95D5-E8C62E718FC3}"/>
    <cellStyle name="Emphasis 3" xfId="623" xr:uid="{BB258937-0CD8-4CD0-B924-5FE26A76C780}"/>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624" xr:uid="{14B6AE89-236C-4999-A077-AC96CEC17D60}"/>
    <cellStyle name="GrandTotalNumber" xfId="588" xr:uid="{A1C174A8-CC97-42E0-AB5B-06346C69AFEE}"/>
    <cellStyle name="GrandTotalNumber 2" xfId="681" xr:uid="{B218B962-FF2A-45DC-AB79-A64946665B0F}"/>
    <cellStyle name="GrandTotalNumber 2 2" xfId="798" xr:uid="{20373105-73FD-46C0-BA45-094C4481A619}"/>
    <cellStyle name="GrandTotalNumber 3" xfId="789" xr:uid="{EB105870-FD92-469F-844C-A8521B1FB4D4}"/>
    <cellStyle name="GrandTotalRate" xfId="696" xr:uid="{56681785-5041-420B-823C-13FDCD57E951}"/>
    <cellStyle name="Green" xfId="142" xr:uid="{00000000-0005-0000-0000-0000B2000000}"/>
    <cellStyle name="grey" xfId="143" xr:uid="{00000000-0005-0000-0000-0000B3000000}"/>
    <cellStyle name="Header" xfId="518" xr:uid="{8F96D52E-5555-40ED-BDD1-03B6216554FA}"/>
    <cellStyle name="Header 2" xfId="677" xr:uid="{234FB327-6A12-4AF2-94EB-373406425841}"/>
    <cellStyle name="Header1" xfId="144" xr:uid="{00000000-0005-0000-0000-0000B4000000}"/>
    <cellStyle name="Header2" xfId="145" xr:uid="{00000000-0005-0000-0000-0000B5000000}"/>
    <cellStyle name="Header2 2" xfId="744" xr:uid="{675A82D8-0FAB-4013-932F-957EBD2F59BC}"/>
    <cellStyle name="Heading" xfId="146" xr:uid="{00000000-0005-0000-0000-0000B6000000}"/>
    <cellStyle name="Heading 1" xfId="147" builtinId="16" customBuiltin="1"/>
    <cellStyle name="Heading 1 2" xfId="625" xr:uid="{A81C0E1A-AC6E-40E2-98F6-78F1112F9633}"/>
    <cellStyle name="Heading 2" xfId="148" builtinId="17" customBuiltin="1"/>
    <cellStyle name="Heading 2 2" xfId="149" xr:uid="{00000000-0005-0000-0000-0000B9000000}"/>
    <cellStyle name="Heading 2 3" xfId="626" xr:uid="{D60E45C6-40BC-4C70-B9B5-41AF6B310C4C}"/>
    <cellStyle name="Heading 3 2" xfId="420" xr:uid="{00000000-0005-0000-0000-0000BA000000}"/>
    <cellStyle name="Heading 3 3" xfId="627" xr:uid="{40B60E80-F98E-437F-BA6C-43F4EE618F49}"/>
    <cellStyle name="Heading 4 2" xfId="421" xr:uid="{00000000-0005-0000-0000-0000BB000000}"/>
    <cellStyle name="Heading 4 3" xfId="628" xr:uid="{E03C4B49-355A-4EBC-ACC1-C92B61FF5483}"/>
    <cellStyle name="Heading No Underline" xfId="150" xr:uid="{00000000-0005-0000-0000-0000BC000000}"/>
    <cellStyle name="Heading With Underline" xfId="151" xr:uid="{00000000-0005-0000-0000-0000BD000000}"/>
    <cellStyle name="Heading1" xfId="152" xr:uid="{00000000-0005-0000-0000-0000BE000000}"/>
    <cellStyle name="Heading1 2" xfId="717" xr:uid="{757EB71B-9143-444C-B02F-08CAD6E74755}"/>
    <cellStyle name="Heading2" xfId="153" xr:uid="{00000000-0005-0000-0000-0000BF000000}"/>
    <cellStyle name="Heading2 2" xfId="718" xr:uid="{25203E90-B4C7-4E8C-813C-B3387A931C52}"/>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 2" xfId="745" xr:uid="{54929A16-A620-4EFC-984F-966E9A4EB8C6}"/>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yellow] 2" xfId="746" xr:uid="{B4C5D352-CAAD-4118-B6E1-A5234DA79B09}"/>
    <cellStyle name="Input 0,000." xfId="542" xr:uid="{887B1FCC-0DD1-4BD1-BB60-E35972149312}"/>
    <cellStyle name="Input 0,000. 2" xfId="722" xr:uid="{D517045C-7F47-459B-8133-42D529A786F2}"/>
    <cellStyle name="Input 0000." xfId="721" xr:uid="{1BAF9018-906D-4143-B834-1E547A8B811D}"/>
    <cellStyle name="Input 2" xfId="423" xr:uid="{00000000-0005-0000-0000-0000C9000000}"/>
    <cellStyle name="Input 3" xfId="422" xr:uid="{00000000-0005-0000-0000-0000CA000000}"/>
    <cellStyle name="Input 4" xfId="629" xr:uid="{1248DA62-C28E-4D7D-BF37-5533725D89B7}"/>
    <cellStyle name="Input 4 2" xfId="793" xr:uid="{2E070205-4924-4FF4-988B-58EFAE23F430}"/>
    <cellStyle name="Input 5" xfId="658" xr:uid="{796D05EC-3FAF-42D9-BF25-7049E4153EB0}"/>
    <cellStyle name="Input 6" xfId="667" xr:uid="{509A649B-C7CE-48B3-9415-B40AEE463882}"/>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630" xr:uid="{CE93C0CD-99E6-4755-BC71-920EEF8245D8}"/>
    <cellStyle name="m" xfId="174" xr:uid="{00000000-0005-0000-0000-0000D7000000}"/>
    <cellStyle name="m1" xfId="175" xr:uid="{00000000-0005-0000-0000-0000D8000000}"/>
    <cellStyle name="m2" xfId="176" xr:uid="{00000000-0005-0000-0000-0000D9000000}"/>
    <cellStyle name="m3" xfId="177" xr:uid="{00000000-0005-0000-0000-0000DA000000}"/>
    <cellStyle name="MM-YYYY" xfId="539" xr:uid="{6075BE0B-8A99-41FD-B334-EA876638B8A2}"/>
    <cellStyle name="Multiple" xfId="178" xr:uid="{00000000-0005-0000-0000-0000DB000000}"/>
    <cellStyle name="Negative" xfId="179" xr:uid="{00000000-0005-0000-0000-0000DC000000}"/>
    <cellStyle name="Neutral 2" xfId="425" xr:uid="{00000000-0005-0000-0000-0000DD000000}"/>
    <cellStyle name="Neutral 3" xfId="631" xr:uid="{7F259C2D-86D9-433B-B63E-148DB9FDFE7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2 3" xfId="557" xr:uid="{194899A1-141A-42C2-9FBE-B5DCDF7E6A46}"/>
    <cellStyle name="Normal 10 2 4" xfId="734" xr:uid="{B6F2359A-CD4F-421A-A9E5-5EAEAC98CA74}"/>
    <cellStyle name="Normal 10 2 5" xfId="764" xr:uid="{D7FA210B-3F05-47C8-9488-93EDABC075E8}"/>
    <cellStyle name="Normal 10 3" xfId="426" xr:uid="{00000000-0005-0000-0000-0000E4000000}"/>
    <cellStyle name="Normal 10 4" xfId="544" xr:uid="{F564A34E-F996-484C-9E67-B4D241E6AE3A}"/>
    <cellStyle name="Normal 10 4 2" xfId="802" xr:uid="{DFE48543-56B7-4D3B-A8F3-F8E254FE4563}"/>
    <cellStyle name="Normal 10 5" xfId="747" xr:uid="{A09B694A-AE15-45E1-B2E8-89CE0555AFB1}"/>
    <cellStyle name="Normal 102 3 2 2" xfId="705" xr:uid="{E0B0113E-EA6C-4F38-B997-A15149554F16}"/>
    <cellStyle name="Normal 11" xfId="183" xr:uid="{00000000-0005-0000-0000-0000E5000000}"/>
    <cellStyle name="Normal 12" xfId="380" xr:uid="{00000000-0005-0000-0000-0000E6000000}"/>
    <cellStyle name="Normal 12 2" xfId="428" xr:uid="{00000000-0005-0000-0000-0000E7000000}"/>
    <cellStyle name="Normal 12 3" xfId="536" xr:uid="{928A05C2-7EBA-4DFC-AD42-CCF8A8E26AC6}"/>
    <cellStyle name="Normal 12 3 2" xfId="585" xr:uid="{E070344F-672C-4F6E-8718-883D85E061DB}"/>
    <cellStyle name="Normal 12 3 3" xfId="786" xr:uid="{F7A0D91A-3004-4819-982E-1901B868B27D}"/>
    <cellStyle name="Normal 12 4" xfId="591" xr:uid="{D3EFB27B-A6B7-4612-8025-51D23E8A4D1D}"/>
    <cellStyle name="Normal 12 4 2" xfId="790" xr:uid="{666A46A7-BB66-413F-92C8-E04283EBA3A4}"/>
    <cellStyle name="Normal 12 5" xfId="570" xr:uid="{95B95D66-43A6-467C-80CF-111904007E2C}"/>
    <cellStyle name="Normal 12 6" xfId="777" xr:uid="{F0A6EC37-1101-41A0-AB6D-8D9D1F479EF6}"/>
    <cellStyle name="Normal 13" xfId="388" xr:uid="{00000000-0005-0000-0000-0000E8000000}"/>
    <cellStyle name="Normal 13 2" xfId="429" xr:uid="{00000000-0005-0000-0000-0000E9000000}"/>
    <cellStyle name="Normal 13 3" xfId="461" xr:uid="{00000000-0005-0000-0000-0000EA000000}"/>
    <cellStyle name="Normal 13 3 2" xfId="576" xr:uid="{700AC2D4-92A7-4AA5-A893-9BBE8987AE02}"/>
    <cellStyle name="Normal 13 3 3" xfId="783" xr:uid="{A7F4C45B-86A1-4DF3-97FB-BF95D3159AC1}"/>
    <cellStyle name="Normal 13 4" xfId="575" xr:uid="{8088C71D-7773-43CF-9E50-6BAD5ACF4BB5}"/>
    <cellStyle name="Normal 13 4 2" xfId="807" xr:uid="{E9884441-77E3-49A3-8C0A-56E085C4E753}"/>
    <cellStyle name="Normal 13 5" xfId="782" xr:uid="{CCB84973-A6D1-45B0-9AE3-8B48A2B770F3}"/>
    <cellStyle name="Normal 14" xfId="465" xr:uid="{00000000-0005-0000-0000-0000EB000000}"/>
    <cellStyle name="Normal 14 2" xfId="579" xr:uid="{AFD68B85-2B44-41FD-A4BC-CAC3084C3F95}"/>
    <cellStyle name="Normal 14 2 2" xfId="731" xr:uid="{D0ECE975-9DC5-4365-85DA-AC24BF3F8E02}"/>
    <cellStyle name="Normal 15" xfId="467" xr:uid="{00000000-0005-0000-0000-0000EC000000}"/>
    <cellStyle name="Normal 15 2" xfId="580" xr:uid="{DBBF38ED-D64F-44B2-930D-2D7BB571C54D}"/>
    <cellStyle name="Normal 16" xfId="468" xr:uid="{00000000-0005-0000-0000-0000ED000000}"/>
    <cellStyle name="Normal 16 2" xfId="581" xr:uid="{EDE18378-12BF-40A4-9E2A-0A6590214A42}"/>
    <cellStyle name="Normal 17" xfId="469" xr:uid="{00000000-0005-0000-0000-0000EE000000}"/>
    <cellStyle name="Normal 17 2" xfId="582" xr:uid="{DFC0E485-4DF3-4E6B-B645-8BF992F28E05}"/>
    <cellStyle name="Normal 18" xfId="470" xr:uid="{00000000-0005-0000-0000-0000EF000000}"/>
    <cellStyle name="Normal 18 2" xfId="583" xr:uid="{0B743E36-1D70-40CC-9F62-1ECDDFAB198C}"/>
    <cellStyle name="Normal 19" xfId="471" xr:uid="{00000000-0005-0000-0000-0000F0000000}"/>
    <cellStyle name="Normal 2" xfId="184" xr:uid="{00000000-0005-0000-0000-0000F1000000}"/>
    <cellStyle name="Normal 2 19" xfId="704" xr:uid="{F482A2A6-E473-4F03-8CA9-45A121B318B5}"/>
    <cellStyle name="Normal 2 2" xfId="185" xr:uid="{00000000-0005-0000-0000-0000F2000000}"/>
    <cellStyle name="Normal 2 2 2" xfId="532" xr:uid="{3594F80F-3AB3-4AAB-B0FF-ED4B74BE459A}"/>
    <cellStyle name="Normal 2 2 2 2" xfId="534" xr:uid="{90E5F130-0ED6-4A1E-8D22-42416FC3B021}"/>
    <cellStyle name="Normal 2 2 2 3" xfId="702" xr:uid="{FBC865D1-7475-4B76-BD42-68B847A483C4}"/>
    <cellStyle name="Normal 2 3" xfId="466" xr:uid="{00000000-0005-0000-0000-0000F3000000}"/>
    <cellStyle name="Normal 2 4" xfId="526" xr:uid="{C569C93C-6978-4951-B6C5-7698D649360C}"/>
    <cellStyle name="Normal 2 5" xfId="715" xr:uid="{19192A6A-BA69-4A7C-BD8A-280C51357C13}"/>
    <cellStyle name="Normal 2 53" xfId="736" xr:uid="{63F93568-8D0C-4FDC-A071-87F4496719D2}"/>
    <cellStyle name="Normal 2 6" xfId="728" xr:uid="{26E94944-ED8F-45D7-A66A-F350A7B16219}"/>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CE489DE9-D46E-4901-8225-DBEBA2F5CD03}"/>
    <cellStyle name="Normal 24 2" xfId="528" xr:uid="{AA0D2140-A1EA-49BF-9956-AFF43C5C114C}"/>
    <cellStyle name="Normal 24 3" xfId="584" xr:uid="{B9A0E2C3-CE09-4D11-BD5F-7FA2C0AF1D3A}"/>
    <cellStyle name="Normal 24 4" xfId="679" xr:uid="{A5355D6B-519D-4F8E-AEE1-C97C72A62FF2}"/>
    <cellStyle name="Normal 24 4 2" xfId="684" xr:uid="{749FDC48-FDC5-4FD7-B2CB-E0BF9A28CBE7}"/>
    <cellStyle name="Normal 25" xfId="516" xr:uid="{7DE0224B-5609-45FF-8D6A-A426E8B7D5C2}"/>
    <cellStyle name="Normal 25 2" xfId="593" xr:uid="{1A3E3CC2-40DA-498E-B53B-48332E063641}"/>
    <cellStyle name="Normal 26" xfId="517" xr:uid="{3C2E58B5-CD20-4894-823A-3C8FA550312B}"/>
    <cellStyle name="Normal 26 2" xfId="527" xr:uid="{09EB2C32-A626-4938-A5BC-1780CAFD6963}"/>
    <cellStyle name="Normal 26 3" xfId="651" xr:uid="{99541BA0-AA6C-4C1F-B1F5-F149AC328009}"/>
    <cellStyle name="Normal 26 4" xfId="680" xr:uid="{2BBE001F-106D-481C-AC7A-CF82177651D6}"/>
    <cellStyle name="Normal 26 5" xfId="800" xr:uid="{2753DA0C-9CC4-42EF-B1D4-688C9CEBFDDC}"/>
    <cellStyle name="Normal 27" xfId="529" xr:uid="{6208F7E7-D4BE-419D-B32F-506EBF0385A7}"/>
    <cellStyle name="Normal 27 2" xfId="665" xr:uid="{6EDBE150-6584-41D4-9CE6-A47F28949CCC}"/>
    <cellStyle name="Normal 27 3" xfId="678" xr:uid="{2F2F602E-9053-4D46-9963-143D3C5B877B}"/>
    <cellStyle name="Normal 27 4" xfId="808" xr:uid="{326385FE-C8A5-4696-834F-EF2A223D49A0}"/>
    <cellStyle name="Normal 28" xfId="685" xr:uid="{47DCE894-0CAB-4659-B8B4-E388B962FFF6}"/>
    <cellStyle name="Normal 28 2" xfId="706" xr:uid="{7F92E358-02B3-4869-B19D-49F1D12A246B}"/>
    <cellStyle name="Normal 29" xfId="691" xr:uid="{78883DBD-ADC2-48A9-82C6-8FD143A2D1BA}"/>
    <cellStyle name="Normal 3" xfId="186" xr:uid="{00000000-0005-0000-0000-0000F8000000}"/>
    <cellStyle name="Normal 3 2" xfId="187" xr:uid="{00000000-0005-0000-0000-0000F9000000}"/>
    <cellStyle name="Normal 3 2 2" xfId="533" xr:uid="{1CD9821B-1E0C-4455-B2CF-453E3EE0B6AC}"/>
    <cellStyle name="Normal 3 2 2 2" xfId="538" xr:uid="{2B9AA3B5-2C30-4994-90D0-940C6CB5D9BA}"/>
    <cellStyle name="Normal 3 3" xfId="530" xr:uid="{853D2D97-2B4F-4DCC-9427-A51E4DA9C03E}"/>
    <cellStyle name="Normal 3_Attach O, GG, Support -New Method 2-14-11" xfId="188" xr:uid="{00000000-0005-0000-0000-0000FA000000}"/>
    <cellStyle name="Normal 30" xfId="711" xr:uid="{80A9AC4A-D56C-48DD-8799-64ADEF049E4E}"/>
    <cellStyle name="Normal 31" xfId="713" xr:uid="{FD0039B3-E88D-4722-91BB-EA6CD36E07FC}"/>
    <cellStyle name="Normal 32" xfId="716" xr:uid="{4C565272-96C8-4BCF-89D3-7FE6C6896AEA}"/>
    <cellStyle name="Normal 33" xfId="725" xr:uid="{D340FB7D-F8BC-42B9-AA25-91B40C39B019}"/>
    <cellStyle name="Normal 34" xfId="726" xr:uid="{64423B0B-1832-4DA4-8059-E9FB0B9FC507}"/>
    <cellStyle name="Normal 35" xfId="809" xr:uid="{1FDEF35B-3774-451C-840E-E338EFD103A5}"/>
    <cellStyle name="Normal 36" xfId="815" xr:uid="{4B3CD9D8-FBE1-4560-932C-8439183CE4F1}"/>
    <cellStyle name="Normal 37" xfId="813" xr:uid="{673F43E1-C992-4FBD-B3E6-1FDFFE433C0D}"/>
    <cellStyle name="Normal 38" xfId="816" xr:uid="{BE8BA3CA-5095-41C4-8A73-A950F65ECACD}"/>
    <cellStyle name="Normal 4" xfId="189" xr:uid="{00000000-0005-0000-0000-0000FB000000}"/>
    <cellStyle name="Normal 4 2" xfId="190" xr:uid="{00000000-0005-0000-0000-0000FC000000}"/>
    <cellStyle name="Normal 4 2 2" xfId="735" xr:uid="{19E4F1AB-8500-4FEF-8ECA-8E35E3B10B14}"/>
    <cellStyle name="Normal 4 3" xfId="531" xr:uid="{42FCAF11-C0EB-498D-AE89-E286EC9E1376}"/>
    <cellStyle name="Normal 4 3 2" xfId="701" xr:uid="{34226FFE-9386-4545-A28D-F73D8C888F7F}"/>
    <cellStyle name="Normal 4 4" xfId="733" xr:uid="{1416A060-7CF7-4509-87D7-435F496A7509}"/>
    <cellStyle name="Normal 4_Attach O, GG, Support -New Method 2-14-11" xfId="191" xr:uid="{00000000-0005-0000-0000-0000FD000000}"/>
    <cellStyle name="Normal 5" xfId="192" xr:uid="{00000000-0005-0000-0000-0000FE000000}"/>
    <cellStyle name="Normal 5 2" xfId="387" xr:uid="{00000000-0005-0000-0000-0000FF000000}"/>
    <cellStyle name="Normal 5 3" xfId="729" xr:uid="{B6911574-5AFB-475D-BAB6-4CA484071C47}"/>
    <cellStyle name="Normal 6" xfId="193" xr:uid="{00000000-0005-0000-0000-000000010000}"/>
    <cellStyle name="Normal 6 10" xfId="732" xr:uid="{CC15A3EE-89B6-4779-92B3-D508D9B228CE}"/>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2 3" xfId="561" xr:uid="{C7C16800-A3DE-4948-A7BB-0ED6A9815EA1}"/>
    <cellStyle name="Normal 6 2 2 2 2 4" xfId="768" xr:uid="{C1862075-4207-4119-8980-36C85114A054}"/>
    <cellStyle name="Normal 6 2 2 2 3" xfId="433" xr:uid="{00000000-0005-0000-0000-000006010000}"/>
    <cellStyle name="Normal 6 2 2 2 4" xfId="548" xr:uid="{B62B618F-CF76-4FAB-986D-AD6CA026594E}"/>
    <cellStyle name="Normal 6 2 2 2 5" xfId="751" xr:uid="{63D9A805-8139-488F-9335-11505DDFA96E}"/>
    <cellStyle name="Normal 6 2 2 3" xfId="370" xr:uid="{00000000-0005-0000-0000-000007010000}"/>
    <cellStyle name="Normal 6 2 2 3 2" xfId="435" xr:uid="{00000000-0005-0000-0000-000008010000}"/>
    <cellStyle name="Normal 6 2 2 3 3" xfId="560" xr:uid="{4AEADD53-8562-4197-AF3E-25BA579BA88B}"/>
    <cellStyle name="Normal 6 2 2 3 4" xfId="767" xr:uid="{F5F631ED-6133-4DB1-9D45-DF386532654D}"/>
    <cellStyle name="Normal 6 2 2 4" xfId="432" xr:uid="{00000000-0005-0000-0000-000009010000}"/>
    <cellStyle name="Normal 6 2 2 5" xfId="547" xr:uid="{9F9DD5F8-3F2F-401A-B516-6301757EB5E1}"/>
    <cellStyle name="Normal 6 2 2 6" xfId="750" xr:uid="{1E9D7F29-364C-45E7-A962-1292996947ED}"/>
    <cellStyle name="Normal 6 2 3" xfId="197" xr:uid="{00000000-0005-0000-0000-00000A010000}"/>
    <cellStyle name="Normal 6 2 3 2" xfId="372" xr:uid="{00000000-0005-0000-0000-00000B010000}"/>
    <cellStyle name="Normal 6 2 3 2 2" xfId="437" xr:uid="{00000000-0005-0000-0000-00000C010000}"/>
    <cellStyle name="Normal 6 2 3 2 3" xfId="562" xr:uid="{E075EF3D-8C3D-4046-B121-B7D2EF4824F7}"/>
    <cellStyle name="Normal 6 2 3 2 4" xfId="769" xr:uid="{3CADA6E1-2B08-4D7B-B441-36055701A4CE}"/>
    <cellStyle name="Normal 6 2 3 3" xfId="436" xr:uid="{00000000-0005-0000-0000-00000D010000}"/>
    <cellStyle name="Normal 6 2 3 4" xfId="549" xr:uid="{FF26A283-40D5-4A7A-8605-6CD743B37AF3}"/>
    <cellStyle name="Normal 6 2 3 5" xfId="752" xr:uid="{377F2062-8831-4F45-AD49-7386CE3ABB3F}"/>
    <cellStyle name="Normal 6 2 4" xfId="369" xr:uid="{00000000-0005-0000-0000-00000E010000}"/>
    <cellStyle name="Normal 6 2 4 2" xfId="438" xr:uid="{00000000-0005-0000-0000-00000F010000}"/>
    <cellStyle name="Normal 6 2 4 3" xfId="559" xr:uid="{17E3D473-4F74-4D94-BA0D-FD7CBAA19998}"/>
    <cellStyle name="Normal 6 2 4 4" xfId="766" xr:uid="{0547635E-8AA4-40D8-95F4-4EAF93C3597F}"/>
    <cellStyle name="Normal 6 2 5" xfId="386" xr:uid="{00000000-0005-0000-0000-000010010000}"/>
    <cellStyle name="Normal 6 2 6" xfId="431" xr:uid="{00000000-0005-0000-0000-000011010000}"/>
    <cellStyle name="Normal 6 2 7" xfId="546" xr:uid="{E1D066ED-38D7-4426-83B0-D6DBD3D02D1F}"/>
    <cellStyle name="Normal 6 2 8" xfId="749" xr:uid="{CE4F34FC-6A52-4BBE-9B6B-C95CA445D784}"/>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2 3" xfId="564" xr:uid="{B09BDA61-9B84-4174-9C30-AAE9651DBA56}"/>
    <cellStyle name="Normal 6 3 2 2 4" xfId="771" xr:uid="{EF67A1A2-66C1-403E-AB87-6AFD4BD845EB}"/>
    <cellStyle name="Normal 6 3 2 3" xfId="440" xr:uid="{00000000-0005-0000-0000-000016010000}"/>
    <cellStyle name="Normal 6 3 2 4" xfId="551" xr:uid="{E76BBCF6-9085-4711-A898-782F53E085F8}"/>
    <cellStyle name="Normal 6 3 2 5" xfId="754" xr:uid="{0FCD64F2-26BE-4CF8-AB07-208DDAB5977F}"/>
    <cellStyle name="Normal 6 3 3" xfId="373" xr:uid="{00000000-0005-0000-0000-000017010000}"/>
    <cellStyle name="Normal 6 3 3 2" xfId="442" xr:uid="{00000000-0005-0000-0000-000018010000}"/>
    <cellStyle name="Normal 6 3 3 3" xfId="563" xr:uid="{FF4A4106-7283-4346-B5E7-3C56736CA059}"/>
    <cellStyle name="Normal 6 3 3 4" xfId="770" xr:uid="{94519F39-3049-4133-902A-CC8DBA58D395}"/>
    <cellStyle name="Normal 6 3 4" xfId="439" xr:uid="{00000000-0005-0000-0000-000019010000}"/>
    <cellStyle name="Normal 6 3 5" xfId="550" xr:uid="{A7A08175-0CD3-4E2B-8D1E-B3EEDE8FA6DB}"/>
    <cellStyle name="Normal 6 3 6" xfId="753" xr:uid="{B189AF9E-BB18-4B72-B5FA-E4140C5E167F}"/>
    <cellStyle name="Normal 6 4" xfId="200" xr:uid="{00000000-0005-0000-0000-00001A010000}"/>
    <cellStyle name="Normal 6 4 2" xfId="375" xr:uid="{00000000-0005-0000-0000-00001B010000}"/>
    <cellStyle name="Normal 6 4 2 2" xfId="444" xr:uid="{00000000-0005-0000-0000-00001C010000}"/>
    <cellStyle name="Normal 6 4 2 3" xfId="565" xr:uid="{B8706CB7-5C89-4042-8266-F77CDFB00EE9}"/>
    <cellStyle name="Normal 6 4 2 4" xfId="772" xr:uid="{26D2BFFF-E891-4453-BCFD-8C7310FDACD9}"/>
    <cellStyle name="Normal 6 4 3" xfId="443" xr:uid="{00000000-0005-0000-0000-00001D010000}"/>
    <cellStyle name="Normal 6 4 4" xfId="552" xr:uid="{966D8F79-BD93-4FCB-AF53-3E1F918CD0C6}"/>
    <cellStyle name="Normal 6 4 5" xfId="755" xr:uid="{02304799-5DC6-4E43-949A-D2A96A2AC448}"/>
    <cellStyle name="Normal 6 5" xfId="368" xr:uid="{00000000-0005-0000-0000-00001E010000}"/>
    <cellStyle name="Normal 6 5 2" xfId="445" xr:uid="{00000000-0005-0000-0000-00001F010000}"/>
    <cellStyle name="Normal 6 5 3" xfId="558" xr:uid="{5211311C-C4EA-4E37-B452-AD2D8BF0E0BD}"/>
    <cellStyle name="Normal 6 5 4" xfId="765" xr:uid="{25D0D433-A862-497B-94F4-461FA2B9A39F}"/>
    <cellStyle name="Normal 6 6" xfId="430" xr:uid="{00000000-0005-0000-0000-000020010000}"/>
    <cellStyle name="Normal 6 6 2" xfId="708" xr:uid="{E0F834C5-0CE7-4D47-A40E-B8AE1E6B978F}"/>
    <cellStyle name="Normal 6 7" xfId="545" xr:uid="{2EDF352D-0F9A-45A9-91DD-F5FBB09D6B17}"/>
    <cellStyle name="Normal 6 8" xfId="748" xr:uid="{A7CDBA70-536B-4C26-9976-62A0BE52D28B}"/>
    <cellStyle name="Normal 7" xfId="201" xr:uid="{00000000-0005-0000-0000-000021010000}"/>
    <cellStyle name="Normal 7 7" xfId="730" xr:uid="{7E795075-87A7-43D3-B7EF-A0DEE48C1A9A}"/>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2 3" xfId="567" xr:uid="{3ACF214C-4DA6-4B88-97BC-08F3BCB48800}"/>
    <cellStyle name="Normal 8 2 2 4" xfId="774" xr:uid="{3275F0E3-570B-462D-B2E8-2406AF08662C}"/>
    <cellStyle name="Normal 8 2 3" xfId="447" xr:uid="{00000000-0005-0000-0000-000026010000}"/>
    <cellStyle name="Normal 8 2 4" xfId="554" xr:uid="{1967598C-261B-4599-B248-E5FC68D0EB8E}"/>
    <cellStyle name="Normal 8 2 5" xfId="757" xr:uid="{20A2AC8C-4FD4-47B3-B316-CC38AB278554}"/>
    <cellStyle name="Normal 8 3" xfId="376" xr:uid="{00000000-0005-0000-0000-000027010000}"/>
    <cellStyle name="Normal 8 3 2" xfId="449" xr:uid="{00000000-0005-0000-0000-000028010000}"/>
    <cellStyle name="Normal 8 3 3" xfId="566" xr:uid="{861B3EBB-A14D-457C-BCB1-2A4046DC4B18}"/>
    <cellStyle name="Normal 8 3 4" xfId="773" xr:uid="{0F91A232-0A9B-4648-9ECB-3F311A2347BA}"/>
    <cellStyle name="Normal 8 4" xfId="384" xr:uid="{00000000-0005-0000-0000-000029010000}"/>
    <cellStyle name="Normal 8 4 2" xfId="450" xr:uid="{00000000-0005-0000-0000-00002A010000}"/>
    <cellStyle name="Normal 8 4 3" xfId="573" xr:uid="{44DAB4F7-7DFA-4B6F-8910-C77259B30341}"/>
    <cellStyle name="Normal 8 4 4" xfId="780" xr:uid="{330352E8-B68B-414D-BEC7-BBDFB2FABEDB}"/>
    <cellStyle name="Normal 8 5" xfId="446" xr:uid="{00000000-0005-0000-0000-00002B010000}"/>
    <cellStyle name="Normal 8 6" xfId="553" xr:uid="{05E7CF4B-F9D8-489B-84D5-D80B36DFAB03}"/>
    <cellStyle name="Normal 8 7" xfId="756" xr:uid="{CF3864EC-3C8B-47F8-9DE4-C36D44DE2FE9}"/>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2 3" xfId="569" xr:uid="{A99C1D8C-8047-45FE-8CA2-6A7A5E588AB7}"/>
    <cellStyle name="Normal 9 2 2 4" xfId="776" xr:uid="{D015925A-3C62-4DA0-B049-C61E9E8B2504}"/>
    <cellStyle name="Normal 9 2 3" xfId="452" xr:uid="{00000000-0005-0000-0000-000030010000}"/>
    <cellStyle name="Normal 9 2 4" xfId="556" xr:uid="{36B8FB1D-0BF6-4A1B-9143-F2031231391C}"/>
    <cellStyle name="Normal 9 2 5" xfId="759" xr:uid="{DA2C6AC4-F6E3-4F3C-86BE-B13CB21C4B2D}"/>
    <cellStyle name="Normal 9 3" xfId="378" xr:uid="{00000000-0005-0000-0000-000031010000}"/>
    <cellStyle name="Normal 9 3 2" xfId="454" xr:uid="{00000000-0005-0000-0000-000032010000}"/>
    <cellStyle name="Normal 9 3 3" xfId="568" xr:uid="{2D610942-6139-4828-819D-5688C1B6993C}"/>
    <cellStyle name="Normal 9 3 4" xfId="775" xr:uid="{255276EF-4E3B-4CFE-BA70-87905AF4E4E5}"/>
    <cellStyle name="Normal 9 4" xfId="451" xr:uid="{00000000-0005-0000-0000-000033010000}"/>
    <cellStyle name="Normal 9 5" xfId="555" xr:uid="{B28A6F71-978A-4100-AA30-22493BC80EA3}"/>
    <cellStyle name="Normal 9 6" xfId="758" xr:uid="{DDDE4A0D-BA3A-4533-A35D-4ECAD19F0D8E}"/>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632" xr:uid="{0CA88021-67FC-4D47-9678-D78E630A701D}"/>
    <cellStyle name="Note 3 2" xfId="794" xr:uid="{F26B5580-BF0D-46AC-B7E5-89AECA0D38F0}"/>
    <cellStyle name="Note 4" xfId="659" xr:uid="{E71BD73D-8E7D-445D-A724-E4E3549FD77F}"/>
    <cellStyle name="Output 0,000" xfId="541" xr:uid="{CE886066-EC91-4FB2-9200-BF78F49F7802}"/>
    <cellStyle name="Output 0,000 2" xfId="719" xr:uid="{A826433F-8E24-4A0E-BEE6-FD64C4F82945}"/>
    <cellStyle name="Output 2" xfId="456" xr:uid="{00000000-0005-0000-0000-00003D010000}"/>
    <cellStyle name="Output 3" xfId="633" xr:uid="{79CFB6E1-968A-4961-9752-22F0BD9BC363}"/>
    <cellStyle name="Output 3 2" xfId="795" xr:uid="{993309DD-A5A4-4FE0-A25C-E3C99D64AF7F}"/>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10" xfId="686" xr:uid="{50F16835-ADB0-474C-95D7-2D2616EB4202}"/>
    <cellStyle name="Percent 10 2" xfId="801" xr:uid="{3CA20C46-D4C9-4CB8-9C7E-C9E16A9B43D5}"/>
    <cellStyle name="Percent 11" xfId="694" xr:uid="{6A035491-721B-47CA-BCE7-589E94C0AB5C}"/>
    <cellStyle name="Percent 12" xfId="723" xr:uid="{77EC72DC-AC7D-475D-964B-0C0696513A4C}"/>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3 3" xfId="710" xr:uid="{5EDE7A61-C737-4C97-8E76-5741E0B9042B}"/>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8 3" xfId="572" xr:uid="{C73D0746-EF13-42CB-8DFF-57DCBE060306}"/>
    <cellStyle name="Percent 8 4" xfId="779" xr:uid="{8EACF4B1-21E8-49C3-86C8-ADAAA901563A}"/>
    <cellStyle name="Percent 9" xfId="463" xr:uid="{00000000-0005-0000-0000-00008D010000}"/>
    <cellStyle name="Percent 9 2" xfId="578" xr:uid="{F7CA7DD7-9AD0-4862-8402-84450EFC8558}"/>
    <cellStyle name="Percent 9 3" xfId="785" xr:uid="{934E2874-17A7-4F21-824E-CE87B048163E}"/>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B 2" xfId="760" xr:uid="{F27BC412-BC70-4CF6-A646-CB5EF195A052}"/>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41C7B45B-1E91-4082-8BC4-960C0F9993C0}"/>
    <cellStyle name="SAPDataCell" xfId="477" xr:uid="{637CC1E4-23E3-4541-A923-903E996BAC86}"/>
    <cellStyle name="SAPDataCell 2" xfId="741" xr:uid="{92D10BD5-ADF2-46F0-AEB7-CB701E1316AB}"/>
    <cellStyle name="SAPDataRemoved" xfId="496" xr:uid="{9C5E7A79-6F94-4189-863D-4A5A0DD909D3}"/>
    <cellStyle name="SAPDataTotalCell" xfId="478" xr:uid="{860A0205-F508-458A-BE81-5D2B486E5775}"/>
    <cellStyle name="SAPDataTotalCell 2" xfId="742" xr:uid="{364E3348-445B-42FC-8912-DDE05E362B0E}"/>
    <cellStyle name="SAPDimensionCell" xfId="476" xr:uid="{5026E0AD-BD0E-42EF-966C-957B0DE07F15}"/>
    <cellStyle name="SAPDimensionCell 2" xfId="737" xr:uid="{17D50183-4A7E-4F85-97A5-B4A334429811}"/>
    <cellStyle name="SAPEditableDataCell" xfId="480" xr:uid="{55F1F9E2-540B-4633-8B22-9E2B6D39CEE7}"/>
    <cellStyle name="SAPEditableDataCell 2" xfId="634" xr:uid="{DA2F7D41-CFB1-4890-9014-5DFEED451B99}"/>
    <cellStyle name="SAPEditableDataTotalCell" xfId="483" xr:uid="{AC268D5B-E7E2-4185-ABF6-DAF218363C0E}"/>
    <cellStyle name="SAPEditableDataTotalCell 2" xfId="635" xr:uid="{74E90DB8-7D5C-4825-B669-228AD6690F27}"/>
    <cellStyle name="SAPEmphasized" xfId="506" xr:uid="{FB5D78EC-3FC5-451E-A5FB-63784086AA80}"/>
    <cellStyle name="SAPEmphasizedEditableDataCell" xfId="508" xr:uid="{A50D6E86-FB2B-4FA1-8221-79A3CDAA4473}"/>
    <cellStyle name="SAPEmphasizedEditableDataCell 2" xfId="636" xr:uid="{70F7AA7B-19A0-4D70-B072-BC44BA5C8FCA}"/>
    <cellStyle name="SAPEmphasizedEditableDataTotalCell" xfId="509" xr:uid="{ED5216C3-5619-4583-A7D4-DC46CB1FB7FA}"/>
    <cellStyle name="SAPEmphasizedEditableDataTotalCell 2" xfId="637" xr:uid="{484F4AD9-E7C0-4D87-B341-4C4DEF3C97D2}"/>
    <cellStyle name="SAPEmphasizedLockedDataCell" xfId="512" xr:uid="{BBCAF203-1DE9-4DB1-9E25-70B3C1F1F214}"/>
    <cellStyle name="SAPEmphasizedLockedDataCell 2" xfId="638" xr:uid="{875C9E76-1AD3-4D7A-8646-F4A179E7B2F5}"/>
    <cellStyle name="SAPEmphasizedLockedDataTotalCell" xfId="513" xr:uid="{22D12315-51F7-4462-B28B-617274904BE6}"/>
    <cellStyle name="SAPEmphasizedLockedDataTotalCell 2" xfId="639" xr:uid="{D255F498-33AD-40C0-9110-2F9B63391350}"/>
    <cellStyle name="SAPEmphasizedReadonlyDataCell" xfId="510" xr:uid="{C3AF473D-D1D0-4462-A5DE-F1ED60B7E8EA}"/>
    <cellStyle name="SAPEmphasizedReadonlyDataTotalCell" xfId="511" xr:uid="{7B163A38-3552-4717-AE24-A782C41512C0}"/>
    <cellStyle name="SAPEmphasizedTotal" xfId="507" xr:uid="{7EFCF6DE-B8BF-40DF-99C7-C6648CAFF631}"/>
    <cellStyle name="SAPEmphasizedTotal 2" xfId="640" xr:uid="{79D3BC7F-54CB-4E34-8495-FF38CAE25DFA}"/>
    <cellStyle name="SAPError" xfId="497" xr:uid="{50295A01-11F8-41C3-B80C-7BCE23DB722B}"/>
    <cellStyle name="SAPExceptionLevel1" xfId="486" xr:uid="{DA8CBA72-4117-4C75-BAEE-42406DAD372F}"/>
    <cellStyle name="SAPExceptionLevel2" xfId="487" xr:uid="{E284AEE8-8EC7-45E1-A723-540DF0D3A13F}"/>
    <cellStyle name="SAPExceptionLevel3" xfId="488" xr:uid="{C2E7C678-C578-4A18-980D-FB47F95B0DFB}"/>
    <cellStyle name="SAPExceptionLevel3 2" xfId="641" xr:uid="{F60F8062-497C-4843-BCFC-F89F613117C5}"/>
    <cellStyle name="SAPExceptionLevel4" xfId="489" xr:uid="{296C5C8F-59F2-41FC-AC1C-96D58967706D}"/>
    <cellStyle name="SAPExceptionLevel5" xfId="490" xr:uid="{79A77100-AA22-4DE6-8B3A-B67F0DB16E83}"/>
    <cellStyle name="SAPExceptionLevel6" xfId="491" xr:uid="{47D3B1B7-D963-48CD-B399-225796092037}"/>
    <cellStyle name="SAPExceptionLevel6 2" xfId="642" xr:uid="{082BE147-418F-43D5-87E7-83AEBC740C59}"/>
    <cellStyle name="SAPExceptionLevel7" xfId="492" xr:uid="{8783D2E9-5546-469C-B05D-ADFBD021557B}"/>
    <cellStyle name="SAPExceptionLevel8" xfId="493" xr:uid="{3F1404AB-9373-4719-8A88-68AE6041D862}"/>
    <cellStyle name="SAPExceptionLevel8 2" xfId="643" xr:uid="{E336AA47-8776-4D0E-9605-5B5D1541EB6C}"/>
    <cellStyle name="SAPExceptionLevel9" xfId="494" xr:uid="{5E6F61FC-2DFE-4A55-A666-8EE3E47BFA70}"/>
    <cellStyle name="SAPFormula" xfId="514" xr:uid="{5534F03F-73BD-48E9-BEEE-EBED07101128}"/>
    <cellStyle name="SAPGroupingFillCell" xfId="479" xr:uid="{1EE54A07-9C35-4AD7-894E-F46422DEFDBF}"/>
    <cellStyle name="SAPHierarchyCell0" xfId="501" xr:uid="{B5D0A50A-0CE9-4A67-B5F3-747A2B53C58A}"/>
    <cellStyle name="SAPHierarchyCell0 2" xfId="738" xr:uid="{54C7941D-2EBB-4DF2-94C0-0112DF3428B2}"/>
    <cellStyle name="SAPHierarchyCell1" xfId="502" xr:uid="{B2B87B4A-0C93-476F-A66F-E56480359A68}"/>
    <cellStyle name="SAPHierarchyCell2" xfId="503" xr:uid="{870227B9-BDB4-475D-9EA1-29B5B36621CB}"/>
    <cellStyle name="SAPHierarchyCell3" xfId="504" xr:uid="{D2B2EC84-F5B5-4779-AA1F-8BF1FFF28CD7}"/>
    <cellStyle name="SAPHierarchyCell4" xfId="505" xr:uid="{65F0F3CE-C467-4927-9163-DECC54A91BC8}"/>
    <cellStyle name="SAPLockedDataCell" xfId="482" xr:uid="{B52B4DFD-72C0-4041-B156-71B55E712D14}"/>
    <cellStyle name="SAPLockedDataCell 2" xfId="644" xr:uid="{8126B5B8-AE97-44F1-994E-DC066A84FC2B}"/>
    <cellStyle name="SAPLockedDataTotalCell" xfId="485" xr:uid="{DC6CDA28-4B8E-4519-A6E3-D6FC7CE5352F}"/>
    <cellStyle name="SAPLockedDataTotalCell 2" xfId="645" xr:uid="{AB24777B-2C5C-4D1B-9DB5-40DBACCB428D}"/>
    <cellStyle name="SAPMemberCell" xfId="499" xr:uid="{31C7B782-A01A-45D4-8721-CBA5E7799CA5}"/>
    <cellStyle name="SAPMemberCell 2" xfId="739" xr:uid="{58446E92-6FA9-4461-B16D-2C55CF7DA588}"/>
    <cellStyle name="SAPMemberTotalCell" xfId="500" xr:uid="{66372B23-8CFF-435B-9AE2-3709BFF58B4E}"/>
    <cellStyle name="SAPMemberTotalCell 2" xfId="740" xr:uid="{4B3FA945-7FA2-48EC-8CD9-2783B540CE8E}"/>
    <cellStyle name="SAPMessageText" xfId="498" xr:uid="{484E3421-0235-4C85-B3DE-C6A597B9EF0E}"/>
    <cellStyle name="SAPReadonlyDataCell" xfId="481" xr:uid="{48333976-D37A-4FFD-9533-3E5C0D994FD5}"/>
    <cellStyle name="SAPReadonlyDataTotalCell" xfId="484" xr:uid="{6B8D49B5-BB4C-498A-8756-30459F99D342}"/>
    <cellStyle name="scenario" xfId="338" xr:uid="{00000000-0005-0000-0000-0000BE010000}"/>
    <cellStyle name="SECTION" xfId="339" xr:uid="{00000000-0005-0000-0000-0000BF010000}"/>
    <cellStyle name="SECTION 2" xfId="458" xr:uid="{00000000-0005-0000-0000-0000C0010000}"/>
    <cellStyle name="Sheet Title" xfId="646" xr:uid="{4824BD7C-5FF4-4F36-831E-55C94A188BD5}"/>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19" xr:uid="{FDD9A605-9F0A-4BEE-BF84-CBE8A653E63A}"/>
    <cellStyle name="SubHeader 2" xfId="676" xr:uid="{FE803EA6-8F70-4DAC-ADCE-FB0A40A944F8}"/>
    <cellStyle name="SubTotalNumber" xfId="587" xr:uid="{49E785B3-8B21-4517-AD06-8DF3CDDD9140}"/>
    <cellStyle name="SubTotalNumber 2" xfId="683" xr:uid="{780EBE0C-AE04-4909-B684-357D9A16B8CC}"/>
    <cellStyle name="SubTotalNumber 2 2" xfId="799" xr:uid="{8BD6E81D-E32A-4788-B459-74F28C5DFFAE}"/>
    <cellStyle name="SubTotalNumber 3" xfId="788" xr:uid="{1BA543E8-2790-4D13-B482-CC685667697F}"/>
    <cellStyle name="SubTotalRate" xfId="695" xr:uid="{DE8C8AB3-D012-4A4E-A0A9-F46403E21520}"/>
    <cellStyle name="System Defined" xfId="345" xr:uid="{00000000-0005-0000-0000-0000C6010000}"/>
    <cellStyle name="TableHeading" xfId="346" xr:uid="{00000000-0005-0000-0000-0000C7010000}"/>
    <cellStyle name="tb" xfId="347" xr:uid="{00000000-0005-0000-0000-0000C8010000}"/>
    <cellStyle name="tb 2" xfId="761" xr:uid="{55A04314-612C-46EA-8C20-F290347C55DF}"/>
    <cellStyle name="TextNumber" xfId="522" xr:uid="{E290E464-3BEF-4A16-9FD4-1D59A7B39C5E}"/>
    <cellStyle name="TextNumber 2" xfId="672" xr:uid="{E59569D7-F0DE-4129-82EC-51F799FACD6D}"/>
    <cellStyle name="TextRate" xfId="590" xr:uid="{6D7A6610-42EE-4D2A-B3FE-B3E36B476169}"/>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p 2" xfId="762" xr:uid="{EB0B1440-5F25-4A80-ADF0-645658726B78}"/>
    <cellStyle name="Total" xfId="351" builtinId="25" customBuiltin="1"/>
    <cellStyle name="Total 2" xfId="647" xr:uid="{3AFAEC6A-B990-4D62-AC3A-42802C02A39D}"/>
    <cellStyle name="Total 2 2" xfId="796" xr:uid="{288E3013-AD61-4EC7-897A-1B6E891BBE7B}"/>
    <cellStyle name="TotalNumber" xfId="525" xr:uid="{1117E80A-25B2-47EA-9E1E-8F617EA50B39}"/>
    <cellStyle name="TotalNumber 2" xfId="670" xr:uid="{F482BCD4-3925-45D7-BE6D-E3DC4C9F4D7D}"/>
    <cellStyle name="TotalNumber 2 2" xfId="803" xr:uid="{A1A9F46B-247A-44E7-A0AA-574FF6398DC2}"/>
    <cellStyle name="TotalNumber 2 3" xfId="797" xr:uid="{B53DDED2-9109-4336-8B1B-64D2CDB10F75}"/>
    <cellStyle name="TotalRate" xfId="699" xr:uid="{EA2FBB05-0C22-459B-A729-685C3FB111AF}"/>
    <cellStyle name="TotalText" xfId="524" xr:uid="{538EF8D0-3464-4874-AD87-A4562340DE31}"/>
    <cellStyle name="TotalText 2" xfId="671" xr:uid="{CC03672A-DD46-40F3-B0E5-796D351A0A60}"/>
    <cellStyle name="UnitHeader" xfId="650" xr:uid="{B6097FDF-E807-40CB-939F-93A5FE1D4AB6}"/>
    <cellStyle name="UnitHeader 2" xfId="690" xr:uid="{41C62BD9-C31E-40DC-817F-9369FF11E417}"/>
    <cellStyle name="w" xfId="352" xr:uid="{00000000-0005-0000-0000-0000CE010000}"/>
    <cellStyle name="Warning Text 2" xfId="460" xr:uid="{00000000-0005-0000-0000-0000CF010000}"/>
    <cellStyle name="Warning Text 3" xfId="648" xr:uid="{FFEB803D-F7AE-4AB3-85D9-DDAF626A8BEF}"/>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ear" xfId="540" xr:uid="{B7DBD587-37C4-4AD8-845B-66A36E0518E5}"/>
    <cellStyle name="yra" xfId="361" xr:uid="{00000000-0005-0000-0000-0000D8010000}"/>
    <cellStyle name="yrActual" xfId="362" xr:uid="{00000000-0005-0000-0000-0000D9010000}"/>
    <cellStyle name="yre" xfId="363" xr:uid="{00000000-0005-0000-0000-0000DA010000}"/>
    <cellStyle name="yrExpect" xfId="364" xr:uid="{00000000-0005-0000-0000-0000DB010000}"/>
    <cellStyle name="yrExpect 2" xfId="763" xr:uid="{363E0E31-00F5-4E66-84CB-5AE686982F8D}"/>
  </cellStyles>
  <dxfs count="0"/>
  <tableStyles count="0" defaultTableStyle="TableStyleMedium2" defaultPivotStyle="PivotStyleLight16"/>
  <colors>
    <mruColors>
      <color rgb="FFFFFF99"/>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E328-0BA8-430D-802F-9C5C7A994EDB}">
  <dimension ref="A1"/>
  <sheetViews>
    <sheetView workbookViewId="0"/>
  </sheetViews>
  <sheetFormatPr defaultRowHeight="15.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F77"/>
  <sheetViews>
    <sheetView zoomScale="85" zoomScaleNormal="85" workbookViewId="0">
      <selection activeCell="D23" sqref="D23"/>
    </sheetView>
  </sheetViews>
  <sheetFormatPr defaultColWidth="8.765625" defaultRowHeight="13"/>
  <cols>
    <col min="1" max="1" width="6" style="293" bestFit="1" customWidth="1"/>
    <col min="2" max="2" width="28.4609375" style="15" bestFit="1" customWidth="1"/>
    <col min="3" max="3" width="56.23046875" style="290" customWidth="1"/>
    <col min="4" max="4" width="20.4609375" style="15" bestFit="1" customWidth="1"/>
    <col min="5" max="16384" width="8.765625" style="15"/>
  </cols>
  <sheetData>
    <row r="1" spans="1:4" ht="15" customHeight="1">
      <c r="D1" s="598" t="s">
        <v>676</v>
      </c>
    </row>
    <row r="2" spans="1:4" ht="15" customHeight="1">
      <c r="A2" s="806" t="s">
        <v>434</v>
      </c>
      <c r="B2" s="806"/>
      <c r="C2" s="806"/>
      <c r="D2" s="806"/>
    </row>
    <row r="3" spans="1:4" s="558" customFormat="1" ht="15" customHeight="1">
      <c r="A3" s="807" t="s">
        <v>361</v>
      </c>
      <c r="B3" s="807"/>
      <c r="C3" s="807"/>
      <c r="D3" s="807"/>
    </row>
    <row r="4" spans="1:4" ht="15" customHeight="1">
      <c r="A4" s="808" t="str">
        <f>'Attachment H'!$D$5</f>
        <v>NextEra Energy Transmission MidAtlantic, Inc.</v>
      </c>
      <c r="B4" s="808"/>
      <c r="C4" s="808"/>
      <c r="D4" s="808"/>
    </row>
    <row r="6" spans="1:4" ht="15.5">
      <c r="A6" s="606" t="s">
        <v>14</v>
      </c>
      <c r="B6" s="607" t="s">
        <v>721</v>
      </c>
      <c r="C6" s="607" t="s">
        <v>722</v>
      </c>
      <c r="D6" s="607" t="s">
        <v>723</v>
      </c>
    </row>
    <row r="7" spans="1:4" ht="15.5">
      <c r="A7" s="606"/>
      <c r="B7" s="609" t="s">
        <v>724</v>
      </c>
      <c r="C7" s="607"/>
      <c r="D7" s="607"/>
    </row>
    <row r="8" spans="1:4" ht="15.5">
      <c r="A8" s="653">
        <v>1</v>
      </c>
      <c r="B8" s="610" t="s">
        <v>725</v>
      </c>
      <c r="C8" s="608" t="s">
        <v>726</v>
      </c>
      <c r="D8" s="611">
        <v>0</v>
      </c>
    </row>
    <row r="9" spans="1:4" ht="15.5">
      <c r="A9" s="653">
        <f>+A8+1</f>
        <v>2</v>
      </c>
      <c r="B9" s="610" t="s">
        <v>727</v>
      </c>
      <c r="C9" s="607" t="s">
        <v>728</v>
      </c>
      <c r="D9" s="611">
        <v>1.33</v>
      </c>
    </row>
    <row r="10" spans="1:4" ht="15.5">
      <c r="A10" s="653">
        <f>+A8+1</f>
        <v>2</v>
      </c>
      <c r="B10" s="610" t="s">
        <v>729</v>
      </c>
      <c r="C10" s="607" t="s">
        <v>730</v>
      </c>
      <c r="D10" s="611">
        <v>3.36</v>
      </c>
    </row>
    <row r="11" spans="1:4" ht="15.5">
      <c r="A11" s="653">
        <f>+A10+1</f>
        <v>3</v>
      </c>
      <c r="B11" s="610" t="s">
        <v>731</v>
      </c>
      <c r="C11" s="607" t="s">
        <v>732</v>
      </c>
      <c r="D11" s="611">
        <v>2.92</v>
      </c>
    </row>
    <row r="12" spans="1:4" ht="15.5">
      <c r="A12" s="653">
        <f>+A11+1</f>
        <v>4</v>
      </c>
      <c r="B12" s="610" t="s">
        <v>733</v>
      </c>
      <c r="C12" s="607" t="s">
        <v>734</v>
      </c>
      <c r="D12" s="611">
        <v>2.02</v>
      </c>
    </row>
    <row r="13" spans="1:4" ht="15.5">
      <c r="A13" s="653">
        <f>+A12+1</f>
        <v>5</v>
      </c>
      <c r="B13" s="610" t="s">
        <v>735</v>
      </c>
      <c r="C13" s="607" t="s">
        <v>736</v>
      </c>
      <c r="D13" s="611">
        <v>2.0499999999999998</v>
      </c>
    </row>
    <row r="14" spans="1:4" ht="15.5">
      <c r="A14" s="653">
        <f t="shared" ref="A14:A36" si="0">+A13+1</f>
        <v>6</v>
      </c>
      <c r="B14" s="610" t="s">
        <v>737</v>
      </c>
      <c r="C14" s="607" t="s">
        <v>738</v>
      </c>
      <c r="D14" s="611">
        <v>3.1</v>
      </c>
    </row>
    <row r="15" spans="1:4" ht="15.5">
      <c r="A15" s="653">
        <f t="shared" si="0"/>
        <v>7</v>
      </c>
      <c r="B15" s="610" t="s">
        <v>739</v>
      </c>
      <c r="C15" s="607" t="s">
        <v>740</v>
      </c>
      <c r="D15" s="611">
        <v>0</v>
      </c>
    </row>
    <row r="16" spans="1:4" ht="15.5">
      <c r="A16" s="653">
        <f t="shared" si="0"/>
        <v>8</v>
      </c>
      <c r="B16" s="610" t="s">
        <v>741</v>
      </c>
      <c r="C16" s="607" t="s">
        <v>742</v>
      </c>
      <c r="D16" s="611">
        <v>0</v>
      </c>
    </row>
    <row r="17" spans="1:4" ht="15.5">
      <c r="A17" s="653">
        <f t="shared" si="0"/>
        <v>9</v>
      </c>
      <c r="B17" s="610" t="s">
        <v>743</v>
      </c>
      <c r="C17" s="607" t="s">
        <v>744</v>
      </c>
      <c r="D17" s="611">
        <v>0</v>
      </c>
    </row>
    <row r="18" spans="1:4" ht="15.5">
      <c r="A18" s="653"/>
      <c r="B18" s="608"/>
      <c r="C18" s="607"/>
      <c r="D18" s="611"/>
    </row>
    <row r="19" spans="1:4" ht="15.5">
      <c r="A19" s="653"/>
      <c r="B19" s="610" t="s">
        <v>745</v>
      </c>
      <c r="C19" s="607"/>
      <c r="D19" s="611"/>
    </row>
    <row r="20" spans="1:4" ht="15.5">
      <c r="A20" s="653">
        <f>+A17+1</f>
        <v>10</v>
      </c>
      <c r="B20" s="610" t="s">
        <v>746</v>
      </c>
      <c r="C20" s="607" t="s">
        <v>747</v>
      </c>
      <c r="D20" s="611">
        <v>0</v>
      </c>
    </row>
    <row r="21" spans="1:4" ht="15.5">
      <c r="A21" s="653">
        <f t="shared" si="0"/>
        <v>11</v>
      </c>
      <c r="B21" s="610" t="s">
        <v>748</v>
      </c>
      <c r="C21" s="607" t="s">
        <v>749</v>
      </c>
      <c r="D21" s="611">
        <v>5.25</v>
      </c>
    </row>
    <row r="22" spans="1:4" ht="15.5">
      <c r="A22" s="653">
        <f t="shared" si="0"/>
        <v>12</v>
      </c>
      <c r="B22" s="612">
        <v>392</v>
      </c>
      <c r="C22" s="608" t="s">
        <v>750</v>
      </c>
      <c r="D22" s="611">
        <v>0</v>
      </c>
    </row>
    <row r="23" spans="1:4" ht="15.5">
      <c r="A23" s="653">
        <f t="shared" si="0"/>
        <v>13</v>
      </c>
      <c r="B23" s="610" t="s">
        <v>751</v>
      </c>
      <c r="C23" s="607" t="s">
        <v>752</v>
      </c>
      <c r="D23" s="611">
        <v>0</v>
      </c>
    </row>
    <row r="24" spans="1:4" ht="15.5">
      <c r="A24" s="653">
        <f t="shared" si="0"/>
        <v>14</v>
      </c>
      <c r="B24" s="610" t="s">
        <v>753</v>
      </c>
      <c r="C24" s="607" t="s">
        <v>754</v>
      </c>
      <c r="D24" s="611">
        <v>0</v>
      </c>
    </row>
    <row r="25" spans="1:4" ht="15.5">
      <c r="A25" s="653">
        <f t="shared" si="0"/>
        <v>15</v>
      </c>
      <c r="B25" s="610" t="s">
        <v>755</v>
      </c>
      <c r="C25" s="607" t="s">
        <v>756</v>
      </c>
      <c r="D25" s="611">
        <v>0</v>
      </c>
    </row>
    <row r="26" spans="1:4" ht="15.5">
      <c r="A26" s="653">
        <f t="shared" si="0"/>
        <v>16</v>
      </c>
      <c r="B26" s="610" t="s">
        <v>757</v>
      </c>
      <c r="C26" s="607" t="s">
        <v>758</v>
      </c>
      <c r="D26" s="611">
        <v>25</v>
      </c>
    </row>
    <row r="27" spans="1:4" ht="15.5">
      <c r="A27" s="653">
        <f t="shared" si="0"/>
        <v>17</v>
      </c>
      <c r="B27" s="610" t="s">
        <v>759</v>
      </c>
      <c r="C27" s="607" t="s">
        <v>760</v>
      </c>
      <c r="D27" s="611">
        <v>2.5</v>
      </c>
    </row>
    <row r="28" spans="1:4" ht="15.5">
      <c r="A28" s="653"/>
      <c r="B28" s="608"/>
      <c r="C28" s="608"/>
      <c r="D28" s="611"/>
    </row>
    <row r="29" spans="1:4" ht="15.5">
      <c r="A29" s="653"/>
      <c r="B29" s="610" t="s">
        <v>761</v>
      </c>
      <c r="C29" s="607"/>
      <c r="D29" s="611"/>
    </row>
    <row r="30" spans="1:4" ht="15.5">
      <c r="A30" s="653">
        <v>18</v>
      </c>
      <c r="B30" s="610" t="s">
        <v>762</v>
      </c>
      <c r="C30" s="607" t="s">
        <v>763</v>
      </c>
      <c r="D30" s="611">
        <v>1.85</v>
      </c>
    </row>
    <row r="31" spans="1:4" ht="15.5">
      <c r="A31" s="653">
        <f>+A30+1</f>
        <v>19</v>
      </c>
      <c r="B31" s="613">
        <v>302</v>
      </c>
      <c r="C31" s="608" t="s">
        <v>764</v>
      </c>
      <c r="D31" s="649">
        <v>1.85</v>
      </c>
    </row>
    <row r="32" spans="1:4" ht="15.5">
      <c r="A32" s="653">
        <f t="shared" si="0"/>
        <v>20</v>
      </c>
      <c r="B32" s="610" t="s">
        <v>765</v>
      </c>
      <c r="C32" s="607" t="s">
        <v>766</v>
      </c>
      <c r="D32" s="611"/>
    </row>
    <row r="33" spans="1:6" ht="15.5">
      <c r="A33" s="653">
        <f t="shared" si="0"/>
        <v>21</v>
      </c>
      <c r="B33" s="610"/>
      <c r="C33" s="607" t="s">
        <v>767</v>
      </c>
      <c r="D33" s="611">
        <f>0.2*100</f>
        <v>20</v>
      </c>
    </row>
    <row r="34" spans="1:6" ht="15.5">
      <c r="A34" s="653">
        <f t="shared" si="0"/>
        <v>22</v>
      </c>
      <c r="B34" s="610"/>
      <c r="C34" s="607" t="s">
        <v>768</v>
      </c>
      <c r="D34" s="611">
        <f>0.142857142857143*100</f>
        <v>14.285714285714299</v>
      </c>
    </row>
    <row r="35" spans="1:6" ht="15.5">
      <c r="A35" s="653">
        <f t="shared" si="0"/>
        <v>23</v>
      </c>
      <c r="B35" s="610"/>
      <c r="C35" s="607" t="s">
        <v>769</v>
      </c>
      <c r="D35" s="611">
        <v>10</v>
      </c>
    </row>
    <row r="36" spans="1:6" ht="15.5">
      <c r="A36" s="653">
        <f t="shared" si="0"/>
        <v>24</v>
      </c>
      <c r="B36" s="608"/>
      <c r="C36" s="615" t="s">
        <v>770</v>
      </c>
      <c r="D36" s="616" t="s">
        <v>771</v>
      </c>
    </row>
    <row r="37" spans="1:6" ht="15.5">
      <c r="C37" s="617"/>
      <c r="D37" s="617"/>
      <c r="E37" s="617"/>
    </row>
    <row r="38" spans="1:6" ht="15.5">
      <c r="A38" s="614"/>
      <c r="B38" s="606"/>
      <c r="C38" s="617"/>
      <c r="D38" s="617"/>
      <c r="E38" s="617"/>
    </row>
    <row r="39" spans="1:6" ht="18">
      <c r="A39" s="15"/>
      <c r="B39" s="654" t="s">
        <v>825</v>
      </c>
      <c r="C39" s="654"/>
      <c r="D39" s="655"/>
      <c r="E39" s="624"/>
      <c r="F39" s="624"/>
    </row>
    <row r="40" spans="1:6" ht="18">
      <c r="A40" s="15"/>
      <c r="B40" s="654" t="s">
        <v>827</v>
      </c>
      <c r="C40" s="654"/>
      <c r="D40" s="655"/>
      <c r="E40" s="624"/>
      <c r="F40" s="624"/>
    </row>
    <row r="41" spans="1:6" ht="18">
      <c r="A41" s="15"/>
      <c r="B41" s="654" t="s">
        <v>828</v>
      </c>
      <c r="C41" s="654"/>
      <c r="D41" s="655"/>
      <c r="E41" s="624"/>
      <c r="F41" s="624"/>
    </row>
    <row r="42" spans="1:6" ht="18">
      <c r="A42" s="15"/>
      <c r="B42" s="654" t="s">
        <v>781</v>
      </c>
      <c r="C42" s="654"/>
      <c r="D42" s="656"/>
      <c r="E42" s="624"/>
      <c r="F42" s="624"/>
    </row>
    <row r="43" spans="1:6" ht="18">
      <c r="A43" s="15"/>
      <c r="B43" s="654" t="s">
        <v>779</v>
      </c>
      <c r="C43" s="654"/>
      <c r="D43" s="656"/>
      <c r="E43" s="624"/>
      <c r="F43" s="624"/>
    </row>
    <row r="44" spans="1:6" ht="18">
      <c r="A44" s="15"/>
      <c r="B44" s="654" t="s">
        <v>780</v>
      </c>
      <c r="C44" s="654"/>
      <c r="D44" s="656"/>
      <c r="E44" s="624"/>
      <c r="F44" s="624"/>
    </row>
    <row r="45" spans="1:6" ht="18">
      <c r="A45" s="15"/>
      <c r="B45" s="657"/>
      <c r="C45" s="658"/>
      <c r="D45" s="659"/>
    </row>
    <row r="46" spans="1:6" ht="18">
      <c r="A46" s="15"/>
      <c r="B46" s="660" t="s">
        <v>826</v>
      </c>
      <c r="C46" s="625"/>
    </row>
    <row r="47" spans="1:6" ht="15.5">
      <c r="A47" s="291"/>
      <c r="B47" s="626"/>
      <c r="C47" s="625"/>
    </row>
    <row r="48" spans="1:6">
      <c r="A48" s="291"/>
      <c r="B48" s="286"/>
      <c r="C48" s="294"/>
    </row>
    <row r="49" spans="1:3">
      <c r="A49" s="291"/>
      <c r="B49" s="286"/>
      <c r="C49" s="294"/>
    </row>
    <row r="50" spans="1:3">
      <c r="A50" s="291"/>
      <c r="B50" s="286"/>
      <c r="C50" s="294"/>
    </row>
    <row r="51" spans="1:3">
      <c r="A51" s="291"/>
      <c r="B51" s="286"/>
      <c r="C51" s="294"/>
    </row>
    <row r="52" spans="1:3">
      <c r="A52" s="291"/>
      <c r="B52" s="286"/>
      <c r="C52" s="294"/>
    </row>
    <row r="53" spans="1:3">
      <c r="A53" s="291"/>
      <c r="B53" s="286"/>
      <c r="C53" s="294"/>
    </row>
    <row r="54" spans="1:3">
      <c r="A54" s="291"/>
      <c r="B54" s="286"/>
    </row>
    <row r="55" spans="1:3">
      <c r="A55" s="292"/>
      <c r="B55" s="286"/>
    </row>
    <row r="56" spans="1:3">
      <c r="A56" s="292"/>
      <c r="B56" s="286"/>
    </row>
    <row r="57" spans="1:3">
      <c r="A57" s="292"/>
    </row>
    <row r="58" spans="1:3">
      <c r="A58" s="292"/>
    </row>
    <row r="59" spans="1:3">
      <c r="A59" s="292"/>
    </row>
    <row r="60" spans="1:3">
      <c r="A60" s="292"/>
    </row>
    <row r="61" spans="1:3">
      <c r="A61" s="292"/>
    </row>
    <row r="62" spans="1:3">
      <c r="A62" s="292"/>
    </row>
    <row r="63" spans="1:3">
      <c r="A63" s="292"/>
    </row>
    <row r="64" spans="1:3">
      <c r="A64" s="292"/>
    </row>
    <row r="65" spans="1:1">
      <c r="A65" s="292"/>
    </row>
    <row r="66" spans="1:1">
      <c r="A66" s="292"/>
    </row>
    <row r="67" spans="1:1" ht="24" customHeight="1">
      <c r="A67" s="292"/>
    </row>
    <row r="68" spans="1:1">
      <c r="A68" s="292"/>
    </row>
    <row r="69" spans="1:1">
      <c r="A69" s="292"/>
    </row>
    <row r="70" spans="1:1">
      <c r="A70" s="292"/>
    </row>
    <row r="71" spans="1:1">
      <c r="A71" s="292"/>
    </row>
    <row r="72" spans="1:1">
      <c r="A72" s="292"/>
    </row>
    <row r="73" spans="1:1">
      <c r="A73" s="292"/>
    </row>
    <row r="74" spans="1:1">
      <c r="A74" s="292"/>
    </row>
    <row r="75" spans="1:1">
      <c r="A75" s="292"/>
    </row>
    <row r="76" spans="1:1">
      <c r="A76" s="292"/>
    </row>
    <row r="77" spans="1:1">
      <c r="A77" s="292"/>
    </row>
  </sheetData>
  <mergeCells count="3">
    <mergeCell ref="A2:D2"/>
    <mergeCell ref="A3:D3"/>
    <mergeCell ref="A4:D4"/>
  </mergeCells>
  <phoneticPr fontId="0" type="noConversion"/>
  <pageMargins left="0.25" right="0.25" top="0.75" bottom="0.75" header="0.3" footer="0.3"/>
  <pageSetup scale="71"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68"/>
  <sheetViews>
    <sheetView zoomScale="85" zoomScaleNormal="85" zoomScaleSheetLayoutView="75" workbookViewId="0">
      <selection activeCell="D23" sqref="D23"/>
    </sheetView>
  </sheetViews>
  <sheetFormatPr defaultRowHeight="15.5"/>
  <cols>
    <col min="2" max="2" width="43.765625" customWidth="1"/>
    <col min="3" max="3" width="15.53515625" customWidth="1"/>
    <col min="4" max="4" width="16.23046875" customWidth="1"/>
  </cols>
  <sheetData>
    <row r="1" spans="1:6">
      <c r="A1" s="306"/>
      <c r="C1" s="387" t="s">
        <v>236</v>
      </c>
      <c r="F1" s="597" t="s">
        <v>676</v>
      </c>
    </row>
    <row r="2" spans="1:6">
      <c r="C2" s="386" t="s">
        <v>419</v>
      </c>
    </row>
    <row r="3" spans="1:6">
      <c r="C3" s="669" t="str">
        <f>'Attachment H'!$D$5</f>
        <v>NextEra Energy Transmission MidAtlantic, Inc.</v>
      </c>
    </row>
    <row r="4" spans="1:6">
      <c r="C4" s="380"/>
    </row>
    <row r="5" spans="1:6">
      <c r="A5" s="371"/>
      <c r="B5" s="374" t="s">
        <v>416</v>
      </c>
      <c r="C5" s="373"/>
      <c r="D5" s="372"/>
    </row>
    <row r="6" spans="1:6" s="495" customFormat="1">
      <c r="A6" s="492"/>
      <c r="B6" s="493" t="s">
        <v>241</v>
      </c>
      <c r="C6" s="494"/>
      <c r="D6" s="493" t="s">
        <v>242</v>
      </c>
      <c r="E6" s="493"/>
    </row>
    <row r="7" spans="1:6">
      <c r="A7" s="371"/>
      <c r="B7" s="370"/>
      <c r="C7" s="370"/>
      <c r="D7" s="381"/>
    </row>
    <row r="8" spans="1:6">
      <c r="A8" s="496">
        <v>1</v>
      </c>
      <c r="B8" s="454"/>
      <c r="C8" s="497"/>
      <c r="D8" s="498" t="s">
        <v>777</v>
      </c>
      <c r="E8" s="499"/>
    </row>
    <row r="9" spans="1:6">
      <c r="A9" s="496">
        <v>2</v>
      </c>
      <c r="B9" s="500" t="s">
        <v>2</v>
      </c>
      <c r="C9" s="500"/>
      <c r="D9" s="621">
        <v>0</v>
      </c>
      <c r="E9" s="27"/>
    </row>
    <row r="10" spans="1:6">
      <c r="A10" s="496">
        <v>3</v>
      </c>
      <c r="B10" s="500" t="s">
        <v>778</v>
      </c>
      <c r="C10" s="500"/>
      <c r="D10" s="621">
        <v>0</v>
      </c>
      <c r="E10" s="27"/>
    </row>
    <row r="11" spans="1:6">
      <c r="A11" s="496">
        <v>4</v>
      </c>
      <c r="B11" s="500" t="s">
        <v>575</v>
      </c>
      <c r="C11" s="500"/>
      <c r="D11" s="224">
        <f>IF(D9=0,0,D9/D10)</f>
        <v>0</v>
      </c>
      <c r="E11" s="27"/>
    </row>
    <row r="12" spans="1:6">
      <c r="A12" s="496">
        <v>5</v>
      </c>
      <c r="B12" s="500" t="s">
        <v>774</v>
      </c>
      <c r="C12" s="500"/>
      <c r="D12" s="581">
        <v>0</v>
      </c>
      <c r="E12" s="27"/>
    </row>
    <row r="13" spans="1:6">
      <c r="A13" s="496">
        <v>6</v>
      </c>
      <c r="B13" s="500" t="s">
        <v>574</v>
      </c>
      <c r="C13" s="500" t="s">
        <v>835</v>
      </c>
      <c r="D13" s="544">
        <f>D11*D12</f>
        <v>0</v>
      </c>
      <c r="E13" s="27"/>
    </row>
    <row r="14" spans="1:6">
      <c r="A14" s="496">
        <v>7</v>
      </c>
      <c r="B14" s="500" t="s">
        <v>492</v>
      </c>
      <c r="C14" s="500"/>
      <c r="D14" s="544"/>
      <c r="E14" s="27"/>
    </row>
    <row r="15" spans="1:6">
      <c r="A15" s="454"/>
      <c r="B15" s="454"/>
      <c r="C15" s="15"/>
      <c r="D15" s="558"/>
      <c r="E15" s="15"/>
    </row>
    <row r="16" spans="1:6" ht="26.5">
      <c r="A16" s="295">
        <v>8</v>
      </c>
      <c r="B16" s="501" t="s">
        <v>554</v>
      </c>
      <c r="C16" s="15"/>
      <c r="D16" s="502"/>
      <c r="E16" s="18"/>
    </row>
    <row r="18" spans="1:13">
      <c r="A18" s="397" t="s">
        <v>71</v>
      </c>
      <c r="B18" s="397"/>
      <c r="C18" s="25"/>
      <c r="D18" s="25"/>
      <c r="E18" s="25"/>
      <c r="F18" s="25"/>
      <c r="G18" s="25"/>
      <c r="H18" s="25"/>
      <c r="I18" s="25"/>
      <c r="J18" s="25"/>
      <c r="K18" s="25"/>
      <c r="L18" s="25"/>
      <c r="M18" s="25"/>
    </row>
    <row r="19" spans="1:13" ht="16" thickBot="1">
      <c r="A19" s="398" t="s">
        <v>72</v>
      </c>
      <c r="B19" s="397"/>
      <c r="C19" s="25"/>
      <c r="D19" s="25"/>
      <c r="E19" s="25"/>
      <c r="F19" s="25"/>
      <c r="G19" s="25"/>
      <c r="H19" s="25"/>
      <c r="I19" s="25"/>
      <c r="J19" s="25"/>
      <c r="K19" s="25"/>
      <c r="L19" s="25"/>
      <c r="M19" s="25"/>
    </row>
    <row r="20" spans="1:13">
      <c r="A20" s="399" t="s">
        <v>73</v>
      </c>
      <c r="B20" s="619" t="s">
        <v>830</v>
      </c>
      <c r="C20" s="622"/>
      <c r="D20" s="622"/>
      <c r="E20" s="622"/>
      <c r="F20" s="622"/>
      <c r="G20" s="622"/>
      <c r="H20" s="507"/>
      <c r="I20" s="507"/>
      <c r="J20" s="507"/>
      <c r="K20" s="507"/>
      <c r="L20" s="507"/>
      <c r="M20" s="507"/>
    </row>
    <row r="21" spans="1:13">
      <c r="A21" s="505"/>
      <c r="B21" s="620"/>
      <c r="C21" s="620"/>
      <c r="D21" s="620"/>
      <c r="E21" s="620"/>
      <c r="F21" s="623"/>
      <c r="G21" s="623"/>
    </row>
    <row r="22" spans="1:13">
      <c r="A22" s="623"/>
      <c r="B22" s="623"/>
      <c r="C22" s="623"/>
      <c r="D22" s="623"/>
      <c r="E22" s="623"/>
      <c r="F22" s="623"/>
      <c r="G22" s="623"/>
    </row>
    <row r="68" ht="24" customHeight="1"/>
  </sheetData>
  <phoneticPr fontId="0" type="noConversion"/>
  <pageMargins left="0.25" right="0.25" top="0.75" bottom="0.75" header="0.3" footer="0.3"/>
  <pageSetup fitToHeight="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274"/>
  <sheetViews>
    <sheetView tabSelected="1" topLeftCell="C1" zoomScale="120" zoomScaleNormal="120" zoomScaleSheetLayoutView="70" workbookViewId="0">
      <selection activeCell="D23" sqref="D23"/>
    </sheetView>
  </sheetViews>
  <sheetFormatPr defaultColWidth="8.765625" defaultRowHeight="13"/>
  <cols>
    <col min="1" max="1" width="5.765625" style="15" customWidth="1"/>
    <col min="2" max="2" width="56" style="15" customWidth="1"/>
    <col min="3" max="3" width="47.4609375" style="15" bestFit="1" customWidth="1"/>
    <col min="4" max="4" width="16.23046875" style="15" customWidth="1"/>
    <col min="5" max="5" width="5.765625" style="15" customWidth="1"/>
    <col min="6" max="6" width="7.23046875" style="15" customWidth="1"/>
    <col min="7" max="7" width="16.765625" style="15" customWidth="1"/>
    <col min="8" max="8" width="4.765625" style="15" customWidth="1"/>
    <col min="9" max="9" width="16.23046875" style="15" customWidth="1"/>
    <col min="10" max="10" width="2.765625" style="15" customWidth="1"/>
    <col min="11" max="11" width="11.4609375" style="15" customWidth="1"/>
    <col min="12" max="12" width="14.4609375" style="15" bestFit="1" customWidth="1"/>
    <col min="13" max="13" width="14.765625" style="15" bestFit="1" customWidth="1"/>
    <col min="14" max="14" width="12.23046875" style="15" bestFit="1" customWidth="1"/>
    <col min="15" max="16384" width="8.765625" style="15"/>
  </cols>
  <sheetData>
    <row r="1" spans="1:11">
      <c r="A1" s="140"/>
      <c r="B1" s="140"/>
      <c r="C1" s="140"/>
      <c r="D1" s="140"/>
      <c r="E1" s="140"/>
      <c r="F1" s="140"/>
      <c r="G1" s="140"/>
      <c r="H1" s="140"/>
      <c r="I1" s="140"/>
      <c r="J1" s="140"/>
      <c r="K1" s="141" t="s">
        <v>124</v>
      </c>
    </row>
    <row r="2" spans="1:11">
      <c r="A2" s="140"/>
      <c r="B2" s="140" t="s">
        <v>447</v>
      </c>
      <c r="C2" s="140"/>
      <c r="D2" s="140"/>
      <c r="E2" s="140"/>
      <c r="F2" s="140"/>
      <c r="G2" s="140"/>
      <c r="H2" s="140"/>
      <c r="I2" s="140"/>
      <c r="J2" s="140"/>
      <c r="K2" s="140"/>
    </row>
    <row r="3" spans="1:11">
      <c r="A3" s="36"/>
      <c r="B3" s="28" t="s">
        <v>7</v>
      </c>
      <c r="C3" s="668" t="s">
        <v>851</v>
      </c>
      <c r="D3" s="142" t="s">
        <v>89</v>
      </c>
      <c r="E3" s="28"/>
      <c r="F3" s="28"/>
      <c r="G3" s="143"/>
      <c r="H3" s="144"/>
      <c r="I3" s="145"/>
      <c r="J3" s="146"/>
      <c r="K3" s="21" t="s">
        <v>852</v>
      </c>
    </row>
    <row r="4" spans="1:11">
      <c r="A4" s="36"/>
      <c r="C4" s="29"/>
      <c r="D4" s="32" t="s">
        <v>118</v>
      </c>
      <c r="E4" s="29"/>
      <c r="F4" s="29"/>
      <c r="G4" s="29"/>
      <c r="H4" s="147"/>
      <c r="I4" s="147"/>
      <c r="J4" s="148"/>
      <c r="K4" s="148"/>
    </row>
    <row r="5" spans="1:11" ht="15">
      <c r="A5" s="36"/>
      <c r="B5" s="149"/>
      <c r="C5" s="148"/>
      <c r="D5" s="631" t="s">
        <v>850</v>
      </c>
      <c r="E5" s="148"/>
      <c r="F5" s="148"/>
      <c r="G5" s="148"/>
      <c r="H5" s="148"/>
      <c r="I5" s="148"/>
      <c r="J5" s="148"/>
      <c r="K5" s="148"/>
    </row>
    <row r="6" spans="1:11" ht="13.5">
      <c r="B6" s="149"/>
      <c r="J6" s="150"/>
      <c r="K6" s="150"/>
    </row>
    <row r="7" spans="1:11">
      <c r="A7" s="142"/>
      <c r="C7" s="148"/>
      <c r="D7" s="151"/>
      <c r="E7" s="148"/>
      <c r="F7" s="148"/>
      <c r="G7" s="148"/>
      <c r="H7" s="148"/>
      <c r="I7" s="148"/>
      <c r="J7" s="148"/>
      <c r="K7" s="148"/>
    </row>
    <row r="8" spans="1:11">
      <c r="A8" s="142"/>
      <c r="B8" s="152" t="s">
        <v>9</v>
      </c>
      <c r="C8" s="152" t="s">
        <v>10</v>
      </c>
      <c r="D8" s="152" t="s">
        <v>11</v>
      </c>
      <c r="E8" s="29" t="s">
        <v>8</v>
      </c>
      <c r="F8" s="29"/>
      <c r="G8" s="151" t="s">
        <v>12</v>
      </c>
      <c r="H8" s="29"/>
      <c r="I8" s="151" t="s">
        <v>13</v>
      </c>
      <c r="J8" s="148"/>
      <c r="K8" s="148"/>
    </row>
    <row r="9" spans="1:11">
      <c r="A9" s="142" t="s">
        <v>14</v>
      </c>
      <c r="B9" s="148"/>
      <c r="C9" s="148"/>
      <c r="D9" s="153"/>
      <c r="E9" s="148"/>
      <c r="F9" s="148"/>
      <c r="G9" s="148"/>
      <c r="H9" s="148"/>
      <c r="I9" s="142" t="s">
        <v>15</v>
      </c>
      <c r="J9" s="148"/>
      <c r="K9" s="148"/>
    </row>
    <row r="10" spans="1:11" ht="13.5" thickBot="1">
      <c r="A10" s="33" t="s">
        <v>16</v>
      </c>
      <c r="B10" s="148"/>
      <c r="C10" s="148"/>
      <c r="D10" s="148"/>
      <c r="E10" s="148"/>
      <c r="F10" s="148"/>
      <c r="G10" s="148"/>
      <c r="H10" s="148"/>
      <c r="I10" s="33" t="s">
        <v>17</v>
      </c>
      <c r="J10" s="148"/>
      <c r="K10" s="148"/>
    </row>
    <row r="11" spans="1:11">
      <c r="A11" s="142">
        <v>1</v>
      </c>
      <c r="B11" s="148" t="s">
        <v>267</v>
      </c>
      <c r="C11" s="148" t="s">
        <v>266</v>
      </c>
      <c r="D11" s="154"/>
      <c r="E11" s="148"/>
      <c r="F11" s="148"/>
      <c r="G11" s="148"/>
      <c r="H11" s="148"/>
      <c r="I11" s="155">
        <f>+I172</f>
        <v>24506217.744502641</v>
      </c>
      <c r="J11" s="148"/>
      <c r="K11" s="156"/>
    </row>
    <row r="12" spans="1:11">
      <c r="A12" s="142"/>
      <c r="B12" s="148"/>
      <c r="C12" s="148"/>
      <c r="D12" s="148"/>
      <c r="E12" s="148"/>
      <c r="F12" s="148"/>
      <c r="G12" s="148"/>
      <c r="H12" s="148"/>
      <c r="I12" s="154"/>
      <c r="J12" s="148"/>
      <c r="K12" s="148"/>
    </row>
    <row r="13" spans="1:11" ht="13.5" thickBot="1">
      <c r="A13" s="142" t="s">
        <v>8</v>
      </c>
      <c r="B13" s="31" t="s">
        <v>18</v>
      </c>
      <c r="C13" s="37" t="s">
        <v>268</v>
      </c>
      <c r="D13" s="33" t="s">
        <v>19</v>
      </c>
      <c r="E13" s="29"/>
      <c r="F13" s="157" t="s">
        <v>20</v>
      </c>
      <c r="G13" s="157"/>
      <c r="H13" s="148"/>
      <c r="I13" s="154"/>
      <c r="J13" s="148"/>
      <c r="K13" s="148"/>
    </row>
    <row r="14" spans="1:11">
      <c r="A14" s="142">
        <f>+A11+1</f>
        <v>2</v>
      </c>
      <c r="B14" s="31" t="s">
        <v>125</v>
      </c>
      <c r="C14" s="37" t="str">
        <f>"(page 4, line "&amp;A222&amp;")"</f>
        <v>(page 4, line 29)</v>
      </c>
      <c r="D14" s="158">
        <f>I222</f>
        <v>0</v>
      </c>
      <c r="E14" s="29"/>
      <c r="F14" s="29" t="s">
        <v>21</v>
      </c>
      <c r="G14" s="27">
        <f>I191</f>
        <v>1</v>
      </c>
      <c r="H14" s="44"/>
      <c r="I14" s="27">
        <f>+G14*D14</f>
        <v>0</v>
      </c>
      <c r="J14" s="148"/>
      <c r="K14" s="148"/>
    </row>
    <row r="15" spans="1:11">
      <c r="A15" s="142">
        <f>+A14+1</f>
        <v>3</v>
      </c>
      <c r="B15" s="31" t="s">
        <v>126</v>
      </c>
      <c r="C15" s="37" t="str">
        <f>"(page 4, line "&amp;A227&amp;")"</f>
        <v>(page 4, line 33)</v>
      </c>
      <c r="D15" s="158">
        <f>I227</f>
        <v>0</v>
      </c>
      <c r="E15" s="29"/>
      <c r="F15" s="29" t="s">
        <v>21</v>
      </c>
      <c r="G15" s="27">
        <f>+G14</f>
        <v>1</v>
      </c>
      <c r="H15" s="44"/>
      <c r="I15" s="27">
        <f>+G15*D15</f>
        <v>0</v>
      </c>
      <c r="J15" s="148"/>
      <c r="K15" s="148"/>
    </row>
    <row r="16" spans="1:11">
      <c r="A16" s="142">
        <f>+A15+1</f>
        <v>4</v>
      </c>
      <c r="B16" s="31" t="s">
        <v>223</v>
      </c>
      <c r="C16" s="37" t="s">
        <v>803</v>
      </c>
      <c r="D16" s="158">
        <f>+'5-P3 Support'!G67</f>
        <v>0</v>
      </c>
      <c r="E16" s="29"/>
      <c r="F16" s="29" t="s">
        <v>21</v>
      </c>
      <c r="G16" s="27">
        <f>+G15</f>
        <v>1</v>
      </c>
      <c r="H16" s="44"/>
      <c r="I16" s="27">
        <f>+D16*G16</f>
        <v>0</v>
      </c>
      <c r="J16" s="148"/>
      <c r="K16" s="148"/>
    </row>
    <row r="17" spans="1:13">
      <c r="A17" s="142">
        <f>+A16+1</f>
        <v>5</v>
      </c>
      <c r="B17" s="159" t="s">
        <v>366</v>
      </c>
      <c r="C17" s="160" t="s">
        <v>262</v>
      </c>
      <c r="D17" s="213">
        <v>0</v>
      </c>
      <c r="E17" s="29"/>
      <c r="F17" s="29" t="s">
        <v>21</v>
      </c>
      <c r="G17" s="27">
        <f>+G15</f>
        <v>1</v>
      </c>
      <c r="H17" s="44"/>
      <c r="I17" s="27">
        <f>+G17*D17</f>
        <v>0</v>
      </c>
      <c r="J17" s="148"/>
      <c r="K17" s="148"/>
    </row>
    <row r="18" spans="1:13" ht="13.5" thickBot="1">
      <c r="A18" s="142">
        <f>+A17+1</f>
        <v>6</v>
      </c>
      <c r="B18" s="159" t="s">
        <v>127</v>
      </c>
      <c r="C18" s="160"/>
      <c r="D18" s="213">
        <v>0</v>
      </c>
      <c r="E18" s="29"/>
      <c r="F18" s="29" t="s">
        <v>21</v>
      </c>
      <c r="G18" s="27">
        <f>+G17</f>
        <v>1</v>
      </c>
      <c r="H18" s="44"/>
      <c r="I18" s="47">
        <f>+G18*D18</f>
        <v>0</v>
      </c>
      <c r="J18" s="148"/>
      <c r="K18" s="148"/>
    </row>
    <row r="19" spans="1:13">
      <c r="A19" s="142">
        <f>+A18+1</f>
        <v>7</v>
      </c>
      <c r="B19" s="31" t="s">
        <v>287</v>
      </c>
      <c r="C19" s="148" t="s">
        <v>286</v>
      </c>
      <c r="D19" s="392">
        <f>SUM(D14:D18)</f>
        <v>0</v>
      </c>
      <c r="E19" s="29"/>
      <c r="F19" s="29"/>
      <c r="G19" s="45"/>
      <c r="H19" s="44"/>
      <c r="I19" s="27">
        <f>SUM(I14:I18)</f>
        <v>0</v>
      </c>
      <c r="J19" s="148"/>
      <c r="K19" s="148"/>
    </row>
    <row r="20" spans="1:13">
      <c r="A20" s="142"/>
      <c r="B20" s="36"/>
      <c r="C20" s="148"/>
      <c r="D20" s="29" t="s">
        <v>8</v>
      </c>
      <c r="E20" s="148"/>
      <c r="F20" s="148"/>
      <c r="G20" s="162"/>
      <c r="H20" s="148"/>
      <c r="I20" s="36"/>
      <c r="J20" s="148"/>
      <c r="K20" s="148"/>
    </row>
    <row r="21" spans="1:13" ht="13.5" thickBot="1">
      <c r="A21" s="142">
        <f>+A19+1</f>
        <v>8</v>
      </c>
      <c r="B21" s="31" t="s">
        <v>22</v>
      </c>
      <c r="C21" s="148" t="s">
        <v>269</v>
      </c>
      <c r="D21" s="161" t="s">
        <v>8</v>
      </c>
      <c r="E21" s="29"/>
      <c r="F21" s="29"/>
      <c r="G21" s="29"/>
      <c r="H21" s="29"/>
      <c r="I21" s="163">
        <f>I11-I19</f>
        <v>24506217.744502641</v>
      </c>
      <c r="J21" s="148"/>
      <c r="K21" s="148"/>
      <c r="M21" s="164"/>
    </row>
    <row r="22" spans="1:13" ht="13.5" thickTop="1">
      <c r="A22" s="142"/>
      <c r="B22" s="36"/>
      <c r="C22" s="148"/>
      <c r="D22" s="161"/>
      <c r="E22" s="29"/>
      <c r="F22" s="29"/>
      <c r="G22" s="29"/>
      <c r="H22" s="29"/>
      <c r="I22" s="36"/>
      <c r="J22" s="148"/>
      <c r="K22" s="148"/>
      <c r="M22" s="165"/>
    </row>
    <row r="23" spans="1:13">
      <c r="A23" s="166">
        <f>+A21+1</f>
        <v>9</v>
      </c>
      <c r="B23" s="167" t="s">
        <v>119</v>
      </c>
      <c r="C23" s="491" t="s">
        <v>802</v>
      </c>
      <c r="D23" s="18">
        <f>'3-Project True-up'!K39</f>
        <v>11391762.738241311</v>
      </c>
      <c r="E23" s="168"/>
      <c r="F23" s="169" t="s">
        <v>93</v>
      </c>
      <c r="G23" s="170">
        <v>1</v>
      </c>
      <c r="H23" s="168"/>
      <c r="I23" s="18">
        <f>+G23*D23</f>
        <v>11391762.738241311</v>
      </c>
      <c r="K23" s="171"/>
    </row>
    <row r="24" spans="1:13">
      <c r="A24" s="166"/>
      <c r="B24" s="167"/>
      <c r="C24" s="168"/>
      <c r="D24" s="172"/>
      <c r="E24" s="172"/>
      <c r="F24" s="172"/>
      <c r="G24" s="172"/>
      <c r="H24" s="172"/>
      <c r="I24" s="173"/>
      <c r="K24" s="171"/>
    </row>
    <row r="25" spans="1:13" ht="13.5" thickBot="1">
      <c r="A25" s="166">
        <f>+A23+1</f>
        <v>10</v>
      </c>
      <c r="B25" s="167" t="s">
        <v>22</v>
      </c>
      <c r="C25" s="168" t="s">
        <v>270</v>
      </c>
      <c r="D25" s="172"/>
      <c r="E25" s="173"/>
      <c r="F25" s="173"/>
      <c r="G25" s="173"/>
      <c r="H25" s="173"/>
      <c r="I25" s="174">
        <f>+I21+I23</f>
        <v>35897980.482743949</v>
      </c>
      <c r="K25" s="171"/>
    </row>
    <row r="26" spans="1:13" ht="13.5" thickTop="1">
      <c r="A26" s="175"/>
      <c r="B26" s="159"/>
      <c r="C26" s="171"/>
      <c r="D26" s="171"/>
      <c r="E26" s="171"/>
      <c r="F26" s="176"/>
      <c r="G26" s="177"/>
      <c r="H26" s="171"/>
      <c r="I26" s="159"/>
      <c r="J26" s="171"/>
      <c r="K26" s="171"/>
    </row>
    <row r="27" spans="1:13">
      <c r="A27" s="175"/>
      <c r="B27" s="178"/>
      <c r="C27" s="171"/>
      <c r="D27" s="171"/>
      <c r="E27" s="171"/>
      <c r="F27" s="176"/>
      <c r="G27" s="177"/>
      <c r="H27" s="171"/>
      <c r="I27" s="159"/>
      <c r="J27" s="171"/>
      <c r="K27" s="171"/>
    </row>
    <row r="28" spans="1:13">
      <c r="A28" s="175"/>
      <c r="B28" s="159"/>
      <c r="C28" s="171"/>
      <c r="D28" s="171"/>
      <c r="E28" s="171"/>
      <c r="F28" s="171"/>
      <c r="G28" s="177"/>
      <c r="H28" s="171"/>
      <c r="I28" s="159"/>
      <c r="J28" s="171"/>
      <c r="K28" s="171"/>
    </row>
    <row r="29" spans="1:13">
      <c r="A29" s="175"/>
      <c r="B29" s="159"/>
      <c r="C29" s="171"/>
      <c r="D29" s="171"/>
      <c r="E29" s="171"/>
      <c r="F29" s="171"/>
      <c r="G29" s="177"/>
      <c r="H29" s="171"/>
      <c r="I29" s="159"/>
      <c r="J29" s="171"/>
      <c r="K29" s="171"/>
    </row>
    <row r="30" spans="1:13">
      <c r="A30" s="175"/>
      <c r="B30" s="159"/>
      <c r="C30" s="171"/>
      <c r="D30" s="171"/>
      <c r="E30" s="171"/>
      <c r="F30" s="171"/>
      <c r="G30" s="177"/>
      <c r="H30" s="171"/>
      <c r="I30" s="159"/>
      <c r="J30" s="171"/>
      <c r="K30" s="171"/>
    </row>
    <row r="31" spans="1:13">
      <c r="A31" s="175"/>
      <c r="B31" s="179"/>
      <c r="C31" s="171"/>
      <c r="D31" s="171"/>
      <c r="E31" s="171"/>
      <c r="F31" s="171"/>
      <c r="G31" s="171"/>
      <c r="H31" s="171"/>
      <c r="I31" s="159"/>
      <c r="J31" s="171"/>
      <c r="K31" s="171"/>
    </row>
    <row r="32" spans="1:13">
      <c r="A32" s="175"/>
      <c r="B32" s="178"/>
      <c r="C32" s="171"/>
      <c r="D32" s="171"/>
      <c r="E32" s="171"/>
      <c r="F32" s="171"/>
      <c r="G32" s="171"/>
      <c r="H32" s="171"/>
      <c r="I32" s="159"/>
      <c r="J32" s="171"/>
      <c r="K32" s="171"/>
    </row>
    <row r="33" spans="1:11">
      <c r="A33" s="175"/>
      <c r="B33" s="178"/>
      <c r="C33" s="171"/>
      <c r="D33" s="180"/>
      <c r="E33" s="171"/>
      <c r="F33" s="171"/>
      <c r="G33" s="171"/>
      <c r="H33" s="171"/>
      <c r="I33" s="176"/>
      <c r="J33" s="171"/>
      <c r="K33" s="171"/>
    </row>
    <row r="34" spans="1:11">
      <c r="A34" s="175"/>
      <c r="B34" s="178"/>
      <c r="C34" s="171"/>
      <c r="D34" s="180"/>
      <c r="E34" s="171"/>
      <c r="F34" s="171"/>
      <c r="G34" s="171"/>
      <c r="H34" s="171"/>
      <c r="I34" s="176"/>
      <c r="J34" s="171"/>
      <c r="K34" s="171"/>
    </row>
    <row r="35" spans="1:11">
      <c r="A35" s="175"/>
      <c r="B35" s="178"/>
      <c r="C35" s="171"/>
      <c r="D35" s="181"/>
      <c r="E35" s="171"/>
      <c r="F35" s="171"/>
      <c r="G35" s="171"/>
      <c r="H35" s="171"/>
      <c r="I35" s="176"/>
      <c r="J35" s="171"/>
      <c r="K35" s="171"/>
    </row>
    <row r="36" spans="1:11">
      <c r="A36" s="175"/>
      <c r="B36" s="178"/>
      <c r="C36" s="171"/>
      <c r="D36" s="182"/>
      <c r="E36" s="171"/>
      <c r="F36" s="171"/>
      <c r="G36" s="171"/>
      <c r="H36" s="171"/>
      <c r="I36" s="183"/>
      <c r="J36" s="171"/>
      <c r="K36" s="171"/>
    </row>
    <row r="37" spans="1:11">
      <c r="A37" s="175"/>
      <c r="B37" s="178"/>
      <c r="C37" s="184"/>
      <c r="D37" s="180"/>
      <c r="E37" s="171"/>
      <c r="F37" s="171"/>
      <c r="G37" s="171"/>
      <c r="H37" s="171"/>
      <c r="I37" s="185"/>
      <c r="J37" s="171"/>
      <c r="K37" s="171"/>
    </row>
    <row r="38" spans="1:11">
      <c r="A38" s="175"/>
      <c r="B38" s="178"/>
      <c r="C38" s="184"/>
      <c r="D38" s="180"/>
      <c r="E38" s="171"/>
      <c r="F38" s="176"/>
      <c r="G38" s="171"/>
      <c r="H38" s="171"/>
      <c r="I38" s="185"/>
      <c r="J38" s="171"/>
      <c r="K38" s="171"/>
    </row>
    <row r="39" spans="1:11">
      <c r="A39" s="175"/>
      <c r="B39" s="178"/>
      <c r="C39" s="184"/>
      <c r="D39" s="180"/>
      <c r="E39" s="171"/>
      <c r="F39" s="176"/>
      <c r="G39" s="171"/>
      <c r="H39" s="171"/>
      <c r="I39" s="185"/>
      <c r="J39" s="171"/>
      <c r="K39" s="171"/>
    </row>
    <row r="40" spans="1:11">
      <c r="A40" s="175"/>
      <c r="B40" s="178"/>
      <c r="C40" s="171"/>
      <c r="D40" s="171"/>
      <c r="E40" s="171"/>
      <c r="F40" s="176"/>
      <c r="G40" s="171"/>
      <c r="H40" s="171"/>
      <c r="I40" s="176"/>
      <c r="J40" s="171"/>
      <c r="K40" s="171"/>
    </row>
    <row r="41" spans="1:11">
      <c r="A41" s="175"/>
      <c r="B41" s="178"/>
      <c r="C41" s="171"/>
      <c r="D41" s="171"/>
      <c r="E41" s="171"/>
      <c r="F41" s="176"/>
      <c r="G41" s="171"/>
      <c r="H41" s="171"/>
      <c r="I41" s="176"/>
      <c r="J41" s="171"/>
      <c r="K41" s="171"/>
    </row>
    <row r="42" spans="1:11">
      <c r="A42" s="175"/>
      <c r="B42" s="178"/>
      <c r="C42" s="171"/>
      <c r="D42" s="186"/>
      <c r="E42" s="186"/>
      <c r="F42" s="186"/>
      <c r="G42" s="186"/>
      <c r="H42" s="186"/>
      <c r="I42" s="186"/>
      <c r="J42" s="186"/>
      <c r="K42" s="171"/>
    </row>
    <row r="43" spans="1:11">
      <c r="A43" s="175"/>
      <c r="B43" s="178"/>
      <c r="C43" s="171"/>
      <c r="D43" s="186"/>
      <c r="E43" s="186"/>
      <c r="F43" s="186"/>
      <c r="G43" s="186"/>
      <c r="H43" s="186"/>
      <c r="I43" s="186"/>
      <c r="J43" s="186"/>
      <c r="K43" s="171"/>
    </row>
    <row r="44" spans="1:11">
      <c r="A44" s="175"/>
      <c r="B44" s="178"/>
      <c r="C44" s="171"/>
      <c r="D44" s="186"/>
      <c r="E44" s="186"/>
      <c r="F44" s="186"/>
      <c r="G44" s="186"/>
      <c r="H44" s="186"/>
      <c r="I44" s="186"/>
      <c r="J44" s="186"/>
      <c r="K44" s="171"/>
    </row>
    <row r="45" spans="1:11">
      <c r="A45" s="175"/>
      <c r="B45" s="178"/>
      <c r="C45" s="171"/>
      <c r="D45" s="186"/>
      <c r="E45" s="186"/>
      <c r="F45" s="186"/>
      <c r="G45" s="186"/>
      <c r="H45" s="186"/>
      <c r="I45" s="186"/>
      <c r="J45" s="186"/>
      <c r="K45" s="171"/>
    </row>
    <row r="46" spans="1:11">
      <c r="A46" s="142"/>
      <c r="B46" s="31"/>
      <c r="C46" s="148"/>
      <c r="D46" s="187"/>
      <c r="E46" s="188"/>
      <c r="F46" s="188"/>
      <c r="G46" s="188"/>
      <c r="H46" s="188"/>
      <c r="I46" s="188"/>
      <c r="J46" s="188"/>
      <c r="K46" s="148"/>
    </row>
    <row r="47" spans="1:11">
      <c r="A47" s="142"/>
      <c r="B47" s="31"/>
      <c r="C47" s="148"/>
      <c r="D47" s="187"/>
      <c r="E47" s="188"/>
      <c r="F47" s="188"/>
      <c r="G47" s="188"/>
      <c r="H47" s="188"/>
      <c r="I47" s="188"/>
      <c r="J47" s="188"/>
      <c r="K47" s="148"/>
    </row>
    <row r="48" spans="1:11">
      <c r="A48" s="142"/>
      <c r="B48" s="31"/>
      <c r="C48" s="148"/>
      <c r="D48" s="187"/>
      <c r="E48" s="188"/>
      <c r="F48" s="188"/>
      <c r="G48" s="188"/>
      <c r="H48" s="188"/>
      <c r="I48" s="188"/>
      <c r="J48" s="188"/>
      <c r="K48" s="148"/>
    </row>
    <row r="49" spans="1:11">
      <c r="A49" s="142"/>
      <c r="B49" s="31"/>
      <c r="C49" s="148"/>
      <c r="D49" s="187"/>
      <c r="E49" s="188"/>
      <c r="F49" s="188"/>
      <c r="G49" s="188"/>
      <c r="H49" s="188"/>
      <c r="I49" s="188"/>
      <c r="J49" s="188"/>
      <c r="K49" s="148"/>
    </row>
    <row r="50" spans="1:11">
      <c r="A50" s="142"/>
      <c r="B50" s="31"/>
      <c r="C50" s="148"/>
      <c r="D50" s="187"/>
      <c r="E50" s="188"/>
      <c r="F50" s="188"/>
      <c r="G50" s="188"/>
      <c r="H50" s="188"/>
      <c r="I50" s="188"/>
      <c r="J50" s="188"/>
      <c r="K50" s="148"/>
    </row>
    <row r="51" spans="1:11">
      <c r="A51" s="142"/>
      <c r="B51" s="31"/>
      <c r="C51" s="148"/>
      <c r="D51" s="187"/>
      <c r="E51" s="188"/>
      <c r="F51" s="188"/>
      <c r="G51" s="188"/>
      <c r="H51" s="188"/>
      <c r="I51" s="188"/>
      <c r="J51" s="188"/>
      <c r="K51" s="148"/>
    </row>
    <row r="52" spans="1:11">
      <c r="A52" s="36"/>
      <c r="B52" s="31"/>
      <c r="C52" s="148"/>
      <c r="D52" s="148"/>
      <c r="E52" s="148"/>
      <c r="F52" s="148"/>
      <c r="G52" s="148"/>
      <c r="H52" s="148"/>
      <c r="I52" s="189"/>
      <c r="J52" s="148"/>
      <c r="K52" s="190" t="s">
        <v>130</v>
      </c>
    </row>
    <row r="53" spans="1:11">
      <c r="A53" s="36"/>
      <c r="B53" s="148"/>
      <c r="C53" s="148"/>
      <c r="D53" s="148"/>
      <c r="E53" s="148"/>
      <c r="F53" s="148"/>
      <c r="G53" s="148"/>
      <c r="H53" s="148"/>
      <c r="I53" s="148"/>
      <c r="J53" s="148"/>
      <c r="K53" s="148"/>
    </row>
    <row r="54" spans="1:11">
      <c r="A54" s="36"/>
      <c r="B54" s="31" t="s">
        <v>7</v>
      </c>
      <c r="C54" s="31"/>
      <c r="D54" s="152" t="s">
        <v>89</v>
      </c>
      <c r="E54" s="31"/>
      <c r="F54" s="31"/>
      <c r="G54" s="31"/>
      <c r="H54" s="31"/>
      <c r="I54" s="140"/>
      <c r="J54" s="31"/>
      <c r="K54" s="190" t="str">
        <f>K3</f>
        <v>For  the 12 months ended 12/31/2025</v>
      </c>
    </row>
    <row r="55" spans="1:11">
      <c r="A55" s="36"/>
      <c r="B55" s="191"/>
      <c r="C55" s="29"/>
      <c r="D55" s="32" t="s">
        <v>118</v>
      </c>
      <c r="E55" s="29"/>
      <c r="F55" s="29"/>
      <c r="G55" s="29"/>
      <c r="H55" s="29"/>
      <c r="I55" s="29"/>
      <c r="J55" s="29"/>
      <c r="K55" s="29"/>
    </row>
    <row r="56" spans="1:11">
      <c r="A56" s="36"/>
      <c r="B56" s="31"/>
      <c r="C56" s="29"/>
      <c r="D56" s="648" t="str">
        <f>D5</f>
        <v>NextEra Energy Transmission MidAtlantic, Inc.</v>
      </c>
      <c r="E56" s="29"/>
      <c r="F56" s="29"/>
      <c r="G56" s="29" t="s">
        <v>8</v>
      </c>
      <c r="H56" s="29"/>
      <c r="I56" s="29"/>
      <c r="J56" s="29"/>
      <c r="K56" s="29"/>
    </row>
    <row r="57" spans="1:11">
      <c r="A57" s="767"/>
      <c r="B57" s="767"/>
      <c r="C57" s="767"/>
      <c r="D57" s="767"/>
      <c r="E57" s="767"/>
      <c r="F57" s="767"/>
      <c r="G57" s="767"/>
      <c r="H57" s="767"/>
      <c r="I57" s="767"/>
      <c r="J57" s="767"/>
      <c r="K57" s="767"/>
    </row>
    <row r="58" spans="1:11">
      <c r="A58" s="36"/>
      <c r="B58" s="152" t="s">
        <v>9</v>
      </c>
      <c r="C58" s="152" t="s">
        <v>10</v>
      </c>
      <c r="D58" s="152" t="s">
        <v>11</v>
      </c>
      <c r="E58" s="29" t="s">
        <v>8</v>
      </c>
      <c r="F58" s="29"/>
      <c r="G58" s="151" t="s">
        <v>12</v>
      </c>
      <c r="H58" s="29"/>
      <c r="I58" s="151" t="s">
        <v>13</v>
      </c>
      <c r="J58" s="29"/>
      <c r="K58" s="152"/>
    </row>
    <row r="59" spans="1:11">
      <c r="A59" s="36"/>
      <c r="B59" s="31"/>
      <c r="C59" s="192"/>
      <c r="D59" s="29"/>
      <c r="E59" s="29"/>
      <c r="F59" s="29"/>
      <c r="G59" s="142"/>
      <c r="H59" s="29"/>
      <c r="I59" s="193" t="s">
        <v>23</v>
      </c>
      <c r="J59" s="29"/>
      <c r="K59" s="152"/>
    </row>
    <row r="60" spans="1:11">
      <c r="A60" s="142" t="s">
        <v>14</v>
      </c>
      <c r="B60" s="31"/>
      <c r="C60" s="194" t="s">
        <v>250</v>
      </c>
      <c r="D60" s="193" t="s">
        <v>25</v>
      </c>
      <c r="E60" s="195"/>
      <c r="F60" s="193" t="s">
        <v>26</v>
      </c>
      <c r="G60" s="36"/>
      <c r="H60" s="195"/>
      <c r="I60" s="142" t="s">
        <v>27</v>
      </c>
      <c r="J60" s="29"/>
      <c r="K60" s="152"/>
    </row>
    <row r="61" spans="1:11" ht="13.5" thickBot="1">
      <c r="A61" s="33" t="s">
        <v>16</v>
      </c>
      <c r="B61" s="196" t="s">
        <v>476</v>
      </c>
      <c r="C61" s="29"/>
      <c r="D61" s="29"/>
      <c r="E61" s="29"/>
      <c r="F61" s="29"/>
      <c r="G61" s="29"/>
      <c r="H61" s="29"/>
      <c r="I61" s="29"/>
      <c r="J61" s="29"/>
      <c r="K61" s="29"/>
    </row>
    <row r="62" spans="1:11">
      <c r="A62" s="142"/>
      <c r="B62" s="31" t="s">
        <v>569</v>
      </c>
      <c r="C62" s="29"/>
      <c r="D62" s="29"/>
      <c r="E62" s="29"/>
      <c r="F62" s="29"/>
      <c r="G62" s="29"/>
      <c r="H62" s="29"/>
      <c r="I62" s="29"/>
      <c r="J62" s="29"/>
      <c r="K62" s="29"/>
    </row>
    <row r="63" spans="1:11">
      <c r="A63" s="142">
        <v>1</v>
      </c>
      <c r="B63" s="31" t="s">
        <v>367</v>
      </c>
      <c r="C63" s="44" t="s">
        <v>776</v>
      </c>
      <c r="D63" s="197">
        <v>0</v>
      </c>
      <c r="E63" s="29"/>
      <c r="F63" s="29" t="s">
        <v>28</v>
      </c>
      <c r="G63" s="198" t="s">
        <v>8</v>
      </c>
      <c r="H63" s="29"/>
      <c r="I63" s="18">
        <v>0</v>
      </c>
      <c r="J63" s="29"/>
      <c r="K63" s="29"/>
    </row>
    <row r="64" spans="1:11">
      <c r="A64" s="142">
        <f>+A63+1</f>
        <v>2</v>
      </c>
      <c r="B64" s="31" t="s">
        <v>29</v>
      </c>
      <c r="C64" s="44" t="s">
        <v>370</v>
      </c>
      <c r="D64" s="213">
        <f>'4- Rate Base'!C24</f>
        <v>76288908.015384614</v>
      </c>
      <c r="E64" s="29"/>
      <c r="F64" s="29" t="s">
        <v>21</v>
      </c>
      <c r="G64" s="27">
        <f>I191</f>
        <v>1</v>
      </c>
      <c r="H64" s="44"/>
      <c r="I64" s="18">
        <f>+G64*D64</f>
        <v>76288908.015384614</v>
      </c>
      <c r="J64" s="29"/>
      <c r="K64" s="29"/>
    </row>
    <row r="65" spans="1:11">
      <c r="A65" s="142">
        <f t="shared" ref="A65:A104" si="0">+A64+1</f>
        <v>3</v>
      </c>
      <c r="B65" s="31" t="s">
        <v>368</v>
      </c>
      <c r="C65" s="44" t="s">
        <v>372</v>
      </c>
      <c r="D65" s="197">
        <v>0</v>
      </c>
      <c r="E65" s="29"/>
      <c r="F65" s="29" t="s">
        <v>28</v>
      </c>
      <c r="G65" s="158">
        <v>0</v>
      </c>
      <c r="H65" s="44"/>
      <c r="I65" s="18">
        <v>0</v>
      </c>
      <c r="J65" s="29"/>
      <c r="K65" s="29"/>
    </row>
    <row r="66" spans="1:11">
      <c r="A66" s="142">
        <f t="shared" si="0"/>
        <v>4</v>
      </c>
      <c r="B66" s="31" t="s">
        <v>104</v>
      </c>
      <c r="C66" s="44" t="s">
        <v>371</v>
      </c>
      <c r="D66" s="213">
        <f>'4- Rate Base'!D24</f>
        <v>578</v>
      </c>
      <c r="E66" s="29"/>
      <c r="F66" s="29" t="s">
        <v>30</v>
      </c>
      <c r="G66" s="27">
        <f>I199</f>
        <v>1</v>
      </c>
      <c r="H66" s="44"/>
      <c r="I66" s="18">
        <f>+G66*D66</f>
        <v>578</v>
      </c>
      <c r="J66" s="29"/>
      <c r="K66" s="29"/>
    </row>
    <row r="67" spans="1:11" ht="13.5" thickBot="1">
      <c r="A67" s="142">
        <f t="shared" si="0"/>
        <v>5</v>
      </c>
      <c r="B67" s="31" t="s">
        <v>369</v>
      </c>
      <c r="C67" s="29" t="s">
        <v>373</v>
      </c>
      <c r="D67" s="199">
        <v>0</v>
      </c>
      <c r="E67" s="29"/>
      <c r="F67" s="29" t="s">
        <v>132</v>
      </c>
      <c r="G67" s="27">
        <f>K203</f>
        <v>1</v>
      </c>
      <c r="H67" s="44"/>
      <c r="I67" s="200">
        <f>+G67*D67</f>
        <v>0</v>
      </c>
      <c r="J67" s="29"/>
      <c r="K67" s="29"/>
    </row>
    <row r="68" spans="1:11">
      <c r="A68" s="142">
        <f t="shared" si="0"/>
        <v>6</v>
      </c>
      <c r="B68" s="28" t="s">
        <v>279</v>
      </c>
      <c r="C68" s="29" t="s">
        <v>278</v>
      </c>
      <c r="D68" s="18">
        <f>SUM(D63:D67)</f>
        <v>76289486.015384614</v>
      </c>
      <c r="E68" s="29"/>
      <c r="F68" s="29" t="s">
        <v>31</v>
      </c>
      <c r="G68" s="201">
        <f>IF(I68&gt;0,I68/D68,0)</f>
        <v>1</v>
      </c>
      <c r="H68" s="44"/>
      <c r="I68" s="18">
        <f>SUM(I63:I67)</f>
        <v>76289486.015384614</v>
      </c>
      <c r="J68" s="29"/>
      <c r="K68" s="202"/>
    </row>
    <row r="69" spans="1:11">
      <c r="A69" s="142"/>
      <c r="B69" s="31"/>
      <c r="C69" s="29"/>
      <c r="D69" s="18"/>
      <c r="E69" s="29"/>
      <c r="F69" s="29"/>
      <c r="G69" s="202"/>
      <c r="H69" s="29"/>
      <c r="I69" s="18"/>
      <c r="J69" s="29"/>
      <c r="K69" s="202"/>
    </row>
    <row r="70" spans="1:11">
      <c r="A70" s="142">
        <f>+A68+1</f>
        <v>7</v>
      </c>
      <c r="B70" s="31" t="s">
        <v>570</v>
      </c>
      <c r="C70" s="29"/>
      <c r="D70" s="18"/>
      <c r="E70" s="29"/>
      <c r="F70" s="29"/>
      <c r="G70" s="29"/>
      <c r="H70" s="29"/>
      <c r="I70" s="18"/>
      <c r="J70" s="29"/>
      <c r="K70" s="29"/>
    </row>
    <row r="71" spans="1:11">
      <c r="A71" s="142">
        <f t="shared" si="0"/>
        <v>8</v>
      </c>
      <c r="B71" s="31" t="s">
        <v>367</v>
      </c>
      <c r="C71" s="29" t="s">
        <v>374</v>
      </c>
      <c r="D71" s="197">
        <v>0</v>
      </c>
      <c r="E71" s="29"/>
      <c r="F71" s="29" t="s">
        <v>28</v>
      </c>
      <c r="G71" s="198" t="s">
        <v>8</v>
      </c>
      <c r="H71" s="29"/>
      <c r="I71" s="18">
        <v>0</v>
      </c>
      <c r="J71" s="29"/>
      <c r="K71" s="29"/>
    </row>
    <row r="72" spans="1:11">
      <c r="A72" s="142">
        <f t="shared" si="0"/>
        <v>9</v>
      </c>
      <c r="B72" s="31" t="s">
        <v>29</v>
      </c>
      <c r="C72" s="29" t="s">
        <v>376</v>
      </c>
      <c r="D72" s="213">
        <f>'4- Rate Base'!I24</f>
        <v>3187961.2023076927</v>
      </c>
      <c r="E72" s="29"/>
      <c r="F72" s="29" t="s">
        <v>21</v>
      </c>
      <c r="G72" s="27">
        <f>+G64</f>
        <v>1</v>
      </c>
      <c r="H72" s="44"/>
      <c r="I72" s="18">
        <f>+G72*D72</f>
        <v>3187961.2023076927</v>
      </c>
      <c r="J72" s="29"/>
      <c r="K72" s="29"/>
    </row>
    <row r="73" spans="1:11">
      <c r="A73" s="142">
        <f t="shared" si="0"/>
        <v>10</v>
      </c>
      <c r="B73" s="31" t="s">
        <v>368</v>
      </c>
      <c r="C73" s="29" t="s">
        <v>375</v>
      </c>
      <c r="D73" s="197">
        <v>0</v>
      </c>
      <c r="E73" s="29"/>
      <c r="F73" s="29" t="s">
        <v>28</v>
      </c>
      <c r="G73" s="27">
        <f>+G65</f>
        <v>0</v>
      </c>
      <c r="H73" s="44"/>
      <c r="I73" s="213">
        <f>+G73*D73</f>
        <v>0</v>
      </c>
      <c r="J73" s="29"/>
      <c r="K73" s="29"/>
    </row>
    <row r="74" spans="1:11">
      <c r="A74" s="142">
        <f t="shared" si="0"/>
        <v>11</v>
      </c>
      <c r="B74" s="31" t="s">
        <v>104</v>
      </c>
      <c r="C74" s="29" t="s">
        <v>377</v>
      </c>
      <c r="D74" s="213">
        <f>'4- Rate Base'!J24</f>
        <v>408.40538461538449</v>
      </c>
      <c r="E74" s="29"/>
      <c r="F74" s="29" t="s">
        <v>30</v>
      </c>
      <c r="G74" s="27">
        <f>+G66</f>
        <v>1</v>
      </c>
      <c r="H74" s="44"/>
      <c r="I74" s="18">
        <f>+G74*D74</f>
        <v>408.40538461538449</v>
      </c>
      <c r="J74" s="29"/>
      <c r="K74" s="29"/>
    </row>
    <row r="75" spans="1:11" ht="13.5" thickBot="1">
      <c r="A75" s="142">
        <f t="shared" si="0"/>
        <v>12</v>
      </c>
      <c r="B75" s="31" t="s">
        <v>369</v>
      </c>
      <c r="C75" s="29" t="s">
        <v>373</v>
      </c>
      <c r="D75" s="199">
        <v>0</v>
      </c>
      <c r="E75" s="29"/>
      <c r="F75" s="29" t="s">
        <v>132</v>
      </c>
      <c r="G75" s="27">
        <f>+G67</f>
        <v>1</v>
      </c>
      <c r="H75" s="44"/>
      <c r="I75" s="200">
        <f>+G75*D75</f>
        <v>0</v>
      </c>
      <c r="J75" s="29"/>
      <c r="K75" s="29"/>
    </row>
    <row r="76" spans="1:11">
      <c r="A76" s="142">
        <f t="shared" si="0"/>
        <v>13</v>
      </c>
      <c r="B76" s="31" t="s">
        <v>281</v>
      </c>
      <c r="C76" s="29" t="s">
        <v>280</v>
      </c>
      <c r="D76" s="18">
        <f>SUM(D71:D75)</f>
        <v>3188369.6076923083</v>
      </c>
      <c r="E76" s="29"/>
      <c r="F76" s="29"/>
      <c r="G76" s="27"/>
      <c r="H76" s="44"/>
      <c r="I76" s="18">
        <f>SUM(I71:I75)</f>
        <v>3188369.6076923083</v>
      </c>
      <c r="J76" s="29"/>
      <c r="K76" s="29"/>
    </row>
    <row r="77" spans="1:11">
      <c r="A77" s="142"/>
      <c r="B77" s="36"/>
      <c r="C77" s="29" t="s">
        <v>8</v>
      </c>
      <c r="D77" s="18"/>
      <c r="E77" s="29"/>
      <c r="F77" s="29"/>
      <c r="G77" s="201"/>
      <c r="H77" s="29"/>
      <c r="I77" s="18"/>
      <c r="J77" s="29"/>
      <c r="K77" s="202"/>
    </row>
    <row r="78" spans="1:11">
      <c r="A78" s="142">
        <f>+A76+1</f>
        <v>14</v>
      </c>
      <c r="B78" s="31" t="s">
        <v>32</v>
      </c>
      <c r="C78" s="29"/>
      <c r="D78" s="18"/>
      <c r="E78" s="29"/>
      <c r="F78" s="29"/>
      <c r="G78" s="27"/>
      <c r="H78" s="29"/>
      <c r="I78" s="18"/>
      <c r="J78" s="29"/>
      <c r="K78" s="29"/>
    </row>
    <row r="79" spans="1:11">
      <c r="A79" s="142">
        <f t="shared" si="0"/>
        <v>15</v>
      </c>
      <c r="B79" s="31" t="s">
        <v>367</v>
      </c>
      <c r="C79" s="29" t="str">
        <f>"(line "&amp;A63&amp;"minus line "&amp;A71&amp;")"</f>
        <v>(line 1minus line 8)</v>
      </c>
      <c r="D79" s="18">
        <f>D63-D71</f>
        <v>0</v>
      </c>
      <c r="E79" s="44"/>
      <c r="F79" s="44"/>
      <c r="G79" s="201"/>
      <c r="H79" s="44"/>
      <c r="I79" s="18">
        <f>I63-I71</f>
        <v>0</v>
      </c>
      <c r="J79" s="29"/>
      <c r="K79" s="202"/>
    </row>
    <row r="80" spans="1:11">
      <c r="A80" s="142">
        <f t="shared" si="0"/>
        <v>16</v>
      </c>
      <c r="B80" s="31" t="s">
        <v>29</v>
      </c>
      <c r="C80" s="29" t="s">
        <v>794</v>
      </c>
      <c r="D80" s="18">
        <f>D64-D72</f>
        <v>73100946.813076928</v>
      </c>
      <c r="E80" s="44"/>
      <c r="F80" s="44"/>
      <c r="G80" s="27"/>
      <c r="H80" s="44"/>
      <c r="I80" s="18">
        <f>I64-I72</f>
        <v>73100946.813076928</v>
      </c>
      <c r="J80" s="29"/>
      <c r="K80" s="202"/>
    </row>
    <row r="81" spans="1:11">
      <c r="A81" s="142">
        <f t="shared" si="0"/>
        <v>17</v>
      </c>
      <c r="B81" s="31" t="s">
        <v>368</v>
      </c>
      <c r="C81" s="29" t="str">
        <f>"(line "&amp;A65&amp;" minus line "&amp;A73&amp;")"</f>
        <v>(line 3 minus line 10)</v>
      </c>
      <c r="D81" s="18">
        <f>D65-D73</f>
        <v>0</v>
      </c>
      <c r="E81" s="44"/>
      <c r="F81" s="44"/>
      <c r="G81" s="201"/>
      <c r="H81" s="44"/>
      <c r="I81" s="213">
        <f>I65-I73</f>
        <v>0</v>
      </c>
      <c r="J81" s="29"/>
      <c r="K81" s="202"/>
    </row>
    <row r="82" spans="1:11">
      <c r="A82" s="142">
        <f t="shared" si="0"/>
        <v>18</v>
      </c>
      <c r="B82" s="31" t="s">
        <v>104</v>
      </c>
      <c r="C82" s="29" t="s">
        <v>795</v>
      </c>
      <c r="D82" s="18">
        <f>D66-D74</f>
        <v>169.59461538461551</v>
      </c>
      <c r="E82" s="44"/>
      <c r="F82" s="44"/>
      <c r="G82" s="201"/>
      <c r="H82" s="44"/>
      <c r="I82" s="18">
        <f>I66-I74</f>
        <v>169.59461538461551</v>
      </c>
      <c r="J82" s="29"/>
      <c r="K82" s="202"/>
    </row>
    <row r="83" spans="1:11" ht="13.5" thickBot="1">
      <c r="A83" s="142">
        <f t="shared" si="0"/>
        <v>19</v>
      </c>
      <c r="B83" s="31" t="s">
        <v>369</v>
      </c>
      <c r="C83" s="29" t="str">
        <f>"(line "&amp;A67&amp;" minus line "&amp;A75&amp;")"</f>
        <v>(line 5 minus line 12)</v>
      </c>
      <c r="D83" s="200">
        <f>D67-D75</f>
        <v>0</v>
      </c>
      <c r="E83" s="44"/>
      <c r="F83" s="44"/>
      <c r="G83" s="201"/>
      <c r="H83" s="44"/>
      <c r="I83" s="200">
        <f>I67-I75</f>
        <v>0</v>
      </c>
      <c r="J83" s="29"/>
      <c r="K83" s="202"/>
    </row>
    <row r="84" spans="1:11">
      <c r="A84" s="142">
        <f t="shared" si="0"/>
        <v>20</v>
      </c>
      <c r="B84" s="31" t="s">
        <v>285</v>
      </c>
      <c r="C84" s="29" t="s">
        <v>282</v>
      </c>
      <c r="D84" s="18">
        <f>SUM(D79:D83)</f>
        <v>73101116.407692313</v>
      </c>
      <c r="E84" s="44"/>
      <c r="F84" s="44" t="s">
        <v>33</v>
      </c>
      <c r="G84" s="201">
        <f>IF(I84&gt;0,I84/D84,0)</f>
        <v>1</v>
      </c>
      <c r="H84" s="44"/>
      <c r="I84" s="18">
        <f>SUM(I79:I83)</f>
        <v>73101116.407692313</v>
      </c>
      <c r="J84" s="29"/>
      <c r="K84" s="29"/>
    </row>
    <row r="85" spans="1:11">
      <c r="A85" s="142"/>
      <c r="B85" s="36"/>
      <c r="C85" s="29"/>
      <c r="D85" s="18"/>
      <c r="E85" s="29"/>
      <c r="F85" s="36"/>
      <c r="G85" s="36"/>
      <c r="H85" s="29"/>
      <c r="I85" s="18"/>
      <c r="J85" s="29"/>
      <c r="K85" s="202"/>
    </row>
    <row r="86" spans="1:11">
      <c r="A86" s="142">
        <f>+A84+1</f>
        <v>21</v>
      </c>
      <c r="B86" s="28" t="s">
        <v>571</v>
      </c>
      <c r="C86" s="29"/>
      <c r="D86" s="18"/>
      <c r="E86" s="29"/>
      <c r="F86" s="29"/>
      <c r="G86" s="29"/>
      <c r="H86" s="29"/>
      <c r="I86" s="18"/>
      <c r="J86" s="29"/>
      <c r="K86" s="29"/>
    </row>
    <row r="87" spans="1:11">
      <c r="A87" s="142">
        <f t="shared" si="0"/>
        <v>22</v>
      </c>
      <c r="B87" s="31" t="s">
        <v>105</v>
      </c>
      <c r="C87" s="29" t="s">
        <v>715</v>
      </c>
      <c r="D87" s="213">
        <f>-'4- Rate Base'!E44</f>
        <v>0</v>
      </c>
      <c r="E87" s="37"/>
      <c r="F87" s="37" t="s">
        <v>28</v>
      </c>
      <c r="G87" s="203" t="s">
        <v>133</v>
      </c>
      <c r="H87" s="44"/>
      <c r="I87" s="18">
        <v>0</v>
      </c>
      <c r="J87" s="29"/>
      <c r="K87" s="202"/>
    </row>
    <row r="88" spans="1:11">
      <c r="A88" s="142">
        <f t="shared" si="0"/>
        <v>23</v>
      </c>
      <c r="B88" s="31" t="s">
        <v>106</v>
      </c>
      <c r="C88" s="29" t="s">
        <v>716</v>
      </c>
      <c r="D88" s="553">
        <f>-'4- Rate Base'!F44</f>
        <v>-2700581.3081106879</v>
      </c>
      <c r="E88" s="29"/>
      <c r="F88" s="29" t="s">
        <v>34</v>
      </c>
      <c r="G88" s="205">
        <f>+G84</f>
        <v>1</v>
      </c>
      <c r="H88" s="44"/>
      <c r="I88" s="18">
        <f>D88*G88</f>
        <v>-2700581.3081106879</v>
      </c>
      <c r="J88" s="29"/>
      <c r="K88" s="202"/>
    </row>
    <row r="89" spans="1:11">
      <c r="A89" s="142">
        <f t="shared" si="0"/>
        <v>24</v>
      </c>
      <c r="B89" s="31" t="s">
        <v>107</v>
      </c>
      <c r="C89" s="29" t="s">
        <v>717</v>
      </c>
      <c r="D89" s="553">
        <f>-'4- Rate Base'!G44</f>
        <v>0</v>
      </c>
      <c r="E89" s="29"/>
      <c r="F89" s="29" t="s">
        <v>34</v>
      </c>
      <c r="G89" s="205">
        <f>+G88</f>
        <v>1</v>
      </c>
      <c r="H89" s="44"/>
      <c r="I89" s="18">
        <f>D89*G89</f>
        <v>0</v>
      </c>
      <c r="J89" s="29"/>
      <c r="K89" s="202"/>
    </row>
    <row r="90" spans="1:11">
      <c r="A90" s="142">
        <f t="shared" si="0"/>
        <v>25</v>
      </c>
      <c r="B90" s="31" t="s">
        <v>112</v>
      </c>
      <c r="C90" s="29" t="s">
        <v>718</v>
      </c>
      <c r="D90" s="553">
        <f>-'4- Rate Base'!H44</f>
        <v>704453</v>
      </c>
      <c r="E90" s="29"/>
      <c r="F90" s="29" t="s">
        <v>34</v>
      </c>
      <c r="G90" s="205">
        <f>+G89</f>
        <v>1</v>
      </c>
      <c r="H90" s="44"/>
      <c r="I90" s="18">
        <f>D90*G90</f>
        <v>704453</v>
      </c>
      <c r="J90" s="29"/>
      <c r="K90" s="202"/>
    </row>
    <row r="91" spans="1:11">
      <c r="A91" s="142">
        <f t="shared" si="0"/>
        <v>26</v>
      </c>
      <c r="B91" s="36" t="s">
        <v>108</v>
      </c>
      <c r="C91" s="36" t="s">
        <v>576</v>
      </c>
      <c r="D91" s="553">
        <f>-'4- Rate Base'!I44</f>
        <v>0</v>
      </c>
      <c r="E91" s="29"/>
      <c r="F91" s="29" t="s">
        <v>34</v>
      </c>
      <c r="G91" s="205">
        <f>+G89</f>
        <v>1</v>
      </c>
      <c r="H91" s="44"/>
      <c r="I91" s="42">
        <f>D91*G91</f>
        <v>0</v>
      </c>
      <c r="J91" s="29"/>
      <c r="K91" s="202"/>
    </row>
    <row r="92" spans="1:11" s="297" customFormat="1">
      <c r="A92" s="459" t="s">
        <v>491</v>
      </c>
      <c r="B92" s="34" t="s">
        <v>568</v>
      </c>
      <c r="C92" s="34" t="s">
        <v>834</v>
      </c>
      <c r="D92" s="553">
        <f>-'4- Rate Base'!I59</f>
        <v>0</v>
      </c>
      <c r="E92" s="37"/>
      <c r="F92" s="37" t="s">
        <v>93</v>
      </c>
      <c r="G92" s="460">
        <f>G93</f>
        <v>1</v>
      </c>
      <c r="H92" s="214"/>
      <c r="I92" s="52">
        <f>+G92*D92</f>
        <v>0</v>
      </c>
      <c r="J92" s="37"/>
      <c r="K92" s="461"/>
    </row>
    <row r="93" spans="1:11">
      <c r="A93" s="142">
        <f>+A91+1</f>
        <v>27</v>
      </c>
      <c r="B93" s="172" t="s">
        <v>103</v>
      </c>
      <c r="C93" s="210" t="s">
        <v>251</v>
      </c>
      <c r="D93" s="553">
        <f>'4- Rate Base'!E24</f>
        <v>26872336.810502402</v>
      </c>
      <c r="E93" s="206"/>
      <c r="F93" s="207" t="str">
        <f>+F94</f>
        <v>DA</v>
      </c>
      <c r="G93" s="208">
        <v>1</v>
      </c>
      <c r="H93" s="206"/>
      <c r="I93" s="42">
        <f>+G93*D93</f>
        <v>26872336.810502402</v>
      </c>
      <c r="K93" s="202"/>
    </row>
    <row r="94" spans="1:11">
      <c r="A94" s="142">
        <f t="shared" si="0"/>
        <v>28</v>
      </c>
      <c r="B94" s="209" t="s">
        <v>121</v>
      </c>
      <c r="C94" s="210" t="s">
        <v>415</v>
      </c>
      <c r="D94" s="553">
        <f>+'4- Rate Base'!C44</f>
        <v>0</v>
      </c>
      <c r="E94" s="207"/>
      <c r="F94" s="207" t="str">
        <f>+F95</f>
        <v>DA</v>
      </c>
      <c r="G94" s="208">
        <v>1</v>
      </c>
      <c r="H94" s="207"/>
      <c r="I94" s="42">
        <f>+G94*D94</f>
        <v>0</v>
      </c>
      <c r="K94" s="202"/>
    </row>
    <row r="95" spans="1:11" ht="13.5" thickBot="1">
      <c r="A95" s="142">
        <f t="shared" si="0"/>
        <v>29</v>
      </c>
      <c r="B95" s="209" t="s">
        <v>122</v>
      </c>
      <c r="C95" s="210" t="s">
        <v>378</v>
      </c>
      <c r="D95" s="225">
        <f>+'4- Rate Base'!D44</f>
        <v>0</v>
      </c>
      <c r="E95" s="206"/>
      <c r="F95" s="206" t="s">
        <v>93</v>
      </c>
      <c r="G95" s="211">
        <v>1</v>
      </c>
      <c r="H95" s="206"/>
      <c r="I95" s="200">
        <f>+G95*D95</f>
        <v>0</v>
      </c>
      <c r="K95" s="202"/>
    </row>
    <row r="96" spans="1:11">
      <c r="A96" s="142">
        <f t="shared" si="0"/>
        <v>30</v>
      </c>
      <c r="B96" s="31" t="s">
        <v>284</v>
      </c>
      <c r="C96" s="29" t="s">
        <v>283</v>
      </c>
      <c r="D96" s="18">
        <f>SUM(D87:D95)</f>
        <v>24876208.502391715</v>
      </c>
      <c r="E96" s="29"/>
      <c r="F96" s="29"/>
      <c r="G96" s="44"/>
      <c r="H96" s="44"/>
      <c r="I96" s="18">
        <f>SUM(I87:I95)</f>
        <v>24876208.502391715</v>
      </c>
      <c r="J96" s="29"/>
      <c r="K96" s="29"/>
    </row>
    <row r="97" spans="1:11">
      <c r="A97" s="142"/>
      <c r="B97" s="36"/>
      <c r="C97" s="29"/>
      <c r="D97" s="18"/>
      <c r="E97" s="29"/>
      <c r="F97" s="29"/>
      <c r="G97" s="202"/>
      <c r="H97" s="29"/>
      <c r="I97" s="18"/>
      <c r="J97" s="29"/>
      <c r="K97" s="202"/>
    </row>
    <row r="98" spans="1:11">
      <c r="A98" s="142">
        <f>+A96+1</f>
        <v>31</v>
      </c>
      <c r="B98" s="28" t="s">
        <v>577</v>
      </c>
      <c r="C98" s="212" t="s">
        <v>379</v>
      </c>
      <c r="D98" s="213">
        <f>+'4- Rate Base'!F24</f>
        <v>0</v>
      </c>
      <c r="E98" s="29"/>
      <c r="F98" s="29" t="s">
        <v>21</v>
      </c>
      <c r="G98" s="27">
        <f>+G72</f>
        <v>1</v>
      </c>
      <c r="H98" s="44"/>
      <c r="I98" s="18">
        <f>+G98*D98</f>
        <v>0</v>
      </c>
      <c r="J98" s="29"/>
      <c r="K98" s="29"/>
    </row>
    <row r="99" spans="1:11">
      <c r="A99" s="142"/>
      <c r="B99" s="31"/>
      <c r="C99" s="29"/>
      <c r="D99" s="18"/>
      <c r="E99" s="29"/>
      <c r="F99" s="29"/>
      <c r="G99" s="27"/>
      <c r="H99" s="44"/>
      <c r="I99" s="18"/>
      <c r="J99" s="29"/>
      <c r="K99" s="29"/>
    </row>
    <row r="100" spans="1:11">
      <c r="A100" s="142">
        <f>+A98+1</f>
        <v>32</v>
      </c>
      <c r="B100" s="31" t="s">
        <v>289</v>
      </c>
      <c r="C100" s="29" t="s">
        <v>129</v>
      </c>
      <c r="D100" s="18"/>
      <c r="E100" s="29"/>
      <c r="F100" s="29"/>
      <c r="G100" s="27"/>
      <c r="H100" s="44"/>
      <c r="I100" s="18"/>
      <c r="J100" s="29"/>
      <c r="K100" s="29"/>
    </row>
    <row r="101" spans="1:11">
      <c r="A101" s="142">
        <f t="shared" si="0"/>
        <v>33</v>
      </c>
      <c r="B101" s="31" t="s">
        <v>134</v>
      </c>
      <c r="C101" s="36" t="s">
        <v>380</v>
      </c>
      <c r="D101" s="213">
        <f>(D134-D131)/8</f>
        <v>1085549.6254565124</v>
      </c>
      <c r="E101" s="37"/>
      <c r="F101" s="37"/>
      <c r="G101" s="158"/>
      <c r="H101" s="214"/>
      <c r="I101" s="213">
        <f>(I134-I131)/8</f>
        <v>1085549.6254565124</v>
      </c>
      <c r="J101" s="148"/>
      <c r="K101" s="202"/>
    </row>
    <row r="102" spans="1:11">
      <c r="A102" s="142">
        <f t="shared" si="0"/>
        <v>34</v>
      </c>
      <c r="B102" s="31" t="s">
        <v>203</v>
      </c>
      <c r="C102" s="212" t="s">
        <v>418</v>
      </c>
      <c r="D102" s="213">
        <f>+'4- Rate Base'!G24</f>
        <v>0</v>
      </c>
      <c r="E102" s="29"/>
      <c r="F102" s="29" t="s">
        <v>21</v>
      </c>
      <c r="G102" s="27">
        <f>+G119</f>
        <v>1</v>
      </c>
      <c r="H102" s="44"/>
      <c r="I102" s="18">
        <f>+G102*D102</f>
        <v>0</v>
      </c>
      <c r="J102" s="29" t="s">
        <v>8</v>
      </c>
      <c r="K102" s="202"/>
    </row>
    <row r="103" spans="1:11" ht="13.5" thickBot="1">
      <c r="A103" s="142">
        <f t="shared" si="0"/>
        <v>35</v>
      </c>
      <c r="B103" s="31" t="s">
        <v>109</v>
      </c>
      <c r="C103" s="44" t="s">
        <v>381</v>
      </c>
      <c r="D103" s="225">
        <f>+'4- Rate Base'!H24</f>
        <v>0</v>
      </c>
      <c r="E103" s="29"/>
      <c r="F103" s="29" t="s">
        <v>35</v>
      </c>
      <c r="G103" s="27">
        <f>+G68</f>
        <v>1</v>
      </c>
      <c r="H103" s="44"/>
      <c r="I103" s="200">
        <f>+G103*D103</f>
        <v>0</v>
      </c>
      <c r="J103" s="29"/>
      <c r="K103" s="202"/>
    </row>
    <row r="104" spans="1:11">
      <c r="A104" s="142">
        <f t="shared" si="0"/>
        <v>36</v>
      </c>
      <c r="B104" s="31" t="s">
        <v>288</v>
      </c>
      <c r="C104" s="148" t="s">
        <v>557</v>
      </c>
      <c r="D104" s="18">
        <f>SUM(D101:D103)</f>
        <v>1085549.6254565124</v>
      </c>
      <c r="E104" s="148"/>
      <c r="F104" s="148"/>
      <c r="G104" s="215"/>
      <c r="H104" s="215"/>
      <c r="I104" s="18">
        <f>I101+I102+I103</f>
        <v>1085549.6254565124</v>
      </c>
      <c r="J104" s="148"/>
      <c r="K104" s="148"/>
    </row>
    <row r="105" spans="1:11" ht="13.5" thickBot="1">
      <c r="A105" s="142"/>
      <c r="B105" s="36"/>
      <c r="C105" s="29"/>
      <c r="D105" s="200"/>
      <c r="E105" s="29"/>
      <c r="F105" s="29"/>
      <c r="G105" s="29"/>
      <c r="H105" s="29"/>
      <c r="I105" s="200"/>
      <c r="J105" s="29"/>
      <c r="K105" s="29"/>
    </row>
    <row r="106" spans="1:11" ht="13.5" thickBot="1">
      <c r="A106" s="142">
        <f>+A104+1</f>
        <v>37</v>
      </c>
      <c r="B106" s="31" t="s">
        <v>291</v>
      </c>
      <c r="C106" s="29" t="s">
        <v>290</v>
      </c>
      <c r="D106" s="216">
        <f>+D104+D98+D96+D84</f>
        <v>99062874.535540536</v>
      </c>
      <c r="E106" s="44"/>
      <c r="F106" s="44"/>
      <c r="G106" s="217"/>
      <c r="H106" s="44"/>
      <c r="I106" s="216">
        <f>+I104+I98+I96+I84</f>
        <v>99062874.535540536</v>
      </c>
      <c r="J106" s="29"/>
      <c r="K106" s="202"/>
    </row>
    <row r="107" spans="1:11" ht="13.5" thickTop="1">
      <c r="A107" s="142"/>
      <c r="B107" s="31"/>
      <c r="C107" s="29"/>
      <c r="D107" s="218"/>
      <c r="E107" s="44"/>
      <c r="F107" s="44"/>
      <c r="G107" s="217"/>
      <c r="H107" s="44"/>
      <c r="I107" s="218"/>
      <c r="J107" s="29"/>
      <c r="K107" s="202"/>
    </row>
    <row r="108" spans="1:11">
      <c r="A108" s="142"/>
      <c r="B108" s="31"/>
      <c r="C108" s="29"/>
      <c r="D108" s="218"/>
      <c r="E108" s="44"/>
      <c r="F108" s="44"/>
      <c r="G108" s="217"/>
      <c r="H108" s="44"/>
      <c r="I108" s="218"/>
      <c r="J108" s="29"/>
      <c r="K108" s="202"/>
    </row>
    <row r="109" spans="1:11">
      <c r="A109" s="142"/>
      <c r="B109" s="31"/>
      <c r="C109" s="29"/>
      <c r="D109" s="29"/>
      <c r="E109" s="29"/>
      <c r="F109" s="29"/>
      <c r="G109" s="29"/>
      <c r="H109" s="29"/>
      <c r="I109" s="29"/>
      <c r="J109" s="29"/>
      <c r="K109" s="219" t="s">
        <v>135</v>
      </c>
    </row>
    <row r="110" spans="1:11">
      <c r="A110" s="142"/>
      <c r="B110" s="31"/>
      <c r="C110" s="29"/>
      <c r="D110" s="29"/>
      <c r="E110" s="29"/>
      <c r="F110" s="29"/>
      <c r="G110" s="29"/>
      <c r="H110" s="29"/>
      <c r="I110" s="29"/>
      <c r="J110" s="29"/>
      <c r="K110" s="219"/>
    </row>
    <row r="111" spans="1:11">
      <c r="A111" s="142"/>
      <c r="B111" s="31" t="s">
        <v>7</v>
      </c>
      <c r="C111" s="29"/>
      <c r="D111" s="32" t="s">
        <v>89</v>
      </c>
      <c r="E111" s="29"/>
      <c r="F111" s="29"/>
      <c r="G111" s="29"/>
      <c r="H111" s="29"/>
      <c r="I111" s="140"/>
      <c r="J111" s="29"/>
      <c r="K111" s="219" t="str">
        <f>K3</f>
        <v>For  the 12 months ended 12/31/2025</v>
      </c>
    </row>
    <row r="112" spans="1:11">
      <c r="A112" s="142"/>
      <c r="B112" s="31"/>
      <c r="C112" s="29"/>
      <c r="D112" s="32" t="s">
        <v>118</v>
      </c>
      <c r="E112" s="29"/>
      <c r="F112" s="29"/>
      <c r="G112" s="29"/>
      <c r="H112" s="29"/>
      <c r="I112" s="29"/>
      <c r="J112" s="29"/>
      <c r="K112" s="29"/>
    </row>
    <row r="113" spans="1:11">
      <c r="A113" s="142"/>
      <c r="B113" s="36"/>
      <c r="C113" s="29"/>
      <c r="D113" s="648" t="str">
        <f>D5</f>
        <v>NextEra Energy Transmission MidAtlantic, Inc.</v>
      </c>
      <c r="E113" s="29"/>
      <c r="F113" s="29"/>
      <c r="G113" s="29"/>
      <c r="H113" s="29"/>
      <c r="I113" s="29"/>
      <c r="J113" s="29"/>
      <c r="K113" s="29"/>
    </row>
    <row r="114" spans="1:11">
      <c r="A114" s="768"/>
      <c r="B114" s="768"/>
      <c r="C114" s="768"/>
      <c r="D114" s="768"/>
      <c r="E114" s="768"/>
      <c r="F114" s="768"/>
      <c r="G114" s="768"/>
      <c r="H114" s="768"/>
      <c r="I114" s="768"/>
      <c r="J114" s="768"/>
      <c r="K114" s="768"/>
    </row>
    <row r="115" spans="1:11">
      <c r="A115" s="142"/>
      <c r="B115" s="152" t="s">
        <v>9</v>
      </c>
      <c r="C115" s="152" t="s">
        <v>10</v>
      </c>
      <c r="D115" s="152" t="s">
        <v>11</v>
      </c>
      <c r="E115" s="29" t="s">
        <v>8</v>
      </c>
      <c r="F115" s="29"/>
      <c r="G115" s="151" t="s">
        <v>12</v>
      </c>
      <c r="H115" s="29"/>
      <c r="I115" s="151" t="s">
        <v>13</v>
      </c>
      <c r="J115" s="29"/>
      <c r="K115" s="29"/>
    </row>
    <row r="116" spans="1:11">
      <c r="A116" s="142" t="s">
        <v>14</v>
      </c>
      <c r="B116" s="31"/>
      <c r="C116" s="192"/>
      <c r="D116" s="29"/>
      <c r="E116" s="29"/>
      <c r="F116" s="29"/>
      <c r="G116" s="142"/>
      <c r="H116" s="29"/>
      <c r="I116" s="193" t="s">
        <v>23</v>
      </c>
      <c r="J116" s="29"/>
      <c r="K116" s="193"/>
    </row>
    <row r="117" spans="1:11" ht="13.5" thickBot="1">
      <c r="A117" s="33" t="s">
        <v>16</v>
      </c>
      <c r="B117" s="31"/>
      <c r="C117" s="194" t="s">
        <v>250</v>
      </c>
      <c r="D117" s="193" t="s">
        <v>25</v>
      </c>
      <c r="E117" s="195"/>
      <c r="F117" s="193" t="s">
        <v>26</v>
      </c>
      <c r="G117" s="36"/>
      <c r="H117" s="195"/>
      <c r="I117" s="142" t="s">
        <v>27</v>
      </c>
      <c r="J117" s="29"/>
      <c r="K117" s="193"/>
    </row>
    <row r="118" spans="1:11">
      <c r="A118" s="142"/>
      <c r="B118" s="31" t="s">
        <v>6</v>
      </c>
      <c r="C118" s="29"/>
      <c r="D118" s="29"/>
      <c r="E118" s="29"/>
      <c r="F118" s="29"/>
      <c r="G118" s="29"/>
      <c r="H118" s="29"/>
      <c r="I118" s="29"/>
      <c r="J118" s="29"/>
      <c r="K118" s="29"/>
    </row>
    <row r="119" spans="1:11">
      <c r="A119" s="142">
        <v>1</v>
      </c>
      <c r="B119" s="31" t="s">
        <v>36</v>
      </c>
      <c r="C119" s="29" t="s">
        <v>384</v>
      </c>
      <c r="D119" s="213">
        <f>'5-P3 Support'!C24</f>
        <v>5077012.54</v>
      </c>
      <c r="E119" s="29"/>
      <c r="F119" s="29" t="s">
        <v>21</v>
      </c>
      <c r="G119" s="27">
        <f>+I191</f>
        <v>1</v>
      </c>
      <c r="H119" s="44"/>
      <c r="I119" s="18">
        <f t="shared" ref="I119:I129" si="1">+G119*D119</f>
        <v>5077012.54</v>
      </c>
      <c r="J119" s="148"/>
      <c r="K119" s="29"/>
    </row>
    <row r="120" spans="1:11">
      <c r="A120" s="166">
        <f>+A119+1</f>
        <v>2</v>
      </c>
      <c r="B120" s="220" t="s">
        <v>114</v>
      </c>
      <c r="C120" s="29" t="s">
        <v>385</v>
      </c>
      <c r="D120" s="213">
        <f>'5-P3 Support'!D24</f>
        <v>0</v>
      </c>
      <c r="E120" s="210"/>
      <c r="F120" s="210" t="str">
        <f>+F119</f>
        <v>TP</v>
      </c>
      <c r="G120" s="158">
        <f>+G119</f>
        <v>1</v>
      </c>
      <c r="H120" s="210"/>
      <c r="I120" s="213">
        <f>+G120*D120</f>
        <v>0</v>
      </c>
      <c r="K120" s="29"/>
    </row>
    <row r="121" spans="1:11">
      <c r="A121" s="166">
        <f t="shared" ref="A121:A167" si="2">+A120+1</f>
        <v>3</v>
      </c>
      <c r="B121" s="40" t="s">
        <v>37</v>
      </c>
      <c r="C121" s="29" t="s">
        <v>386</v>
      </c>
      <c r="D121" s="213">
        <f>'5-P3 Support'!E24</f>
        <v>0</v>
      </c>
      <c r="E121" s="29"/>
      <c r="F121" s="29" t="str">
        <f>+F120</f>
        <v>TP</v>
      </c>
      <c r="G121" s="27">
        <f>+G120</f>
        <v>1</v>
      </c>
      <c r="H121" s="44"/>
      <c r="I121" s="18">
        <f t="shared" si="1"/>
        <v>0</v>
      </c>
      <c r="J121" s="148"/>
      <c r="K121" s="29"/>
    </row>
    <row r="122" spans="1:11">
      <c r="A122" s="166">
        <f t="shared" si="2"/>
        <v>4</v>
      </c>
      <c r="B122" s="31" t="s">
        <v>38</v>
      </c>
      <c r="C122" s="29" t="s">
        <v>387</v>
      </c>
      <c r="D122" s="213">
        <f>'5-P3 Support'!F24</f>
        <v>3607384.4636521004</v>
      </c>
      <c r="E122" s="29"/>
      <c r="F122" s="29" t="s">
        <v>30</v>
      </c>
      <c r="G122" s="27">
        <f>+G74</f>
        <v>1</v>
      </c>
      <c r="H122" s="44"/>
      <c r="I122" s="18">
        <f t="shared" si="1"/>
        <v>3607384.4636521004</v>
      </c>
      <c r="J122" s="29"/>
      <c r="K122" s="29" t="s">
        <v>8</v>
      </c>
    </row>
    <row r="123" spans="1:11">
      <c r="A123" s="166">
        <f t="shared" si="2"/>
        <v>5</v>
      </c>
      <c r="B123" s="31" t="s">
        <v>136</v>
      </c>
      <c r="C123" s="29" t="s">
        <v>349</v>
      </c>
      <c r="D123" s="213">
        <f>'5-P3 Support'!G24</f>
        <v>0</v>
      </c>
      <c r="E123" s="29"/>
      <c r="F123" s="29" t="s">
        <v>30</v>
      </c>
      <c r="G123" s="27">
        <f>+G122</f>
        <v>1</v>
      </c>
      <c r="H123" s="44"/>
      <c r="I123" s="18">
        <f t="shared" si="1"/>
        <v>0</v>
      </c>
      <c r="J123" s="29"/>
      <c r="K123" s="29"/>
    </row>
    <row r="124" spans="1:11">
      <c r="A124" s="166">
        <f t="shared" si="2"/>
        <v>6</v>
      </c>
      <c r="B124" s="40" t="s">
        <v>272</v>
      </c>
      <c r="C124" s="37" t="s">
        <v>382</v>
      </c>
      <c r="D124" s="213">
        <f>'5-P3 Support'!H24</f>
        <v>0</v>
      </c>
      <c r="E124" s="29"/>
      <c r="F124" s="29" t="s">
        <v>30</v>
      </c>
      <c r="G124" s="27">
        <f>+G123</f>
        <v>1</v>
      </c>
      <c r="H124" s="44"/>
      <c r="I124" s="18">
        <f t="shared" si="1"/>
        <v>0</v>
      </c>
      <c r="J124" s="29"/>
      <c r="K124" s="29"/>
    </row>
    <row r="125" spans="1:11" s="14" customFormat="1">
      <c r="A125" s="166" t="s">
        <v>258</v>
      </c>
      <c r="B125" s="40" t="s">
        <v>259</v>
      </c>
      <c r="C125" s="37" t="s">
        <v>493</v>
      </c>
      <c r="D125" s="228">
        <f>+'7 - PBOP'!E16</f>
        <v>0</v>
      </c>
      <c r="E125" s="124"/>
      <c r="F125" s="29" t="s">
        <v>30</v>
      </c>
      <c r="G125" s="27">
        <f>+G124</f>
        <v>1</v>
      </c>
      <c r="H125" s="44"/>
      <c r="I125" s="18">
        <f>+G125*D125</f>
        <v>0</v>
      </c>
      <c r="J125" s="124"/>
      <c r="K125" s="124"/>
    </row>
    <row r="126" spans="1:11">
      <c r="A126" s="166">
        <f>+A124+1</f>
        <v>7</v>
      </c>
      <c r="B126" s="40" t="s">
        <v>271</v>
      </c>
      <c r="C126" s="37" t="s">
        <v>472</v>
      </c>
      <c r="D126" s="213">
        <f>'5-P3 Support'!I24</f>
        <v>0</v>
      </c>
      <c r="E126" s="29"/>
      <c r="F126" s="221" t="s">
        <v>21</v>
      </c>
      <c r="G126" s="158">
        <f>+G119</f>
        <v>1</v>
      </c>
      <c r="H126" s="44"/>
      <c r="I126" s="18">
        <f t="shared" si="1"/>
        <v>0</v>
      </c>
      <c r="J126" s="29"/>
      <c r="K126" s="29"/>
    </row>
    <row r="127" spans="1:11" s="14" customFormat="1">
      <c r="A127" s="166" t="s">
        <v>260</v>
      </c>
      <c r="B127" s="40" t="s">
        <v>261</v>
      </c>
      <c r="C127" s="37" t="s">
        <v>494</v>
      </c>
      <c r="D127" s="228">
        <f>+'7 - PBOP'!E13</f>
        <v>0</v>
      </c>
      <c r="E127" s="124"/>
      <c r="F127" s="29" t="s">
        <v>30</v>
      </c>
      <c r="G127" s="27">
        <f>+G125</f>
        <v>1</v>
      </c>
      <c r="H127" s="44"/>
      <c r="I127" s="18">
        <f>+G127*D127</f>
        <v>0</v>
      </c>
      <c r="J127" s="124"/>
      <c r="K127" s="124"/>
    </row>
    <row r="128" spans="1:11">
      <c r="A128" s="166">
        <f>+A126+1</f>
        <v>8</v>
      </c>
      <c r="B128" s="31" t="s">
        <v>369</v>
      </c>
      <c r="C128" s="29" t="s">
        <v>131</v>
      </c>
      <c r="D128" s="583">
        <v>0</v>
      </c>
      <c r="E128" s="29"/>
      <c r="F128" s="29" t="s">
        <v>132</v>
      </c>
      <c r="G128" s="27">
        <f>+G75</f>
        <v>1</v>
      </c>
      <c r="H128" s="44"/>
      <c r="I128" s="18">
        <f t="shared" si="1"/>
        <v>0</v>
      </c>
      <c r="J128" s="29"/>
      <c r="K128" s="29"/>
    </row>
    <row r="129" spans="1:11">
      <c r="A129" s="166">
        <f t="shared" si="2"/>
        <v>9</v>
      </c>
      <c r="B129" s="31" t="s">
        <v>39</v>
      </c>
      <c r="C129" s="29" t="s">
        <v>473</v>
      </c>
      <c r="D129" s="553">
        <f>'5-P3 Support'!J24</f>
        <v>0</v>
      </c>
      <c r="E129" s="29"/>
      <c r="F129" s="29" t="str">
        <f>+F131</f>
        <v>DA</v>
      </c>
      <c r="G129" s="222">
        <v>1</v>
      </c>
      <c r="H129" s="44"/>
      <c r="I129" s="42">
        <f t="shared" si="1"/>
        <v>0</v>
      </c>
      <c r="J129" s="29"/>
      <c r="K129" s="29"/>
    </row>
    <row r="130" spans="1:11">
      <c r="A130" s="166">
        <f t="shared" si="2"/>
        <v>10</v>
      </c>
      <c r="B130" s="220" t="s">
        <v>115</v>
      </c>
      <c r="C130" s="210"/>
      <c r="D130" s="52"/>
      <c r="E130" s="210"/>
      <c r="F130" s="210"/>
      <c r="G130" s="223"/>
      <c r="H130" s="210"/>
      <c r="I130" s="52"/>
      <c r="K130" s="29"/>
    </row>
    <row r="131" spans="1:11">
      <c r="A131" s="166">
        <f t="shared" si="2"/>
        <v>11</v>
      </c>
      <c r="B131" s="220" t="s">
        <v>117</v>
      </c>
      <c r="C131" s="210" t="s">
        <v>474</v>
      </c>
      <c r="D131" s="553">
        <f>'5-P3 Support'!K24</f>
        <v>0</v>
      </c>
      <c r="E131" s="207"/>
      <c r="F131" s="207" t="s">
        <v>93</v>
      </c>
      <c r="G131" s="224">
        <v>1</v>
      </c>
      <c r="H131" s="207"/>
      <c r="I131" s="52">
        <f>+G131*D131</f>
        <v>0</v>
      </c>
      <c r="K131" s="29"/>
    </row>
    <row r="132" spans="1:11">
      <c r="A132" s="166">
        <f t="shared" si="2"/>
        <v>12</v>
      </c>
      <c r="B132" s="220" t="s">
        <v>495</v>
      </c>
      <c r="C132" s="29" t="s">
        <v>475</v>
      </c>
      <c r="D132" s="553">
        <f>'5-P3 Support'!L24</f>
        <v>0</v>
      </c>
      <c r="E132" s="207"/>
      <c r="F132" s="207" t="s">
        <v>21</v>
      </c>
      <c r="G132" s="224">
        <f>+G119</f>
        <v>1</v>
      </c>
      <c r="H132" s="207"/>
      <c r="I132" s="52">
        <f>+G132*D132</f>
        <v>0</v>
      </c>
      <c r="K132" s="29"/>
    </row>
    <row r="133" spans="1:11" ht="13.5" thickBot="1">
      <c r="A133" s="166">
        <f t="shared" si="2"/>
        <v>13</v>
      </c>
      <c r="B133" s="220" t="s">
        <v>116</v>
      </c>
      <c r="C133" s="210" t="s">
        <v>578</v>
      </c>
      <c r="D133" s="225">
        <f>+D131+D132</f>
        <v>0</v>
      </c>
      <c r="E133" s="207"/>
      <c r="F133" s="207"/>
      <c r="G133" s="224"/>
      <c r="H133" s="207"/>
      <c r="I133" s="225"/>
      <c r="K133" s="29"/>
    </row>
    <row r="134" spans="1:11">
      <c r="A134" s="166">
        <f t="shared" si="2"/>
        <v>14</v>
      </c>
      <c r="B134" s="226" t="s">
        <v>292</v>
      </c>
      <c r="C134" s="125" t="s">
        <v>383</v>
      </c>
      <c r="D134" s="18">
        <f>+D119-D121-D120+D122-D123-D124-D125+D126+D127+D128+D129+D133</f>
        <v>8684397.0036520995</v>
      </c>
      <c r="E134" s="18"/>
      <c r="F134" s="18"/>
      <c r="G134" s="18"/>
      <c r="H134" s="18"/>
      <c r="I134" s="18">
        <f>+I119-I121-I120+I122-I123-I124-I125+I126+I127+I128+I129+I133</f>
        <v>8684397.0036520995</v>
      </c>
      <c r="J134" s="29"/>
      <c r="K134" s="29"/>
    </row>
    <row r="135" spans="1:11">
      <c r="A135" s="166"/>
      <c r="B135" s="36"/>
      <c r="C135" s="29"/>
      <c r="D135" s="18"/>
      <c r="E135" s="18"/>
      <c r="F135" s="18"/>
      <c r="G135" s="18"/>
      <c r="H135" s="18"/>
      <c r="I135" s="18"/>
      <c r="J135" s="29"/>
      <c r="K135" s="29"/>
    </row>
    <row r="136" spans="1:11">
      <c r="A136" s="166">
        <f>+A134+1</f>
        <v>15</v>
      </c>
      <c r="B136" s="31" t="s">
        <v>477</v>
      </c>
      <c r="C136" s="29"/>
      <c r="D136" s="18"/>
      <c r="E136" s="18"/>
      <c r="F136" s="18"/>
      <c r="G136" s="18"/>
      <c r="H136" s="18"/>
      <c r="I136" s="18"/>
      <c r="J136" s="29"/>
      <c r="K136" s="29"/>
    </row>
    <row r="137" spans="1:11">
      <c r="A137" s="166">
        <f t="shared" si="2"/>
        <v>16</v>
      </c>
      <c r="B137" s="31" t="s">
        <v>36</v>
      </c>
      <c r="C137" s="212" t="s">
        <v>579</v>
      </c>
      <c r="D137" s="213">
        <f>'5-P3 Support'!M24</f>
        <v>1927508.56</v>
      </c>
      <c r="E137" s="18"/>
      <c r="F137" s="18" t="s">
        <v>21</v>
      </c>
      <c r="G137" s="18">
        <f>+G98</f>
        <v>1</v>
      </c>
      <c r="H137" s="18"/>
      <c r="I137" s="18">
        <f>+G137*D137</f>
        <v>1927508.56</v>
      </c>
      <c r="J137" s="29"/>
      <c r="K137" s="202"/>
    </row>
    <row r="138" spans="1:11">
      <c r="A138" s="166">
        <f t="shared" si="2"/>
        <v>17</v>
      </c>
      <c r="B138" s="227" t="s">
        <v>104</v>
      </c>
      <c r="C138" s="212" t="s">
        <v>581</v>
      </c>
      <c r="D138" s="213">
        <f>'5-P3 Support'!C45</f>
        <v>0</v>
      </c>
      <c r="E138" s="18"/>
      <c r="F138" s="18" t="s">
        <v>30</v>
      </c>
      <c r="G138" s="18">
        <f>+G122</f>
        <v>1</v>
      </c>
      <c r="H138" s="18"/>
      <c r="I138" s="18">
        <f>+G138*D138</f>
        <v>0</v>
      </c>
      <c r="J138" s="29"/>
      <c r="K138" s="202"/>
    </row>
    <row r="139" spans="1:11">
      <c r="A139" s="166">
        <f t="shared" si="2"/>
        <v>18</v>
      </c>
      <c r="B139" s="31" t="s">
        <v>369</v>
      </c>
      <c r="C139" s="212" t="s">
        <v>580</v>
      </c>
      <c r="D139" s="204">
        <v>0</v>
      </c>
      <c r="E139" s="42"/>
      <c r="F139" s="42" t="s">
        <v>132</v>
      </c>
      <c r="G139" s="42">
        <f>+G128</f>
        <v>1</v>
      </c>
      <c r="H139" s="42"/>
      <c r="I139" s="42">
        <f>+G139*D139</f>
        <v>0</v>
      </c>
      <c r="J139" s="29"/>
      <c r="K139" s="202"/>
    </row>
    <row r="140" spans="1:11" ht="13.5" thickBot="1">
      <c r="A140" s="166">
        <f t="shared" si="2"/>
        <v>19</v>
      </c>
      <c r="B140" s="220" t="s">
        <v>110</v>
      </c>
      <c r="C140" s="37" t="s">
        <v>388</v>
      </c>
      <c r="D140" s="225">
        <f>'5-P3 Support'!D45</f>
        <v>0</v>
      </c>
      <c r="E140" s="18"/>
      <c r="F140" s="18" t="s">
        <v>93</v>
      </c>
      <c r="G140" s="222">
        <v>1</v>
      </c>
      <c r="H140" s="18"/>
      <c r="I140" s="200">
        <f>+G140*D140</f>
        <v>0</v>
      </c>
      <c r="J140" s="29"/>
      <c r="K140" s="202"/>
    </row>
    <row r="141" spans="1:11">
      <c r="A141" s="166">
        <f t="shared" si="2"/>
        <v>20</v>
      </c>
      <c r="B141" s="31" t="s">
        <v>274</v>
      </c>
      <c r="C141" s="29" t="s">
        <v>273</v>
      </c>
      <c r="D141" s="18">
        <f>SUM(D137:D140)</f>
        <v>1927508.56</v>
      </c>
      <c r="E141" s="18"/>
      <c r="F141" s="18"/>
      <c r="G141" s="18"/>
      <c r="H141" s="18"/>
      <c r="I141" s="18">
        <f>SUM(I137:I140)</f>
        <v>1927508.56</v>
      </c>
      <c r="J141" s="29"/>
      <c r="K141" s="29"/>
    </row>
    <row r="142" spans="1:11">
      <c r="A142" s="166"/>
      <c r="B142" s="31"/>
      <c r="C142" s="29"/>
      <c r="D142" s="18"/>
      <c r="E142" s="18"/>
      <c r="F142" s="18"/>
      <c r="G142" s="18"/>
      <c r="H142" s="18"/>
      <c r="I142" s="18"/>
      <c r="J142" s="29"/>
      <c r="K142" s="29"/>
    </row>
    <row r="143" spans="1:11">
      <c r="A143" s="166">
        <f>+A141+1</f>
        <v>21</v>
      </c>
      <c r="B143" s="31" t="s">
        <v>275</v>
      </c>
      <c r="C143" s="34" t="s">
        <v>198</v>
      </c>
      <c r="D143" s="18"/>
      <c r="E143" s="18"/>
      <c r="F143" s="18"/>
      <c r="G143" s="18"/>
      <c r="H143" s="18"/>
      <c r="I143" s="18"/>
      <c r="J143" s="29"/>
      <c r="K143" s="29"/>
    </row>
    <row r="144" spans="1:11">
      <c r="A144" s="166">
        <f t="shared" si="2"/>
        <v>22</v>
      </c>
      <c r="B144" s="31" t="s">
        <v>40</v>
      </c>
      <c r="C144" s="36"/>
      <c r="D144" s="18"/>
      <c r="E144" s="18"/>
      <c r="F144" s="18"/>
      <c r="G144" s="18"/>
      <c r="H144" s="18"/>
      <c r="I144" s="18"/>
      <c r="J144" s="29"/>
      <c r="K144" s="202"/>
    </row>
    <row r="145" spans="1:12">
      <c r="A145" s="166">
        <f t="shared" si="2"/>
        <v>23</v>
      </c>
      <c r="B145" s="31" t="s">
        <v>41</v>
      </c>
      <c r="C145" s="29" t="s">
        <v>389</v>
      </c>
      <c r="D145" s="213">
        <f>'5-P3 Support'!E45</f>
        <v>0</v>
      </c>
      <c r="E145" s="18"/>
      <c r="F145" s="18" t="s">
        <v>30</v>
      </c>
      <c r="G145" s="18">
        <f>+G138</f>
        <v>1</v>
      </c>
      <c r="H145" s="18"/>
      <c r="I145" s="18">
        <f>+G145*D145</f>
        <v>0</v>
      </c>
      <c r="J145" s="29"/>
      <c r="K145" s="202"/>
    </row>
    <row r="146" spans="1:12">
      <c r="A146" s="166">
        <f t="shared" si="2"/>
        <v>24</v>
      </c>
      <c r="B146" s="31" t="s">
        <v>42</v>
      </c>
      <c r="C146" s="29" t="s">
        <v>390</v>
      </c>
      <c r="D146" s="213">
        <f>'5-P3 Support'!F45</f>
        <v>0</v>
      </c>
      <c r="E146" s="18"/>
      <c r="F146" s="18" t="s">
        <v>30</v>
      </c>
      <c r="G146" s="18">
        <f>+G145</f>
        <v>1</v>
      </c>
      <c r="H146" s="18"/>
      <c r="I146" s="18">
        <f>+G146*D146</f>
        <v>0</v>
      </c>
      <c r="J146" s="29"/>
      <c r="K146" s="202"/>
    </row>
    <row r="147" spans="1:12">
      <c r="A147" s="166">
        <f t="shared" si="2"/>
        <v>25</v>
      </c>
      <c r="B147" s="31" t="s">
        <v>43</v>
      </c>
      <c r="C147" s="29" t="s">
        <v>8</v>
      </c>
      <c r="D147" s="18"/>
      <c r="E147" s="18"/>
      <c r="F147" s="18"/>
      <c r="G147" s="18"/>
      <c r="H147" s="18"/>
      <c r="I147" s="18"/>
      <c r="J147" s="29"/>
      <c r="K147" s="202"/>
    </row>
    <row r="148" spans="1:12">
      <c r="A148" s="166">
        <f t="shared" si="2"/>
        <v>26</v>
      </c>
      <c r="B148" s="31" t="s">
        <v>44</v>
      </c>
      <c r="C148" s="29" t="s">
        <v>391</v>
      </c>
      <c r="D148" s="213">
        <f>'5-P3 Support'!G45</f>
        <v>1783302.9600000002</v>
      </c>
      <c r="E148" s="18"/>
      <c r="F148" s="18" t="s">
        <v>35</v>
      </c>
      <c r="G148" s="18">
        <f>+G68</f>
        <v>1</v>
      </c>
      <c r="H148" s="18"/>
      <c r="I148" s="18">
        <f>+G148*D148</f>
        <v>1783302.9600000002</v>
      </c>
      <c r="J148" s="29"/>
      <c r="K148" s="202"/>
    </row>
    <row r="149" spans="1:12">
      <c r="A149" s="166">
        <f t="shared" si="2"/>
        <v>27</v>
      </c>
      <c r="B149" s="31" t="s">
        <v>45</v>
      </c>
      <c r="C149" s="29" t="s">
        <v>392</v>
      </c>
      <c r="D149" s="213">
        <f>'5-P3 Support'!H45</f>
        <v>0</v>
      </c>
      <c r="E149" s="18"/>
      <c r="F149" s="213" t="s">
        <v>28</v>
      </c>
      <c r="G149" s="228" t="s">
        <v>133</v>
      </c>
      <c r="H149" s="18"/>
      <c r="I149" s="18">
        <v>0</v>
      </c>
      <c r="J149" s="29"/>
      <c r="K149" s="202"/>
    </row>
    <row r="150" spans="1:12">
      <c r="A150" s="166">
        <f t="shared" si="2"/>
        <v>28</v>
      </c>
      <c r="B150" s="31" t="s">
        <v>46</v>
      </c>
      <c r="C150" s="29" t="s">
        <v>393</v>
      </c>
      <c r="D150" s="213">
        <f>'5-P3 Support'!I45</f>
        <v>0</v>
      </c>
      <c r="E150" s="18"/>
      <c r="F150" s="18" t="s">
        <v>35</v>
      </c>
      <c r="G150" s="18">
        <f>+G148</f>
        <v>1</v>
      </c>
      <c r="H150" s="18"/>
      <c r="I150" s="18">
        <f>+G150*D150</f>
        <v>0</v>
      </c>
      <c r="J150" s="29"/>
      <c r="K150" s="202"/>
    </row>
    <row r="151" spans="1:12" ht="13.5" thickBot="1">
      <c r="A151" s="166">
        <f t="shared" si="2"/>
        <v>29</v>
      </c>
      <c r="B151" s="31" t="s">
        <v>47</v>
      </c>
      <c r="C151" s="29" t="s">
        <v>658</v>
      </c>
      <c r="D151" s="225">
        <f>'5-P3 Support'!J45</f>
        <v>0</v>
      </c>
      <c r="E151" s="18"/>
      <c r="F151" s="18" t="s">
        <v>35</v>
      </c>
      <c r="G151" s="18">
        <f>+G148</f>
        <v>1</v>
      </c>
      <c r="H151" s="18"/>
      <c r="I151" s="200">
        <f>+G151*D151</f>
        <v>0</v>
      </c>
      <c r="J151" s="29"/>
      <c r="K151" s="202"/>
    </row>
    <row r="152" spans="1:12">
      <c r="A152" s="166">
        <f t="shared" si="2"/>
        <v>30</v>
      </c>
      <c r="B152" s="31" t="s">
        <v>277</v>
      </c>
      <c r="C152" s="29" t="s">
        <v>276</v>
      </c>
      <c r="D152" s="18">
        <f>SUM(D145:D151)</f>
        <v>1783302.9600000002</v>
      </c>
      <c r="E152" s="18"/>
      <c r="F152" s="18"/>
      <c r="G152" s="18"/>
      <c r="H152" s="18"/>
      <c r="I152" s="18">
        <f>SUM(I145:I151)</f>
        <v>1783302.9600000002</v>
      </c>
      <c r="J152" s="29"/>
      <c r="K152" s="29"/>
    </row>
    <row r="153" spans="1:12">
      <c r="A153" s="166"/>
      <c r="B153" s="31"/>
      <c r="C153" s="29"/>
      <c r="D153" s="29"/>
      <c r="E153" s="29"/>
      <c r="F153" s="29"/>
      <c r="G153" s="162"/>
      <c r="H153" s="29"/>
      <c r="I153" s="29"/>
      <c r="J153" s="29"/>
      <c r="L153" s="18"/>
    </row>
    <row r="154" spans="1:12">
      <c r="A154" s="166">
        <f>+A152+1</f>
        <v>31</v>
      </c>
      <c r="B154" s="31" t="s">
        <v>48</v>
      </c>
      <c r="C154" s="37" t="str">
        <f>"(Note "&amp;A$251&amp;")"</f>
        <v>(Note G)</v>
      </c>
      <c r="D154" s="29"/>
      <c r="E154" s="29"/>
      <c r="F154" s="36"/>
      <c r="G154" s="38"/>
      <c r="H154" s="29"/>
      <c r="I154" s="36"/>
      <c r="J154" s="29"/>
      <c r="L154" s="18"/>
    </row>
    <row r="155" spans="1:12">
      <c r="A155" s="166">
        <f t="shared" si="2"/>
        <v>32</v>
      </c>
      <c r="B155" s="39" t="s">
        <v>682</v>
      </c>
      <c r="C155" s="29" t="s">
        <v>317</v>
      </c>
      <c r="D155" s="675">
        <f>IF(D252&gt;0,1-(((1-D253)*(1-D252))/(1-D253*D252*D254)),0)</f>
        <v>0.24870999999999999</v>
      </c>
      <c r="E155" s="29"/>
      <c r="F155" s="36"/>
      <c r="G155" s="38"/>
      <c r="H155" s="29"/>
      <c r="I155" s="36"/>
      <c r="J155" s="29"/>
      <c r="L155" s="18"/>
    </row>
    <row r="156" spans="1:12">
      <c r="A156" s="166">
        <f t="shared" si="2"/>
        <v>33</v>
      </c>
      <c r="B156" s="36" t="s">
        <v>49</v>
      </c>
      <c r="C156" s="29" t="s">
        <v>318</v>
      </c>
      <c r="D156" s="675">
        <f>IF(I210&gt;0,(D155/(1-D155))*(1-I210/I213),0)</f>
        <v>0.23019510997718337</v>
      </c>
      <c r="E156" s="29"/>
      <c r="F156" s="36"/>
      <c r="G156" s="38"/>
      <c r="H156" s="29"/>
      <c r="I156" s="36"/>
      <c r="J156" s="29"/>
      <c r="K156" s="36"/>
    </row>
    <row r="157" spans="1:12">
      <c r="A157" s="166">
        <f t="shared" si="2"/>
        <v>34</v>
      </c>
      <c r="B157" s="40" t="s">
        <v>319</v>
      </c>
      <c r="C157" s="37" t="s">
        <v>320</v>
      </c>
      <c r="D157" s="29"/>
      <c r="E157" s="29"/>
      <c r="F157" s="36"/>
      <c r="G157" s="38"/>
      <c r="H157" s="29"/>
      <c r="I157" s="36"/>
      <c r="J157" s="29"/>
      <c r="K157" s="36"/>
    </row>
    <row r="158" spans="1:12">
      <c r="A158" s="166">
        <f t="shared" si="2"/>
        <v>35</v>
      </c>
      <c r="B158" s="40"/>
      <c r="D158" s="29"/>
      <c r="E158" s="29"/>
      <c r="F158" s="36"/>
      <c r="G158" s="38"/>
      <c r="H158" s="29"/>
      <c r="I158" s="36"/>
      <c r="J158" s="29"/>
      <c r="K158" s="36"/>
    </row>
    <row r="159" spans="1:12">
      <c r="A159" s="166">
        <f>+A158+1</f>
        <v>36</v>
      </c>
      <c r="B159" s="41" t="str">
        <f>"      1 / (1 - T)  =  (T from line "&amp;A155&amp;")"</f>
        <v xml:space="preserve">      1 / (1 - T)  =  (T from line 32)</v>
      </c>
      <c r="C159" s="37"/>
      <c r="D159" s="675">
        <f>1/(1-D155)</f>
        <v>1.3310439377603855</v>
      </c>
      <c r="E159" s="29"/>
      <c r="F159" s="36"/>
      <c r="G159" s="38"/>
      <c r="H159" s="29"/>
      <c r="I159" s="18"/>
      <c r="J159" s="29"/>
      <c r="K159" s="36"/>
    </row>
    <row r="160" spans="1:12">
      <c r="A160" s="166">
        <f t="shared" si="2"/>
        <v>37</v>
      </c>
      <c r="B160" s="40" t="s">
        <v>310</v>
      </c>
      <c r="C160" s="37" t="s">
        <v>395</v>
      </c>
      <c r="D160" s="213">
        <f>-'5-P3 Support'!K45</f>
        <v>0</v>
      </c>
      <c r="E160" s="29"/>
      <c r="F160" s="36"/>
      <c r="G160" s="38"/>
      <c r="H160" s="29"/>
      <c r="I160" s="18"/>
      <c r="J160" s="29"/>
      <c r="K160" s="36"/>
    </row>
    <row r="161" spans="1:11">
      <c r="A161" s="166">
        <f t="shared" si="2"/>
        <v>38</v>
      </c>
      <c r="B161" s="40" t="s">
        <v>311</v>
      </c>
      <c r="C161" s="37" t="s">
        <v>394</v>
      </c>
      <c r="D161" s="213">
        <f>-'5-P3 Support'!L45</f>
        <v>0</v>
      </c>
      <c r="E161" s="29"/>
      <c r="F161" s="36"/>
      <c r="G161" s="42"/>
      <c r="H161" s="29"/>
      <c r="I161" s="18"/>
      <c r="J161" s="29"/>
      <c r="K161" s="36"/>
    </row>
    <row r="162" spans="1:11">
      <c r="A162" s="166">
        <f t="shared" si="2"/>
        <v>39</v>
      </c>
      <c r="B162" s="40" t="s">
        <v>417</v>
      </c>
      <c r="C162" s="37" t="s">
        <v>426</v>
      </c>
      <c r="D162" s="213">
        <f>+'5-P3 Support'!M45</f>
        <v>13749.683639999997</v>
      </c>
      <c r="E162" s="29"/>
      <c r="F162" s="36"/>
      <c r="G162" s="38"/>
      <c r="H162" s="29"/>
      <c r="I162" s="18"/>
      <c r="J162" s="29"/>
      <c r="K162" s="36"/>
    </row>
    <row r="163" spans="1:11">
      <c r="A163" s="166">
        <f t="shared" si="2"/>
        <v>40</v>
      </c>
      <c r="B163" s="41" t="s">
        <v>312</v>
      </c>
      <c r="C163" s="43" t="s">
        <v>796</v>
      </c>
      <c r="D163" s="382">
        <f>+D156*D170</f>
        <v>2262797.3209754764</v>
      </c>
      <c r="E163" s="44"/>
      <c r="F163" s="44" t="s">
        <v>28</v>
      </c>
      <c r="G163" s="45"/>
      <c r="H163" s="44"/>
      <c r="I163" s="382">
        <f>+D156*I170</f>
        <v>2262797.3209754764</v>
      </c>
      <c r="J163" s="29"/>
      <c r="K163" s="160" t="s">
        <v>8</v>
      </c>
    </row>
    <row r="164" spans="1:11">
      <c r="A164" s="166">
        <f t="shared" si="2"/>
        <v>41</v>
      </c>
      <c r="B164" s="34" t="s">
        <v>313</v>
      </c>
      <c r="C164" s="43" t="s">
        <v>308</v>
      </c>
      <c r="D164" s="382">
        <f>+D$159*D160</f>
        <v>0</v>
      </c>
      <c r="E164" s="44"/>
      <c r="F164" s="46" t="s">
        <v>34</v>
      </c>
      <c r="G164" s="27">
        <f>G84</f>
        <v>1</v>
      </c>
      <c r="H164" s="44"/>
      <c r="I164" s="382">
        <f>+G164*D164</f>
        <v>0</v>
      </c>
      <c r="J164" s="29"/>
      <c r="K164" s="160"/>
    </row>
    <row r="165" spans="1:11">
      <c r="A165" s="166">
        <f t="shared" si="2"/>
        <v>42</v>
      </c>
      <c r="B165" s="34" t="s">
        <v>314</v>
      </c>
      <c r="C165" s="43" t="s">
        <v>306</v>
      </c>
      <c r="D165" s="382">
        <f>+D$159*D161</f>
        <v>0</v>
      </c>
      <c r="E165" s="44"/>
      <c r="F165" s="46" t="s">
        <v>34</v>
      </c>
      <c r="G165" s="27">
        <f>G164</f>
        <v>1</v>
      </c>
      <c r="H165" s="44"/>
      <c r="I165" s="382">
        <f>+G165*D165</f>
        <v>0</v>
      </c>
      <c r="J165" s="29"/>
      <c r="K165" s="160"/>
    </row>
    <row r="166" spans="1:11" ht="13.5" thickBot="1">
      <c r="A166" s="166">
        <f t="shared" si="2"/>
        <v>43</v>
      </c>
      <c r="B166" s="34" t="s">
        <v>137</v>
      </c>
      <c r="C166" s="43" t="s">
        <v>307</v>
      </c>
      <c r="D166" s="383">
        <f>+D$159*D162</f>
        <v>18301.433055145149</v>
      </c>
      <c r="E166" s="44"/>
      <c r="F166" s="46" t="s">
        <v>34</v>
      </c>
      <c r="G166" s="27">
        <f>G165</f>
        <v>1</v>
      </c>
      <c r="H166" s="44"/>
      <c r="I166" s="383">
        <f>+G166*D166</f>
        <v>18301.433055145149</v>
      </c>
      <c r="J166" s="29"/>
      <c r="K166" s="160"/>
    </row>
    <row r="167" spans="1:11">
      <c r="A167" s="166">
        <f t="shared" si="2"/>
        <v>44</v>
      </c>
      <c r="B167" s="48" t="s">
        <v>315</v>
      </c>
      <c r="C167" s="34" t="s">
        <v>309</v>
      </c>
      <c r="D167" s="228">
        <f>SUM(D163:D166)</f>
        <v>2281098.7540306216</v>
      </c>
      <c r="E167" s="44"/>
      <c r="F167" s="44" t="s">
        <v>8</v>
      </c>
      <c r="G167" s="45" t="s">
        <v>8</v>
      </c>
      <c r="H167" s="44"/>
      <c r="I167" s="228">
        <f>SUM(I163:I166)</f>
        <v>2281098.7540306216</v>
      </c>
      <c r="J167" s="29"/>
      <c r="K167" s="29"/>
    </row>
    <row r="168" spans="1:11">
      <c r="A168" s="166"/>
      <c r="B168" s="36"/>
      <c r="C168" s="229"/>
      <c r="D168" s="18"/>
      <c r="E168" s="29"/>
      <c r="F168" s="29"/>
      <c r="G168" s="162"/>
      <c r="H168" s="29"/>
      <c r="I168" s="18"/>
      <c r="J168" s="29"/>
      <c r="K168" s="29"/>
    </row>
    <row r="169" spans="1:11">
      <c r="A169" s="166">
        <f>+A167+1</f>
        <v>45</v>
      </c>
      <c r="B169" s="31" t="s">
        <v>51</v>
      </c>
      <c r="J169" s="29"/>
      <c r="K169" s="36"/>
    </row>
    <row r="170" spans="1:11">
      <c r="A170" s="166">
        <v>9</v>
      </c>
      <c r="B170" s="231" t="s">
        <v>432</v>
      </c>
      <c r="C170" s="39" t="s">
        <v>316</v>
      </c>
      <c r="D170" s="18">
        <f>+$I213*D106</f>
        <v>9829910.4668199159</v>
      </c>
      <c r="E170" s="44"/>
      <c r="F170" s="44" t="s">
        <v>28</v>
      </c>
      <c r="G170" s="230"/>
      <c r="H170" s="44"/>
      <c r="I170" s="18">
        <f>+$I213*I106</f>
        <v>9829910.4668199159</v>
      </c>
      <c r="K170" s="202"/>
    </row>
    <row r="171" spans="1:11">
      <c r="A171" s="166"/>
      <c r="B171" s="31"/>
      <c r="C171" s="36"/>
      <c r="D171" s="42"/>
      <c r="E171" s="44"/>
      <c r="F171" s="44"/>
      <c r="G171" s="230"/>
      <c r="H171" s="44"/>
      <c r="I171" s="42"/>
      <c r="J171" s="29"/>
      <c r="K171" s="202"/>
    </row>
    <row r="172" spans="1:11" ht="13.5" thickBot="1">
      <c r="A172" s="166">
        <f>A170+1</f>
        <v>10</v>
      </c>
      <c r="B172" s="31" t="s">
        <v>322</v>
      </c>
      <c r="C172" s="29" t="s">
        <v>321</v>
      </c>
      <c r="D172" s="232">
        <f>+D170+D167+D152+D141+D134</f>
        <v>24506217.744502641</v>
      </c>
      <c r="E172" s="44"/>
      <c r="F172" s="44"/>
      <c r="G172" s="218"/>
      <c r="H172" s="44"/>
      <c r="I172" s="232">
        <f>+I170+I167+I152+I141+I134</f>
        <v>24506217.744502641</v>
      </c>
      <c r="J172" s="148"/>
      <c r="K172" s="148"/>
    </row>
    <row r="173" spans="1:11" ht="13.5" thickTop="1">
      <c r="A173" s="166"/>
      <c r="B173" s="31"/>
      <c r="C173" s="742"/>
      <c r="D173" s="739"/>
      <c r="E173" s="44"/>
      <c r="F173" s="44"/>
      <c r="G173" s="218"/>
      <c r="H173" s="44"/>
      <c r="I173" s="42"/>
      <c r="J173" s="148"/>
      <c r="K173" s="148"/>
    </row>
    <row r="174" spans="1:11">
      <c r="A174" s="166"/>
      <c r="B174" s="233"/>
      <c r="C174" s="741"/>
      <c r="D174" s="740"/>
      <c r="E174" s="739"/>
      <c r="F174" s="234"/>
      <c r="G174" s="234"/>
      <c r="H174" s="234"/>
      <c r="I174" s="234"/>
      <c r="J174" s="148"/>
      <c r="K174" s="148"/>
    </row>
    <row r="175" spans="1:11">
      <c r="A175" s="142"/>
      <c r="B175" s="36"/>
      <c r="C175" s="36"/>
      <c r="D175" s="745"/>
      <c r="E175" s="740"/>
      <c r="F175" s="36"/>
      <c r="G175" s="36"/>
      <c r="H175" s="36"/>
      <c r="I175" s="36"/>
      <c r="J175" s="29"/>
      <c r="K175" s="219" t="s">
        <v>138</v>
      </c>
    </row>
    <row r="176" spans="1:11">
      <c r="A176" s="142"/>
      <c r="B176" s="36"/>
      <c r="C176" s="743"/>
      <c r="D176" s="744"/>
      <c r="E176" s="740"/>
      <c r="F176" s="36"/>
      <c r="G176" s="36"/>
      <c r="H176" s="36"/>
      <c r="I176" s="36"/>
      <c r="J176" s="29"/>
      <c r="K176" s="29"/>
    </row>
    <row r="177" spans="1:14">
      <c r="A177" s="142"/>
      <c r="B177" s="31" t="s">
        <v>7</v>
      </c>
      <c r="C177" s="36"/>
      <c r="D177" s="288" t="s">
        <v>89</v>
      </c>
      <c r="E177" s="36"/>
      <c r="F177" s="36"/>
      <c r="G177" s="36"/>
      <c r="H177" s="36"/>
      <c r="I177" s="140"/>
      <c r="J177" s="29"/>
      <c r="K177" s="235" t="str">
        <f>K3</f>
        <v>For  the 12 months ended 12/31/2025</v>
      </c>
    </row>
    <row r="178" spans="1:14">
      <c r="A178" s="142"/>
      <c r="B178" s="31"/>
      <c r="C178" s="36"/>
      <c r="D178" s="288" t="s">
        <v>118</v>
      </c>
      <c r="E178" s="36"/>
      <c r="F178" s="36"/>
      <c r="G178" s="36"/>
      <c r="H178" s="36"/>
      <c r="I178" s="36"/>
      <c r="J178" s="29"/>
      <c r="K178" s="29"/>
    </row>
    <row r="179" spans="1:14">
      <c r="A179" s="142"/>
      <c r="B179" s="36"/>
      <c r="C179" s="36"/>
      <c r="D179" s="648" t="str">
        <f>D5</f>
        <v>NextEra Energy Transmission MidAtlantic, Inc.</v>
      </c>
      <c r="E179" s="36"/>
      <c r="F179" s="36"/>
      <c r="G179" s="36"/>
      <c r="H179" s="36"/>
      <c r="I179" s="36"/>
      <c r="J179" s="29"/>
      <c r="K179" s="29"/>
    </row>
    <row r="180" spans="1:14">
      <c r="A180" s="768"/>
      <c r="B180" s="768"/>
      <c r="C180" s="768"/>
      <c r="D180" s="768"/>
      <c r="E180" s="768"/>
      <c r="F180" s="768"/>
      <c r="G180" s="768"/>
      <c r="H180" s="768"/>
      <c r="I180" s="768"/>
      <c r="J180" s="768"/>
      <c r="K180" s="768"/>
    </row>
    <row r="181" spans="1:14" s="14" customFormat="1">
      <c r="A181" s="236"/>
      <c r="B181" s="152" t="s">
        <v>9</v>
      </c>
      <c r="C181" s="152" t="s">
        <v>10</v>
      </c>
      <c r="D181" s="152" t="s">
        <v>11</v>
      </c>
      <c r="E181" s="29" t="s">
        <v>8</v>
      </c>
      <c r="F181" s="29"/>
      <c r="G181" s="151" t="s">
        <v>12</v>
      </c>
      <c r="H181" s="29"/>
      <c r="I181" s="151" t="s">
        <v>13</v>
      </c>
      <c r="J181" s="124"/>
      <c r="K181" s="124"/>
    </row>
    <row r="182" spans="1:14">
      <c r="A182" s="142"/>
      <c r="B182" s="36"/>
      <c r="C182" s="31"/>
      <c r="D182" s="31"/>
      <c r="E182" s="31"/>
      <c r="F182" s="31"/>
      <c r="G182" s="31"/>
      <c r="H182" s="31"/>
      <c r="I182" s="31"/>
      <c r="J182" s="31"/>
      <c r="K182" s="31"/>
    </row>
    <row r="183" spans="1:14">
      <c r="A183" s="142"/>
      <c r="B183" s="36"/>
      <c r="C183" s="196" t="s">
        <v>52</v>
      </c>
      <c r="D183" s="36"/>
      <c r="E183" s="148"/>
      <c r="F183" s="148"/>
      <c r="G183" s="148"/>
      <c r="H183" s="148"/>
      <c r="I183" s="148"/>
      <c r="J183" s="29"/>
      <c r="K183" s="29"/>
    </row>
    <row r="184" spans="1:14">
      <c r="A184" s="142" t="s">
        <v>14</v>
      </c>
      <c r="B184" s="196"/>
      <c r="C184" s="148"/>
      <c r="D184" s="148"/>
      <c r="E184" s="148"/>
      <c r="F184" s="148"/>
      <c r="G184" s="148"/>
      <c r="H184" s="148"/>
      <c r="I184" s="148"/>
      <c r="J184" s="29"/>
      <c r="K184" s="29"/>
    </row>
    <row r="185" spans="1:14" ht="13.5" thickBot="1">
      <c r="A185" s="33" t="s">
        <v>16</v>
      </c>
      <c r="B185" s="143" t="s">
        <v>53</v>
      </c>
      <c r="C185" s="156"/>
      <c r="D185" s="156"/>
      <c r="E185" s="156"/>
      <c r="F185" s="156"/>
      <c r="G185" s="156"/>
      <c r="H185" s="34"/>
      <c r="I185" s="34"/>
      <c r="J185" s="37"/>
      <c r="K185" s="29"/>
    </row>
    <row r="186" spans="1:14">
      <c r="A186" s="142">
        <v>1</v>
      </c>
      <c r="B186" s="144" t="s">
        <v>296</v>
      </c>
      <c r="C186" s="156" t="s">
        <v>444</v>
      </c>
      <c r="D186" s="37"/>
      <c r="E186" s="37"/>
      <c r="F186" s="37"/>
      <c r="G186" s="37"/>
      <c r="H186" s="37"/>
      <c r="I186" s="213">
        <f>D64</f>
        <v>76288908.015384614</v>
      </c>
      <c r="J186" s="37"/>
      <c r="K186" s="29"/>
    </row>
    <row r="187" spans="1:14">
      <c r="A187" s="142">
        <f>+A186+1</f>
        <v>2</v>
      </c>
      <c r="B187" s="144" t="s">
        <v>297</v>
      </c>
      <c r="C187" s="34" t="s">
        <v>294</v>
      </c>
      <c r="D187" s="34"/>
      <c r="E187" s="34"/>
      <c r="F187" s="34"/>
      <c r="G187" s="34"/>
      <c r="H187" s="34"/>
      <c r="I187" s="197">
        <v>0</v>
      </c>
      <c r="J187" s="37"/>
      <c r="K187" s="29"/>
      <c r="M187" s="746"/>
      <c r="N187" s="454"/>
    </row>
    <row r="188" spans="1:14" ht="13.5" thickBot="1">
      <c r="A188" s="142">
        <f>+A187+1</f>
        <v>3</v>
      </c>
      <c r="B188" s="237" t="s">
        <v>298</v>
      </c>
      <c r="C188" s="238" t="s">
        <v>295</v>
      </c>
      <c r="D188" s="140"/>
      <c r="E188" s="37"/>
      <c r="F188" s="37"/>
      <c r="G188" s="239"/>
      <c r="H188" s="37"/>
      <c r="I188" s="199">
        <v>0</v>
      </c>
      <c r="J188" s="37"/>
      <c r="K188" s="29"/>
      <c r="M188" s="454"/>
      <c r="N188" s="454"/>
    </row>
    <row r="189" spans="1:14">
      <c r="A189" s="142">
        <f t="shared" ref="A189:A220" si="3">+A188+1</f>
        <v>4</v>
      </c>
      <c r="B189" s="144" t="s">
        <v>300</v>
      </c>
      <c r="C189" s="156" t="s">
        <v>299</v>
      </c>
      <c r="D189" s="37"/>
      <c r="E189" s="37"/>
      <c r="F189" s="37"/>
      <c r="G189" s="239"/>
      <c r="H189" s="37"/>
      <c r="I189" s="213">
        <f>I186-I187-I188</f>
        <v>76288908.015384614</v>
      </c>
      <c r="J189" s="37"/>
      <c r="K189" s="29"/>
      <c r="M189" s="746"/>
      <c r="N189" s="747"/>
    </row>
    <row r="190" spans="1:14">
      <c r="A190" s="142"/>
      <c r="B190" s="34"/>
      <c r="C190" s="156"/>
      <c r="D190" s="37"/>
      <c r="E190" s="37"/>
      <c r="F190" s="37"/>
      <c r="G190" s="239"/>
      <c r="H190" s="37"/>
      <c r="I190" s="213"/>
      <c r="J190" s="37"/>
      <c r="K190" s="29"/>
      <c r="M190" s="746"/>
      <c r="N190" s="748"/>
    </row>
    <row r="191" spans="1:14">
      <c r="A191" s="142">
        <f>+A189+1</f>
        <v>5</v>
      </c>
      <c r="B191" s="144" t="s">
        <v>302</v>
      </c>
      <c r="C191" s="240" t="s">
        <v>301</v>
      </c>
      <c r="D191" s="241"/>
      <c r="E191" s="241"/>
      <c r="F191" s="241"/>
      <c r="G191" s="242"/>
      <c r="H191" s="37" t="s">
        <v>54</v>
      </c>
      <c r="I191" s="243">
        <f>IF(I186&gt;0,I189/I186,0)</f>
        <v>1</v>
      </c>
      <c r="J191" s="37"/>
      <c r="K191" s="29"/>
      <c r="M191" s="746"/>
      <c r="N191" s="747"/>
    </row>
    <row r="192" spans="1:14">
      <c r="A192" s="142"/>
      <c r="B192" s="36"/>
      <c r="C192" s="36"/>
      <c r="D192" s="36"/>
      <c r="E192" s="36"/>
      <c r="F192" s="36"/>
      <c r="G192" s="36"/>
      <c r="H192" s="36"/>
      <c r="I192" s="36"/>
      <c r="J192" s="36"/>
      <c r="K192" s="36"/>
      <c r="M192" s="746"/>
      <c r="N192" s="749"/>
    </row>
    <row r="193" spans="1:14">
      <c r="A193" s="142">
        <f>+A191+1</f>
        <v>6</v>
      </c>
      <c r="B193" s="31" t="s">
        <v>139</v>
      </c>
      <c r="C193" s="29"/>
      <c r="D193" s="29"/>
      <c r="E193" s="29"/>
      <c r="F193" s="29"/>
      <c r="G193" s="29"/>
      <c r="H193" s="29"/>
      <c r="I193" s="29"/>
      <c r="J193" s="29"/>
      <c r="K193" s="29"/>
      <c r="M193" s="750"/>
      <c r="N193" s="751"/>
    </row>
    <row r="194" spans="1:14" ht="13.5" thickBot="1">
      <c r="A194" s="142"/>
      <c r="B194" s="31"/>
      <c r="C194" s="244" t="s">
        <v>55</v>
      </c>
      <c r="D194" s="30" t="s">
        <v>56</v>
      </c>
      <c r="E194" s="30" t="s">
        <v>21</v>
      </c>
      <c r="F194" s="29"/>
      <c r="G194" s="30" t="s">
        <v>57</v>
      </c>
      <c r="H194" s="29"/>
      <c r="I194" s="29"/>
      <c r="J194" s="29"/>
      <c r="K194" s="29"/>
      <c r="M194" s="746"/>
      <c r="N194" s="749"/>
    </row>
    <row r="195" spans="1:14">
      <c r="A195" s="142">
        <f>+A193+1</f>
        <v>7</v>
      </c>
      <c r="B195" s="31" t="s">
        <v>367</v>
      </c>
      <c r="C195" s="29" t="s">
        <v>58</v>
      </c>
      <c r="D195" s="197">
        <v>0</v>
      </c>
      <c r="E195" s="245">
        <v>1</v>
      </c>
      <c r="F195" s="246"/>
      <c r="G195" s="18">
        <f>D195*E195</f>
        <v>0</v>
      </c>
      <c r="H195" s="44"/>
      <c r="I195" s="44"/>
      <c r="J195" s="29"/>
      <c r="K195" s="29"/>
      <c r="M195" s="746"/>
      <c r="N195" s="752"/>
    </row>
    <row r="196" spans="1:14">
      <c r="A196" s="142">
        <f t="shared" si="3"/>
        <v>8</v>
      </c>
      <c r="B196" s="31" t="s">
        <v>29</v>
      </c>
      <c r="C196" s="29" t="s">
        <v>396</v>
      </c>
      <c r="D196" s="197">
        <v>0</v>
      </c>
      <c r="E196" s="245">
        <f>+I191</f>
        <v>1</v>
      </c>
      <c r="F196" s="246"/>
      <c r="G196" s="18">
        <f>D196*E196</f>
        <v>0</v>
      </c>
      <c r="H196" s="44"/>
      <c r="I196" s="44"/>
      <c r="J196" s="29"/>
      <c r="K196" s="29"/>
      <c r="M196" s="746"/>
      <c r="N196" s="749"/>
    </row>
    <row r="197" spans="1:14">
      <c r="A197" s="142">
        <f t="shared" si="3"/>
        <v>9</v>
      </c>
      <c r="B197" s="31" t="s">
        <v>368</v>
      </c>
      <c r="C197" s="29" t="s">
        <v>113</v>
      </c>
      <c r="D197" s="197">
        <v>0</v>
      </c>
      <c r="E197" s="245">
        <v>1</v>
      </c>
      <c r="F197" s="246"/>
      <c r="G197" s="18">
        <f>D197*E197</f>
        <v>0</v>
      </c>
      <c r="H197" s="44"/>
      <c r="I197" s="247" t="s">
        <v>59</v>
      </c>
      <c r="J197" s="29"/>
      <c r="K197" s="29"/>
      <c r="M197" s="746"/>
      <c r="N197" s="753"/>
    </row>
    <row r="198" spans="1:14" ht="13.5" thickBot="1">
      <c r="A198" s="142">
        <f t="shared" si="3"/>
        <v>10</v>
      </c>
      <c r="B198" s="31" t="s">
        <v>60</v>
      </c>
      <c r="C198" s="29" t="s">
        <v>397</v>
      </c>
      <c r="D198" s="199">
        <v>0</v>
      </c>
      <c r="E198" s="245">
        <v>1</v>
      </c>
      <c r="F198" s="246"/>
      <c r="G198" s="200">
        <f>D198*E198</f>
        <v>0</v>
      </c>
      <c r="H198" s="44"/>
      <c r="I198" s="248" t="s">
        <v>61</v>
      </c>
      <c r="J198" s="29"/>
      <c r="K198" s="29"/>
      <c r="M198" s="746"/>
      <c r="N198" s="749"/>
    </row>
    <row r="199" spans="1:14">
      <c r="A199" s="142">
        <f t="shared" si="3"/>
        <v>11</v>
      </c>
      <c r="B199" s="40" t="s">
        <v>582</v>
      </c>
      <c r="C199" s="29" t="s">
        <v>304</v>
      </c>
      <c r="D199" s="18">
        <f>SUM(D195:D198)</f>
        <v>0</v>
      </c>
      <c r="E199" s="29"/>
      <c r="F199" s="29"/>
      <c r="G199" s="18">
        <f>SUM(G195:G198)</f>
        <v>0</v>
      </c>
      <c r="H199" s="249" t="s">
        <v>62</v>
      </c>
      <c r="I199" s="205">
        <v>1</v>
      </c>
      <c r="J199" s="32" t="s">
        <v>62</v>
      </c>
      <c r="K199" s="29" t="s">
        <v>63</v>
      </c>
      <c r="M199" s="746"/>
      <c r="N199" s="749"/>
    </row>
    <row r="200" spans="1:14">
      <c r="A200" s="142"/>
      <c r="B200" s="31" t="s">
        <v>8</v>
      </c>
      <c r="C200" s="29" t="s">
        <v>8</v>
      </c>
      <c r="D200" s="36"/>
      <c r="E200" s="29"/>
      <c r="F200" s="29"/>
      <c r="G200" s="36"/>
      <c r="H200" s="36"/>
      <c r="I200" s="36"/>
      <c r="J200" s="36"/>
      <c r="K200" s="29"/>
      <c r="M200" s="746"/>
      <c r="N200" s="749"/>
    </row>
    <row r="201" spans="1:14">
      <c r="A201" s="142">
        <f>+A199+1</f>
        <v>12</v>
      </c>
      <c r="B201" s="40" t="s">
        <v>497</v>
      </c>
      <c r="C201" s="29"/>
      <c r="D201" s="192" t="s">
        <v>56</v>
      </c>
      <c r="E201" s="29"/>
      <c r="F201" s="29"/>
      <c r="G201" s="32" t="s">
        <v>140</v>
      </c>
      <c r="H201" s="38"/>
      <c r="I201" s="202" t="s">
        <v>59</v>
      </c>
      <c r="J201" s="29"/>
      <c r="K201" s="29"/>
      <c r="M201" s="746"/>
      <c r="N201" s="749"/>
    </row>
    <row r="202" spans="1:14">
      <c r="A202" s="142">
        <f t="shared" si="3"/>
        <v>13</v>
      </c>
      <c r="B202" s="31" t="s">
        <v>398</v>
      </c>
      <c r="C202" s="29" t="s">
        <v>141</v>
      </c>
      <c r="D202" s="197">
        <f>+D80</f>
        <v>73100946.813076928</v>
      </c>
      <c r="E202" s="29"/>
      <c r="F202" s="36"/>
      <c r="G202" s="142" t="s">
        <v>558</v>
      </c>
      <c r="H202" s="250"/>
      <c r="I202" s="142" t="s">
        <v>559</v>
      </c>
      <c r="J202" s="29"/>
      <c r="K202" s="152" t="s">
        <v>132</v>
      </c>
      <c r="M202" s="746"/>
      <c r="N202" s="749"/>
    </row>
    <row r="203" spans="1:14">
      <c r="A203" s="142">
        <f t="shared" si="3"/>
        <v>14</v>
      </c>
      <c r="B203" s="31" t="s">
        <v>399</v>
      </c>
      <c r="C203" s="29" t="s">
        <v>659</v>
      </c>
      <c r="D203" s="197">
        <v>0</v>
      </c>
      <c r="E203" s="29"/>
      <c r="F203" s="36"/>
      <c r="G203" s="205">
        <f>IF(D205&gt;0,D202/D205,0)</f>
        <v>1</v>
      </c>
      <c r="H203" s="251" t="s">
        <v>123</v>
      </c>
      <c r="I203" s="205">
        <f>I199</f>
        <v>1</v>
      </c>
      <c r="J203" s="251" t="s">
        <v>62</v>
      </c>
      <c r="K203" s="205">
        <f>I203*G203</f>
        <v>1</v>
      </c>
      <c r="M203" s="746"/>
      <c r="N203" s="749"/>
    </row>
    <row r="204" spans="1:14" ht="13.5" thickBot="1">
      <c r="A204" s="142">
        <f t="shared" si="3"/>
        <v>15</v>
      </c>
      <c r="B204" s="252" t="s">
        <v>400</v>
      </c>
      <c r="C204" s="244" t="s">
        <v>660</v>
      </c>
      <c r="D204" s="199">
        <v>0</v>
      </c>
      <c r="E204" s="29"/>
      <c r="F204" s="29"/>
      <c r="G204" s="29" t="s">
        <v>8</v>
      </c>
      <c r="H204" s="29"/>
      <c r="I204" s="29"/>
      <c r="J204" s="29"/>
      <c r="K204" s="29"/>
      <c r="M204" s="746"/>
      <c r="N204" s="749"/>
    </row>
    <row r="205" spans="1:14">
      <c r="A205" s="142">
        <f t="shared" si="3"/>
        <v>16</v>
      </c>
      <c r="B205" s="31" t="s">
        <v>401</v>
      </c>
      <c r="C205" s="29" t="s">
        <v>303</v>
      </c>
      <c r="D205" s="18">
        <f>D202+D203+D204</f>
        <v>73100946.813076928</v>
      </c>
      <c r="E205" s="29"/>
      <c r="F205" s="29"/>
      <c r="G205" s="29"/>
      <c r="H205" s="29"/>
      <c r="I205" s="29"/>
      <c r="J205" s="29"/>
      <c r="K205" s="29"/>
      <c r="M205" s="754"/>
      <c r="N205" s="755"/>
    </row>
    <row r="206" spans="1:14">
      <c r="A206" s="142"/>
      <c r="B206" s="31"/>
      <c r="C206" s="29"/>
      <c r="D206" s="36"/>
      <c r="E206" s="29"/>
      <c r="F206" s="29"/>
      <c r="G206" s="29"/>
      <c r="H206" s="29"/>
      <c r="I206" s="29"/>
      <c r="J206" s="29"/>
      <c r="K206" s="29"/>
      <c r="M206" s="754"/>
      <c r="N206" s="747"/>
    </row>
    <row r="207" spans="1:14" ht="13.5" thickBot="1">
      <c r="A207" s="142">
        <f>+A205+1</f>
        <v>17</v>
      </c>
      <c r="B207" s="28" t="s">
        <v>64</v>
      </c>
      <c r="C207" s="29" t="s">
        <v>351</v>
      </c>
      <c r="D207" s="29"/>
      <c r="E207" s="29"/>
      <c r="F207" s="29"/>
      <c r="G207" s="29"/>
      <c r="H207" s="29"/>
      <c r="I207" s="30" t="s">
        <v>56</v>
      </c>
      <c r="J207" s="29"/>
      <c r="K207" s="29"/>
      <c r="M207" s="756"/>
      <c r="N207" s="757"/>
    </row>
    <row r="208" spans="1:14">
      <c r="A208" s="142">
        <f>+A207+1</f>
        <v>18</v>
      </c>
      <c r="B208" s="31"/>
      <c r="C208" s="29"/>
      <c r="D208" s="29"/>
      <c r="E208" s="29"/>
      <c r="F208" s="29"/>
      <c r="G208" s="32" t="s">
        <v>65</v>
      </c>
      <c r="H208" s="29"/>
      <c r="I208" s="29"/>
      <c r="J208" s="29"/>
      <c r="K208" s="29"/>
    </row>
    <row r="209" spans="1:11" ht="13.5" thickBot="1">
      <c r="A209" s="142">
        <f t="shared" si="3"/>
        <v>19</v>
      </c>
      <c r="B209" s="31"/>
      <c r="C209" s="29"/>
      <c r="D209" s="33" t="s">
        <v>56</v>
      </c>
      <c r="E209" s="33" t="s">
        <v>66</v>
      </c>
      <c r="F209" s="29"/>
      <c r="G209" s="253" t="str">
        <f>"(Notes "&amp;A259&amp;", "&amp;A265&amp;", &amp; "&amp;A266&amp;")"</f>
        <v>(Notes K, Q, &amp; R)</v>
      </c>
      <c r="H209" s="29"/>
      <c r="I209" s="33" t="s">
        <v>67</v>
      </c>
      <c r="J209" s="29"/>
      <c r="K209" s="29"/>
    </row>
    <row r="210" spans="1:11">
      <c r="A210" s="142">
        <f t="shared" si="3"/>
        <v>20</v>
      </c>
      <c r="B210" s="28" t="s">
        <v>305</v>
      </c>
      <c r="C210" s="34" t="s">
        <v>808</v>
      </c>
      <c r="D210" s="255">
        <f>'5-P3 Support'!F85</f>
        <v>39502703.926582411</v>
      </c>
      <c r="E210" s="600">
        <f>+'5-P3 Support'!G85</f>
        <v>0.40000000000000008</v>
      </c>
      <c r="F210" s="158"/>
      <c r="G210" s="629">
        <f>+'5-P3 Support'!I85</f>
        <v>7.5572512354092417E-2</v>
      </c>
      <c r="H210" s="290"/>
      <c r="I210" s="600">
        <f>+'5-P3 Support'!K85</f>
        <v>3.0229004941636974E-2</v>
      </c>
      <c r="J210" s="254" t="s">
        <v>68</v>
      </c>
      <c r="K210" s="36"/>
    </row>
    <row r="211" spans="1:11">
      <c r="A211" s="142">
        <f t="shared" si="3"/>
        <v>21</v>
      </c>
      <c r="B211" s="28" t="s">
        <v>142</v>
      </c>
      <c r="C211" s="34" t="s">
        <v>809</v>
      </c>
      <c r="D211" s="255">
        <f>+'5-P3 Support'!F86</f>
        <v>0</v>
      </c>
      <c r="E211" s="600">
        <f>+'5-P3 Support'!G86</f>
        <v>0</v>
      </c>
      <c r="F211" s="158"/>
      <c r="G211" s="629">
        <f>+'5-P3 Support'!I86</f>
        <v>0</v>
      </c>
      <c r="H211" s="290"/>
      <c r="I211" s="600">
        <f>+'5-P3 Support'!K86</f>
        <v>0</v>
      </c>
      <c r="J211" s="29"/>
      <c r="K211" s="36"/>
    </row>
    <row r="212" spans="1:11" ht="13.5" thickBot="1">
      <c r="A212" s="142">
        <f t="shared" si="3"/>
        <v>22</v>
      </c>
      <c r="B212" s="28" t="s">
        <v>414</v>
      </c>
      <c r="C212" s="34" t="s">
        <v>810</v>
      </c>
      <c r="D212" s="424">
        <f>+'5-P3 Support'!F87</f>
        <v>59254055.889873594</v>
      </c>
      <c r="E212" s="601">
        <f>+'5-P3 Support'!G87</f>
        <v>0.59999999999999987</v>
      </c>
      <c r="F212" s="599"/>
      <c r="G212" s="628">
        <f>+'5-P3 Support'!I87</f>
        <v>0.115</v>
      </c>
      <c r="H212" s="290"/>
      <c r="I212" s="601">
        <f>+'5-P3 Support'!K87</f>
        <v>6.8999999999999992E-2</v>
      </c>
      <c r="J212" s="29"/>
      <c r="K212" s="36"/>
    </row>
    <row r="213" spans="1:11">
      <c r="A213" s="142">
        <f t="shared" si="3"/>
        <v>23</v>
      </c>
      <c r="B213" s="31" t="s">
        <v>293</v>
      </c>
      <c r="C213" s="36" t="s">
        <v>811</v>
      </c>
      <c r="D213" s="255">
        <f>+'5-P3 Support'!F88</f>
        <v>98756759.816456005</v>
      </c>
      <c r="E213" s="29" t="s">
        <v>8</v>
      </c>
      <c r="F213" s="29"/>
      <c r="G213" s="290"/>
      <c r="H213" s="290"/>
      <c r="I213" s="600">
        <f>+'5-P3 Support'!K88</f>
        <v>9.9229004941636972E-2</v>
      </c>
      <c r="J213" s="254" t="s">
        <v>69</v>
      </c>
      <c r="K213" s="36"/>
    </row>
    <row r="214" spans="1:11">
      <c r="A214" s="142"/>
      <c r="B214" s="36"/>
      <c r="C214" s="36"/>
      <c r="D214" s="36"/>
      <c r="E214" s="29"/>
      <c r="F214" s="29"/>
      <c r="G214" s="29"/>
      <c r="H214" s="29"/>
      <c r="I214" s="290"/>
      <c r="J214" s="36"/>
      <c r="K214" s="36"/>
    </row>
    <row r="215" spans="1:11">
      <c r="A215" s="142">
        <f>+A213+1</f>
        <v>24</v>
      </c>
      <c r="B215" s="28" t="s">
        <v>143</v>
      </c>
      <c r="C215" s="147"/>
      <c r="D215" s="147"/>
      <c r="E215" s="147"/>
      <c r="F215" s="147"/>
      <c r="G215" s="147"/>
      <c r="H215" s="147"/>
      <c r="I215" s="147"/>
      <c r="J215" s="147"/>
      <c r="K215" s="147"/>
    </row>
    <row r="216" spans="1:11" ht="13.5" thickBot="1">
      <c r="A216" s="142"/>
      <c r="B216" s="28"/>
      <c r="C216" s="28"/>
      <c r="D216" s="28"/>
      <c r="E216" s="28"/>
      <c r="F216" s="28"/>
      <c r="G216" s="28"/>
      <c r="H216" s="28"/>
      <c r="I216" s="33"/>
      <c r="J216" s="256"/>
      <c r="K216" s="36"/>
    </row>
    <row r="217" spans="1:11">
      <c r="A217" s="142">
        <f>+A215+1</f>
        <v>25</v>
      </c>
      <c r="B217" s="28" t="s">
        <v>560</v>
      </c>
      <c r="C217" s="147" t="s">
        <v>425</v>
      </c>
      <c r="D217" s="147"/>
      <c r="E217" s="147"/>
      <c r="F217" s="147"/>
      <c r="G217" s="257" t="s">
        <v>8</v>
      </c>
      <c r="H217" s="258"/>
      <c r="I217" s="259"/>
      <c r="J217" s="259"/>
      <c r="K217" s="36"/>
    </row>
    <row r="218" spans="1:11">
      <c r="A218" s="142">
        <f t="shared" si="3"/>
        <v>26</v>
      </c>
      <c r="B218" s="36" t="s">
        <v>325</v>
      </c>
      <c r="C218" s="147" t="s">
        <v>402</v>
      </c>
      <c r="D218" s="147"/>
      <c r="E218" s="36"/>
      <c r="F218" s="147"/>
      <c r="G218" s="36"/>
      <c r="H218" s="258"/>
      <c r="I218" s="260">
        <v>0</v>
      </c>
      <c r="J218" s="261"/>
      <c r="K218" s="36"/>
    </row>
    <row r="219" spans="1:11" ht="13.5" thickBot="1">
      <c r="A219" s="142">
        <f t="shared" si="3"/>
        <v>27</v>
      </c>
      <c r="B219" s="262" t="s">
        <v>1</v>
      </c>
      <c r="C219" s="37" t="s">
        <v>812</v>
      </c>
      <c r="D219" s="263"/>
      <c r="E219" s="264"/>
      <c r="F219" s="264"/>
      <c r="G219" s="264"/>
      <c r="H219" s="147"/>
      <c r="I219" s="394">
        <f>+'5-P3 Support'!C68</f>
        <v>0</v>
      </c>
      <c r="J219" s="265"/>
      <c r="K219" s="36"/>
    </row>
    <row r="220" spans="1:11">
      <c r="A220" s="142">
        <f t="shared" si="3"/>
        <v>28</v>
      </c>
      <c r="B220" s="36" t="s">
        <v>144</v>
      </c>
      <c r="C220" s="156"/>
      <c r="D220" s="36"/>
      <c r="E220" s="147"/>
      <c r="F220" s="147"/>
      <c r="G220" s="147"/>
      <c r="H220" s="147"/>
      <c r="I220" s="266">
        <f>I218-I219</f>
        <v>0</v>
      </c>
      <c r="J220" s="261"/>
      <c r="K220" s="36"/>
    </row>
    <row r="221" spans="1:11">
      <c r="A221" s="142"/>
      <c r="B221" s="36"/>
      <c r="C221" s="156"/>
      <c r="D221" s="36"/>
      <c r="E221" s="147"/>
      <c r="F221" s="147"/>
      <c r="G221" s="147"/>
      <c r="H221" s="147"/>
      <c r="I221" s="267"/>
      <c r="J221" s="259"/>
      <c r="K221" s="36"/>
    </row>
    <row r="222" spans="1:11">
      <c r="A222" s="142">
        <f>+A220+1</f>
        <v>29</v>
      </c>
      <c r="B222" s="28" t="s">
        <v>264</v>
      </c>
      <c r="C222" s="156" t="s">
        <v>813</v>
      </c>
      <c r="D222" s="36"/>
      <c r="E222" s="147"/>
      <c r="F222" s="147"/>
      <c r="G222" s="268"/>
      <c r="H222" s="147"/>
      <c r="I222" s="269">
        <f>+'5-P3 Support'!D68</f>
        <v>0</v>
      </c>
      <c r="J222" s="259"/>
      <c r="K222" s="270"/>
    </row>
    <row r="223" spans="1:11">
      <c r="A223" s="142"/>
      <c r="B223" s="36"/>
      <c r="C223" s="144"/>
      <c r="D223" s="147"/>
      <c r="E223" s="147"/>
      <c r="F223" s="147"/>
      <c r="G223" s="147"/>
      <c r="H223" s="147"/>
      <c r="I223" s="267"/>
      <c r="J223" s="259"/>
      <c r="K223" s="270"/>
    </row>
    <row r="224" spans="1:11">
      <c r="A224" s="142">
        <f>+A222+1</f>
        <v>30</v>
      </c>
      <c r="B224" s="28" t="s">
        <v>265</v>
      </c>
      <c r="C224" s="144" t="s">
        <v>583</v>
      </c>
      <c r="D224" s="147"/>
      <c r="E224" s="147"/>
      <c r="F224" s="147"/>
      <c r="G224" s="147"/>
      <c r="H224" s="147"/>
      <c r="I224" s="36"/>
      <c r="J224" s="36"/>
      <c r="K224" s="271"/>
    </row>
    <row r="225" spans="1:14">
      <c r="A225" s="142">
        <f>+A224+1</f>
        <v>31</v>
      </c>
      <c r="B225" s="272" t="s">
        <v>324</v>
      </c>
      <c r="C225" s="37" t="s">
        <v>814</v>
      </c>
      <c r="D225" s="29"/>
      <c r="E225" s="29"/>
      <c r="F225" s="29"/>
      <c r="G225" s="29"/>
      <c r="H225" s="29"/>
      <c r="I225" s="273">
        <f>+'5-P3 Support'!E68</f>
        <v>0</v>
      </c>
      <c r="J225" s="274"/>
      <c r="K225" s="271"/>
    </row>
    <row r="226" spans="1:14" ht="26.5" thickBot="1">
      <c r="A226" s="142">
        <f>+A225+1</f>
        <v>32</v>
      </c>
      <c r="B226" s="275" t="s">
        <v>323</v>
      </c>
      <c r="C226" s="37" t="s">
        <v>815</v>
      </c>
      <c r="D226" s="264"/>
      <c r="E226" s="264"/>
      <c r="F226" s="264"/>
      <c r="G226" s="147"/>
      <c r="H226" s="147"/>
      <c r="I226" s="395">
        <f>+'5-P3 Support'!F68</f>
        <v>0</v>
      </c>
      <c r="J226" s="36"/>
      <c r="K226" s="276"/>
      <c r="M226" s="558"/>
      <c r="N226" s="558"/>
    </row>
    <row r="227" spans="1:14">
      <c r="A227" s="142">
        <f>+A226+1</f>
        <v>33</v>
      </c>
      <c r="B227" s="46" t="s">
        <v>144</v>
      </c>
      <c r="C227" s="142"/>
      <c r="D227" s="29"/>
      <c r="E227" s="29"/>
      <c r="F227" s="29"/>
      <c r="G227" s="29"/>
      <c r="H227" s="147"/>
      <c r="I227" s="277">
        <f>+I225-I226</f>
        <v>0</v>
      </c>
      <c r="J227" s="274"/>
      <c r="K227" s="278"/>
      <c r="M227" s="558"/>
      <c r="N227" s="558"/>
    </row>
    <row r="228" spans="1:14" s="558" customFormat="1">
      <c r="A228" s="142"/>
      <c r="B228" s="46"/>
      <c r="C228" s="142"/>
      <c r="D228" s="29"/>
      <c r="E228" s="29"/>
      <c r="F228" s="29"/>
      <c r="G228" s="29"/>
      <c r="H228" s="147"/>
      <c r="I228" s="277"/>
      <c r="J228" s="274"/>
      <c r="K228" s="278"/>
    </row>
    <row r="229" spans="1:14" s="558" customFormat="1">
      <c r="A229" s="142"/>
      <c r="D229" s="29"/>
      <c r="E229" s="29"/>
      <c r="F229" s="29"/>
      <c r="G229" s="29"/>
      <c r="H229" s="147"/>
      <c r="I229" s="277"/>
      <c r="J229" s="274"/>
      <c r="K229" s="278"/>
    </row>
    <row r="230" spans="1:14" s="558" customFormat="1">
      <c r="A230" s="142"/>
      <c r="B230" s="46"/>
      <c r="C230" s="142"/>
      <c r="D230" s="29"/>
      <c r="E230" s="29"/>
      <c r="F230" s="29"/>
      <c r="G230" s="29"/>
      <c r="H230" s="147"/>
      <c r="I230" s="277"/>
      <c r="J230" s="274"/>
      <c r="K230" s="278"/>
      <c r="M230" s="15"/>
      <c r="N230" s="15"/>
    </row>
    <row r="231" spans="1:14" s="558" customFormat="1">
      <c r="A231" s="142"/>
      <c r="B231" s="46"/>
      <c r="C231" s="142"/>
      <c r="D231" s="29"/>
      <c r="E231" s="29"/>
      <c r="F231" s="29"/>
      <c r="G231" s="29"/>
      <c r="H231" s="147"/>
      <c r="I231" s="277"/>
      <c r="J231" s="274"/>
      <c r="K231" s="278"/>
      <c r="M231" s="15"/>
      <c r="N231" s="15"/>
    </row>
    <row r="232" spans="1:14">
      <c r="A232" s="142"/>
      <c r="B232" s="279"/>
      <c r="C232" s="142"/>
      <c r="D232" s="29"/>
      <c r="E232" s="29"/>
      <c r="F232" s="29"/>
      <c r="G232" s="29"/>
      <c r="H232" s="147"/>
      <c r="I232" s="280"/>
      <c r="J232" s="274"/>
      <c r="K232" s="278"/>
    </row>
    <row r="233" spans="1:14">
      <c r="A233" s="142"/>
      <c r="B233" s="279"/>
      <c r="C233" s="142"/>
      <c r="D233" s="29"/>
      <c r="E233" s="29"/>
      <c r="F233" s="29"/>
      <c r="G233" s="29"/>
      <c r="H233" s="147"/>
      <c r="I233" s="280"/>
      <c r="J233" s="274"/>
      <c r="K233" s="278"/>
    </row>
    <row r="234" spans="1:14">
      <c r="A234" s="142"/>
      <c r="B234" s="31"/>
      <c r="C234" s="148"/>
      <c r="D234" s="29"/>
      <c r="E234" s="29"/>
      <c r="F234" s="29"/>
      <c r="G234" s="29"/>
      <c r="H234" s="148"/>
      <c r="I234" s="29"/>
      <c r="J234" s="148"/>
      <c r="K234" s="219" t="s">
        <v>145</v>
      </c>
    </row>
    <row r="235" spans="1:14">
      <c r="A235" s="142"/>
      <c r="B235" s="31"/>
      <c r="C235" s="148"/>
      <c r="D235" s="29"/>
      <c r="E235" s="29"/>
      <c r="F235" s="29"/>
      <c r="G235" s="29"/>
      <c r="H235" s="148"/>
      <c r="I235" s="29"/>
      <c r="J235" s="148"/>
      <c r="K235" s="29"/>
    </row>
    <row r="236" spans="1:14">
      <c r="A236" s="142"/>
      <c r="B236" s="279" t="s">
        <v>7</v>
      </c>
      <c r="C236" s="142"/>
      <c r="D236" s="32" t="s">
        <v>89</v>
      </c>
      <c r="E236" s="29"/>
      <c r="F236" s="29"/>
      <c r="G236" s="29"/>
      <c r="H236" s="147"/>
      <c r="I236" s="140"/>
      <c r="J236" s="259"/>
      <c r="K236" s="281" t="str">
        <f>K3</f>
        <v>For  the 12 months ended 12/31/2025</v>
      </c>
    </row>
    <row r="237" spans="1:14">
      <c r="A237" s="142"/>
      <c r="B237" s="279"/>
      <c r="C237" s="142"/>
      <c r="D237" s="32" t="s">
        <v>118</v>
      </c>
      <c r="E237" s="29"/>
      <c r="F237" s="29"/>
      <c r="G237" s="29"/>
      <c r="H237" s="147"/>
      <c r="I237" s="282"/>
      <c r="J237" s="259"/>
      <c r="K237" s="278"/>
    </row>
    <row r="238" spans="1:14">
      <c r="A238" s="142"/>
      <c r="B238" s="279"/>
      <c r="C238" s="142"/>
      <c r="D238" s="648" t="str">
        <f>D5</f>
        <v>NextEra Energy Transmission MidAtlantic, Inc.</v>
      </c>
      <c r="E238" s="29"/>
      <c r="F238" s="29"/>
      <c r="G238" s="29"/>
      <c r="H238" s="147"/>
      <c r="I238" s="282"/>
      <c r="J238" s="259"/>
      <c r="K238" s="278"/>
    </row>
    <row r="239" spans="1:14">
      <c r="A239" s="768"/>
      <c r="B239" s="768"/>
      <c r="C239" s="768"/>
      <c r="D239" s="768"/>
      <c r="E239" s="768"/>
      <c r="F239" s="768"/>
      <c r="G239" s="768"/>
      <c r="H239" s="768"/>
      <c r="I239" s="768"/>
      <c r="J239" s="768"/>
      <c r="K239" s="768"/>
    </row>
    <row r="240" spans="1:14">
      <c r="A240" s="142"/>
      <c r="B240" s="279"/>
      <c r="C240" s="142"/>
      <c r="D240" s="29"/>
      <c r="E240" s="29"/>
      <c r="F240" s="29"/>
      <c r="G240" s="29"/>
      <c r="H240" s="147"/>
      <c r="I240" s="282"/>
      <c r="J240" s="259"/>
      <c r="K240" s="278"/>
    </row>
    <row r="241" spans="1:13">
      <c r="A241" s="142"/>
      <c r="B241" s="28" t="s">
        <v>70</v>
      </c>
      <c r="C241" s="142"/>
      <c r="D241" s="29"/>
      <c r="E241" s="29"/>
      <c r="F241" s="29"/>
      <c r="G241" s="29"/>
      <c r="H241" s="147"/>
      <c r="I241" s="29"/>
      <c r="J241" s="147"/>
      <c r="K241" s="29"/>
    </row>
    <row r="242" spans="1:13">
      <c r="A242" s="142"/>
      <c r="B242" s="283" t="s">
        <v>146</v>
      </c>
      <c r="C242" s="142"/>
      <c r="D242" s="29"/>
      <c r="E242" s="29"/>
      <c r="F242" s="29"/>
      <c r="G242" s="29"/>
      <c r="H242" s="147"/>
      <c r="I242" s="29"/>
      <c r="J242" s="147"/>
      <c r="K242" s="29"/>
    </row>
    <row r="243" spans="1:13">
      <c r="A243" s="142" t="s">
        <v>71</v>
      </c>
      <c r="B243" s="28"/>
      <c r="C243" s="147"/>
      <c r="D243" s="29"/>
      <c r="E243" s="29"/>
      <c r="F243" s="29"/>
      <c r="G243" s="29"/>
      <c r="H243" s="147"/>
      <c r="I243" s="29"/>
      <c r="J243" s="147"/>
      <c r="K243" s="29"/>
    </row>
    <row r="244" spans="1:13" ht="13.5" thickBot="1">
      <c r="A244" s="33" t="s">
        <v>72</v>
      </c>
      <c r="B244" s="770"/>
      <c r="C244" s="770"/>
      <c r="D244" s="284"/>
      <c r="E244" s="284"/>
      <c r="F244" s="284"/>
      <c r="G244" s="284"/>
      <c r="H244" s="285"/>
      <c r="I244" s="284"/>
      <c r="J244" s="285"/>
      <c r="K244" s="284"/>
      <c r="M244" s="728"/>
    </row>
    <row r="245" spans="1:13">
      <c r="A245" s="317" t="s">
        <v>225</v>
      </c>
      <c r="B245" s="769" t="s">
        <v>584</v>
      </c>
      <c r="C245" s="769"/>
      <c r="D245" s="769"/>
      <c r="E245" s="769"/>
      <c r="F245" s="769"/>
      <c r="G245" s="769"/>
      <c r="H245" s="769"/>
      <c r="I245" s="769"/>
      <c r="J245" s="769"/>
      <c r="K245" s="769"/>
    </row>
    <row r="246" spans="1:13" ht="29.25" customHeight="1">
      <c r="A246" s="317" t="s">
        <v>226</v>
      </c>
      <c r="B246" s="769" t="s">
        <v>551</v>
      </c>
      <c r="C246" s="769"/>
      <c r="D246" s="769"/>
      <c r="E246" s="769"/>
      <c r="F246" s="769"/>
      <c r="G246" s="769"/>
      <c r="H246" s="769"/>
      <c r="I246" s="769"/>
      <c r="J246" s="769"/>
      <c r="K246" s="769"/>
    </row>
    <row r="247" spans="1:13">
      <c r="A247" s="317" t="s">
        <v>75</v>
      </c>
      <c r="B247" s="769" t="s">
        <v>80</v>
      </c>
      <c r="C247" s="769"/>
      <c r="D247" s="769"/>
      <c r="E247" s="769"/>
      <c r="F247" s="769"/>
      <c r="G247" s="769"/>
      <c r="H247" s="769"/>
      <c r="I247" s="769"/>
      <c r="J247" s="769"/>
      <c r="K247" s="769"/>
    </row>
    <row r="248" spans="1:13" ht="29.25" customHeight="1">
      <c r="A248" s="317" t="s">
        <v>76</v>
      </c>
      <c r="B248" s="769" t="s">
        <v>403</v>
      </c>
      <c r="C248" s="769"/>
      <c r="D248" s="769"/>
      <c r="E248" s="769"/>
      <c r="F248" s="769"/>
      <c r="G248" s="769"/>
      <c r="H248" s="769"/>
      <c r="I248" s="769"/>
      <c r="J248" s="769"/>
      <c r="K248" s="769"/>
    </row>
    <row r="249" spans="1:13" ht="29.25" customHeight="1">
      <c r="A249" s="317" t="s">
        <v>77</v>
      </c>
      <c r="B249" s="769" t="s">
        <v>661</v>
      </c>
      <c r="C249" s="769"/>
      <c r="D249" s="769"/>
      <c r="E249" s="769"/>
      <c r="F249" s="769"/>
      <c r="G249" s="769"/>
      <c r="H249" s="769"/>
      <c r="I249" s="769"/>
      <c r="J249" s="769"/>
      <c r="K249" s="769"/>
    </row>
    <row r="250" spans="1:13" ht="30" customHeight="1">
      <c r="A250" s="317" t="s">
        <v>78</v>
      </c>
      <c r="B250" s="769" t="s">
        <v>147</v>
      </c>
      <c r="C250" s="769"/>
      <c r="D250" s="769"/>
      <c r="E250" s="769"/>
      <c r="F250" s="769"/>
      <c r="G250" s="769"/>
      <c r="H250" s="769"/>
      <c r="I250" s="769"/>
      <c r="J250" s="769"/>
      <c r="K250" s="769"/>
    </row>
    <row r="251" spans="1:13" ht="45.75" customHeight="1">
      <c r="A251" s="769" t="s">
        <v>79</v>
      </c>
      <c r="B251" s="769" t="s">
        <v>816</v>
      </c>
      <c r="C251" s="769"/>
      <c r="D251" s="769"/>
      <c r="E251" s="769"/>
      <c r="F251" s="769"/>
      <c r="G251" s="769"/>
      <c r="H251" s="769"/>
      <c r="I251" s="769"/>
      <c r="J251" s="769"/>
      <c r="K251" s="769"/>
      <c r="L251" s="729"/>
    </row>
    <row r="252" spans="1:13">
      <c r="A252" s="769"/>
      <c r="B252" s="361" t="s">
        <v>84</v>
      </c>
      <c r="C252" s="361" t="s">
        <v>85</v>
      </c>
      <c r="D252" s="670">
        <v>0.21</v>
      </c>
      <c r="E252" s="361"/>
      <c r="F252" s="361"/>
      <c r="G252" s="361"/>
      <c r="H252" s="361"/>
      <c r="I252" s="361"/>
      <c r="J252" s="361"/>
      <c r="K252" s="361"/>
    </row>
    <row r="253" spans="1:13">
      <c r="A253" s="769"/>
      <c r="B253" s="361"/>
      <c r="C253" s="361" t="s">
        <v>86</v>
      </c>
      <c r="D253" s="672">
        <v>4.9000000000000002E-2</v>
      </c>
      <c r="E253" s="361" t="s">
        <v>148</v>
      </c>
      <c r="F253" s="361"/>
      <c r="G253" s="361"/>
      <c r="H253" s="361"/>
      <c r="I253" s="361"/>
      <c r="J253" s="361"/>
      <c r="K253" s="361"/>
    </row>
    <row r="254" spans="1:13">
      <c r="A254" s="769"/>
      <c r="B254" s="361"/>
      <c r="C254" s="361" t="s">
        <v>87</v>
      </c>
      <c r="D254" s="671">
        <v>0</v>
      </c>
      <c r="E254" s="361" t="s">
        <v>149</v>
      </c>
      <c r="F254" s="361"/>
      <c r="G254" s="361"/>
      <c r="H254" s="361"/>
      <c r="I254" s="361"/>
      <c r="J254" s="361"/>
      <c r="K254" s="361"/>
    </row>
    <row r="255" spans="1:13">
      <c r="A255" s="769"/>
      <c r="B255" s="361"/>
      <c r="C255" s="361"/>
      <c r="D255" s="592"/>
      <c r="E255" s="361"/>
      <c r="F255" s="361"/>
      <c r="G255" s="361"/>
      <c r="H255" s="361"/>
      <c r="I255" s="361"/>
      <c r="J255" s="361"/>
      <c r="K255" s="361"/>
    </row>
    <row r="256" spans="1:13" ht="19.5" customHeight="1">
      <c r="A256" s="317" t="s">
        <v>81</v>
      </c>
      <c r="B256" s="769" t="s">
        <v>151</v>
      </c>
      <c r="C256" s="769"/>
      <c r="D256" s="769"/>
      <c r="E256" s="769"/>
      <c r="F256" s="769"/>
      <c r="G256" s="769"/>
      <c r="H256" s="769"/>
      <c r="I256" s="769"/>
      <c r="J256" s="769"/>
      <c r="K256" s="769"/>
    </row>
    <row r="257" spans="1:14" ht="31.5" customHeight="1">
      <c r="A257" s="317" t="s">
        <v>82</v>
      </c>
      <c r="B257" s="769" t="s">
        <v>152</v>
      </c>
      <c r="C257" s="769"/>
      <c r="D257" s="769"/>
      <c r="E257" s="769"/>
      <c r="F257" s="769"/>
      <c r="G257" s="769"/>
      <c r="H257" s="769"/>
      <c r="I257" s="769"/>
      <c r="J257" s="769"/>
      <c r="K257" s="769"/>
    </row>
    <row r="258" spans="1:14">
      <c r="A258" s="317" t="s">
        <v>83</v>
      </c>
      <c r="B258" s="769" t="s">
        <v>88</v>
      </c>
      <c r="C258" s="769"/>
      <c r="D258" s="769"/>
      <c r="E258" s="769"/>
      <c r="F258" s="769"/>
      <c r="G258" s="769"/>
      <c r="H258" s="769"/>
      <c r="I258" s="769"/>
      <c r="J258" s="769"/>
      <c r="K258" s="769"/>
    </row>
    <row r="259" spans="1:14">
      <c r="A259" s="317" t="s">
        <v>120</v>
      </c>
      <c r="B259" s="769" t="s">
        <v>237</v>
      </c>
      <c r="C259" s="769"/>
      <c r="D259" s="769"/>
      <c r="E259" s="769"/>
      <c r="F259" s="769"/>
      <c r="G259" s="769"/>
      <c r="H259" s="769"/>
      <c r="I259" s="769"/>
      <c r="J259" s="769"/>
      <c r="K259" s="769"/>
    </row>
    <row r="260" spans="1:14">
      <c r="A260" s="317" t="s">
        <v>227</v>
      </c>
      <c r="B260" s="769" t="s">
        <v>488</v>
      </c>
      <c r="C260" s="769"/>
      <c r="D260" s="769"/>
      <c r="E260" s="769"/>
      <c r="F260" s="769"/>
      <c r="G260" s="769"/>
      <c r="H260" s="769"/>
      <c r="I260" s="769"/>
      <c r="J260" s="769"/>
      <c r="K260" s="769"/>
    </row>
    <row r="261" spans="1:14">
      <c r="A261" s="317" t="s">
        <v>150</v>
      </c>
      <c r="B261" s="769" t="s">
        <v>157</v>
      </c>
      <c r="C261" s="769"/>
      <c r="D261" s="769"/>
      <c r="E261" s="769"/>
      <c r="F261" s="769"/>
      <c r="G261" s="769"/>
      <c r="H261" s="769"/>
      <c r="I261" s="769"/>
      <c r="J261" s="769"/>
      <c r="K261" s="769"/>
    </row>
    <row r="262" spans="1:14">
      <c r="A262" s="317" t="s">
        <v>228</v>
      </c>
      <c r="B262" s="769" t="s">
        <v>436</v>
      </c>
      <c r="C262" s="769"/>
      <c r="D262" s="769"/>
      <c r="E262" s="769"/>
      <c r="F262" s="769"/>
      <c r="G262" s="769"/>
      <c r="H262" s="769"/>
      <c r="I262" s="769"/>
      <c r="J262" s="769"/>
      <c r="K262" s="769"/>
    </row>
    <row r="263" spans="1:14" ht="33.75" customHeight="1">
      <c r="A263" s="317" t="s">
        <v>153</v>
      </c>
      <c r="B263" s="772" t="s">
        <v>652</v>
      </c>
      <c r="C263" s="773"/>
      <c r="D263" s="773"/>
      <c r="E263" s="773"/>
      <c r="F263" s="773"/>
      <c r="G263" s="773"/>
      <c r="H263" s="773"/>
      <c r="I263" s="773"/>
      <c r="J263" s="773"/>
      <c r="K263" s="773"/>
    </row>
    <row r="264" spans="1:14">
      <c r="A264" s="362" t="s">
        <v>154</v>
      </c>
      <c r="B264" s="774" t="s">
        <v>584</v>
      </c>
      <c r="C264" s="775"/>
      <c r="D264" s="775"/>
      <c r="E264" s="775"/>
      <c r="F264" s="775"/>
      <c r="G264" s="775"/>
      <c r="H264" s="775"/>
      <c r="I264" s="775"/>
      <c r="J264" s="775"/>
      <c r="K264" s="775"/>
      <c r="M264" s="297"/>
      <c r="N264" s="297"/>
    </row>
    <row r="265" spans="1:14" ht="28.5" customHeight="1">
      <c r="A265" s="363" t="s">
        <v>155</v>
      </c>
      <c r="B265" s="776" t="s">
        <v>840</v>
      </c>
      <c r="C265" s="776"/>
      <c r="D265" s="776"/>
      <c r="E265" s="776"/>
      <c r="F265" s="776"/>
      <c r="G265" s="776"/>
      <c r="H265" s="776"/>
      <c r="I265" s="776"/>
      <c r="J265" s="776"/>
      <c r="K265" s="776"/>
    </row>
    <row r="266" spans="1:14" s="297" customFormat="1">
      <c r="A266" s="363" t="s">
        <v>156</v>
      </c>
      <c r="B266" s="778" t="s">
        <v>684</v>
      </c>
      <c r="C266" s="778"/>
      <c r="D266" s="778"/>
      <c r="E266" s="778"/>
      <c r="F266" s="778"/>
      <c r="G266" s="778"/>
      <c r="H266" s="778"/>
      <c r="I266" s="778"/>
      <c r="J266" s="778"/>
      <c r="K266" s="778"/>
      <c r="M266" s="14"/>
      <c r="N266" s="14"/>
    </row>
    <row r="267" spans="1:14" ht="18.75" customHeight="1">
      <c r="A267" s="363" t="s">
        <v>158</v>
      </c>
      <c r="B267" s="777" t="s">
        <v>653</v>
      </c>
      <c r="C267" s="777"/>
      <c r="D267" s="777"/>
      <c r="E267" s="777"/>
      <c r="F267" s="777"/>
      <c r="G267" s="777"/>
      <c r="H267" s="777"/>
      <c r="I267" s="777"/>
      <c r="J267" s="777"/>
      <c r="K267" s="777"/>
      <c r="M267" s="14"/>
      <c r="N267" s="14"/>
    </row>
    <row r="268" spans="1:14" s="14" customFormat="1" ht="29.25" customHeight="1">
      <c r="A268" s="363" t="s">
        <v>159</v>
      </c>
      <c r="B268" s="771" t="s">
        <v>805</v>
      </c>
      <c r="C268" s="771"/>
      <c r="D268" s="771"/>
      <c r="E268" s="771"/>
      <c r="F268" s="771"/>
      <c r="G268" s="771"/>
      <c r="H268" s="771"/>
      <c r="I268" s="771"/>
      <c r="J268" s="771"/>
      <c r="K268" s="771"/>
    </row>
    <row r="269" spans="1:14" s="14" customFormat="1">
      <c r="A269" s="363" t="s">
        <v>263</v>
      </c>
      <c r="B269" s="393" t="s">
        <v>443</v>
      </c>
      <c r="C269" s="364"/>
      <c r="D269" s="364"/>
      <c r="E269" s="364"/>
      <c r="F269" s="364"/>
      <c r="G269" s="364"/>
      <c r="H269" s="365"/>
      <c r="I269" s="366"/>
      <c r="J269" s="367"/>
      <c r="K269" s="368"/>
      <c r="M269" s="15"/>
      <c r="N269" s="15"/>
    </row>
    <row r="270" spans="1:14" s="14" customFormat="1">
      <c r="A270" s="369" t="s">
        <v>350</v>
      </c>
      <c r="B270" s="369" t="s">
        <v>435</v>
      </c>
      <c r="C270" s="369"/>
      <c r="D270" s="369"/>
      <c r="E270" s="369"/>
      <c r="F270" s="369"/>
      <c r="G270" s="369"/>
      <c r="H270" s="369"/>
      <c r="I270" s="369"/>
      <c r="J270" s="369"/>
      <c r="K270" s="369"/>
      <c r="M270" s="15"/>
      <c r="N270" s="15"/>
    </row>
    <row r="271" spans="1:14">
      <c r="A271" s="15" t="s">
        <v>427</v>
      </c>
      <c r="B271" s="15" t="s">
        <v>445</v>
      </c>
    </row>
    <row r="272" spans="1:14" ht="14.5">
      <c r="A272" s="504" t="s">
        <v>496</v>
      </c>
      <c r="B272" s="297" t="s">
        <v>685</v>
      </c>
    </row>
    <row r="273" spans="1:2">
      <c r="A273" s="15" t="s">
        <v>833</v>
      </c>
      <c r="B273" s="661" t="s">
        <v>831</v>
      </c>
    </row>
    <row r="274" spans="1:2">
      <c r="B274" s="661" t="s">
        <v>832</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251:A255"/>
    <mergeCell ref="B265:K265"/>
    <mergeCell ref="B267:K267"/>
    <mergeCell ref="B251:K251"/>
    <mergeCell ref="B256:K256"/>
    <mergeCell ref="B257:K257"/>
    <mergeCell ref="B258:K258"/>
    <mergeCell ref="B259:K259"/>
    <mergeCell ref="B266:K266"/>
    <mergeCell ref="B268:K268"/>
    <mergeCell ref="B260:K260"/>
    <mergeCell ref="B261:K261"/>
    <mergeCell ref="B262:K262"/>
    <mergeCell ref="B263:K263"/>
    <mergeCell ref="B264:K264"/>
    <mergeCell ref="A57:K57"/>
    <mergeCell ref="A114:K114"/>
    <mergeCell ref="A180:K180"/>
    <mergeCell ref="B250:K250"/>
    <mergeCell ref="A239:K239"/>
    <mergeCell ref="B244:C244"/>
    <mergeCell ref="B245:K245"/>
    <mergeCell ref="B246:K246"/>
    <mergeCell ref="B247:K247"/>
    <mergeCell ref="B248:K248"/>
    <mergeCell ref="B249:K249"/>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109"/>
  <sheetViews>
    <sheetView topLeftCell="A43" zoomScale="85" zoomScaleNormal="85" zoomScaleSheetLayoutView="80" workbookViewId="0">
      <selection activeCell="D23" sqref="D23"/>
    </sheetView>
  </sheetViews>
  <sheetFormatPr defaultColWidth="8.765625" defaultRowHeight="13"/>
  <cols>
    <col min="1" max="1" width="6" style="25" customWidth="1"/>
    <col min="2" max="2" width="1.4609375" style="25" customWidth="1"/>
    <col min="3" max="3" width="36" style="25" customWidth="1"/>
    <col min="4" max="4" width="13.765625" style="25" customWidth="1"/>
    <col min="5" max="5" width="17.53515625" style="25" customWidth="1"/>
    <col min="6" max="6" width="13.07421875" style="25" customWidth="1"/>
    <col min="7" max="7" width="14.4609375" style="25" customWidth="1"/>
    <col min="8" max="8" width="16.23046875" style="25" customWidth="1"/>
    <col min="9" max="9" width="13.765625" style="25" customWidth="1"/>
    <col min="10" max="10" width="14.4609375" style="25" customWidth="1"/>
    <col min="11" max="11" width="13.53515625" style="25" customWidth="1"/>
    <col min="12" max="13" width="15.765625" style="25" customWidth="1"/>
    <col min="14" max="15" width="14.4609375" style="25" customWidth="1"/>
    <col min="16" max="16" width="12.765625" style="25" customWidth="1"/>
    <col min="17" max="17" width="13.765625" style="25" customWidth="1"/>
    <col min="18" max="18" width="9.23046875" style="25" customWidth="1"/>
    <col min="19" max="19" width="13" style="25" customWidth="1"/>
    <col min="20" max="20" width="11.23046875" style="52" bestFit="1" customWidth="1"/>
    <col min="21" max="16384" width="8.765625" style="25"/>
  </cols>
  <sheetData>
    <row r="1" spans="1:21">
      <c r="Q1" s="56"/>
    </row>
    <row r="2" spans="1:21">
      <c r="Q2" s="56"/>
    </row>
    <row r="4" spans="1:21">
      <c r="Q4" s="56"/>
    </row>
    <row r="5" spans="1:21">
      <c r="D5" s="19"/>
      <c r="E5" s="19"/>
      <c r="F5" s="19"/>
      <c r="G5" s="20" t="s">
        <v>231</v>
      </c>
      <c r="H5" s="19"/>
      <c r="I5" s="19"/>
      <c r="J5" s="19"/>
      <c r="K5" s="24"/>
      <c r="L5" s="57"/>
      <c r="M5" s="58"/>
      <c r="N5" s="58"/>
      <c r="O5" s="58"/>
      <c r="P5" s="58"/>
      <c r="Q5" s="58"/>
      <c r="R5" s="26"/>
      <c r="S5" s="26" t="s">
        <v>683</v>
      </c>
      <c r="T5" s="546"/>
      <c r="U5" s="26"/>
    </row>
    <row r="6" spans="1:21">
      <c r="D6" s="19"/>
      <c r="E6" s="22" t="s">
        <v>8</v>
      </c>
      <c r="F6" s="22"/>
      <c r="G6" s="20" t="s">
        <v>230</v>
      </c>
      <c r="H6" s="22"/>
      <c r="I6" s="22"/>
      <c r="J6" s="22"/>
      <c r="K6" s="24"/>
      <c r="P6" s="26"/>
      <c r="Q6" s="24"/>
      <c r="R6" s="26"/>
      <c r="S6" s="60"/>
      <c r="T6" s="546"/>
      <c r="U6" s="26"/>
    </row>
    <row r="7" spans="1:21">
      <c r="C7" s="26"/>
      <c r="D7" s="26"/>
      <c r="E7" s="26"/>
      <c r="F7" s="26"/>
      <c r="G7" s="648" t="str">
        <f>'Attachment H'!$D$5</f>
        <v>NextEra Energy Transmission MidAtlantic, Inc.</v>
      </c>
      <c r="H7" s="26"/>
      <c r="I7" s="26"/>
      <c r="J7" s="26"/>
      <c r="K7" s="26"/>
      <c r="P7" s="26"/>
      <c r="Q7" s="26"/>
      <c r="R7" s="26"/>
      <c r="S7" s="59"/>
      <c r="T7" s="546"/>
      <c r="U7" s="26"/>
    </row>
    <row r="8" spans="1:21">
      <c r="A8" s="20"/>
      <c r="C8" s="26"/>
      <c r="D8" s="26"/>
      <c r="E8" s="26"/>
      <c r="F8" s="26"/>
      <c r="H8" s="26"/>
      <c r="I8" s="26"/>
      <c r="J8" s="26"/>
      <c r="K8" s="26"/>
      <c r="L8" s="26"/>
      <c r="M8" s="26"/>
      <c r="N8" s="26"/>
      <c r="O8" s="26"/>
      <c r="P8" s="26"/>
      <c r="Q8" s="26"/>
      <c r="R8" s="26"/>
      <c r="S8" s="59"/>
      <c r="T8" s="546"/>
      <c r="U8" s="26"/>
    </row>
    <row r="9" spans="1:21">
      <c r="A9" s="20"/>
      <c r="C9" s="26"/>
      <c r="D9" s="26"/>
      <c r="E9" s="26"/>
      <c r="F9" s="26"/>
      <c r="G9" s="61"/>
      <c r="H9" s="26"/>
      <c r="I9" s="26"/>
      <c r="J9" s="26"/>
      <c r="K9" s="26"/>
      <c r="L9" s="26"/>
      <c r="M9" s="26"/>
      <c r="N9" s="26"/>
      <c r="O9" s="26"/>
      <c r="P9" s="26"/>
      <c r="Q9" s="26"/>
      <c r="R9" s="26"/>
      <c r="S9" s="59"/>
      <c r="T9" s="546"/>
      <c r="U9" s="26"/>
    </row>
    <row r="10" spans="1:21">
      <c r="A10" s="20"/>
      <c r="C10" s="26" t="s">
        <v>449</v>
      </c>
      <c r="D10" s="26"/>
      <c r="E10" s="26"/>
      <c r="F10" s="26"/>
      <c r="G10" s="61"/>
      <c r="H10" s="26"/>
      <c r="I10" s="26"/>
      <c r="J10" s="26"/>
      <c r="K10" s="26"/>
      <c r="L10" s="26"/>
      <c r="M10" s="26"/>
      <c r="N10" s="26"/>
      <c r="O10" s="26"/>
      <c r="P10" s="26"/>
      <c r="Q10" s="26"/>
      <c r="R10" s="26"/>
      <c r="S10" s="59"/>
      <c r="T10" s="546"/>
      <c r="U10" s="26"/>
    </row>
    <row r="11" spans="1:21">
      <c r="A11" s="20"/>
      <c r="C11" s="26"/>
      <c r="D11" s="26"/>
      <c r="E11" s="26"/>
      <c r="F11" s="26"/>
      <c r="G11" s="61"/>
      <c r="L11" s="26"/>
      <c r="M11" s="26"/>
      <c r="N11" s="26"/>
      <c r="O11" s="26"/>
      <c r="P11" s="26"/>
      <c r="Q11" s="26"/>
      <c r="R11" s="26"/>
      <c r="S11" s="26"/>
      <c r="T11" s="453"/>
      <c r="U11" s="26"/>
    </row>
    <row r="12" spans="1:21">
      <c r="A12" s="20"/>
      <c r="C12" s="26"/>
      <c r="D12" s="26"/>
      <c r="E12" s="26"/>
      <c r="F12" s="26"/>
      <c r="G12" s="26"/>
      <c r="L12" s="62"/>
      <c r="M12" s="62"/>
      <c r="N12" s="62"/>
      <c r="O12" s="62"/>
      <c r="P12" s="26"/>
      <c r="Q12" s="26"/>
      <c r="R12" s="26"/>
      <c r="S12" s="26"/>
      <c r="T12" s="453"/>
      <c r="U12" s="26"/>
    </row>
    <row r="13" spans="1:21">
      <c r="C13" s="63" t="s">
        <v>9</v>
      </c>
      <c r="D13" s="63"/>
      <c r="E13" s="63" t="s">
        <v>10</v>
      </c>
      <c r="F13" s="63"/>
      <c r="I13" s="63" t="s">
        <v>11</v>
      </c>
      <c r="L13" s="64" t="s">
        <v>12</v>
      </c>
      <c r="M13" s="64"/>
      <c r="N13" s="64"/>
      <c r="O13" s="64"/>
      <c r="P13" s="22"/>
      <c r="Q13" s="64"/>
      <c r="R13" s="22"/>
      <c r="S13" s="64"/>
      <c r="U13" s="65"/>
    </row>
    <row r="14" spans="1:21">
      <c r="C14" s="65"/>
      <c r="D14" s="65"/>
      <c r="E14" s="66" t="s">
        <v>447</v>
      </c>
      <c r="F14" s="66"/>
      <c r="I14" s="22"/>
      <c r="P14" s="22"/>
      <c r="R14" s="22"/>
      <c r="S14" s="63"/>
      <c r="T14" s="119"/>
      <c r="U14" s="65"/>
    </row>
    <row r="15" spans="1:21">
      <c r="A15" s="20" t="s">
        <v>14</v>
      </c>
      <c r="C15" s="65"/>
      <c r="D15" s="65"/>
      <c r="E15" s="67" t="s">
        <v>24</v>
      </c>
      <c r="F15" s="67"/>
      <c r="I15" s="68" t="s">
        <v>23</v>
      </c>
      <c r="L15" s="68" t="s">
        <v>20</v>
      </c>
      <c r="M15" s="68"/>
      <c r="N15" s="68"/>
      <c r="O15" s="68"/>
      <c r="P15" s="22"/>
      <c r="R15" s="26"/>
      <c r="S15" s="69"/>
      <c r="T15" s="119"/>
      <c r="U15" s="65"/>
    </row>
    <row r="16" spans="1:21">
      <c r="A16" s="20" t="s">
        <v>16</v>
      </c>
      <c r="C16" s="70"/>
      <c r="D16" s="70"/>
      <c r="E16" s="22"/>
      <c r="F16" s="22"/>
      <c r="I16" s="22"/>
      <c r="L16" s="22"/>
      <c r="M16" s="22"/>
      <c r="N16" s="22"/>
      <c r="O16" s="22"/>
      <c r="P16" s="22"/>
      <c r="Q16" s="22"/>
      <c r="R16" s="26"/>
      <c r="S16" s="22"/>
      <c r="U16" s="65"/>
    </row>
    <row r="17" spans="1:21">
      <c r="A17" s="71"/>
      <c r="C17" s="65"/>
      <c r="D17" s="65"/>
      <c r="E17" s="22"/>
      <c r="F17" s="22"/>
      <c r="I17" s="22"/>
      <c r="L17" s="22"/>
      <c r="M17" s="22"/>
      <c r="N17" s="22"/>
      <c r="O17" s="22"/>
      <c r="P17" s="22"/>
      <c r="Q17" s="22"/>
      <c r="R17" s="26"/>
      <c r="S17" s="22"/>
      <c r="U17" s="65"/>
    </row>
    <row r="18" spans="1:21">
      <c r="A18" s="23">
        <v>1</v>
      </c>
      <c r="C18" s="65" t="s">
        <v>160</v>
      </c>
      <c r="D18" s="65"/>
      <c r="E18" s="72" t="s">
        <v>720</v>
      </c>
      <c r="F18" s="23"/>
      <c r="I18" s="52">
        <f>+'Attachment H'!I64</f>
        <v>76288908.015384614</v>
      </c>
      <c r="P18" s="22"/>
      <c r="Q18" s="22"/>
      <c r="R18" s="26"/>
      <c r="S18" s="22"/>
      <c r="U18" s="65"/>
    </row>
    <row r="19" spans="1:21">
      <c r="A19" s="23">
        <v>2</v>
      </c>
      <c r="C19" s="65" t="s">
        <v>161</v>
      </c>
      <c r="D19" s="65"/>
      <c r="E19" s="72" t="s">
        <v>589</v>
      </c>
      <c r="F19" s="23"/>
      <c r="I19" s="52">
        <f>+'Attachment H'!I80+'Attachment H'!I93+'Attachment H'!I95</f>
        <v>99973283.623579323</v>
      </c>
      <c r="P19" s="22"/>
      <c r="Q19" s="22"/>
      <c r="R19" s="26"/>
      <c r="S19" s="22"/>
      <c r="U19" s="65"/>
    </row>
    <row r="20" spans="1:21">
      <c r="A20" s="23"/>
      <c r="E20" s="72"/>
      <c r="F20" s="23"/>
      <c r="P20" s="22"/>
      <c r="Q20" s="22"/>
      <c r="R20" s="26"/>
      <c r="S20" s="22"/>
      <c r="U20" s="65"/>
    </row>
    <row r="21" spans="1:21">
      <c r="A21" s="23"/>
      <c r="C21" s="65" t="s">
        <v>162</v>
      </c>
      <c r="D21" s="65"/>
      <c r="E21" s="72"/>
      <c r="F21" s="23"/>
      <c r="I21" s="22"/>
      <c r="L21" s="22"/>
      <c r="M21" s="22"/>
      <c r="N21" s="22"/>
      <c r="O21" s="22"/>
      <c r="P21" s="22"/>
      <c r="Q21" s="22"/>
      <c r="R21" s="22"/>
      <c r="S21" s="22"/>
      <c r="U21" s="65"/>
    </row>
    <row r="22" spans="1:21">
      <c r="A22" s="23">
        <v>3</v>
      </c>
      <c r="C22" s="65" t="s">
        <v>163</v>
      </c>
      <c r="D22" s="65"/>
      <c r="E22" s="72" t="s">
        <v>3</v>
      </c>
      <c r="F22" s="23"/>
      <c r="I22" s="73">
        <f>+'Attachment H'!I134</f>
        <v>8684397.0036520995</v>
      </c>
      <c r="P22" s="22"/>
      <c r="Q22" s="22"/>
      <c r="R22" s="22"/>
      <c r="S22" s="22"/>
      <c r="U22" s="65"/>
    </row>
    <row r="23" spans="1:21">
      <c r="A23" s="23">
        <v>4</v>
      </c>
      <c r="C23" s="65" t="s">
        <v>164</v>
      </c>
      <c r="D23" s="65"/>
      <c r="E23" s="72" t="s">
        <v>165</v>
      </c>
      <c r="F23" s="23"/>
      <c r="I23" s="547">
        <f>IF(I18=0,0,I22/I18)</f>
        <v>0.11383564438883804</v>
      </c>
      <c r="L23" s="548">
        <f>I23</f>
        <v>0.11383564438883804</v>
      </c>
      <c r="M23" s="74"/>
      <c r="N23" s="74"/>
      <c r="O23" s="74"/>
      <c r="P23" s="22"/>
      <c r="Q23" s="75"/>
      <c r="R23" s="76"/>
      <c r="S23" s="77"/>
      <c r="U23" s="65"/>
    </row>
    <row r="24" spans="1:21">
      <c r="A24" s="23"/>
      <c r="C24" s="65"/>
      <c r="D24" s="65"/>
      <c r="E24" s="72"/>
      <c r="F24" s="23"/>
      <c r="I24" s="78"/>
      <c r="L24" s="74"/>
      <c r="M24" s="74"/>
      <c r="N24" s="74"/>
      <c r="O24" s="74"/>
      <c r="P24" s="22"/>
      <c r="Q24" s="75"/>
      <c r="R24" s="76"/>
      <c r="S24" s="77"/>
      <c r="U24" s="65"/>
    </row>
    <row r="25" spans="1:21">
      <c r="A25" s="64"/>
      <c r="C25" s="65" t="s">
        <v>585</v>
      </c>
      <c r="D25" s="65"/>
      <c r="E25" s="289"/>
      <c r="F25" s="55"/>
      <c r="I25" s="22"/>
      <c r="L25" s="22"/>
      <c r="M25" s="22"/>
      <c r="N25" s="22"/>
      <c r="O25" s="22"/>
      <c r="P25" s="22"/>
      <c r="Q25" s="75"/>
      <c r="R25" s="76"/>
      <c r="S25" s="77"/>
      <c r="U25" s="65"/>
    </row>
    <row r="26" spans="1:21">
      <c r="A26" s="64" t="s">
        <v>166</v>
      </c>
      <c r="C26" s="65" t="s">
        <v>587</v>
      </c>
      <c r="D26" s="65"/>
      <c r="E26" s="72" t="s">
        <v>4</v>
      </c>
      <c r="F26" s="23"/>
      <c r="I26" s="73">
        <f>+'Attachment H'!I138+'Attachment H'!I139</f>
        <v>0</v>
      </c>
      <c r="P26" s="22"/>
      <c r="Q26" s="75"/>
      <c r="R26" s="76"/>
      <c r="S26" s="77"/>
      <c r="U26" s="65"/>
    </row>
    <row r="27" spans="1:21">
      <c r="A27" s="64" t="s">
        <v>167</v>
      </c>
      <c r="C27" s="65" t="s">
        <v>586</v>
      </c>
      <c r="D27" s="65"/>
      <c r="E27" s="72" t="s">
        <v>168</v>
      </c>
      <c r="F27" s="23"/>
      <c r="I27" s="53">
        <f>IF(I26=0,0,I26/I18)</f>
        <v>0</v>
      </c>
      <c r="J27" s="53"/>
      <c r="K27" s="53"/>
      <c r="L27" s="79">
        <f>I27</f>
        <v>0</v>
      </c>
      <c r="M27" s="74"/>
      <c r="N27" s="74"/>
      <c r="O27" s="74"/>
      <c r="P27" s="22"/>
      <c r="Q27" s="75"/>
      <c r="R27" s="76"/>
      <c r="S27" s="77"/>
      <c r="U27" s="65"/>
    </row>
    <row r="28" spans="1:21">
      <c r="A28" s="23"/>
      <c r="C28" s="65"/>
      <c r="D28" s="65"/>
      <c r="E28" s="72"/>
      <c r="F28" s="23"/>
      <c r="I28" s="53"/>
      <c r="J28" s="53"/>
      <c r="K28" s="53"/>
      <c r="L28" s="79"/>
      <c r="M28" s="74"/>
      <c r="N28" s="74"/>
      <c r="O28" s="74"/>
      <c r="P28" s="22"/>
      <c r="Q28" s="75"/>
      <c r="R28" s="76"/>
      <c r="S28" s="77"/>
      <c r="U28" s="65"/>
    </row>
    <row r="29" spans="1:21">
      <c r="A29" s="64"/>
      <c r="C29" s="65" t="s">
        <v>169</v>
      </c>
      <c r="D29" s="65"/>
      <c r="E29" s="289"/>
      <c r="F29" s="55"/>
      <c r="I29" s="53"/>
      <c r="J29" s="53"/>
      <c r="K29" s="53"/>
      <c r="L29" s="53"/>
      <c r="M29" s="22"/>
      <c r="N29" s="22"/>
      <c r="O29" s="22"/>
      <c r="P29" s="22"/>
      <c r="Q29" s="22"/>
      <c r="R29" s="22"/>
      <c r="S29" s="22"/>
      <c r="U29" s="65"/>
    </row>
    <row r="30" spans="1:21">
      <c r="A30" s="64" t="s">
        <v>170</v>
      </c>
      <c r="C30" s="65" t="s">
        <v>171</v>
      </c>
      <c r="D30" s="65"/>
      <c r="E30" s="72" t="s">
        <v>561</v>
      </c>
      <c r="F30" s="23"/>
      <c r="I30" s="53">
        <f>+'Attachment H'!I152</f>
        <v>1783302.9600000002</v>
      </c>
      <c r="J30" s="53"/>
      <c r="K30" s="53"/>
      <c r="L30" s="53"/>
      <c r="P30" s="22"/>
      <c r="Q30" s="69"/>
      <c r="R30" s="22"/>
      <c r="S30" s="23"/>
      <c r="T30" s="119"/>
      <c r="U30" s="65"/>
    </row>
    <row r="31" spans="1:21">
      <c r="A31" s="64" t="s">
        <v>172</v>
      </c>
      <c r="C31" s="65" t="s">
        <v>173</v>
      </c>
      <c r="D31" s="65"/>
      <c r="E31" s="72" t="s">
        <v>174</v>
      </c>
      <c r="F31" s="23"/>
      <c r="I31" s="53">
        <f>IF(I30=0,0,I30/I18)</f>
        <v>2.3375651931475738E-2</v>
      </c>
      <c r="J31" s="53"/>
      <c r="K31" s="53"/>
      <c r="L31" s="79">
        <f>I31</f>
        <v>2.3375651931475738E-2</v>
      </c>
      <c r="M31" s="74"/>
      <c r="N31" s="74"/>
      <c r="O31" s="74"/>
      <c r="P31" s="22"/>
      <c r="Q31" s="75"/>
      <c r="R31" s="22"/>
      <c r="S31" s="77"/>
      <c r="T31" s="119"/>
      <c r="U31" s="65"/>
    </row>
    <row r="32" spans="1:21">
      <c r="A32" s="64"/>
      <c r="C32" s="65"/>
      <c r="D32" s="65"/>
      <c r="E32" s="72"/>
      <c r="F32" s="23"/>
      <c r="I32" s="22"/>
      <c r="L32" s="22"/>
      <c r="M32" s="22"/>
      <c r="N32" s="22"/>
      <c r="O32" s="22"/>
      <c r="P32" s="22"/>
      <c r="U32" s="65"/>
    </row>
    <row r="33" spans="1:21">
      <c r="A33" s="64" t="s">
        <v>175</v>
      </c>
      <c r="C33" s="65" t="s">
        <v>222</v>
      </c>
      <c r="D33" s="65"/>
      <c r="E33" s="72" t="s">
        <v>5</v>
      </c>
      <c r="F33" s="23"/>
      <c r="I33" s="52">
        <f>-'Attachment H'!I19</f>
        <v>0</v>
      </c>
      <c r="L33" s="22"/>
      <c r="M33" s="22"/>
      <c r="N33" s="22"/>
      <c r="O33" s="22"/>
      <c r="P33" s="22"/>
      <c r="U33" s="65"/>
    </row>
    <row r="34" spans="1:21">
      <c r="A34" s="64" t="s">
        <v>178</v>
      </c>
      <c r="C34" s="65" t="s">
        <v>552</v>
      </c>
      <c r="D34" s="65"/>
      <c r="E34" s="72" t="s">
        <v>216</v>
      </c>
      <c r="F34" s="23"/>
      <c r="I34" s="80">
        <f>IF(L18=0,0,I33/I18)</f>
        <v>0</v>
      </c>
      <c r="L34" s="53">
        <f>+I34</f>
        <v>0</v>
      </c>
      <c r="M34" s="22"/>
      <c r="N34" s="22"/>
      <c r="O34" s="22"/>
      <c r="P34" s="22"/>
      <c r="U34" s="65"/>
    </row>
    <row r="35" spans="1:21">
      <c r="A35" s="64"/>
      <c r="C35" s="65"/>
      <c r="D35" s="65"/>
      <c r="E35" s="72"/>
      <c r="F35" s="23"/>
      <c r="I35" s="22"/>
      <c r="L35" s="22"/>
      <c r="M35" s="22"/>
      <c r="N35" s="22"/>
      <c r="O35" s="22"/>
      <c r="P35" s="22"/>
      <c r="U35" s="65"/>
    </row>
    <row r="36" spans="1:21">
      <c r="A36" s="81" t="s">
        <v>179</v>
      </c>
      <c r="B36" s="82"/>
      <c r="C36" s="70" t="s">
        <v>176</v>
      </c>
      <c r="D36" s="70"/>
      <c r="E36" s="83" t="s">
        <v>217</v>
      </c>
      <c r="F36" s="66"/>
      <c r="I36" s="76"/>
      <c r="L36" s="549">
        <f>L23+L27+L31+L34</f>
        <v>0.13721129632031379</v>
      </c>
      <c r="M36" s="85"/>
      <c r="N36" s="85"/>
      <c r="O36" s="85"/>
      <c r="P36" s="22"/>
      <c r="U36" s="65"/>
    </row>
    <row r="37" spans="1:21">
      <c r="A37" s="64"/>
      <c r="C37" s="65"/>
      <c r="D37" s="65"/>
      <c r="E37" s="72"/>
      <c r="F37" s="23"/>
      <c r="I37" s="22"/>
      <c r="L37" s="22"/>
      <c r="M37" s="22"/>
      <c r="N37" s="22"/>
      <c r="O37" s="22"/>
      <c r="P37" s="22"/>
      <c r="Q37" s="22"/>
      <c r="R37" s="22"/>
      <c r="S37" s="86"/>
      <c r="U37" s="65"/>
    </row>
    <row r="38" spans="1:21">
      <c r="A38" s="64"/>
      <c r="B38" s="87"/>
      <c r="C38" s="22" t="s">
        <v>177</v>
      </c>
      <c r="D38" s="22"/>
      <c r="E38" s="72"/>
      <c r="F38" s="23"/>
      <c r="I38" s="22"/>
      <c r="L38" s="22"/>
      <c r="M38" s="22"/>
      <c r="N38" s="22"/>
      <c r="O38" s="22"/>
      <c r="P38" s="88"/>
      <c r="Q38" s="87"/>
      <c r="T38" s="119"/>
      <c r="U38" s="22" t="s">
        <v>8</v>
      </c>
    </row>
    <row r="39" spans="1:21">
      <c r="A39" s="64" t="s">
        <v>181</v>
      </c>
      <c r="B39" s="87"/>
      <c r="C39" s="22" t="s">
        <v>50</v>
      </c>
      <c r="D39" s="22"/>
      <c r="E39" s="72" t="s">
        <v>562</v>
      </c>
      <c r="F39" s="23"/>
      <c r="I39" s="52">
        <f>+'Attachment H'!I167</f>
        <v>2281098.7540306216</v>
      </c>
      <c r="L39" s="22"/>
      <c r="M39" s="22"/>
      <c r="N39" s="22"/>
      <c r="O39" s="22"/>
      <c r="P39" s="88"/>
      <c r="Q39" s="87"/>
      <c r="T39" s="119"/>
      <c r="U39" s="22"/>
    </row>
    <row r="40" spans="1:21">
      <c r="A40" s="64" t="s">
        <v>183</v>
      </c>
      <c r="B40" s="87"/>
      <c r="C40" s="22" t="s">
        <v>180</v>
      </c>
      <c r="D40" s="22"/>
      <c r="E40" s="72" t="s">
        <v>185</v>
      </c>
      <c r="F40" s="23"/>
      <c r="I40" s="53">
        <f>IF(I19=0,0,I39/I19)</f>
        <v>2.2817083438205786E-2</v>
      </c>
      <c r="L40" s="79">
        <f>I40</f>
        <v>2.2817083438205786E-2</v>
      </c>
      <c r="M40" s="74"/>
      <c r="N40" s="74"/>
      <c r="O40" s="74"/>
      <c r="P40" s="88"/>
      <c r="Q40" s="87"/>
      <c r="R40" s="22"/>
      <c r="S40" s="22"/>
      <c r="T40" s="119"/>
      <c r="U40" s="22"/>
    </row>
    <row r="41" spans="1:21">
      <c r="A41" s="64"/>
      <c r="C41" s="22"/>
      <c r="D41" s="22"/>
      <c r="E41" s="72"/>
      <c r="F41" s="23"/>
      <c r="I41" s="22"/>
      <c r="L41" s="22"/>
      <c r="M41" s="22"/>
      <c r="N41" s="22"/>
      <c r="O41" s="22"/>
      <c r="P41" s="22"/>
      <c r="R41" s="26"/>
      <c r="S41" s="22"/>
      <c r="T41" s="453"/>
      <c r="U41" s="65"/>
    </row>
    <row r="42" spans="1:21">
      <c r="A42" s="64"/>
      <c r="C42" s="65" t="s">
        <v>51</v>
      </c>
      <c r="D42" s="65"/>
      <c r="E42" s="89"/>
      <c r="F42" s="90"/>
      <c r="P42" s="22"/>
      <c r="R42" s="22"/>
      <c r="S42" s="22"/>
      <c r="U42" s="65"/>
    </row>
    <row r="43" spans="1:21">
      <c r="A43" s="64" t="s">
        <v>186</v>
      </c>
      <c r="C43" s="65" t="s">
        <v>182</v>
      </c>
      <c r="D43" s="65"/>
      <c r="E43" s="72" t="s">
        <v>563</v>
      </c>
      <c r="F43" s="23"/>
      <c r="I43" s="52">
        <f>+'Attachment H'!I170</f>
        <v>9829910.4668199159</v>
      </c>
      <c r="L43" s="22"/>
      <c r="M43" s="22"/>
      <c r="N43" s="22"/>
      <c r="O43" s="22"/>
      <c r="P43" s="22"/>
      <c r="R43" s="22"/>
      <c r="S43" s="22"/>
      <c r="U43" s="65"/>
    </row>
    <row r="44" spans="1:21">
      <c r="A44" s="64" t="s">
        <v>214</v>
      </c>
      <c r="B44" s="87"/>
      <c r="C44" s="22" t="s">
        <v>184</v>
      </c>
      <c r="D44" s="22"/>
      <c r="E44" s="72" t="s">
        <v>588</v>
      </c>
      <c r="F44" s="23"/>
      <c r="I44" s="53">
        <f>IF(I19=0,0,I43/I19)</f>
        <v>9.8325373645139227E-2</v>
      </c>
      <c r="L44" s="79">
        <f>I44</f>
        <v>9.8325373645139227E-2</v>
      </c>
      <c r="M44" s="74"/>
      <c r="N44" s="74"/>
      <c r="O44" s="74"/>
      <c r="P44" s="22"/>
      <c r="S44" s="91"/>
      <c r="T44" s="119"/>
      <c r="U44" s="22"/>
    </row>
    <row r="45" spans="1:21">
      <c r="A45" s="64"/>
      <c r="C45" s="65"/>
      <c r="D45" s="65"/>
      <c r="E45" s="72"/>
      <c r="F45" s="23"/>
      <c r="I45" s="22"/>
      <c r="L45" s="22"/>
      <c r="M45" s="22"/>
      <c r="N45" s="22"/>
      <c r="O45" s="22"/>
      <c r="P45" s="22"/>
      <c r="Q45" s="90"/>
      <c r="R45" s="22"/>
      <c r="S45" s="22"/>
      <c r="U45" s="65"/>
    </row>
    <row r="46" spans="1:21">
      <c r="A46" s="81" t="s">
        <v>215</v>
      </c>
      <c r="B46" s="82"/>
      <c r="C46" s="70" t="s">
        <v>187</v>
      </c>
      <c r="D46" s="70"/>
      <c r="E46" s="83" t="s">
        <v>218</v>
      </c>
      <c r="F46" s="66"/>
      <c r="I46" s="53">
        <f>+I44+I40</f>
        <v>0.12114245708334501</v>
      </c>
      <c r="L46" s="84">
        <f>L40+L44</f>
        <v>0.12114245708334501</v>
      </c>
      <c r="M46" s="85"/>
      <c r="N46" s="85"/>
      <c r="O46" s="85"/>
      <c r="P46" s="22"/>
      <c r="Q46" s="90"/>
      <c r="R46" s="22"/>
      <c r="S46" s="22"/>
      <c r="U46" s="65"/>
    </row>
    <row r="47" spans="1:21">
      <c r="P47" s="92"/>
      <c r="Q47" s="92"/>
      <c r="R47" s="22"/>
      <c r="S47" s="22"/>
      <c r="U47" s="65"/>
    </row>
    <row r="48" spans="1:21">
      <c r="P48" s="92"/>
      <c r="Q48" s="92"/>
      <c r="R48" s="22"/>
      <c r="S48" s="22"/>
      <c r="U48" s="65"/>
    </row>
    <row r="49" spans="1:21">
      <c r="A49" s="93"/>
      <c r="C49" s="64"/>
      <c r="D49" s="64"/>
      <c r="E49" s="55"/>
      <c r="F49" s="55"/>
      <c r="G49" s="22"/>
      <c r="J49" s="78"/>
      <c r="P49" s="22"/>
      <c r="Q49" s="75"/>
      <c r="R49" s="94"/>
      <c r="S49" s="22"/>
      <c r="T49" s="119"/>
      <c r="U49" s="22"/>
    </row>
    <row r="50" spans="1:21">
      <c r="A50" s="20"/>
      <c r="G50" s="22"/>
      <c r="P50" s="22"/>
      <c r="Q50" s="22"/>
      <c r="R50" s="22"/>
      <c r="S50" s="22"/>
      <c r="T50" s="119"/>
      <c r="U50" s="22" t="s">
        <v>8</v>
      </c>
    </row>
    <row r="51" spans="1:21">
      <c r="Q51" s="56"/>
    </row>
    <row r="52" spans="1:21">
      <c r="Q52" s="56"/>
    </row>
    <row r="54" spans="1:21">
      <c r="A54" s="20"/>
      <c r="G54" s="22"/>
      <c r="P54" s="22"/>
      <c r="Q54" s="56"/>
      <c r="R54" s="22"/>
      <c r="S54" s="26"/>
      <c r="U54" s="65"/>
    </row>
    <row r="55" spans="1:21">
      <c r="A55" s="20"/>
      <c r="C55" s="65"/>
      <c r="D55" s="65"/>
      <c r="G55" s="55" t="str">
        <f>+G5</f>
        <v>Attachment 1</v>
      </c>
      <c r="H55" s="55"/>
      <c r="P55" s="22"/>
      <c r="Q55" s="56"/>
      <c r="R55" s="22"/>
      <c r="S55" s="25" t="s">
        <v>188</v>
      </c>
      <c r="U55" s="65"/>
    </row>
    <row r="56" spans="1:21">
      <c r="A56" s="20"/>
      <c r="C56" s="65"/>
      <c r="D56" s="65"/>
      <c r="G56" s="55" t="str">
        <f>+G6</f>
        <v>Project Revenue Requirement Worksheet</v>
      </c>
      <c r="H56" s="55"/>
      <c r="L56" s="22"/>
      <c r="M56" s="22"/>
      <c r="N56" s="22"/>
      <c r="O56" s="22"/>
      <c r="P56" s="22"/>
      <c r="R56" s="22"/>
      <c r="S56" s="26"/>
      <c r="U56" s="65"/>
    </row>
    <row r="57" spans="1:21" ht="14.25" customHeight="1">
      <c r="A57" s="20"/>
      <c r="G57" s="648" t="str">
        <f>'Attachment H'!$D$5</f>
        <v>NextEra Energy Transmission MidAtlantic, Inc.</v>
      </c>
      <c r="P57" s="22"/>
      <c r="R57" s="22"/>
      <c r="S57" s="26"/>
      <c r="U57" s="65"/>
    </row>
    <row r="58" spans="1:21">
      <c r="A58" s="20"/>
      <c r="H58" s="55"/>
      <c r="P58" s="22"/>
      <c r="Q58" s="22"/>
      <c r="R58" s="22"/>
      <c r="S58" s="26"/>
      <c r="U58" s="65"/>
    </row>
    <row r="59" spans="1:21">
      <c r="A59" s="20"/>
      <c r="E59" s="65"/>
      <c r="F59" s="65"/>
      <c r="G59" s="65"/>
      <c r="H59" s="65"/>
      <c r="I59" s="65"/>
      <c r="J59" s="65"/>
      <c r="K59" s="65"/>
      <c r="L59" s="65"/>
      <c r="M59" s="65"/>
      <c r="N59" s="65"/>
      <c r="O59" s="65"/>
      <c r="P59" s="65"/>
      <c r="Q59" s="65"/>
      <c r="R59" s="22"/>
      <c r="S59" s="26"/>
      <c r="U59" s="65"/>
    </row>
    <row r="60" spans="1:21">
      <c r="A60" s="20"/>
      <c r="E60" s="70"/>
      <c r="F60" s="70"/>
      <c r="H60" s="26"/>
      <c r="I60" s="26"/>
      <c r="J60" s="26"/>
      <c r="K60" s="26"/>
      <c r="L60" s="26"/>
      <c r="M60" s="26"/>
      <c r="N60" s="26"/>
      <c r="O60" s="26"/>
      <c r="P60" s="22"/>
      <c r="Q60" s="22"/>
      <c r="R60" s="22"/>
      <c r="S60" s="26"/>
      <c r="U60" s="65"/>
    </row>
    <row r="61" spans="1:21">
      <c r="A61" s="20"/>
      <c r="E61" s="70"/>
      <c r="F61" s="70"/>
      <c r="H61" s="26"/>
      <c r="I61" s="26"/>
      <c r="J61" s="26"/>
      <c r="K61" s="26"/>
      <c r="L61" s="26"/>
      <c r="M61" s="26"/>
      <c r="N61" s="26"/>
      <c r="O61" s="26"/>
      <c r="P61" s="22"/>
      <c r="Q61" s="22"/>
      <c r="R61" s="22"/>
      <c r="S61" s="26"/>
      <c r="U61" s="65"/>
    </row>
    <row r="62" spans="1:21">
      <c r="A62" s="20"/>
      <c r="C62" s="95">
        <v>-1</v>
      </c>
      <c r="D62" s="95">
        <v>-2</v>
      </c>
      <c r="E62" s="95">
        <v>-3</v>
      </c>
      <c r="F62" s="95">
        <v>-4</v>
      </c>
      <c r="G62" s="95">
        <v>-5</v>
      </c>
      <c r="H62" s="95">
        <v>-6</v>
      </c>
      <c r="I62" s="95">
        <v>-7</v>
      </c>
      <c r="J62" s="95">
        <v>-8</v>
      </c>
      <c r="K62" s="95">
        <v>-9</v>
      </c>
      <c r="L62" s="95">
        <v>-10</v>
      </c>
      <c r="M62" s="95">
        <v>-11</v>
      </c>
      <c r="N62" s="95">
        <v>-12</v>
      </c>
      <c r="O62" s="95" t="s">
        <v>486</v>
      </c>
      <c r="P62" s="95">
        <v>-13</v>
      </c>
      <c r="Q62" s="287" t="s">
        <v>404</v>
      </c>
      <c r="R62" s="287" t="s">
        <v>405</v>
      </c>
      <c r="S62" s="287" t="s">
        <v>437</v>
      </c>
      <c r="U62" s="65"/>
    </row>
    <row r="63" spans="1:21" ht="53.25" customHeight="1">
      <c r="A63" s="96" t="s">
        <v>189</v>
      </c>
      <c r="B63" s="97"/>
      <c r="C63" s="618" t="s">
        <v>775</v>
      </c>
      <c r="D63" s="98" t="s">
        <v>772</v>
      </c>
      <c r="E63" s="99" t="s">
        <v>190</v>
      </c>
      <c r="F63" s="99" t="s">
        <v>176</v>
      </c>
      <c r="G63" s="100" t="s">
        <v>191</v>
      </c>
      <c r="H63" s="99" t="s">
        <v>719</v>
      </c>
      <c r="I63" s="99" t="s">
        <v>187</v>
      </c>
      <c r="J63" s="100" t="s">
        <v>192</v>
      </c>
      <c r="K63" s="99" t="s">
        <v>219</v>
      </c>
      <c r="L63" s="101" t="s">
        <v>193</v>
      </c>
      <c r="M63" s="101" t="s">
        <v>221</v>
      </c>
      <c r="N63" s="101" t="s">
        <v>220</v>
      </c>
      <c r="O63" s="101" t="s">
        <v>484</v>
      </c>
      <c r="P63" s="101" t="s">
        <v>793</v>
      </c>
      <c r="Q63" s="101" t="s">
        <v>229</v>
      </c>
      <c r="R63" s="101" t="s">
        <v>194</v>
      </c>
      <c r="S63" s="101" t="s">
        <v>593</v>
      </c>
      <c r="U63" s="65"/>
    </row>
    <row r="64" spans="1:21" ht="46.5" customHeight="1">
      <c r="A64" s="102"/>
      <c r="B64" s="103"/>
      <c r="C64" s="103"/>
      <c r="D64" s="103"/>
      <c r="E64" s="104" t="s">
        <v>128</v>
      </c>
      <c r="F64" s="104" t="s">
        <v>420</v>
      </c>
      <c r="G64" s="105" t="s">
        <v>195</v>
      </c>
      <c r="H64" s="104" t="s">
        <v>482</v>
      </c>
      <c r="I64" s="104" t="s">
        <v>421</v>
      </c>
      <c r="J64" s="105" t="s">
        <v>196</v>
      </c>
      <c r="K64" s="104" t="s">
        <v>483</v>
      </c>
      <c r="L64" s="105" t="s">
        <v>197</v>
      </c>
      <c r="M64" s="104" t="s">
        <v>471</v>
      </c>
      <c r="N64" s="427" t="s">
        <v>592</v>
      </c>
      <c r="O64" s="106" t="s">
        <v>485</v>
      </c>
      <c r="P64" s="319" t="s">
        <v>440</v>
      </c>
      <c r="Q64" s="106" t="s">
        <v>438</v>
      </c>
      <c r="R64" s="107" t="s">
        <v>198</v>
      </c>
      <c r="S64" s="106" t="s">
        <v>439</v>
      </c>
      <c r="U64" s="65"/>
    </row>
    <row r="65" spans="1:24">
      <c r="A65" s="108"/>
      <c r="B65" s="26"/>
      <c r="C65" s="26"/>
      <c r="D65" s="26"/>
      <c r="E65" s="26"/>
      <c r="F65" s="26"/>
      <c r="G65" s="109"/>
      <c r="H65" s="26"/>
      <c r="I65" s="26"/>
      <c r="J65" s="109"/>
      <c r="K65" s="26"/>
      <c r="L65" s="109"/>
      <c r="M65" s="425"/>
      <c r="N65" s="109"/>
      <c r="O65" s="109"/>
      <c r="P65" s="26"/>
      <c r="Q65" s="318"/>
      <c r="R65" s="22"/>
      <c r="S65" s="110"/>
      <c r="U65" s="65"/>
    </row>
    <row r="66" spans="1:24">
      <c r="A66" s="111" t="s">
        <v>548</v>
      </c>
      <c r="B66" s="112"/>
      <c r="C66" s="113" t="s">
        <v>846</v>
      </c>
      <c r="D66" s="114" t="s">
        <v>854</v>
      </c>
      <c r="E66" s="115">
        <f>+'4- Rate Base'!$C$24*0.903</f>
        <v>68888883.937892303</v>
      </c>
      <c r="F66" s="53">
        <f t="shared" ref="F66:F84" si="0">$L$36</f>
        <v>0.13721129632031379</v>
      </c>
      <c r="G66" s="116">
        <f t="shared" ref="G66:G84" si="1">E66*F66</f>
        <v>9452333.0671778452</v>
      </c>
      <c r="H66" s="115">
        <f>(+'4- Rate Base'!$C$24-'4- Rate Base'!$I$24)*0.903</f>
        <v>66010154.97220847</v>
      </c>
      <c r="I66" s="53">
        <f>$L$46</f>
        <v>0.12114245708334501</v>
      </c>
      <c r="J66" s="389">
        <f>H66*I66</f>
        <v>7996632.365785718</v>
      </c>
      <c r="K66" s="204">
        <f>+'5-P3 Support'!$M$24*0.903</f>
        <v>1740540.2296800001</v>
      </c>
      <c r="L66" s="389">
        <f>G66+J66+K66</f>
        <v>19189505.662643567</v>
      </c>
      <c r="M66" s="426">
        <v>0</v>
      </c>
      <c r="N66" s="389">
        <f>+'2-Incentive ROE'!K$40*'1-Project Rev Req'!M66/100</f>
        <v>0</v>
      </c>
      <c r="O66" s="389">
        <f>+L66+N66</f>
        <v>19189505.662643567</v>
      </c>
      <c r="P66" s="204">
        <v>0</v>
      </c>
      <c r="Q66" s="389">
        <f t="shared" ref="Q66:Q84" si="2">+L66+N66-P66</f>
        <v>19189505.662643567</v>
      </c>
      <c r="R66" s="204">
        <f>'3-Project True-up'!$K$18</f>
        <v>9486536.6686785333</v>
      </c>
      <c r="S66" s="389">
        <f>+Q66+R66</f>
        <v>28676042.3313221</v>
      </c>
    </row>
    <row r="67" spans="1:24">
      <c r="A67" s="111" t="s">
        <v>549</v>
      </c>
      <c r="B67" s="112"/>
      <c r="C67" s="113" t="s">
        <v>847</v>
      </c>
      <c r="D67" s="114" t="s">
        <v>855</v>
      </c>
      <c r="E67" s="115">
        <f>+'4- Rate Base'!$C$24*0.097</f>
        <v>7400024.0774923079</v>
      </c>
      <c r="F67" s="53">
        <f t="shared" si="0"/>
        <v>0.13721129632031379</v>
      </c>
      <c r="G67" s="116">
        <f t="shared" si="1"/>
        <v>1015366.8964742537</v>
      </c>
      <c r="H67" s="115">
        <f>(+'4- Rate Base'!$C$24-'4- Rate Base'!$I$24)*0.097</f>
        <v>7090791.8408684619</v>
      </c>
      <c r="I67" s="53">
        <f t="shared" ref="I67:I84" si="3">$L$46</f>
        <v>0.12114245708334501</v>
      </c>
      <c r="J67" s="389">
        <f t="shared" ref="J67:J84" si="4">H67*I67</f>
        <v>858995.94626934058</v>
      </c>
      <c r="K67" s="204">
        <f>+'5-P3 Support'!$M$24*0.097</f>
        <v>186968.33032000001</v>
      </c>
      <c r="L67" s="389">
        <f t="shared" ref="L67:L84" si="5">G67+J67+K67</f>
        <v>2061331.1730635941</v>
      </c>
      <c r="M67" s="426">
        <v>0</v>
      </c>
      <c r="N67" s="389">
        <f>+'2-Incentive ROE'!K$40*'1-Project Rev Req'!M67/100</f>
        <v>0</v>
      </c>
      <c r="O67" s="389">
        <f t="shared" ref="O67:O84" si="6">+L67+N67</f>
        <v>2061331.1730635941</v>
      </c>
      <c r="P67" s="204">
        <v>0</v>
      </c>
      <c r="Q67" s="389">
        <f t="shared" si="2"/>
        <v>2061331.1730635941</v>
      </c>
      <c r="R67" s="204">
        <f>'3-Project True-up'!$K$19</f>
        <v>1052495.2590765213</v>
      </c>
      <c r="S67" s="389">
        <f>+Q67+R67</f>
        <v>3113826.4321401156</v>
      </c>
      <c r="X67" s="552"/>
    </row>
    <row r="68" spans="1:24">
      <c r="A68" s="111" t="s">
        <v>550</v>
      </c>
      <c r="B68" s="112"/>
      <c r="C68" s="113" t="s">
        <v>848</v>
      </c>
      <c r="D68" s="114" t="s">
        <v>853</v>
      </c>
      <c r="E68" s="115">
        <v>0</v>
      </c>
      <c r="F68" s="53">
        <f t="shared" si="0"/>
        <v>0.13721129632031379</v>
      </c>
      <c r="G68" s="116">
        <f t="shared" si="1"/>
        <v>0</v>
      </c>
      <c r="H68" s="115">
        <f>'4- Rate Base'!E24*0.97036</f>
        <v>26075840.747439113</v>
      </c>
      <c r="I68" s="53">
        <f t="shared" si="3"/>
        <v>0.12114245708334501</v>
      </c>
      <c r="J68" s="389">
        <f>H68*I68</f>
        <v>3158891.4186587818</v>
      </c>
      <c r="K68" s="204">
        <v>0</v>
      </c>
      <c r="L68" s="389">
        <f>G68+J68+K68</f>
        <v>3158891.4186587818</v>
      </c>
      <c r="M68" s="426">
        <v>0</v>
      </c>
      <c r="N68" s="389">
        <f>+'2-Incentive ROE'!K$40*'1-Project Rev Req'!M68/100</f>
        <v>0</v>
      </c>
      <c r="O68" s="389">
        <f t="shared" si="6"/>
        <v>3158891.4186587818</v>
      </c>
      <c r="P68" s="204">
        <v>0</v>
      </c>
      <c r="Q68" s="389">
        <f t="shared" si="2"/>
        <v>3158891.4186587818</v>
      </c>
      <c r="R68" s="204">
        <f>'3-Project True-up'!$K$20</f>
        <v>827455.86926344433</v>
      </c>
      <c r="S68" s="389">
        <f>+Q68+R68</f>
        <v>3986347.2879222259</v>
      </c>
    </row>
    <row r="69" spans="1:24">
      <c r="A69" s="111" t="s">
        <v>859</v>
      </c>
      <c r="B69" s="112"/>
      <c r="C69" s="113" t="s">
        <v>848</v>
      </c>
      <c r="D69" s="114" t="s">
        <v>860</v>
      </c>
      <c r="E69" s="115">
        <v>0</v>
      </c>
      <c r="F69" s="53">
        <f t="shared" si="0"/>
        <v>0.13721129632031379</v>
      </c>
      <c r="G69" s="116">
        <f t="shared" si="1"/>
        <v>0</v>
      </c>
      <c r="H69" s="115">
        <f>'4- Rate Base'!E24*0.02964</f>
        <v>796496.06306329125</v>
      </c>
      <c r="I69" s="53">
        <f t="shared" si="3"/>
        <v>0.12114245708334501</v>
      </c>
      <c r="J69" s="389">
        <f t="shared" si="4"/>
        <v>96489.490136698019</v>
      </c>
      <c r="K69" s="204">
        <v>0</v>
      </c>
      <c r="L69" s="389">
        <f t="shared" si="5"/>
        <v>96489.490136698019</v>
      </c>
      <c r="M69" s="426">
        <v>0</v>
      </c>
      <c r="N69" s="389">
        <f>+'2-Incentive ROE'!K$40*'1-Project Rev Req'!M69/100</f>
        <v>0</v>
      </c>
      <c r="O69" s="389">
        <f t="shared" si="6"/>
        <v>96489.490136698019</v>
      </c>
      <c r="P69" s="204">
        <v>0</v>
      </c>
      <c r="Q69" s="389">
        <f t="shared" si="2"/>
        <v>96489.490136698019</v>
      </c>
      <c r="R69" s="204">
        <f>'3-Project True-up'!$K$21</f>
        <v>25274.941222812653</v>
      </c>
      <c r="S69" s="389">
        <f>+Q69+R69</f>
        <v>121764.43135951067</v>
      </c>
    </row>
    <row r="70" spans="1:24">
      <c r="A70" s="111" t="s">
        <v>875</v>
      </c>
      <c r="B70" s="112"/>
      <c r="C70" s="113" t="s">
        <v>848</v>
      </c>
      <c r="D70" s="114" t="s">
        <v>861</v>
      </c>
      <c r="E70" s="115">
        <v>0</v>
      </c>
      <c r="F70" s="53">
        <f t="shared" si="0"/>
        <v>0.13721129632031379</v>
      </c>
      <c r="G70" s="116">
        <f t="shared" si="1"/>
        <v>0</v>
      </c>
      <c r="H70" s="115">
        <v>0</v>
      </c>
      <c r="I70" s="53">
        <f t="shared" si="3"/>
        <v>0.12114245708334501</v>
      </c>
      <c r="J70" s="389">
        <f t="shared" si="4"/>
        <v>0</v>
      </c>
      <c r="K70" s="204">
        <v>0</v>
      </c>
      <c r="L70" s="389">
        <f t="shared" si="5"/>
        <v>0</v>
      </c>
      <c r="M70" s="426">
        <v>0</v>
      </c>
      <c r="N70" s="389">
        <f>+'2-Incentive ROE'!K$40*'1-Project Rev Req'!M70/100</f>
        <v>0</v>
      </c>
      <c r="O70" s="389">
        <f t="shared" si="6"/>
        <v>0</v>
      </c>
      <c r="P70" s="204">
        <v>0</v>
      </c>
      <c r="Q70" s="389">
        <f t="shared" si="2"/>
        <v>0</v>
      </c>
      <c r="R70" s="204">
        <v>0</v>
      </c>
      <c r="S70" s="389">
        <f>+Q70+R70</f>
        <v>0</v>
      </c>
    </row>
    <row r="71" spans="1:24">
      <c r="A71" s="111" t="s">
        <v>876</v>
      </c>
      <c r="B71" s="112"/>
      <c r="C71" s="113" t="s">
        <v>848</v>
      </c>
      <c r="D71" s="114" t="s">
        <v>862</v>
      </c>
      <c r="E71" s="115">
        <v>0</v>
      </c>
      <c r="F71" s="53">
        <f t="shared" si="0"/>
        <v>0.13721129632031379</v>
      </c>
      <c r="G71" s="116">
        <f t="shared" si="1"/>
        <v>0</v>
      </c>
      <c r="H71" s="115">
        <v>0</v>
      </c>
      <c r="I71" s="53">
        <f t="shared" si="3"/>
        <v>0.12114245708334501</v>
      </c>
      <c r="J71" s="389">
        <f t="shared" si="4"/>
        <v>0</v>
      </c>
      <c r="K71" s="204">
        <v>0</v>
      </c>
      <c r="L71" s="389">
        <f t="shared" si="5"/>
        <v>0</v>
      </c>
      <c r="M71" s="426">
        <v>0</v>
      </c>
      <c r="N71" s="389">
        <f>+'2-Incentive ROE'!K$40*'1-Project Rev Req'!M71/100</f>
        <v>0</v>
      </c>
      <c r="O71" s="389">
        <f t="shared" si="6"/>
        <v>0</v>
      </c>
      <c r="P71" s="204">
        <v>0</v>
      </c>
      <c r="Q71" s="389">
        <f t="shared" si="2"/>
        <v>0</v>
      </c>
      <c r="R71" s="204">
        <v>0</v>
      </c>
      <c r="S71" s="389">
        <f t="shared" ref="S71:S85" si="7">L71+R71</f>
        <v>0</v>
      </c>
    </row>
    <row r="72" spans="1:24">
      <c r="A72" s="111" t="s">
        <v>877</v>
      </c>
      <c r="B72" s="112"/>
      <c r="C72" s="113" t="s">
        <v>848</v>
      </c>
      <c r="D72" s="114" t="s">
        <v>863</v>
      </c>
      <c r="E72" s="115">
        <v>0</v>
      </c>
      <c r="F72" s="53">
        <f t="shared" si="0"/>
        <v>0.13721129632031379</v>
      </c>
      <c r="G72" s="116">
        <f t="shared" si="1"/>
        <v>0</v>
      </c>
      <c r="H72" s="115">
        <v>0</v>
      </c>
      <c r="I72" s="53">
        <f t="shared" si="3"/>
        <v>0.12114245708334501</v>
      </c>
      <c r="J72" s="389">
        <f t="shared" si="4"/>
        <v>0</v>
      </c>
      <c r="K72" s="204">
        <v>0</v>
      </c>
      <c r="L72" s="389">
        <f t="shared" si="5"/>
        <v>0</v>
      </c>
      <c r="M72" s="426">
        <v>0</v>
      </c>
      <c r="N72" s="389">
        <f>+'2-Incentive ROE'!K$40*'1-Project Rev Req'!M72/100</f>
        <v>0</v>
      </c>
      <c r="O72" s="389">
        <f t="shared" si="6"/>
        <v>0</v>
      </c>
      <c r="P72" s="204">
        <v>0</v>
      </c>
      <c r="Q72" s="389">
        <f t="shared" si="2"/>
        <v>0</v>
      </c>
      <c r="R72" s="204">
        <v>0</v>
      </c>
      <c r="S72" s="389">
        <f t="shared" si="7"/>
        <v>0</v>
      </c>
    </row>
    <row r="73" spans="1:24">
      <c r="A73" s="111" t="s">
        <v>878</v>
      </c>
      <c r="B73" s="112"/>
      <c r="C73" s="114" t="s">
        <v>848</v>
      </c>
      <c r="D73" s="114" t="s">
        <v>864</v>
      </c>
      <c r="E73" s="115">
        <v>0</v>
      </c>
      <c r="F73" s="53">
        <f t="shared" si="0"/>
        <v>0.13721129632031379</v>
      </c>
      <c r="G73" s="116">
        <f t="shared" si="1"/>
        <v>0</v>
      </c>
      <c r="H73" s="115">
        <v>0</v>
      </c>
      <c r="I73" s="53">
        <f t="shared" si="3"/>
        <v>0.12114245708334501</v>
      </c>
      <c r="J73" s="389">
        <f t="shared" si="4"/>
        <v>0</v>
      </c>
      <c r="K73" s="204">
        <v>0</v>
      </c>
      <c r="L73" s="389">
        <f t="shared" si="5"/>
        <v>0</v>
      </c>
      <c r="M73" s="426">
        <v>0</v>
      </c>
      <c r="N73" s="389">
        <f>+'2-Incentive ROE'!K$40*'1-Project Rev Req'!M73/100</f>
        <v>0</v>
      </c>
      <c r="O73" s="389">
        <f t="shared" si="6"/>
        <v>0</v>
      </c>
      <c r="P73" s="204">
        <v>0</v>
      </c>
      <c r="Q73" s="389">
        <f t="shared" si="2"/>
        <v>0</v>
      </c>
      <c r="R73" s="204">
        <v>0</v>
      </c>
      <c r="S73" s="389">
        <f t="shared" si="7"/>
        <v>0</v>
      </c>
    </row>
    <row r="74" spans="1:24">
      <c r="A74" s="111" t="s">
        <v>879</v>
      </c>
      <c r="B74" s="112"/>
      <c r="C74" s="113" t="s">
        <v>848</v>
      </c>
      <c r="D74" s="114" t="s">
        <v>865</v>
      </c>
      <c r="E74" s="115">
        <v>0</v>
      </c>
      <c r="F74" s="53">
        <f t="shared" si="0"/>
        <v>0.13721129632031379</v>
      </c>
      <c r="G74" s="116">
        <f t="shared" si="1"/>
        <v>0</v>
      </c>
      <c r="H74" s="115">
        <v>0</v>
      </c>
      <c r="I74" s="53">
        <f t="shared" si="3"/>
        <v>0.12114245708334501</v>
      </c>
      <c r="J74" s="389">
        <f t="shared" si="4"/>
        <v>0</v>
      </c>
      <c r="K74" s="204">
        <v>0</v>
      </c>
      <c r="L74" s="389">
        <f t="shared" si="5"/>
        <v>0</v>
      </c>
      <c r="M74" s="426">
        <v>0</v>
      </c>
      <c r="N74" s="389">
        <f>+'2-Incentive ROE'!K$40*'1-Project Rev Req'!M74/100</f>
        <v>0</v>
      </c>
      <c r="O74" s="389">
        <f t="shared" si="6"/>
        <v>0</v>
      </c>
      <c r="P74" s="204">
        <v>0</v>
      </c>
      <c r="Q74" s="389">
        <f t="shared" si="2"/>
        <v>0</v>
      </c>
      <c r="R74" s="204">
        <v>0</v>
      </c>
      <c r="S74" s="389">
        <f t="shared" si="7"/>
        <v>0</v>
      </c>
    </row>
    <row r="75" spans="1:24">
      <c r="A75" s="111" t="s">
        <v>880</v>
      </c>
      <c r="B75" s="112"/>
      <c r="C75" s="113" t="s">
        <v>848</v>
      </c>
      <c r="D75" s="114" t="s">
        <v>866</v>
      </c>
      <c r="E75" s="115">
        <v>0</v>
      </c>
      <c r="F75" s="53">
        <f t="shared" si="0"/>
        <v>0.13721129632031379</v>
      </c>
      <c r="G75" s="116">
        <f t="shared" si="1"/>
        <v>0</v>
      </c>
      <c r="H75" s="115">
        <v>0</v>
      </c>
      <c r="I75" s="53">
        <f t="shared" si="3"/>
        <v>0.12114245708334501</v>
      </c>
      <c r="J75" s="389">
        <f t="shared" si="4"/>
        <v>0</v>
      </c>
      <c r="K75" s="204">
        <v>0</v>
      </c>
      <c r="L75" s="389">
        <f t="shared" si="5"/>
        <v>0</v>
      </c>
      <c r="M75" s="426">
        <v>0</v>
      </c>
      <c r="N75" s="389">
        <f>+'2-Incentive ROE'!K$40*'1-Project Rev Req'!M75/100</f>
        <v>0</v>
      </c>
      <c r="O75" s="389">
        <f t="shared" si="6"/>
        <v>0</v>
      </c>
      <c r="P75" s="204">
        <v>0</v>
      </c>
      <c r="Q75" s="389">
        <f t="shared" si="2"/>
        <v>0</v>
      </c>
      <c r="R75" s="204">
        <v>0</v>
      </c>
      <c r="S75" s="389">
        <f t="shared" si="7"/>
        <v>0</v>
      </c>
    </row>
    <row r="76" spans="1:24">
      <c r="A76" s="111" t="s">
        <v>881</v>
      </c>
      <c r="B76" s="112"/>
      <c r="C76" s="113" t="s">
        <v>848</v>
      </c>
      <c r="D76" s="114" t="s">
        <v>867</v>
      </c>
      <c r="E76" s="115">
        <v>0</v>
      </c>
      <c r="F76" s="53">
        <f t="shared" si="0"/>
        <v>0.13721129632031379</v>
      </c>
      <c r="G76" s="116">
        <f t="shared" si="1"/>
        <v>0</v>
      </c>
      <c r="H76" s="115">
        <v>0</v>
      </c>
      <c r="I76" s="53">
        <f t="shared" si="3"/>
        <v>0.12114245708334501</v>
      </c>
      <c r="J76" s="389">
        <f t="shared" si="4"/>
        <v>0</v>
      </c>
      <c r="K76" s="204">
        <v>0</v>
      </c>
      <c r="L76" s="389">
        <f t="shared" si="5"/>
        <v>0</v>
      </c>
      <c r="M76" s="426">
        <v>0</v>
      </c>
      <c r="N76" s="389">
        <f>+'2-Incentive ROE'!K$40*'1-Project Rev Req'!M76/100</f>
        <v>0</v>
      </c>
      <c r="O76" s="389">
        <f t="shared" si="6"/>
        <v>0</v>
      </c>
      <c r="P76" s="204">
        <v>0</v>
      </c>
      <c r="Q76" s="389">
        <f t="shared" si="2"/>
        <v>0</v>
      </c>
      <c r="R76" s="204">
        <v>0</v>
      </c>
      <c r="S76" s="389">
        <f t="shared" si="7"/>
        <v>0</v>
      </c>
    </row>
    <row r="77" spans="1:24">
      <c r="A77" s="111"/>
      <c r="B77" s="112"/>
      <c r="C77" s="113"/>
      <c r="D77" s="114"/>
      <c r="E77" s="115">
        <v>0</v>
      </c>
      <c r="F77" s="53">
        <f t="shared" si="0"/>
        <v>0.13721129632031379</v>
      </c>
      <c r="G77" s="116">
        <f t="shared" si="1"/>
        <v>0</v>
      </c>
      <c r="H77" s="115">
        <v>0</v>
      </c>
      <c r="I77" s="53">
        <f t="shared" si="3"/>
        <v>0.12114245708334501</v>
      </c>
      <c r="J77" s="389">
        <f t="shared" si="4"/>
        <v>0</v>
      </c>
      <c r="K77" s="204">
        <v>0</v>
      </c>
      <c r="L77" s="389">
        <f t="shared" si="5"/>
        <v>0</v>
      </c>
      <c r="M77" s="426">
        <v>0</v>
      </c>
      <c r="N77" s="389">
        <f>+'2-Incentive ROE'!K$40*'1-Project Rev Req'!M77/100</f>
        <v>0</v>
      </c>
      <c r="O77" s="389">
        <f t="shared" si="6"/>
        <v>0</v>
      </c>
      <c r="P77" s="204">
        <v>0</v>
      </c>
      <c r="Q77" s="389">
        <f t="shared" si="2"/>
        <v>0</v>
      </c>
      <c r="R77" s="204">
        <v>0</v>
      </c>
      <c r="S77" s="389">
        <f t="shared" si="7"/>
        <v>0</v>
      </c>
    </row>
    <row r="78" spans="1:24">
      <c r="A78" s="111"/>
      <c r="B78" s="112"/>
      <c r="C78" s="113"/>
      <c r="D78" s="114"/>
      <c r="E78" s="115">
        <v>0</v>
      </c>
      <c r="F78" s="53">
        <f t="shared" si="0"/>
        <v>0.13721129632031379</v>
      </c>
      <c r="G78" s="116">
        <f t="shared" si="1"/>
        <v>0</v>
      </c>
      <c r="H78" s="115">
        <v>0</v>
      </c>
      <c r="I78" s="53">
        <f t="shared" si="3"/>
        <v>0.12114245708334501</v>
      </c>
      <c r="J78" s="389">
        <f t="shared" si="4"/>
        <v>0</v>
      </c>
      <c r="K78" s="204">
        <v>0</v>
      </c>
      <c r="L78" s="389">
        <f t="shared" si="5"/>
        <v>0</v>
      </c>
      <c r="M78" s="426">
        <v>0</v>
      </c>
      <c r="N78" s="389">
        <f>+'2-Incentive ROE'!K$40*'1-Project Rev Req'!M78/100</f>
        <v>0</v>
      </c>
      <c r="O78" s="389">
        <f t="shared" si="6"/>
        <v>0</v>
      </c>
      <c r="P78" s="204">
        <v>0</v>
      </c>
      <c r="Q78" s="389">
        <f t="shared" si="2"/>
        <v>0</v>
      </c>
      <c r="R78" s="204">
        <v>0</v>
      </c>
      <c r="S78" s="389">
        <f t="shared" si="7"/>
        <v>0</v>
      </c>
    </row>
    <row r="79" spans="1:24">
      <c r="A79" s="111"/>
      <c r="B79" s="112"/>
      <c r="C79" s="113"/>
      <c r="D79" s="114"/>
      <c r="E79" s="115">
        <v>0</v>
      </c>
      <c r="F79" s="53">
        <f t="shared" si="0"/>
        <v>0.13721129632031379</v>
      </c>
      <c r="G79" s="116">
        <f t="shared" si="1"/>
        <v>0</v>
      </c>
      <c r="H79" s="115">
        <v>0</v>
      </c>
      <c r="I79" s="53">
        <f t="shared" si="3"/>
        <v>0.12114245708334501</v>
      </c>
      <c r="J79" s="389">
        <f t="shared" si="4"/>
        <v>0</v>
      </c>
      <c r="K79" s="204">
        <v>0</v>
      </c>
      <c r="L79" s="389">
        <f t="shared" si="5"/>
        <v>0</v>
      </c>
      <c r="M79" s="426">
        <v>0</v>
      </c>
      <c r="N79" s="389">
        <f>+'2-Incentive ROE'!K$40*'1-Project Rev Req'!M79/100</f>
        <v>0</v>
      </c>
      <c r="O79" s="389">
        <f t="shared" si="6"/>
        <v>0</v>
      </c>
      <c r="P79" s="204">
        <v>0</v>
      </c>
      <c r="Q79" s="389">
        <f t="shared" si="2"/>
        <v>0</v>
      </c>
      <c r="R79" s="204">
        <v>0</v>
      </c>
      <c r="S79" s="389">
        <f t="shared" si="7"/>
        <v>0</v>
      </c>
    </row>
    <row r="80" spans="1:24">
      <c r="A80" s="111"/>
      <c r="B80" s="112"/>
      <c r="C80" s="113"/>
      <c r="D80" s="114"/>
      <c r="E80" s="115">
        <v>0</v>
      </c>
      <c r="F80" s="53">
        <f t="shared" si="0"/>
        <v>0.13721129632031379</v>
      </c>
      <c r="G80" s="116">
        <f t="shared" si="1"/>
        <v>0</v>
      </c>
      <c r="H80" s="115">
        <v>0</v>
      </c>
      <c r="I80" s="53">
        <f t="shared" si="3"/>
        <v>0.12114245708334501</v>
      </c>
      <c r="J80" s="389">
        <f t="shared" si="4"/>
        <v>0</v>
      </c>
      <c r="K80" s="204">
        <v>0</v>
      </c>
      <c r="L80" s="389">
        <f t="shared" si="5"/>
        <v>0</v>
      </c>
      <c r="M80" s="426">
        <v>0</v>
      </c>
      <c r="N80" s="389">
        <f>+'2-Incentive ROE'!K$40*'1-Project Rev Req'!M80/100</f>
        <v>0</v>
      </c>
      <c r="O80" s="389">
        <f t="shared" si="6"/>
        <v>0</v>
      </c>
      <c r="P80" s="204">
        <v>0</v>
      </c>
      <c r="Q80" s="389">
        <f t="shared" si="2"/>
        <v>0</v>
      </c>
      <c r="R80" s="204">
        <v>0</v>
      </c>
      <c r="S80" s="389">
        <f t="shared" si="7"/>
        <v>0</v>
      </c>
    </row>
    <row r="81" spans="1:20">
      <c r="A81" s="117"/>
      <c r="C81" s="49"/>
      <c r="D81" s="49"/>
      <c r="E81" s="115">
        <v>0</v>
      </c>
      <c r="F81" s="53">
        <f t="shared" si="0"/>
        <v>0.13721129632031379</v>
      </c>
      <c r="G81" s="116">
        <f t="shared" si="1"/>
        <v>0</v>
      </c>
      <c r="H81" s="115">
        <v>0</v>
      </c>
      <c r="I81" s="53">
        <f t="shared" si="3"/>
        <v>0.12114245708334501</v>
      </c>
      <c r="J81" s="389">
        <f t="shared" si="4"/>
        <v>0</v>
      </c>
      <c r="K81" s="204">
        <v>0</v>
      </c>
      <c r="L81" s="389">
        <f t="shared" si="5"/>
        <v>0</v>
      </c>
      <c r="M81" s="426">
        <v>0</v>
      </c>
      <c r="N81" s="389">
        <f>+'2-Incentive ROE'!K$40*'1-Project Rev Req'!M81/100</f>
        <v>0</v>
      </c>
      <c r="O81" s="389">
        <f t="shared" si="6"/>
        <v>0</v>
      </c>
      <c r="P81" s="204">
        <v>0</v>
      </c>
      <c r="Q81" s="389">
        <f t="shared" si="2"/>
        <v>0</v>
      </c>
      <c r="R81" s="204">
        <v>0</v>
      </c>
      <c r="S81" s="389">
        <f t="shared" si="7"/>
        <v>0</v>
      </c>
    </row>
    <row r="82" spans="1:20">
      <c r="A82" s="117"/>
      <c r="C82" s="49"/>
      <c r="D82" s="49"/>
      <c r="E82" s="115">
        <v>0</v>
      </c>
      <c r="F82" s="53">
        <f t="shared" si="0"/>
        <v>0.13721129632031379</v>
      </c>
      <c r="G82" s="116">
        <f t="shared" si="1"/>
        <v>0</v>
      </c>
      <c r="H82" s="115">
        <v>0</v>
      </c>
      <c r="I82" s="53">
        <f t="shared" si="3"/>
        <v>0.12114245708334501</v>
      </c>
      <c r="J82" s="389">
        <f t="shared" si="4"/>
        <v>0</v>
      </c>
      <c r="K82" s="204">
        <v>0</v>
      </c>
      <c r="L82" s="389">
        <f t="shared" si="5"/>
        <v>0</v>
      </c>
      <c r="M82" s="426">
        <v>0</v>
      </c>
      <c r="N82" s="389">
        <f>+'2-Incentive ROE'!K$40*'1-Project Rev Req'!M82/100</f>
        <v>0</v>
      </c>
      <c r="O82" s="389">
        <f t="shared" si="6"/>
        <v>0</v>
      </c>
      <c r="P82" s="204">
        <v>0</v>
      </c>
      <c r="Q82" s="389">
        <f t="shared" si="2"/>
        <v>0</v>
      </c>
      <c r="R82" s="204">
        <v>0</v>
      </c>
      <c r="S82" s="389">
        <f t="shared" si="7"/>
        <v>0</v>
      </c>
    </row>
    <row r="83" spans="1:20">
      <c r="A83" s="117"/>
      <c r="C83" s="49"/>
      <c r="D83" s="49"/>
      <c r="E83" s="115">
        <v>0</v>
      </c>
      <c r="F83" s="53">
        <f t="shared" si="0"/>
        <v>0.13721129632031379</v>
      </c>
      <c r="G83" s="116">
        <f t="shared" si="1"/>
        <v>0</v>
      </c>
      <c r="H83" s="115">
        <v>0</v>
      </c>
      <c r="I83" s="53">
        <f t="shared" si="3"/>
        <v>0.12114245708334501</v>
      </c>
      <c r="J83" s="389">
        <f t="shared" si="4"/>
        <v>0</v>
      </c>
      <c r="K83" s="204">
        <v>0</v>
      </c>
      <c r="L83" s="389">
        <f t="shared" si="5"/>
        <v>0</v>
      </c>
      <c r="M83" s="426">
        <v>0</v>
      </c>
      <c r="N83" s="389">
        <f>+'2-Incentive ROE'!K$40*'1-Project Rev Req'!M83/100</f>
        <v>0</v>
      </c>
      <c r="O83" s="389">
        <f t="shared" si="6"/>
        <v>0</v>
      </c>
      <c r="P83" s="204">
        <v>0</v>
      </c>
      <c r="Q83" s="389">
        <f t="shared" si="2"/>
        <v>0</v>
      </c>
      <c r="R83" s="204">
        <v>0</v>
      </c>
      <c r="S83" s="389">
        <f t="shared" si="7"/>
        <v>0</v>
      </c>
    </row>
    <row r="84" spans="1:20">
      <c r="A84" s="117"/>
      <c r="C84" s="49"/>
      <c r="D84" s="49"/>
      <c r="E84" s="115">
        <v>0</v>
      </c>
      <c r="F84" s="53">
        <f t="shared" si="0"/>
        <v>0.13721129632031379</v>
      </c>
      <c r="G84" s="116">
        <f t="shared" si="1"/>
        <v>0</v>
      </c>
      <c r="H84" s="115">
        <v>0</v>
      </c>
      <c r="I84" s="53">
        <f t="shared" si="3"/>
        <v>0.12114245708334501</v>
      </c>
      <c r="J84" s="389">
        <f t="shared" si="4"/>
        <v>0</v>
      </c>
      <c r="K84" s="204">
        <v>0</v>
      </c>
      <c r="L84" s="389">
        <f t="shared" si="5"/>
        <v>0</v>
      </c>
      <c r="M84" s="426">
        <v>0</v>
      </c>
      <c r="N84" s="389">
        <f>+'2-Incentive ROE'!K$40*'1-Project Rev Req'!M84/100</f>
        <v>0</v>
      </c>
      <c r="O84" s="389">
        <f t="shared" si="6"/>
        <v>0</v>
      </c>
      <c r="P84" s="204">
        <v>0</v>
      </c>
      <c r="Q84" s="389">
        <f t="shared" si="2"/>
        <v>0</v>
      </c>
      <c r="R84" s="204">
        <v>0</v>
      </c>
      <c r="S84" s="389">
        <f t="shared" si="7"/>
        <v>0</v>
      </c>
    </row>
    <row r="85" spans="1:20">
      <c r="A85" s="118"/>
      <c r="B85" s="50"/>
      <c r="C85" s="50"/>
      <c r="D85" s="50"/>
      <c r="E85" s="50"/>
      <c r="F85" s="50"/>
      <c r="G85" s="51"/>
      <c r="H85" s="50"/>
      <c r="I85" s="50"/>
      <c r="J85" s="390"/>
      <c r="K85" s="602"/>
      <c r="L85" s="390"/>
      <c r="M85" s="603"/>
      <c r="N85" s="604"/>
      <c r="O85" s="604"/>
      <c r="P85" s="605"/>
      <c r="Q85" s="604"/>
      <c r="R85" s="602"/>
      <c r="S85" s="390">
        <f t="shared" si="7"/>
        <v>0</v>
      </c>
    </row>
    <row r="86" spans="1:20">
      <c r="A86" s="64" t="s">
        <v>215</v>
      </c>
      <c r="B86" s="87"/>
      <c r="C86" s="65" t="s">
        <v>200</v>
      </c>
      <c r="D86" s="65"/>
      <c r="E86" s="119"/>
      <c r="F86" s="55"/>
      <c r="G86" s="22"/>
      <c r="H86" s="119"/>
      <c r="I86" s="22"/>
      <c r="J86" s="553"/>
      <c r="K86" s="553"/>
      <c r="L86" s="553"/>
      <c r="M86" s="553"/>
      <c r="N86" s="553"/>
      <c r="O86" s="553"/>
      <c r="P86" s="553">
        <f>SUM(P66:P85)</f>
        <v>0</v>
      </c>
      <c r="Q86" s="553"/>
      <c r="R86" s="553"/>
      <c r="S86" s="553">
        <f>SUM(S66:S85)</f>
        <v>35897980.482743949</v>
      </c>
    </row>
    <row r="87" spans="1:20">
      <c r="E87" s="553"/>
      <c r="F87" s="52"/>
      <c r="G87" s="52"/>
      <c r="H87" s="52"/>
      <c r="I87" s="52"/>
      <c r="J87" s="52"/>
      <c r="K87" s="52"/>
      <c r="L87" s="53"/>
    </row>
    <row r="88" spans="1:20">
      <c r="A88" s="120"/>
      <c r="E88" s="553"/>
      <c r="F88" s="52"/>
      <c r="G88" s="52"/>
      <c r="H88" s="52"/>
      <c r="I88" s="52"/>
      <c r="J88" s="52"/>
      <c r="K88" s="52"/>
      <c r="L88" s="53"/>
      <c r="M88" s="91"/>
      <c r="N88" s="91"/>
      <c r="O88" s="91"/>
      <c r="T88" s="553"/>
    </row>
    <row r="89" spans="1:20">
      <c r="E89" s="552"/>
      <c r="K89" s="54"/>
      <c r="L89" s="54"/>
      <c r="M89" s="54"/>
      <c r="N89" s="54"/>
      <c r="O89" s="54"/>
      <c r="S89" s="552"/>
      <c r="T89" s="553"/>
    </row>
    <row r="90" spans="1:20">
      <c r="E90" s="552"/>
      <c r="K90" s="54"/>
      <c r="L90" s="54"/>
      <c r="M90" s="54"/>
      <c r="N90" s="54"/>
      <c r="O90" s="54"/>
      <c r="S90" s="552"/>
      <c r="T90" s="553"/>
    </row>
    <row r="91" spans="1:20">
      <c r="A91" s="25" t="s">
        <v>71</v>
      </c>
      <c r="S91" s="552"/>
      <c r="T91" s="553"/>
    </row>
    <row r="92" spans="1:20" ht="13.5" thickBot="1">
      <c r="A92" s="121" t="s">
        <v>72</v>
      </c>
      <c r="T92" s="553"/>
    </row>
    <row r="93" spans="1:20">
      <c r="A93" s="122" t="s">
        <v>73</v>
      </c>
      <c r="C93" s="781" t="s">
        <v>590</v>
      </c>
      <c r="D93" s="781"/>
      <c r="E93" s="781"/>
      <c r="F93" s="781"/>
      <c r="G93" s="781"/>
      <c r="H93" s="781"/>
      <c r="I93" s="781"/>
      <c r="J93" s="781"/>
      <c r="K93" s="781"/>
      <c r="L93" s="781"/>
      <c r="M93" s="781"/>
      <c r="N93" s="781"/>
      <c r="O93" s="781"/>
      <c r="P93" s="781"/>
      <c r="Q93" s="781"/>
      <c r="T93" s="553"/>
    </row>
    <row r="94" spans="1:20">
      <c r="A94" s="122" t="s">
        <v>74</v>
      </c>
      <c r="C94" s="781" t="s">
        <v>553</v>
      </c>
      <c r="D94" s="781"/>
      <c r="E94" s="781"/>
      <c r="F94" s="781"/>
      <c r="G94" s="781"/>
      <c r="H94" s="781"/>
      <c r="I94" s="781"/>
      <c r="J94" s="781"/>
      <c r="K94" s="781"/>
      <c r="L94" s="781"/>
      <c r="M94" s="781"/>
      <c r="N94" s="781"/>
      <c r="O94" s="781"/>
      <c r="P94" s="781"/>
      <c r="Q94" s="781"/>
    </row>
    <row r="95" spans="1:20">
      <c r="A95" s="122" t="s">
        <v>75</v>
      </c>
      <c r="C95" s="782" t="s">
        <v>572</v>
      </c>
      <c r="D95" s="782"/>
      <c r="E95" s="782"/>
      <c r="F95" s="782"/>
      <c r="G95" s="782"/>
      <c r="H95" s="782"/>
      <c r="I95" s="782"/>
      <c r="J95" s="782"/>
      <c r="K95" s="782"/>
      <c r="L95" s="782"/>
      <c r="M95" s="782"/>
      <c r="N95" s="782"/>
      <c r="O95" s="782"/>
      <c r="P95" s="782"/>
      <c r="Q95" s="782"/>
    </row>
    <row r="96" spans="1:20">
      <c r="C96" s="25" t="s">
        <v>556</v>
      </c>
    </row>
    <row r="97" spans="1:17">
      <c r="A97" s="122" t="s">
        <v>76</v>
      </c>
      <c r="C97" s="782" t="s">
        <v>654</v>
      </c>
      <c r="D97" s="782"/>
      <c r="E97" s="782"/>
      <c r="F97" s="782"/>
      <c r="G97" s="782"/>
      <c r="H97" s="782"/>
      <c r="I97" s="782"/>
      <c r="J97" s="782"/>
      <c r="K97" s="782"/>
      <c r="L97" s="782"/>
      <c r="M97" s="782"/>
      <c r="N97" s="782"/>
      <c r="O97" s="782"/>
      <c r="P97" s="782"/>
      <c r="Q97" s="782"/>
    </row>
    <row r="98" spans="1:17">
      <c r="A98" s="55" t="s">
        <v>77</v>
      </c>
      <c r="C98" s="780" t="s">
        <v>555</v>
      </c>
      <c r="D98" s="780"/>
      <c r="E98" s="780"/>
      <c r="F98" s="780"/>
      <c r="G98" s="780"/>
      <c r="H98" s="780"/>
      <c r="I98" s="780"/>
      <c r="J98" s="780"/>
      <c r="K98" s="780"/>
      <c r="L98" s="780"/>
      <c r="M98" s="780"/>
      <c r="N98" s="780"/>
      <c r="O98" s="780"/>
      <c r="P98" s="780"/>
      <c r="Q98" s="780"/>
    </row>
    <row r="99" spans="1:17">
      <c r="A99" s="55" t="s">
        <v>78</v>
      </c>
      <c r="C99" s="780" t="s">
        <v>675</v>
      </c>
      <c r="D99" s="780"/>
      <c r="E99" s="780"/>
      <c r="F99" s="780"/>
      <c r="G99" s="780"/>
      <c r="H99" s="780"/>
      <c r="I99" s="780"/>
      <c r="J99" s="780"/>
      <c r="K99" s="780"/>
      <c r="L99" s="780"/>
      <c r="M99" s="780"/>
      <c r="N99" s="780"/>
      <c r="O99" s="780"/>
      <c r="P99" s="780"/>
      <c r="Q99" s="780"/>
    </row>
    <row r="100" spans="1:17">
      <c r="A100" s="55" t="s">
        <v>79</v>
      </c>
      <c r="C100" s="780" t="s">
        <v>800</v>
      </c>
      <c r="D100" s="780"/>
      <c r="E100" s="780"/>
      <c r="F100" s="780"/>
      <c r="G100" s="780"/>
      <c r="H100" s="780"/>
      <c r="I100" s="780"/>
      <c r="J100" s="780"/>
      <c r="K100" s="780"/>
      <c r="L100" s="780"/>
      <c r="M100" s="780"/>
      <c r="N100" s="780"/>
      <c r="O100" s="780"/>
      <c r="P100" s="780"/>
      <c r="Q100" s="780"/>
    </row>
    <row r="101" spans="1:17">
      <c r="A101" s="55" t="s">
        <v>81</v>
      </c>
      <c r="C101" s="780" t="s">
        <v>591</v>
      </c>
      <c r="D101" s="780"/>
      <c r="E101" s="780"/>
      <c r="F101" s="780"/>
      <c r="G101" s="780"/>
      <c r="H101" s="780"/>
      <c r="I101" s="780"/>
      <c r="J101" s="780"/>
      <c r="K101" s="780"/>
      <c r="L101" s="780"/>
      <c r="M101" s="780"/>
      <c r="N101" s="780"/>
      <c r="O101" s="780"/>
      <c r="P101" s="780"/>
      <c r="Q101" s="780"/>
    </row>
    <row r="102" spans="1:17">
      <c r="A102" s="55" t="s">
        <v>82</v>
      </c>
      <c r="C102" s="25" t="s">
        <v>478</v>
      </c>
    </row>
    <row r="103" spans="1:17">
      <c r="A103" s="64" t="s">
        <v>83</v>
      </c>
      <c r="C103" s="667" t="s">
        <v>806</v>
      </c>
      <c r="D103" s="667"/>
      <c r="E103" s="667"/>
      <c r="F103" s="667"/>
      <c r="G103" s="667"/>
      <c r="H103" s="667"/>
      <c r="I103" s="667"/>
      <c r="J103" s="667"/>
      <c r="K103" s="667"/>
      <c r="L103" s="667"/>
      <c r="M103" s="667"/>
      <c r="N103" s="667"/>
      <c r="O103" s="667"/>
      <c r="P103" s="22"/>
      <c r="Q103" s="94"/>
    </row>
    <row r="104" spans="1:17">
      <c r="A104" s="64" t="s">
        <v>120</v>
      </c>
      <c r="C104" s="25" t="s">
        <v>470</v>
      </c>
      <c r="D104" s="64"/>
      <c r="E104" s="55"/>
      <c r="F104" s="55"/>
      <c r="G104" s="22"/>
      <c r="J104" s="78"/>
      <c r="P104" s="22"/>
      <c r="Q104" s="75"/>
    </row>
    <row r="105" spans="1:17">
      <c r="A105" s="55" t="s">
        <v>150</v>
      </c>
      <c r="C105" s="15" t="s">
        <v>487</v>
      </c>
    </row>
    <row r="106" spans="1:17">
      <c r="A106" s="55" t="s">
        <v>642</v>
      </c>
      <c r="C106" s="25" t="s">
        <v>643</v>
      </c>
    </row>
    <row r="107" spans="1:17">
      <c r="A107" s="554" t="s">
        <v>153</v>
      </c>
      <c r="C107" s="25" t="s">
        <v>657</v>
      </c>
    </row>
    <row r="108" spans="1:17">
      <c r="C108" s="25" t="s">
        <v>644</v>
      </c>
    </row>
    <row r="109" spans="1:17" ht="15.5">
      <c r="C109" s="779"/>
      <c r="D109" s="779"/>
      <c r="E109" s="779"/>
      <c r="F109" s="779"/>
      <c r="G109" s="779"/>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Height="0"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68"/>
  <sheetViews>
    <sheetView topLeftCell="A10" zoomScale="70" zoomScaleNormal="70" zoomScaleSheetLayoutView="75" workbookViewId="0">
      <selection activeCell="D23" sqref="D23"/>
    </sheetView>
  </sheetViews>
  <sheetFormatPr defaultRowHeight="15.5"/>
  <cols>
    <col min="1" max="1" width="5.53515625" style="320" customWidth="1"/>
    <col min="2" max="2" width="21.53515625" style="327" customWidth="1"/>
    <col min="3" max="3" width="32.4609375" style="327" customWidth="1"/>
    <col min="4" max="4" width="25.23046875" style="327" customWidth="1"/>
    <col min="5" max="5" width="14.69140625" style="327" bestFit="1" customWidth="1"/>
    <col min="6" max="6" width="6.53515625" style="327" customWidth="1"/>
    <col min="7" max="7" width="9" style="327" bestFit="1" customWidth="1"/>
    <col min="8" max="8" width="6.3046875" style="327" bestFit="1" customWidth="1"/>
    <col min="9" max="9" width="12.23046875" style="327" customWidth="1"/>
    <col min="10" max="10" width="24.07421875" style="333" bestFit="1" customWidth="1"/>
    <col min="11" max="11" width="16.3046875" bestFit="1" customWidth="1"/>
  </cols>
  <sheetData>
    <row r="1" spans="1:11">
      <c r="C1" s="321"/>
      <c r="D1" s="321"/>
      <c r="E1" s="321"/>
      <c r="F1" s="322"/>
      <c r="G1" s="321"/>
      <c r="H1" s="321"/>
      <c r="I1" s="321"/>
      <c r="J1" s="415"/>
    </row>
    <row r="2" spans="1:11">
      <c r="B2" s="320"/>
      <c r="C2" s="321"/>
      <c r="D2" s="321"/>
      <c r="E2" s="321"/>
      <c r="F2" s="322"/>
      <c r="G2" s="321"/>
      <c r="H2" s="321"/>
      <c r="I2" s="321"/>
      <c r="J2" s="415"/>
    </row>
    <row r="3" spans="1:11">
      <c r="C3" s="321"/>
      <c r="D3" s="323" t="s">
        <v>8</v>
      </c>
      <c r="E3" s="323"/>
      <c r="F3" s="322" t="s">
        <v>352</v>
      </c>
      <c r="H3" s="323"/>
      <c r="I3" s="323"/>
      <c r="J3" s="324"/>
      <c r="K3" s="596" t="s">
        <v>676</v>
      </c>
    </row>
    <row r="4" spans="1:11">
      <c r="B4" s="326"/>
      <c r="C4" s="326"/>
      <c r="D4" s="326"/>
      <c r="E4" s="326"/>
      <c r="F4" s="388" t="s">
        <v>480</v>
      </c>
      <c r="H4" s="326"/>
      <c r="I4" s="326"/>
      <c r="J4" s="326"/>
      <c r="K4" s="325"/>
    </row>
    <row r="5" spans="1:11">
      <c r="B5" s="326"/>
      <c r="C5" s="326"/>
      <c r="D5" s="326"/>
      <c r="F5" s="669" t="str">
        <f>'Attachment H'!$D$5</f>
        <v>NextEra Energy Transmission MidAtlantic, Inc.</v>
      </c>
      <c r="H5" s="326"/>
      <c r="I5" s="326"/>
      <c r="J5" s="326"/>
      <c r="K5" s="326"/>
    </row>
    <row r="7" spans="1:11">
      <c r="A7" s="320">
        <v>1</v>
      </c>
      <c r="B7" s="327" t="s">
        <v>463</v>
      </c>
      <c r="C7" s="327" t="s">
        <v>594</v>
      </c>
      <c r="J7" s="327"/>
      <c r="K7" s="379">
        <f>+'Attachment H'!I106</f>
        <v>99062874.535540536</v>
      </c>
    </row>
    <row r="8" spans="1:11">
      <c r="J8" s="327"/>
      <c r="K8" s="333"/>
    </row>
    <row r="9" spans="1:11" ht="16" thickBot="1">
      <c r="A9" s="329">
        <f>+A7+1</f>
        <v>2</v>
      </c>
      <c r="B9" s="330" t="s">
        <v>353</v>
      </c>
      <c r="C9" s="331"/>
      <c r="D9" s="331"/>
      <c r="E9" s="331"/>
      <c r="F9" s="331"/>
      <c r="G9" s="331"/>
      <c r="H9" s="331"/>
      <c r="I9" s="331"/>
      <c r="J9" s="332" t="s">
        <v>56</v>
      </c>
      <c r="K9" s="333"/>
    </row>
    <row r="10" spans="1:11">
      <c r="A10" s="329"/>
      <c r="B10" s="334"/>
      <c r="C10" s="331"/>
      <c r="D10" s="331"/>
      <c r="E10" s="331"/>
      <c r="F10" s="331"/>
      <c r="G10" s="331"/>
      <c r="H10" s="335" t="s">
        <v>65</v>
      </c>
      <c r="I10" s="331"/>
      <c r="J10" s="331"/>
      <c r="K10" s="333"/>
    </row>
    <row r="11" spans="1:11" ht="16" thickBot="1">
      <c r="A11" s="329"/>
      <c r="B11" s="334"/>
      <c r="C11" s="331"/>
      <c r="D11" s="331"/>
      <c r="E11" s="336" t="s">
        <v>56</v>
      </c>
      <c r="F11" s="336" t="s">
        <v>66</v>
      </c>
      <c r="G11" s="331"/>
      <c r="H11" s="336"/>
      <c r="I11" s="331"/>
      <c r="J11" s="336" t="s">
        <v>67</v>
      </c>
      <c r="K11" s="333"/>
    </row>
    <row r="12" spans="1:11">
      <c r="A12" s="329">
        <f>+A9+1</f>
        <v>3</v>
      </c>
      <c r="B12" s="330" t="s">
        <v>305</v>
      </c>
      <c r="C12" s="337" t="s">
        <v>595</v>
      </c>
      <c r="D12" s="337"/>
      <c r="E12" s="338">
        <v>0</v>
      </c>
      <c r="F12" s="429">
        <v>0</v>
      </c>
      <c r="G12" s="328"/>
      <c r="H12" s="429">
        <v>0</v>
      </c>
      <c r="I12" s="328"/>
      <c r="J12" s="328">
        <f>F12*H12</f>
        <v>0</v>
      </c>
      <c r="K12" s="333"/>
    </row>
    <row r="13" spans="1:11">
      <c r="A13" s="329">
        <f>+A12+1</f>
        <v>4</v>
      </c>
      <c r="B13" s="330" t="s">
        <v>464</v>
      </c>
      <c r="C13" s="337" t="s">
        <v>595</v>
      </c>
      <c r="D13" s="337"/>
      <c r="E13" s="338">
        <v>0</v>
      </c>
      <c r="F13" s="429">
        <v>0</v>
      </c>
      <c r="G13" s="328"/>
      <c r="H13" s="328">
        <v>0</v>
      </c>
      <c r="I13" s="328"/>
      <c r="J13" s="328">
        <f>F13*H13</f>
        <v>0</v>
      </c>
      <c r="K13" s="333"/>
    </row>
    <row r="14" spans="1:11" ht="31.5" thickBot="1">
      <c r="A14" s="329">
        <f>+A13+1</f>
        <v>5</v>
      </c>
      <c r="B14" s="330" t="s">
        <v>414</v>
      </c>
      <c r="C14" s="337" t="s">
        <v>596</v>
      </c>
      <c r="D14" s="412" t="s">
        <v>597</v>
      </c>
      <c r="E14" s="340">
        <v>0</v>
      </c>
      <c r="F14" s="429">
        <v>0</v>
      </c>
      <c r="G14" s="328"/>
      <c r="H14" s="435">
        <f>+'Attachment H'!G212+0.01</f>
        <v>0.125</v>
      </c>
      <c r="I14" s="328"/>
      <c r="J14" s="580">
        <f>F14*H14</f>
        <v>0</v>
      </c>
      <c r="K14" s="333"/>
    </row>
    <row r="15" spans="1:11">
      <c r="A15" s="329">
        <f>+A14+1</f>
        <v>6</v>
      </c>
      <c r="B15" s="334" t="s">
        <v>598</v>
      </c>
      <c r="C15" s="339"/>
      <c r="D15" s="339"/>
      <c r="E15" s="341">
        <f>SUM(E12:E14)</f>
        <v>0</v>
      </c>
      <c r="F15" s="328" t="s">
        <v>8</v>
      </c>
      <c r="G15" s="328"/>
      <c r="H15" s="328"/>
      <c r="I15" s="328"/>
      <c r="J15" s="328">
        <f>SUM(J12:J14)</f>
        <v>0</v>
      </c>
      <c r="K15" s="333"/>
    </row>
    <row r="16" spans="1:11">
      <c r="A16" s="329">
        <f t="shared" ref="A16:A40" si="0">+A15+1</f>
        <v>7</v>
      </c>
      <c r="B16" s="334" t="s">
        <v>360</v>
      </c>
      <c r="C16" s="339"/>
      <c r="D16" s="339"/>
      <c r="E16" s="341"/>
      <c r="F16" s="331"/>
      <c r="G16" s="331"/>
      <c r="H16" s="331"/>
      <c r="I16" s="331"/>
      <c r="J16" s="328"/>
      <c r="K16" s="328">
        <f>+J15*K7</f>
        <v>0</v>
      </c>
    </row>
    <row r="17" spans="1:11">
      <c r="A17" s="329"/>
      <c r="J17" s="327"/>
      <c r="K17" s="333"/>
    </row>
    <row r="18" spans="1:11">
      <c r="A18" s="329">
        <f>+A16+1</f>
        <v>8</v>
      </c>
      <c r="B18" s="334" t="s">
        <v>48</v>
      </c>
      <c r="C18" s="342"/>
      <c r="D18" s="342"/>
      <c r="E18" s="331"/>
      <c r="F18" s="331"/>
      <c r="G18" s="339"/>
      <c r="H18" s="343"/>
      <c r="I18" s="331"/>
      <c r="J18" s="339"/>
      <c r="K18" s="333"/>
    </row>
    <row r="19" spans="1:11">
      <c r="A19" s="329">
        <f t="shared" si="0"/>
        <v>9</v>
      </c>
      <c r="B19" s="344" t="s">
        <v>469</v>
      </c>
      <c r="C19" s="331"/>
      <c r="D19" s="37"/>
      <c r="E19" s="391">
        <f>IF('Attachment H'!D252&gt;0,1-(((1-'Attachment H'!D253)*(1-'Attachment H'!D252))/(1-'Attachment H'!D252*'Attachment H'!D253*'Attachment H'!D254)),0)</f>
        <v>0.24870999999999999</v>
      </c>
      <c r="F19" s="391"/>
      <c r="G19" s="339"/>
      <c r="H19" s="343"/>
      <c r="I19" s="331"/>
      <c r="J19" s="339"/>
      <c r="K19" s="333"/>
    </row>
    <row r="20" spans="1:11">
      <c r="A20" s="329">
        <f t="shared" si="0"/>
        <v>10</v>
      </c>
      <c r="B20" s="339" t="s">
        <v>49</v>
      </c>
      <c r="C20" s="331"/>
      <c r="D20" s="37"/>
      <c r="E20" s="391">
        <f>IF(J15&gt;0,(E19/(1-E19))*(1-J12/J15),0)</f>
        <v>0</v>
      </c>
      <c r="F20" s="331"/>
      <c r="G20" s="339"/>
      <c r="H20" s="343"/>
      <c r="I20" s="331"/>
      <c r="J20" s="339"/>
      <c r="K20" s="333"/>
    </row>
    <row r="21" spans="1:11">
      <c r="A21" s="329">
        <f t="shared" si="0"/>
        <v>11</v>
      </c>
      <c r="B21" s="342" t="s">
        <v>465</v>
      </c>
      <c r="C21" s="342"/>
      <c r="D21" s="37"/>
      <c r="E21" s="331"/>
      <c r="F21" s="331"/>
      <c r="G21" s="339"/>
      <c r="H21" s="343"/>
      <c r="I21" s="331"/>
      <c r="J21" s="339"/>
      <c r="K21" s="333"/>
    </row>
    <row r="22" spans="1:11">
      <c r="A22" s="329">
        <f t="shared" si="0"/>
        <v>12</v>
      </c>
      <c r="B22" s="345" t="s">
        <v>466</v>
      </c>
      <c r="C22" s="342"/>
      <c r="D22" s="342"/>
      <c r="E22" s="331"/>
      <c r="F22" s="331"/>
      <c r="G22" s="339"/>
      <c r="H22" s="343"/>
      <c r="I22" s="331"/>
      <c r="J22" s="339"/>
      <c r="K22" s="333"/>
    </row>
    <row r="23" spans="1:11">
      <c r="A23" s="329">
        <f t="shared" si="0"/>
        <v>13</v>
      </c>
      <c r="B23" s="346" t="str">
        <f>"      1 / (1 - T)  =  (from line "&amp;A19&amp;")"</f>
        <v xml:space="preserve">      1 / (1 - T)  =  (from line 9)</v>
      </c>
      <c r="C23" s="342"/>
      <c r="D23" s="342"/>
      <c r="E23" s="391">
        <f>IF(E19&gt;0,1/(1-E19),0)</f>
        <v>1.3310439377603855</v>
      </c>
      <c r="F23" s="331"/>
      <c r="G23" s="339"/>
      <c r="H23" s="343"/>
      <c r="I23" s="331"/>
      <c r="J23" s="339"/>
      <c r="K23" s="333"/>
    </row>
    <row r="24" spans="1:11">
      <c r="A24" s="329">
        <f t="shared" si="0"/>
        <v>14</v>
      </c>
      <c r="B24" s="345" t="s">
        <v>354</v>
      </c>
      <c r="C24" s="342"/>
      <c r="D24" s="342" t="s">
        <v>564</v>
      </c>
      <c r="E24" s="347">
        <f>+'Attachment H'!D160</f>
        <v>0</v>
      </c>
      <c r="F24" s="331"/>
      <c r="G24" s="339"/>
      <c r="H24" s="343"/>
      <c r="I24" s="331"/>
      <c r="J24" s="339"/>
      <c r="K24" s="333"/>
    </row>
    <row r="25" spans="1:11">
      <c r="A25" s="329">
        <f t="shared" si="0"/>
        <v>15</v>
      </c>
      <c r="B25" s="345" t="s">
        <v>355</v>
      </c>
      <c r="C25" s="342"/>
      <c r="D25" s="342" t="s">
        <v>565</v>
      </c>
      <c r="E25" s="347">
        <f>+'Attachment H'!D161</f>
        <v>0</v>
      </c>
      <c r="F25" s="331"/>
      <c r="G25" s="339"/>
      <c r="H25" s="348"/>
      <c r="I25" s="331"/>
      <c r="J25" s="339"/>
      <c r="K25" s="333"/>
    </row>
    <row r="26" spans="1:11">
      <c r="A26" s="329">
        <f t="shared" si="0"/>
        <v>16</v>
      </c>
      <c r="B26" s="345" t="s">
        <v>467</v>
      </c>
      <c r="C26" s="342"/>
      <c r="D26" s="342" t="s">
        <v>566</v>
      </c>
      <c r="E26" s="347">
        <f>+'Attachment H'!D162</f>
        <v>13749.683639999997</v>
      </c>
      <c r="F26" s="331"/>
      <c r="G26" s="339"/>
      <c r="H26" s="343"/>
      <c r="I26" s="331"/>
      <c r="J26" s="339"/>
      <c r="K26" s="333"/>
    </row>
    <row r="27" spans="1:11">
      <c r="A27" s="329">
        <f t="shared" si="0"/>
        <v>17</v>
      </c>
      <c r="B27" s="346" t="str">
        <f>"Income Tax Calculation = line "&amp;A20&amp;" * line "&amp;A16&amp;""</f>
        <v>Income Tax Calculation = line 10 * line 7</v>
      </c>
      <c r="C27" s="349"/>
      <c r="E27" s="384">
        <f>+E20*K33</f>
        <v>0</v>
      </c>
      <c r="F27" s="350"/>
      <c r="G27" s="350" t="s">
        <v>28</v>
      </c>
      <c r="H27" s="351"/>
      <c r="I27" s="350"/>
      <c r="J27" s="384">
        <f>+E20*K16</f>
        <v>0</v>
      </c>
      <c r="K27" s="333"/>
    </row>
    <row r="28" spans="1:11">
      <c r="A28" s="329">
        <f t="shared" si="0"/>
        <v>18</v>
      </c>
      <c r="B28" s="337" t="str">
        <f>"ITC adjustment (line "&amp;A23&amp;" * line "&amp;A24&amp;")"</f>
        <v>ITC adjustment (line 13 * line 14)</v>
      </c>
      <c r="C28" s="349"/>
      <c r="D28" s="349"/>
      <c r="E28" s="384">
        <f>+E$23*E24</f>
        <v>0</v>
      </c>
      <c r="F28" s="350"/>
      <c r="G28" s="352" t="s">
        <v>34</v>
      </c>
      <c r="H28" s="328">
        <f>+'Attachment H'!G84</f>
        <v>1</v>
      </c>
      <c r="I28" s="350"/>
      <c r="J28" s="384">
        <f>+E28*H28</f>
        <v>0</v>
      </c>
      <c r="K28" s="333"/>
    </row>
    <row r="29" spans="1:11">
      <c r="A29" s="329">
        <f t="shared" si="0"/>
        <v>19</v>
      </c>
      <c r="B29" s="337" t="str">
        <f>"Excess Deferred Income Tax Adjustment (line "&amp;A23&amp;" * line "&amp;A25&amp;")"</f>
        <v>Excess Deferred Income Tax Adjustment (line 13 * line 15)</v>
      </c>
      <c r="C29" s="349"/>
      <c r="D29" s="349"/>
      <c r="E29" s="384">
        <f>+E$23*E25</f>
        <v>0</v>
      </c>
      <c r="F29" s="350"/>
      <c r="G29" s="352" t="s">
        <v>34</v>
      </c>
      <c r="H29" s="328">
        <f>H28</f>
        <v>1</v>
      </c>
      <c r="I29" s="350"/>
      <c r="J29" s="384">
        <f>+E29*H29</f>
        <v>0</v>
      </c>
      <c r="K29" s="333"/>
    </row>
    <row r="30" spans="1:11">
      <c r="A30" s="329">
        <f t="shared" si="0"/>
        <v>20</v>
      </c>
      <c r="B30" s="337" t="str">
        <f>"Permanent Differences Tax Adjustment (line "&amp;A23&amp;" * "&amp;A26&amp;")"</f>
        <v>Permanent Differences Tax Adjustment (line 13 * 16)</v>
      </c>
      <c r="C30" s="349"/>
      <c r="D30" s="349"/>
      <c r="E30" s="762">
        <f>+E$23*E26</f>
        <v>18301.433055145149</v>
      </c>
      <c r="F30" s="350"/>
      <c r="G30" s="352" t="s">
        <v>34</v>
      </c>
      <c r="H30" s="328">
        <f>H29</f>
        <v>1</v>
      </c>
      <c r="I30" s="350"/>
      <c r="J30" s="762">
        <f>+E30*H30</f>
        <v>18301.433055145149</v>
      </c>
      <c r="K30" s="333"/>
    </row>
    <row r="31" spans="1:11">
      <c r="A31" s="329">
        <f t="shared" si="0"/>
        <v>21</v>
      </c>
      <c r="B31" s="353" t="str">
        <f>"Total Income Taxes (sum lines "&amp;A27&amp;" - "&amp;A30&amp;")"</f>
        <v>Total Income Taxes (sum lines 17 - 20)</v>
      </c>
      <c r="C31" s="337"/>
      <c r="D31" s="337"/>
      <c r="E31" s="347">
        <f>SUM(E27:E30)</f>
        <v>18301.433055145149</v>
      </c>
      <c r="F31" s="350"/>
      <c r="G31" s="350" t="s">
        <v>8</v>
      </c>
      <c r="H31" s="351" t="s">
        <v>8</v>
      </c>
      <c r="I31" s="350"/>
      <c r="J31" s="347">
        <f>SUM(J27:J30)</f>
        <v>18301.433055145149</v>
      </c>
      <c r="K31" s="328">
        <f>+J31</f>
        <v>18301.433055145149</v>
      </c>
    </row>
    <row r="32" spans="1:11">
      <c r="A32" s="329"/>
      <c r="J32" s="327"/>
      <c r="K32" s="333"/>
    </row>
    <row r="33" spans="1:11">
      <c r="A33" s="329">
        <f>+A31+1</f>
        <v>22</v>
      </c>
      <c r="B33" s="337" t="s">
        <v>356</v>
      </c>
      <c r="D33" s="327" t="s">
        <v>817</v>
      </c>
      <c r="J33" s="327"/>
      <c r="K33" s="328">
        <f>+K31+K16</f>
        <v>18301.433055145149</v>
      </c>
    </row>
    <row r="34" spans="1:11">
      <c r="A34" s="329"/>
      <c r="J34" s="327"/>
      <c r="K34" s="333"/>
    </row>
    <row r="35" spans="1:11">
      <c r="A35" s="329">
        <f>+A33+1</f>
        <v>23</v>
      </c>
      <c r="B35" s="327" t="s">
        <v>489</v>
      </c>
      <c r="J35" s="327"/>
      <c r="K35" s="328">
        <f>+'Attachment H'!I170</f>
        <v>9829910.4668199159</v>
      </c>
    </row>
    <row r="36" spans="1:11">
      <c r="A36" s="329">
        <f t="shared" si="0"/>
        <v>24</v>
      </c>
      <c r="B36" s="327" t="s">
        <v>490</v>
      </c>
      <c r="J36" s="327"/>
      <c r="K36" s="328">
        <f>+'Attachment H'!I167</f>
        <v>2281098.7540306216</v>
      </c>
    </row>
    <row r="37" spans="1:11">
      <c r="A37" s="329">
        <f t="shared" si="0"/>
        <v>25</v>
      </c>
      <c r="B37" s="337" t="s">
        <v>357</v>
      </c>
      <c r="D37" s="327" t="s">
        <v>818</v>
      </c>
      <c r="J37" s="327"/>
      <c r="K37" s="354">
        <f>SUM(K35:K36)</f>
        <v>12111009.220850538</v>
      </c>
    </row>
    <row r="38" spans="1:11">
      <c r="A38" s="329">
        <f t="shared" si="0"/>
        <v>26</v>
      </c>
      <c r="B38" s="337" t="s">
        <v>358</v>
      </c>
      <c r="D38" s="327" t="s">
        <v>819</v>
      </c>
      <c r="J38" s="327"/>
      <c r="K38" s="328">
        <f>+K33-K37</f>
        <v>-12092707.787795393</v>
      </c>
    </row>
    <row r="39" spans="1:11">
      <c r="A39" s="329">
        <f t="shared" si="0"/>
        <v>27</v>
      </c>
      <c r="B39" s="327" t="s">
        <v>468</v>
      </c>
      <c r="J39" s="327"/>
      <c r="K39" s="413">
        <f>+K7</f>
        <v>99062874.535540536</v>
      </c>
    </row>
    <row r="40" spans="1:11">
      <c r="A40" s="329">
        <f t="shared" si="0"/>
        <v>28</v>
      </c>
      <c r="B40" s="327" t="s">
        <v>359</v>
      </c>
      <c r="E40" s="327" t="s">
        <v>820</v>
      </c>
      <c r="J40" s="327"/>
      <c r="K40" s="414">
        <f>IF(K39=0,0,K38/K39)</f>
        <v>-0.12207103664710357</v>
      </c>
    </row>
    <row r="41" spans="1:11">
      <c r="J41" s="327"/>
      <c r="K41" s="333"/>
    </row>
    <row r="42" spans="1:11">
      <c r="A42" s="320" t="s">
        <v>429</v>
      </c>
      <c r="J42" s="327"/>
      <c r="K42" s="333"/>
    </row>
    <row r="43" spans="1:11">
      <c r="A43" s="409" t="s">
        <v>73</v>
      </c>
      <c r="B43" s="379" t="s">
        <v>428</v>
      </c>
      <c r="J43" s="327"/>
      <c r="K43" s="333"/>
    </row>
    <row r="44" spans="1:11">
      <c r="A44" s="409"/>
      <c r="B44" s="327" t="s">
        <v>600</v>
      </c>
      <c r="J44" s="327"/>
      <c r="K44" s="333"/>
    </row>
    <row r="45" spans="1:11">
      <c r="A45" s="409"/>
      <c r="B45" s="327" t="s">
        <v>431</v>
      </c>
      <c r="J45" s="327"/>
      <c r="K45" s="333"/>
    </row>
    <row r="46" spans="1:11">
      <c r="A46" s="409"/>
      <c r="B46" s="327" t="s">
        <v>599</v>
      </c>
      <c r="J46" s="327"/>
      <c r="K46" s="333"/>
    </row>
    <row r="47" spans="1:11">
      <c r="A47" s="409" t="s">
        <v>74</v>
      </c>
      <c r="B47" s="327" t="s">
        <v>430</v>
      </c>
      <c r="J47" s="327"/>
      <c r="K47" s="333"/>
    </row>
    <row r="48" spans="1:11">
      <c r="B48" s="327" t="s">
        <v>448</v>
      </c>
      <c r="J48" s="327"/>
      <c r="K48" s="333"/>
    </row>
    <row r="68" ht="24" customHeight="1"/>
  </sheetData>
  <phoneticPr fontId="0" type="noConversion"/>
  <pageMargins left="0.25" right="0.25" top="0.75" bottom="0.75" header="0.3" footer="0.3"/>
  <pageSetup scale="64" fitToHeight="0"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M68"/>
  <sheetViews>
    <sheetView topLeftCell="A7" zoomScaleNormal="100" zoomScaleSheetLayoutView="75" workbookViewId="0">
      <selection activeCell="D23" sqref="D23"/>
    </sheetView>
  </sheetViews>
  <sheetFormatPr defaultColWidth="8.765625" defaultRowHeight="13"/>
  <cols>
    <col min="1" max="1" width="6" style="25" customWidth="1"/>
    <col min="2" max="2" width="27.07421875" style="25" customWidth="1"/>
    <col min="3" max="3" width="28.4609375" style="25" bestFit="1" customWidth="1"/>
    <col min="4" max="4" width="18.765625" style="25" customWidth="1"/>
    <col min="5" max="5" width="14.07421875" style="25" customWidth="1"/>
    <col min="6" max="6" width="15.23046875" style="25" customWidth="1"/>
    <col min="7" max="7" width="18.23046875" style="25" customWidth="1"/>
    <col min="8" max="8" width="14.4609375" style="25" customWidth="1"/>
    <col min="9" max="9" width="18.53515625" style="25" customWidth="1"/>
    <col min="10" max="10" width="13.765625" style="25" customWidth="1"/>
    <col min="11" max="11" width="14.4609375" style="25" customWidth="1"/>
    <col min="12" max="12" width="13.53515625" style="25" customWidth="1"/>
    <col min="13" max="16384" width="8.765625" style="25"/>
  </cols>
  <sheetData>
    <row r="1" spans="1:13">
      <c r="J1" s="19" t="s">
        <v>676</v>
      </c>
    </row>
    <row r="5" spans="1:13">
      <c r="A5" s="514"/>
      <c r="D5" s="19"/>
      <c r="E5" s="510" t="s">
        <v>232</v>
      </c>
      <c r="F5" s="19"/>
      <c r="G5" s="19"/>
      <c r="I5" s="19"/>
      <c r="J5" s="19"/>
      <c r="K5" s="19"/>
      <c r="L5" s="24"/>
    </row>
    <row r="6" spans="1:13">
      <c r="A6" s="514"/>
      <c r="D6" s="19"/>
      <c r="E6" s="423" t="s">
        <v>433</v>
      </c>
      <c r="F6" s="22"/>
      <c r="G6" s="22"/>
      <c r="I6" s="22"/>
      <c r="J6" s="22"/>
      <c r="K6" s="22"/>
      <c r="L6" s="24"/>
    </row>
    <row r="7" spans="1:13">
      <c r="A7" s="514"/>
      <c r="C7" s="26"/>
      <c r="D7" s="26"/>
      <c r="E7" s="648" t="str">
        <f>'Attachment H'!$D$5</f>
        <v>NextEra Energy Transmission MidAtlantic, Inc.</v>
      </c>
      <c r="F7" s="26"/>
      <c r="G7" s="26"/>
      <c r="I7" s="26"/>
      <c r="J7" s="26"/>
      <c r="K7" s="26"/>
      <c r="L7" s="26"/>
    </row>
    <row r="8" spans="1:13" s="408" customFormat="1">
      <c r="A8" s="515"/>
      <c r="B8" s="25"/>
      <c r="C8" s="25"/>
      <c r="D8" s="25"/>
      <c r="E8" s="70"/>
      <c r="F8" s="70"/>
      <c r="G8" s="70"/>
      <c r="H8" s="25"/>
      <c r="I8" s="26"/>
      <c r="J8" s="26"/>
      <c r="K8" s="26"/>
      <c r="L8" s="26"/>
    </row>
    <row r="9" spans="1:13" s="408" customFormat="1">
      <c r="A9" s="516"/>
      <c r="B9" s="296"/>
      <c r="C9" s="296"/>
      <c r="D9" s="296"/>
      <c r="E9" s="296"/>
      <c r="F9" s="296"/>
      <c r="G9" s="296"/>
      <c r="H9" s="296"/>
      <c r="I9" s="296"/>
      <c r="J9" s="296"/>
      <c r="K9" s="303"/>
      <c r="L9" s="296"/>
    </row>
    <row r="10" spans="1:13" s="408" customFormat="1">
      <c r="A10" s="516"/>
      <c r="B10" s="296"/>
      <c r="C10" s="296"/>
      <c r="D10" s="784" t="s">
        <v>673</v>
      </c>
      <c r="E10" s="785"/>
      <c r="F10" s="462"/>
      <c r="G10" s="464" t="s">
        <v>532</v>
      </c>
      <c r="H10" s="462"/>
      <c r="I10" s="465"/>
      <c r="J10" s="465"/>
      <c r="K10" s="463"/>
    </row>
    <row r="11" spans="1:13" s="408" customFormat="1" ht="15.5">
      <c r="A11" s="516">
        <v>1</v>
      </c>
      <c r="B11" s="296" t="s">
        <v>672</v>
      </c>
      <c r="C11" s="296"/>
      <c r="D11" s="786" t="s">
        <v>674</v>
      </c>
      <c r="E11" s="787"/>
      <c r="F11" s="586" t="s">
        <v>601</v>
      </c>
      <c r="G11" s="466" t="s">
        <v>533</v>
      </c>
      <c r="H11" s="586" t="s">
        <v>534</v>
      </c>
      <c r="I11" s="567"/>
      <c r="J11" s="567"/>
      <c r="K11" s="568"/>
    </row>
    <row r="12" spans="1:13" s="408" customFormat="1">
      <c r="A12" s="516">
        <v>2</v>
      </c>
      <c r="B12" s="718">
        <v>2024</v>
      </c>
      <c r="C12" s="296"/>
      <c r="D12" s="467"/>
      <c r="E12" s="467"/>
      <c r="F12" s="517">
        <v>9664663</v>
      </c>
      <c r="G12" s="468"/>
      <c r="H12" s="467"/>
      <c r="I12" s="467"/>
      <c r="J12" s="467"/>
      <c r="K12" s="462"/>
    </row>
    <row r="13" spans="1:13" s="408" customFormat="1">
      <c r="B13" s="469" t="s">
        <v>73</v>
      </c>
      <c r="C13" s="469" t="s">
        <v>74</v>
      </c>
      <c r="D13" s="466" t="s">
        <v>75</v>
      </c>
      <c r="E13" s="466" t="s">
        <v>76</v>
      </c>
      <c r="F13" s="464" t="s">
        <v>77</v>
      </c>
      <c r="G13" s="469" t="s">
        <v>78</v>
      </c>
      <c r="H13" s="470" t="s">
        <v>79</v>
      </c>
      <c r="I13" s="470" t="s">
        <v>81</v>
      </c>
      <c r="J13" s="470" t="s">
        <v>82</v>
      </c>
      <c r="K13" s="519" t="s">
        <v>83</v>
      </c>
      <c r="M13" s="562"/>
    </row>
    <row r="14" spans="1:13" s="408" customFormat="1">
      <c r="A14" s="516"/>
      <c r="B14" s="467"/>
      <c r="C14" s="464"/>
      <c r="D14" s="464"/>
      <c r="E14" s="518" t="s">
        <v>602</v>
      </c>
      <c r="F14" s="464"/>
      <c r="G14" s="464"/>
      <c r="H14" s="467"/>
      <c r="I14" s="464"/>
      <c r="J14" s="467"/>
      <c r="K14" s="467"/>
    </row>
    <row r="15" spans="1:13" s="408" customFormat="1">
      <c r="A15" s="516"/>
      <c r="B15" s="468"/>
      <c r="C15" s="470"/>
      <c r="D15" s="470" t="s">
        <v>665</v>
      </c>
      <c r="E15" s="519" t="s">
        <v>19</v>
      </c>
      <c r="F15" s="470" t="s">
        <v>537</v>
      </c>
      <c r="G15" s="470" t="s">
        <v>664</v>
      </c>
      <c r="H15" s="470" t="s">
        <v>535</v>
      </c>
      <c r="I15" s="470"/>
      <c r="J15" s="470" t="s">
        <v>442</v>
      </c>
      <c r="K15" s="470"/>
    </row>
    <row r="16" spans="1:13" s="408" customFormat="1">
      <c r="A16" s="516"/>
      <c r="B16" s="470" t="s">
        <v>547</v>
      </c>
      <c r="C16" s="470"/>
      <c r="D16" s="470" t="s">
        <v>536</v>
      </c>
      <c r="E16" s="519" t="s">
        <v>603</v>
      </c>
      <c r="F16" s="470" t="s">
        <v>542</v>
      </c>
      <c r="G16" s="470" t="s">
        <v>536</v>
      </c>
      <c r="H16" s="470" t="s">
        <v>459</v>
      </c>
      <c r="I16" s="464" t="s">
        <v>573</v>
      </c>
      <c r="J16" s="470" t="s">
        <v>538</v>
      </c>
      <c r="K16" s="470" t="s">
        <v>604</v>
      </c>
    </row>
    <row r="17" spans="1:11" s="408" customFormat="1" ht="15.5">
      <c r="A17" s="516"/>
      <c r="B17" s="466" t="s">
        <v>539</v>
      </c>
      <c r="C17" s="466" t="s">
        <v>540</v>
      </c>
      <c r="D17" s="466" t="s">
        <v>541</v>
      </c>
      <c r="E17" s="519" t="s">
        <v>533</v>
      </c>
      <c r="F17" s="521" t="s">
        <v>666</v>
      </c>
      <c r="G17" s="466" t="s">
        <v>605</v>
      </c>
      <c r="H17" s="466" t="s">
        <v>667</v>
      </c>
      <c r="I17" s="466" t="s">
        <v>606</v>
      </c>
      <c r="J17" s="466" t="s">
        <v>607</v>
      </c>
      <c r="K17" s="466" t="s">
        <v>668</v>
      </c>
    </row>
    <row r="18" spans="1:11" s="408" customFormat="1">
      <c r="A18" s="516">
        <v>3</v>
      </c>
      <c r="B18" s="468" t="s">
        <v>854</v>
      </c>
      <c r="C18" s="468" t="s">
        <v>857</v>
      </c>
      <c r="D18" s="734">
        <v>13896873.816</v>
      </c>
      <c r="E18" s="761">
        <f>IF(D$39=0,0,D18/D$39)</f>
        <v>0.90300000000000002</v>
      </c>
      <c r="F18" s="759">
        <v>8753160.150928326</v>
      </c>
      <c r="G18" s="733">
        <v>16908310.305758327</v>
      </c>
      <c r="H18" s="758">
        <f>+G18-F18</f>
        <v>8155150.1548300013</v>
      </c>
      <c r="I18" s="527"/>
      <c r="J18" s="758">
        <f>(H18+I18)*((J$41/12)*24)</f>
        <v>1331386.5138485322</v>
      </c>
      <c r="K18" s="758">
        <f>+H18+J18+I18</f>
        <v>9486536.6686785333</v>
      </c>
    </row>
    <row r="19" spans="1:11" s="408" customFormat="1">
      <c r="A19" s="516" t="s">
        <v>608</v>
      </c>
      <c r="B19" s="489" t="s">
        <v>855</v>
      </c>
      <c r="C19" s="489" t="s">
        <v>858</v>
      </c>
      <c r="D19" s="524">
        <v>1492798.1840000001</v>
      </c>
      <c r="E19" s="525">
        <f t="shared" ref="E19:E37" si="0">IF(D$39=0,0,D19/D$39)</f>
        <v>9.7000000000000003E-2</v>
      </c>
      <c r="F19" s="759">
        <v>911502.84907167451</v>
      </c>
      <c r="G19" s="764">
        <v>1816285.8246495654</v>
      </c>
      <c r="H19" s="765">
        <f t="shared" ref="H19:H37" si="1">+G19-F19</f>
        <v>904782.97557789087</v>
      </c>
      <c r="I19" s="527">
        <v>0</v>
      </c>
      <c r="J19" s="766">
        <f t="shared" ref="J19:J37" si="2">(H19+I19)*((J$41/12)*24)</f>
        <v>147712.28349863051</v>
      </c>
      <c r="K19" s="766">
        <f t="shared" ref="K19:K37" si="3">+H19+J19+I19</f>
        <v>1052495.2590765213</v>
      </c>
    </row>
    <row r="20" spans="1:11" s="408" customFormat="1">
      <c r="A20" s="516" t="s">
        <v>609</v>
      </c>
      <c r="B20" s="489" t="s">
        <v>853</v>
      </c>
      <c r="C20" s="489" t="s">
        <v>848</v>
      </c>
      <c r="D20" s="524">
        <v>0</v>
      </c>
      <c r="E20" s="525">
        <f t="shared" si="0"/>
        <v>0</v>
      </c>
      <c r="F20" s="522"/>
      <c r="G20" s="764">
        <v>711326.70394018153</v>
      </c>
      <c r="H20" s="765">
        <f t="shared" si="1"/>
        <v>711326.70394018153</v>
      </c>
      <c r="I20" s="527">
        <v>0</v>
      </c>
      <c r="J20" s="766">
        <f t="shared" si="2"/>
        <v>116129.16532326277</v>
      </c>
      <c r="K20" s="766">
        <f t="shared" si="3"/>
        <v>827455.86926344433</v>
      </c>
    </row>
    <row r="21" spans="1:11" s="408" customFormat="1">
      <c r="A21" s="516" t="s">
        <v>610</v>
      </c>
      <c r="B21" s="489" t="s">
        <v>860</v>
      </c>
      <c r="C21" s="489" t="s">
        <v>848</v>
      </c>
      <c r="D21" s="524">
        <v>0</v>
      </c>
      <c r="E21" s="525">
        <f t="shared" si="0"/>
        <v>0</v>
      </c>
      <c r="F21" s="522"/>
      <c r="G21" s="764">
        <v>21727.733526512817</v>
      </c>
      <c r="H21" s="765">
        <f t="shared" si="1"/>
        <v>21727.733526512817</v>
      </c>
      <c r="I21" s="527">
        <v>0</v>
      </c>
      <c r="J21" s="766">
        <f t="shared" si="2"/>
        <v>3547.2076962998353</v>
      </c>
      <c r="K21" s="766">
        <f t="shared" si="3"/>
        <v>25274.941222812653</v>
      </c>
    </row>
    <row r="22" spans="1:11" s="408" customFormat="1">
      <c r="A22" s="516" t="s">
        <v>868</v>
      </c>
      <c r="B22" s="489" t="s">
        <v>861</v>
      </c>
      <c r="C22" s="489" t="s">
        <v>848</v>
      </c>
      <c r="D22" s="524">
        <v>0</v>
      </c>
      <c r="E22" s="525">
        <f t="shared" si="0"/>
        <v>0</v>
      </c>
      <c r="F22" s="522"/>
      <c r="G22" s="526">
        <v>0</v>
      </c>
      <c r="H22" s="525">
        <f t="shared" si="1"/>
        <v>0</v>
      </c>
      <c r="I22" s="527">
        <v>0</v>
      </c>
      <c r="J22" s="523">
        <f t="shared" si="2"/>
        <v>0</v>
      </c>
      <c r="K22" s="523">
        <f t="shared" si="3"/>
        <v>0</v>
      </c>
    </row>
    <row r="23" spans="1:11" s="408" customFormat="1">
      <c r="A23" s="516" t="s">
        <v>869</v>
      </c>
      <c r="B23" s="489" t="s">
        <v>862</v>
      </c>
      <c r="C23" s="489" t="s">
        <v>848</v>
      </c>
      <c r="D23" s="524">
        <v>0</v>
      </c>
      <c r="E23" s="525">
        <f t="shared" si="0"/>
        <v>0</v>
      </c>
      <c r="F23" s="522"/>
      <c r="G23" s="526">
        <v>0</v>
      </c>
      <c r="H23" s="525">
        <f t="shared" si="1"/>
        <v>0</v>
      </c>
      <c r="I23" s="527">
        <v>0</v>
      </c>
      <c r="J23" s="523">
        <f t="shared" si="2"/>
        <v>0</v>
      </c>
      <c r="K23" s="523">
        <f t="shared" si="3"/>
        <v>0</v>
      </c>
    </row>
    <row r="24" spans="1:11" s="408" customFormat="1">
      <c r="A24" s="516" t="s">
        <v>870</v>
      </c>
      <c r="B24" s="489" t="s">
        <v>863</v>
      </c>
      <c r="C24" s="489" t="s">
        <v>848</v>
      </c>
      <c r="D24" s="524">
        <v>0</v>
      </c>
      <c r="E24" s="525">
        <f t="shared" si="0"/>
        <v>0</v>
      </c>
      <c r="F24" s="522"/>
      <c r="G24" s="526">
        <v>0</v>
      </c>
      <c r="H24" s="525">
        <f t="shared" si="1"/>
        <v>0</v>
      </c>
      <c r="I24" s="527">
        <v>0</v>
      </c>
      <c r="J24" s="523">
        <f t="shared" si="2"/>
        <v>0</v>
      </c>
      <c r="K24" s="523">
        <f t="shared" si="3"/>
        <v>0</v>
      </c>
    </row>
    <row r="25" spans="1:11">
      <c r="A25" s="516" t="s">
        <v>871</v>
      </c>
      <c r="B25" s="489" t="s">
        <v>864</v>
      </c>
      <c r="C25" s="489" t="s">
        <v>848</v>
      </c>
      <c r="D25" s="524">
        <v>0</v>
      </c>
      <c r="E25" s="525">
        <f t="shared" si="0"/>
        <v>0</v>
      </c>
      <c r="F25" s="522"/>
      <c r="G25" s="526">
        <v>0</v>
      </c>
      <c r="H25" s="525">
        <f t="shared" si="1"/>
        <v>0</v>
      </c>
      <c r="I25" s="527">
        <v>0</v>
      </c>
      <c r="J25" s="523">
        <f t="shared" si="2"/>
        <v>0</v>
      </c>
      <c r="K25" s="523">
        <f t="shared" si="3"/>
        <v>0</v>
      </c>
    </row>
    <row r="26" spans="1:11">
      <c r="A26" s="516" t="s">
        <v>872</v>
      </c>
      <c r="B26" s="489" t="s">
        <v>865</v>
      </c>
      <c r="C26" s="489" t="s">
        <v>848</v>
      </c>
      <c r="D26" s="524">
        <v>0</v>
      </c>
      <c r="E26" s="525">
        <f t="shared" si="0"/>
        <v>0</v>
      </c>
      <c r="F26" s="522"/>
      <c r="G26" s="526">
        <v>0</v>
      </c>
      <c r="H26" s="525">
        <f t="shared" si="1"/>
        <v>0</v>
      </c>
      <c r="I26" s="527">
        <v>0</v>
      </c>
      <c r="J26" s="523">
        <f t="shared" si="2"/>
        <v>0</v>
      </c>
      <c r="K26" s="523">
        <f t="shared" si="3"/>
        <v>0</v>
      </c>
    </row>
    <row r="27" spans="1:11">
      <c r="A27" s="516" t="s">
        <v>873</v>
      </c>
      <c r="B27" s="489" t="s">
        <v>866</v>
      </c>
      <c r="C27" s="489" t="s">
        <v>848</v>
      </c>
      <c r="D27" s="524">
        <v>0</v>
      </c>
      <c r="E27" s="525">
        <f t="shared" si="0"/>
        <v>0</v>
      </c>
      <c r="F27" s="522"/>
      <c r="G27" s="526">
        <v>0</v>
      </c>
      <c r="H27" s="525">
        <f t="shared" si="1"/>
        <v>0</v>
      </c>
      <c r="I27" s="527">
        <v>0</v>
      </c>
      <c r="J27" s="523">
        <f t="shared" si="2"/>
        <v>0</v>
      </c>
      <c r="K27" s="523">
        <f t="shared" si="3"/>
        <v>0</v>
      </c>
    </row>
    <row r="28" spans="1:11" ht="12.75" customHeight="1">
      <c r="A28" s="516" t="s">
        <v>874</v>
      </c>
      <c r="B28" s="489" t="s">
        <v>867</v>
      </c>
      <c r="C28" s="489" t="s">
        <v>848</v>
      </c>
      <c r="D28" s="524">
        <v>0</v>
      </c>
      <c r="E28" s="525">
        <f t="shared" si="0"/>
        <v>0</v>
      </c>
      <c r="F28" s="522"/>
      <c r="G28" s="526">
        <v>0</v>
      </c>
      <c r="H28" s="525">
        <f t="shared" si="1"/>
        <v>0</v>
      </c>
      <c r="I28" s="527">
        <v>0</v>
      </c>
      <c r="J28" s="523">
        <f t="shared" si="2"/>
        <v>0</v>
      </c>
      <c r="K28" s="523">
        <f t="shared" si="3"/>
        <v>0</v>
      </c>
    </row>
    <row r="29" spans="1:11">
      <c r="A29" s="516"/>
      <c r="B29" s="489"/>
      <c r="C29" s="489"/>
      <c r="D29" s="524">
        <v>0</v>
      </c>
      <c r="E29" s="525">
        <f t="shared" si="0"/>
        <v>0</v>
      </c>
      <c r="F29" s="522"/>
      <c r="G29" s="526">
        <v>0</v>
      </c>
      <c r="H29" s="525">
        <f t="shared" si="1"/>
        <v>0</v>
      </c>
      <c r="I29" s="527">
        <v>0</v>
      </c>
      <c r="J29" s="523">
        <f t="shared" si="2"/>
        <v>0</v>
      </c>
      <c r="K29" s="523">
        <f t="shared" si="3"/>
        <v>0</v>
      </c>
    </row>
    <row r="30" spans="1:11">
      <c r="A30" s="516"/>
      <c r="B30" s="489"/>
      <c r="C30" s="489"/>
      <c r="D30" s="524">
        <v>0</v>
      </c>
      <c r="E30" s="525">
        <f t="shared" si="0"/>
        <v>0</v>
      </c>
      <c r="F30" s="522"/>
      <c r="G30" s="526">
        <v>0</v>
      </c>
      <c r="H30" s="525">
        <f t="shared" si="1"/>
        <v>0</v>
      </c>
      <c r="I30" s="527">
        <v>0</v>
      </c>
      <c r="J30" s="523">
        <f t="shared" si="2"/>
        <v>0</v>
      </c>
      <c r="K30" s="523">
        <f t="shared" si="3"/>
        <v>0</v>
      </c>
    </row>
    <row r="31" spans="1:11">
      <c r="A31" s="516"/>
      <c r="B31" s="489"/>
      <c r="C31" s="489"/>
      <c r="D31" s="524">
        <v>0</v>
      </c>
      <c r="E31" s="525">
        <f t="shared" si="0"/>
        <v>0</v>
      </c>
      <c r="F31" s="522"/>
      <c r="G31" s="526">
        <v>0</v>
      </c>
      <c r="H31" s="525">
        <f t="shared" si="1"/>
        <v>0</v>
      </c>
      <c r="I31" s="527">
        <v>0</v>
      </c>
      <c r="J31" s="523">
        <f t="shared" si="2"/>
        <v>0</v>
      </c>
      <c r="K31" s="523">
        <f t="shared" si="3"/>
        <v>0</v>
      </c>
    </row>
    <row r="32" spans="1:11">
      <c r="A32" s="516"/>
      <c r="B32" s="489"/>
      <c r="C32" s="489"/>
      <c r="D32" s="524">
        <v>0</v>
      </c>
      <c r="E32" s="525">
        <f t="shared" si="0"/>
        <v>0</v>
      </c>
      <c r="F32" s="522"/>
      <c r="G32" s="526">
        <v>0</v>
      </c>
      <c r="H32" s="525">
        <f t="shared" si="1"/>
        <v>0</v>
      </c>
      <c r="I32" s="527">
        <v>0</v>
      </c>
      <c r="J32" s="523">
        <f t="shared" si="2"/>
        <v>0</v>
      </c>
      <c r="K32" s="523">
        <f t="shared" si="3"/>
        <v>0</v>
      </c>
    </row>
    <row r="33" spans="1:12">
      <c r="A33" s="516"/>
      <c r="B33" s="489"/>
      <c r="C33" s="489"/>
      <c r="D33" s="524">
        <v>0</v>
      </c>
      <c r="E33" s="525">
        <f t="shared" si="0"/>
        <v>0</v>
      </c>
      <c r="F33" s="522"/>
      <c r="G33" s="526">
        <v>0</v>
      </c>
      <c r="H33" s="525">
        <f t="shared" si="1"/>
        <v>0</v>
      </c>
      <c r="I33" s="527">
        <v>0</v>
      </c>
      <c r="J33" s="523">
        <f t="shared" si="2"/>
        <v>0</v>
      </c>
      <c r="K33" s="523">
        <f t="shared" si="3"/>
        <v>0</v>
      </c>
    </row>
    <row r="34" spans="1:12">
      <c r="A34" s="516"/>
      <c r="B34" s="489"/>
      <c r="C34" s="489"/>
      <c r="D34" s="524">
        <v>0</v>
      </c>
      <c r="E34" s="525">
        <f t="shared" si="0"/>
        <v>0</v>
      </c>
      <c r="F34" s="522"/>
      <c r="G34" s="526">
        <v>0</v>
      </c>
      <c r="H34" s="525">
        <f t="shared" si="1"/>
        <v>0</v>
      </c>
      <c r="I34" s="527">
        <v>0</v>
      </c>
      <c r="J34" s="523">
        <f t="shared" si="2"/>
        <v>0</v>
      </c>
      <c r="K34" s="523">
        <f t="shared" si="3"/>
        <v>0</v>
      </c>
    </row>
    <row r="35" spans="1:12" ht="13.5" customHeight="1">
      <c r="A35" s="516"/>
      <c r="B35" s="489"/>
      <c r="C35" s="489"/>
      <c r="D35" s="524">
        <v>0</v>
      </c>
      <c r="E35" s="525">
        <f t="shared" si="0"/>
        <v>0</v>
      </c>
      <c r="F35" s="522"/>
      <c r="G35" s="526">
        <v>0</v>
      </c>
      <c r="H35" s="525">
        <f t="shared" si="1"/>
        <v>0</v>
      </c>
      <c r="I35" s="527">
        <v>0</v>
      </c>
      <c r="J35" s="523">
        <f t="shared" si="2"/>
        <v>0</v>
      </c>
      <c r="K35" s="523">
        <f t="shared" si="3"/>
        <v>0</v>
      </c>
    </row>
    <row r="36" spans="1:12" ht="13.5" customHeight="1">
      <c r="A36" s="516"/>
      <c r="B36" s="489"/>
      <c r="C36" s="489"/>
      <c r="D36" s="524">
        <v>0</v>
      </c>
      <c r="E36" s="525">
        <f t="shared" si="0"/>
        <v>0</v>
      </c>
      <c r="F36" s="522"/>
      <c r="G36" s="526">
        <v>0</v>
      </c>
      <c r="H36" s="525">
        <f t="shared" si="1"/>
        <v>0</v>
      </c>
      <c r="I36" s="527">
        <v>0</v>
      </c>
      <c r="J36" s="523">
        <f t="shared" si="2"/>
        <v>0</v>
      </c>
      <c r="K36" s="523">
        <f t="shared" si="3"/>
        <v>0</v>
      </c>
    </row>
    <row r="37" spans="1:12">
      <c r="A37" s="516"/>
      <c r="B37" s="489"/>
      <c r="C37" s="489"/>
      <c r="D37" s="524">
        <v>0</v>
      </c>
      <c r="E37" s="525">
        <f t="shared" si="0"/>
        <v>0</v>
      </c>
      <c r="F37" s="522"/>
      <c r="G37" s="526">
        <v>0</v>
      </c>
      <c r="H37" s="525">
        <f t="shared" si="1"/>
        <v>0</v>
      </c>
      <c r="I37" s="527">
        <v>0</v>
      </c>
      <c r="J37" s="523">
        <f t="shared" si="2"/>
        <v>0</v>
      </c>
      <c r="K37" s="523">
        <f t="shared" si="3"/>
        <v>0</v>
      </c>
    </row>
    <row r="38" spans="1:12">
      <c r="A38" s="516"/>
      <c r="B38" s="471"/>
      <c r="C38" s="471"/>
      <c r="D38" s="528"/>
      <c r="E38" s="529"/>
      <c r="F38" s="472"/>
      <c r="G38" s="473"/>
      <c r="H38" s="471"/>
      <c r="I38" s="471"/>
      <c r="J38" s="471"/>
      <c r="K38" s="471"/>
    </row>
    <row r="39" spans="1:12">
      <c r="A39" s="516">
        <v>4</v>
      </c>
      <c r="B39" s="296" t="s">
        <v>567</v>
      </c>
      <c r="C39" s="296"/>
      <c r="D39" s="763">
        <f>SUM(D18:D38)</f>
        <v>15389672</v>
      </c>
      <c r="E39" s="530">
        <f>SUM(E18:E38)</f>
        <v>1</v>
      </c>
      <c r="F39" s="763">
        <f>SUM(F18:F38)</f>
        <v>9664663</v>
      </c>
      <c r="G39" s="763">
        <f>SUM(G18:G38)</f>
        <v>19457650.567874588</v>
      </c>
      <c r="H39" s="763">
        <f>SUM(H18:H38)</f>
        <v>9792987.5678745862</v>
      </c>
      <c r="I39" s="530"/>
      <c r="J39" s="763">
        <f>SUM(J18:J38)</f>
        <v>1598775.1703667254</v>
      </c>
      <c r="K39" s="763">
        <f>SUM(K18:K38)</f>
        <v>11391762.738241311</v>
      </c>
    </row>
    <row r="40" spans="1:12">
      <c r="A40" s="516"/>
      <c r="B40" s="296"/>
      <c r="C40" s="296"/>
      <c r="D40" s="530"/>
      <c r="E40" s="530"/>
      <c r="F40" s="530"/>
      <c r="G40" s="530"/>
      <c r="H40" s="530"/>
      <c r="I40" s="530"/>
      <c r="J40" s="530"/>
      <c r="K40" s="530"/>
    </row>
    <row r="41" spans="1:12">
      <c r="A41" s="516"/>
      <c r="B41" s="296"/>
      <c r="C41" s="296"/>
      <c r="D41" s="530"/>
      <c r="E41" s="530"/>
      <c r="F41" s="530"/>
      <c r="G41" s="530" t="s">
        <v>543</v>
      </c>
      <c r="H41" s="530"/>
      <c r="I41" s="530"/>
      <c r="J41" s="720">
        <f>'6-True-Up Interest'!H17</f>
        <v>8.1628571428571425E-2</v>
      </c>
      <c r="K41" s="530"/>
    </row>
    <row r="42" spans="1:12">
      <c r="A42" s="516"/>
      <c r="B42" s="296"/>
      <c r="C42" s="296"/>
      <c r="D42" s="530"/>
      <c r="E42" s="530"/>
      <c r="F42" s="530"/>
      <c r="G42" s="530" t="s">
        <v>544</v>
      </c>
      <c r="H42" s="530"/>
      <c r="I42" s="530"/>
      <c r="J42" s="530">
        <f>+J39</f>
        <v>1598775.1703667254</v>
      </c>
      <c r="K42" s="530"/>
    </row>
    <row r="43" spans="1:12">
      <c r="A43" s="516"/>
      <c r="B43" s="296" t="s">
        <v>224</v>
      </c>
      <c r="C43" s="296"/>
      <c r="D43" s="296"/>
      <c r="E43" s="296"/>
      <c r="F43" s="296"/>
      <c r="G43" s="296"/>
      <c r="H43" s="296"/>
      <c r="I43" s="296"/>
      <c r="J43" s="296"/>
      <c r="K43" s="296"/>
      <c r="L43" s="296"/>
    </row>
    <row r="44" spans="1:12">
      <c r="A44" s="516"/>
      <c r="B44" s="296" t="s">
        <v>663</v>
      </c>
      <c r="C44" s="296"/>
      <c r="D44" s="296"/>
      <c r="E44" s="296"/>
      <c r="F44" s="296"/>
      <c r="G44" s="296"/>
      <c r="H44" s="296"/>
      <c r="I44" s="296"/>
      <c r="J44" s="296"/>
      <c r="K44" s="296"/>
      <c r="L44" s="296"/>
    </row>
    <row r="45" spans="1:12">
      <c r="A45" s="516"/>
      <c r="B45" s="298" t="s">
        <v>681</v>
      </c>
      <c r="C45" s="296"/>
      <c r="D45" s="296"/>
      <c r="E45" s="296"/>
      <c r="F45" s="296"/>
      <c r="G45" s="296"/>
      <c r="H45" s="296"/>
      <c r="I45" s="296"/>
      <c r="J45" s="296"/>
      <c r="K45" s="296"/>
      <c r="L45" s="296"/>
    </row>
    <row r="46" spans="1:12">
      <c r="A46" s="516"/>
      <c r="B46" s="296" t="s">
        <v>669</v>
      </c>
      <c r="C46" s="296"/>
      <c r="D46" s="296"/>
      <c r="E46" s="296"/>
      <c r="F46" s="296"/>
      <c r="G46" s="296"/>
      <c r="H46" s="296"/>
      <c r="I46" s="296"/>
      <c r="J46" s="296"/>
      <c r="K46" s="296"/>
      <c r="L46" s="296"/>
    </row>
    <row r="47" spans="1:12">
      <c r="A47" s="516"/>
      <c r="B47" s="25" t="s">
        <v>670</v>
      </c>
      <c r="C47" s="296"/>
      <c r="D47" s="296"/>
      <c r="E47" s="296"/>
      <c r="F47" s="296"/>
      <c r="G47" s="296"/>
      <c r="H47" s="296"/>
      <c r="I47" s="296"/>
      <c r="J47" s="296"/>
      <c r="K47" s="296"/>
      <c r="L47" s="296"/>
    </row>
    <row r="48" spans="1:12">
      <c r="A48" s="516"/>
      <c r="B48" s="25" t="s">
        <v>821</v>
      </c>
      <c r="C48" s="296"/>
      <c r="D48" s="296"/>
      <c r="E48" s="296"/>
      <c r="F48" s="296"/>
      <c r="G48" s="296"/>
      <c r="H48" s="296"/>
      <c r="I48" s="296"/>
      <c r="J48" s="296"/>
      <c r="K48" s="296"/>
      <c r="L48" s="296"/>
    </row>
    <row r="49" spans="1:12">
      <c r="A49" s="516"/>
      <c r="B49" s="296" t="s">
        <v>645</v>
      </c>
      <c r="C49" s="296"/>
      <c r="D49" s="296"/>
      <c r="E49" s="296"/>
      <c r="F49" s="296"/>
      <c r="G49" s="296"/>
      <c r="H49" s="296"/>
      <c r="I49" s="296"/>
      <c r="J49" s="296"/>
      <c r="K49" s="296"/>
      <c r="L49" s="296"/>
    </row>
    <row r="50" spans="1:12">
      <c r="A50" s="516"/>
      <c r="B50" s="474" t="s">
        <v>671</v>
      </c>
      <c r="C50" s="296"/>
      <c r="D50" s="296"/>
      <c r="E50" s="296"/>
      <c r="F50" s="296"/>
      <c r="G50" s="296"/>
      <c r="H50" s="296"/>
      <c r="I50" s="296"/>
      <c r="J50" s="296"/>
      <c r="K50" s="296"/>
      <c r="L50" s="296"/>
    </row>
    <row r="51" spans="1:12">
      <c r="A51" s="516"/>
      <c r="J51" s="296"/>
      <c r="K51" s="296"/>
      <c r="L51" s="296"/>
    </row>
    <row r="52" spans="1:12">
      <c r="A52" s="516"/>
      <c r="C52" s="296"/>
      <c r="D52" s="296"/>
      <c r="E52" s="296"/>
      <c r="F52" s="296"/>
      <c r="G52" s="296"/>
      <c r="H52" s="298"/>
      <c r="I52" s="296"/>
      <c r="J52" s="296"/>
      <c r="K52" s="296"/>
      <c r="L52" s="296"/>
    </row>
    <row r="53" spans="1:12">
      <c r="A53" s="516"/>
      <c r="C53" s="296"/>
      <c r="D53" s="296"/>
      <c r="E53" s="296"/>
      <c r="F53" s="296"/>
      <c r="G53" s="296"/>
      <c r="H53" s="298"/>
      <c r="I53" s="296"/>
      <c r="J53" s="296"/>
      <c r="K53" s="296"/>
      <c r="L53" s="296"/>
    </row>
    <row r="54" spans="1:12">
      <c r="A54" s="516"/>
      <c r="B54" s="475"/>
      <c r="C54" s="475"/>
      <c r="D54" s="27"/>
      <c r="E54" s="27"/>
      <c r="F54" s="27"/>
      <c r="G54" s="27"/>
      <c r="H54" s="27"/>
      <c r="I54" s="475"/>
      <c r="J54" s="475"/>
    </row>
    <row r="55" spans="1:12">
      <c r="A55" s="531" t="s">
        <v>611</v>
      </c>
      <c r="C55" s="475"/>
      <c r="D55" s="27"/>
      <c r="E55" s="27"/>
      <c r="F55" s="27"/>
      <c r="G55" s="27"/>
      <c r="H55" s="27"/>
      <c r="I55" s="475"/>
      <c r="J55" s="475"/>
    </row>
    <row r="56" spans="1:12">
      <c r="A56" s="532"/>
      <c r="B56" s="55" t="s">
        <v>241</v>
      </c>
      <c r="C56" s="477" t="s">
        <v>242</v>
      </c>
      <c r="D56" s="476" t="s">
        <v>243</v>
      </c>
      <c r="E56" s="476" t="s">
        <v>244</v>
      </c>
      <c r="F56" s="55"/>
      <c r="J56" s="475"/>
    </row>
    <row r="57" spans="1:12">
      <c r="A57" s="532"/>
      <c r="B57" s="478" t="str">
        <f>+A55</f>
        <v>Prior Period Adjustment</v>
      </c>
      <c r="C57" s="479" t="s">
        <v>17</v>
      </c>
      <c r="D57" s="480" t="s">
        <v>442</v>
      </c>
      <c r="E57" s="480" t="s">
        <v>19</v>
      </c>
      <c r="J57" s="475"/>
    </row>
    <row r="58" spans="1:12">
      <c r="A58" s="532"/>
      <c r="B58" s="481" t="s">
        <v>612</v>
      </c>
      <c r="C58" s="482" t="s">
        <v>545</v>
      </c>
      <c r="D58" s="482" t="s">
        <v>503</v>
      </c>
      <c r="E58" s="482" t="s">
        <v>546</v>
      </c>
      <c r="J58" s="475"/>
    </row>
    <row r="59" spans="1:12">
      <c r="A59" s="532" t="s">
        <v>166</v>
      </c>
      <c r="B59" s="483">
        <v>0</v>
      </c>
      <c r="C59" s="484">
        <v>0</v>
      </c>
      <c r="D59" s="484">
        <v>0</v>
      </c>
      <c r="E59" s="485">
        <f>+C59+D59</f>
        <v>0</v>
      </c>
      <c r="J59" s="475"/>
    </row>
    <row r="60" spans="1:12">
      <c r="A60" s="532"/>
      <c r="B60" s="486"/>
      <c r="C60" s="51"/>
      <c r="D60" s="51"/>
      <c r="E60" s="390"/>
      <c r="J60" s="475"/>
    </row>
    <row r="61" spans="1:12">
      <c r="A61" s="532"/>
      <c r="C61" s="475"/>
      <c r="D61" s="475"/>
      <c r="E61" s="475"/>
      <c r="F61" s="475"/>
      <c r="G61" s="475"/>
      <c r="H61" s="18"/>
      <c r="J61" s="475"/>
    </row>
    <row r="62" spans="1:12" ht="66" customHeight="1">
      <c r="A62" s="532"/>
      <c r="C62" s="509"/>
      <c r="D62" s="487"/>
      <c r="E62" s="487"/>
      <c r="F62" s="487"/>
      <c r="G62" s="487"/>
      <c r="H62" s="487"/>
      <c r="I62" s="487"/>
      <c r="J62" s="475"/>
    </row>
    <row r="63" spans="1:12" ht="56.25" customHeight="1">
      <c r="A63" s="533" t="s">
        <v>224</v>
      </c>
      <c r="B63" s="122" t="s">
        <v>73</v>
      </c>
      <c r="C63" s="788" t="s">
        <v>773</v>
      </c>
      <c r="D63" s="788"/>
      <c r="E63" s="788"/>
      <c r="F63" s="788"/>
      <c r="G63" s="788"/>
      <c r="H63" s="788"/>
      <c r="I63" s="788"/>
      <c r="J63" s="788"/>
    </row>
    <row r="64" spans="1:12" ht="27" customHeight="1">
      <c r="A64" s="532"/>
      <c r="B64" s="455" t="s">
        <v>74</v>
      </c>
      <c r="C64" s="783" t="s">
        <v>613</v>
      </c>
      <c r="D64" s="783"/>
      <c r="E64" s="783"/>
      <c r="F64" s="783"/>
      <c r="G64" s="783"/>
      <c r="H64" s="783"/>
      <c r="I64" s="783"/>
      <c r="J64" s="475"/>
    </row>
    <row r="68" ht="24" customHeight="1"/>
  </sheetData>
  <mergeCells count="4">
    <mergeCell ref="C64:I64"/>
    <mergeCell ref="D10:E10"/>
    <mergeCell ref="D11:E11"/>
    <mergeCell ref="C63:J63"/>
  </mergeCells>
  <phoneticPr fontId="0" type="noConversion"/>
  <pageMargins left="0.25" right="0.25" top="0.75" bottom="0.75" header="0.3" footer="0.3"/>
  <pageSetup scale="55"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P78"/>
  <sheetViews>
    <sheetView zoomScale="85" zoomScaleNormal="85" zoomScaleSheetLayoutView="85" workbookViewId="0">
      <selection activeCell="D23" sqref="D23"/>
    </sheetView>
  </sheetViews>
  <sheetFormatPr defaultColWidth="8.765625" defaultRowHeight="13"/>
  <cols>
    <col min="1" max="1" width="4.765625" style="13" customWidth="1"/>
    <col min="2" max="2" width="29" style="15" bestFit="1" customWidth="1"/>
    <col min="3" max="3" width="20" style="15" customWidth="1"/>
    <col min="4" max="4" width="19.23046875" style="15" customWidth="1"/>
    <col min="5" max="5" width="16" style="15" customWidth="1"/>
    <col min="6" max="6" width="17.23046875" style="15" customWidth="1"/>
    <col min="7" max="7" width="21.23046875" style="15" customWidth="1"/>
    <col min="8" max="8" width="18" style="15" customWidth="1"/>
    <col min="9" max="9" width="20.765625" style="15" customWidth="1"/>
    <col min="10" max="10" width="25.23046875" style="15" customWidth="1"/>
    <col min="11" max="14" width="11.765625" style="15" customWidth="1"/>
    <col min="15" max="15" width="8.765625" style="15" customWidth="1"/>
    <col min="16" max="16384" width="8.765625" style="15"/>
  </cols>
  <sheetData>
    <row r="1" spans="1:12">
      <c r="C1" s="1"/>
      <c r="D1" s="1"/>
      <c r="E1" s="1"/>
      <c r="G1" s="20" t="s">
        <v>233</v>
      </c>
      <c r="H1" s="1"/>
      <c r="I1" s="1"/>
      <c r="J1" s="7" t="s">
        <v>683</v>
      </c>
    </row>
    <row r="2" spans="1:12">
      <c r="A2" s="312"/>
      <c r="C2" s="304"/>
      <c r="D2" s="1"/>
      <c r="E2" s="1"/>
      <c r="F2" s="1"/>
      <c r="G2" s="355" t="s">
        <v>362</v>
      </c>
      <c r="H2" s="1"/>
      <c r="I2" s="1"/>
      <c r="J2" s="1"/>
      <c r="L2" s="305"/>
    </row>
    <row r="3" spans="1:12">
      <c r="A3" s="312"/>
      <c r="C3" s="1"/>
      <c r="D3" s="1"/>
      <c r="E3" s="1"/>
      <c r="F3" s="1"/>
      <c r="G3" s="648" t="str">
        <f>'Attachment H'!$D$5</f>
        <v>NextEra Energy Transmission MidAtlantic, Inc.</v>
      </c>
      <c r="H3" s="1"/>
      <c r="I3" s="1"/>
      <c r="J3" s="1"/>
    </row>
    <row r="4" spans="1:12">
      <c r="A4" s="312"/>
      <c r="C4" s="1"/>
      <c r="D4" s="1"/>
      <c r="E4" s="1"/>
      <c r="F4" s="1"/>
      <c r="G4" s="1"/>
      <c r="H4" s="1"/>
      <c r="I4" s="1"/>
      <c r="J4" s="1"/>
    </row>
    <row r="5" spans="1:12">
      <c r="A5" s="312"/>
      <c r="B5" s="2"/>
      <c r="C5" s="2"/>
      <c r="D5" s="2"/>
      <c r="E5" s="2"/>
      <c r="F5" s="2"/>
      <c r="G5" s="2"/>
      <c r="H5" s="2"/>
      <c r="I5" s="2"/>
      <c r="J5" s="2"/>
    </row>
    <row r="6" spans="1:12">
      <c r="A6" s="312"/>
      <c r="B6" s="2"/>
      <c r="C6" s="791" t="s">
        <v>253</v>
      </c>
      <c r="D6" s="791"/>
      <c r="E6" s="11" t="s">
        <v>255</v>
      </c>
      <c r="F6" s="11" t="s">
        <v>256</v>
      </c>
      <c r="G6" s="791" t="s">
        <v>254</v>
      </c>
      <c r="H6" s="791"/>
      <c r="I6" s="790" t="s">
        <v>252</v>
      </c>
      <c r="J6" s="790"/>
    </row>
    <row r="7" spans="1:12" s="12" customFormat="1" ht="26">
      <c r="A7" s="313" t="s">
        <v>240</v>
      </c>
      <c r="B7" s="3" t="s">
        <v>201</v>
      </c>
      <c r="C7" s="3" t="s">
        <v>23</v>
      </c>
      <c r="D7" s="3" t="s">
        <v>211</v>
      </c>
      <c r="E7" s="3" t="s">
        <v>614</v>
      </c>
      <c r="F7" s="3" t="s">
        <v>202</v>
      </c>
      <c r="G7" s="3" t="s">
        <v>203</v>
      </c>
      <c r="H7" s="3" t="s">
        <v>204</v>
      </c>
      <c r="I7" s="3" t="s">
        <v>23</v>
      </c>
      <c r="J7" s="3" t="s">
        <v>211</v>
      </c>
    </row>
    <row r="8" spans="1:12" s="14" customFormat="1">
      <c r="A8" s="312"/>
      <c r="B8" s="11" t="s">
        <v>241</v>
      </c>
      <c r="C8" s="11" t="s">
        <v>242</v>
      </c>
      <c r="D8" s="11" t="s">
        <v>243</v>
      </c>
      <c r="E8" s="3" t="s">
        <v>244</v>
      </c>
      <c r="F8" s="3" t="s">
        <v>246</v>
      </c>
      <c r="G8" s="3" t="s">
        <v>245</v>
      </c>
      <c r="H8" s="3" t="s">
        <v>247</v>
      </c>
      <c r="I8" s="4" t="s">
        <v>248</v>
      </c>
      <c r="J8" s="4" t="s">
        <v>249</v>
      </c>
    </row>
    <row r="9" spans="1:12" s="14" customFormat="1">
      <c r="A9" s="511"/>
      <c r="B9" s="503" t="s">
        <v>616</v>
      </c>
      <c r="C9" s="355">
        <v>2</v>
      </c>
      <c r="D9" s="355">
        <v>4</v>
      </c>
      <c r="E9" s="356">
        <v>27</v>
      </c>
      <c r="F9" s="356">
        <v>31</v>
      </c>
      <c r="G9" s="356">
        <v>34</v>
      </c>
      <c r="H9" s="356">
        <v>35</v>
      </c>
      <c r="I9" s="357">
        <v>9</v>
      </c>
      <c r="J9" s="357">
        <v>11</v>
      </c>
    </row>
    <row r="10" spans="1:12" s="14" customFormat="1" ht="26">
      <c r="A10" s="312"/>
      <c r="B10" s="11"/>
      <c r="C10" s="407" t="s">
        <v>454</v>
      </c>
      <c r="D10" s="457" t="s">
        <v>498</v>
      </c>
      <c r="E10" s="534" t="s">
        <v>128</v>
      </c>
      <c r="F10" s="407" t="s">
        <v>662</v>
      </c>
      <c r="G10" s="407" t="s">
        <v>458</v>
      </c>
      <c r="H10" s="407" t="s">
        <v>457</v>
      </c>
      <c r="I10" s="407" t="s">
        <v>455</v>
      </c>
      <c r="J10" s="407" t="s">
        <v>456</v>
      </c>
    </row>
    <row r="11" spans="1:12">
      <c r="A11" s="312">
        <v>1</v>
      </c>
      <c r="B11" s="5" t="s">
        <v>238</v>
      </c>
      <c r="C11" s="6">
        <v>76133544.959999993</v>
      </c>
      <c r="D11" s="6">
        <v>578</v>
      </c>
      <c r="E11" s="6">
        <v>13037239.380000001</v>
      </c>
      <c r="F11" s="6">
        <v>0</v>
      </c>
      <c r="G11" s="6">
        <v>0</v>
      </c>
      <c r="H11" s="512"/>
      <c r="I11" s="6">
        <v>2221265.58</v>
      </c>
      <c r="J11" s="6">
        <v>376.55</v>
      </c>
    </row>
    <row r="12" spans="1:12">
      <c r="A12" s="312">
        <v>2</v>
      </c>
      <c r="B12" s="5" t="s">
        <v>101</v>
      </c>
      <c r="C12" s="6">
        <v>76184031.329999998</v>
      </c>
      <c r="D12" s="6">
        <v>578</v>
      </c>
      <c r="E12" s="6">
        <v>15149957.080000002</v>
      </c>
      <c r="F12" s="6">
        <v>0</v>
      </c>
      <c r="G12" s="6">
        <v>0</v>
      </c>
      <c r="H12" s="512"/>
      <c r="I12" s="6">
        <v>2381999.25</v>
      </c>
      <c r="J12" s="6">
        <v>386.41</v>
      </c>
    </row>
    <row r="13" spans="1:12">
      <c r="A13" s="312">
        <v>3</v>
      </c>
      <c r="B13" s="1" t="s">
        <v>100</v>
      </c>
      <c r="C13" s="6">
        <v>76192971.479999989</v>
      </c>
      <c r="D13" s="6">
        <v>578</v>
      </c>
      <c r="E13" s="6">
        <v>16165369.760000002</v>
      </c>
      <c r="F13" s="6">
        <v>0</v>
      </c>
      <c r="G13" s="6">
        <v>0</v>
      </c>
      <c r="H13" s="512"/>
      <c r="I13" s="6">
        <v>2543181.38</v>
      </c>
      <c r="J13" s="6">
        <v>396.27</v>
      </c>
      <c r="L13" s="662"/>
    </row>
    <row r="14" spans="1:12">
      <c r="A14" s="312">
        <v>4</v>
      </c>
      <c r="B14" s="1" t="s">
        <v>205</v>
      </c>
      <c r="C14" s="6">
        <v>76077316.799999997</v>
      </c>
      <c r="D14" s="6">
        <v>578</v>
      </c>
      <c r="E14" s="6">
        <v>17919791.91</v>
      </c>
      <c r="F14" s="6">
        <v>0</v>
      </c>
      <c r="G14" s="6">
        <v>0</v>
      </c>
      <c r="H14" s="512"/>
      <c r="I14" s="6">
        <v>2708659.58</v>
      </c>
      <c r="J14" s="6">
        <v>406.13</v>
      </c>
      <c r="L14" s="662"/>
    </row>
    <row r="15" spans="1:12">
      <c r="A15" s="312">
        <v>5</v>
      </c>
      <c r="B15" s="1" t="s">
        <v>91</v>
      </c>
      <c r="C15" s="6">
        <v>76088711.49000001</v>
      </c>
      <c r="D15" s="6">
        <v>578</v>
      </c>
      <c r="E15" s="6">
        <v>19704102.77</v>
      </c>
      <c r="F15" s="6">
        <v>0</v>
      </c>
      <c r="G15" s="6">
        <v>0</v>
      </c>
      <c r="H15" s="512"/>
      <c r="I15" s="6">
        <v>2868757.1</v>
      </c>
      <c r="J15" s="6">
        <v>415.99</v>
      </c>
      <c r="L15" s="662"/>
    </row>
    <row r="16" spans="1:12">
      <c r="A16" s="312">
        <v>6</v>
      </c>
      <c r="B16" s="1" t="s">
        <v>90</v>
      </c>
      <c r="C16" s="6">
        <v>76098372.840000004</v>
      </c>
      <c r="D16" s="6">
        <v>578</v>
      </c>
      <c r="E16" s="6">
        <v>21792821.255459201</v>
      </c>
      <c r="F16" s="6">
        <v>0</v>
      </c>
      <c r="G16" s="6">
        <v>0</v>
      </c>
      <c r="H16" s="512"/>
      <c r="I16" s="6">
        <v>3028986.9</v>
      </c>
      <c r="J16" s="6">
        <v>415.99</v>
      </c>
      <c r="L16" s="662"/>
    </row>
    <row r="17" spans="1:12">
      <c r="A17" s="312">
        <v>7</v>
      </c>
      <c r="B17" s="1" t="s">
        <v>111</v>
      </c>
      <c r="C17" s="6">
        <v>76086706.180000007</v>
      </c>
      <c r="D17" s="6">
        <v>578</v>
      </c>
      <c r="E17" s="6">
        <v>23961539.740918402</v>
      </c>
      <c r="F17" s="6">
        <v>0</v>
      </c>
      <c r="G17" s="6">
        <v>0</v>
      </c>
      <c r="H17" s="512"/>
      <c r="I17" s="6">
        <v>3189214.33</v>
      </c>
      <c r="J17" s="6">
        <v>415.99</v>
      </c>
      <c r="L17" s="662"/>
    </row>
    <row r="18" spans="1:12">
      <c r="A18" s="312">
        <v>8</v>
      </c>
      <c r="B18" s="1" t="s">
        <v>98</v>
      </c>
      <c r="C18" s="6">
        <v>76075039.520000011</v>
      </c>
      <c r="D18" s="6">
        <v>578</v>
      </c>
      <c r="E18" s="6">
        <v>26116758.226377603</v>
      </c>
      <c r="F18" s="6">
        <v>0</v>
      </c>
      <c r="G18" s="6">
        <v>0</v>
      </c>
      <c r="H18" s="512"/>
      <c r="I18" s="6">
        <v>3349416.87</v>
      </c>
      <c r="J18" s="6">
        <v>415.99</v>
      </c>
      <c r="L18" s="662"/>
    </row>
    <row r="19" spans="1:12">
      <c r="A19" s="312">
        <v>9</v>
      </c>
      <c r="B19" s="1" t="s">
        <v>206</v>
      </c>
      <c r="C19" s="6">
        <v>76063372.859999999</v>
      </c>
      <c r="D19" s="6">
        <v>578</v>
      </c>
      <c r="E19" s="6">
        <v>28461976.711836804</v>
      </c>
      <c r="F19" s="6">
        <v>0</v>
      </c>
      <c r="G19" s="6">
        <v>0</v>
      </c>
      <c r="H19" s="512"/>
      <c r="I19" s="6">
        <v>3509594.5100000002</v>
      </c>
      <c r="J19" s="6">
        <v>415.99</v>
      </c>
      <c r="L19" s="662"/>
    </row>
    <row r="20" spans="1:12">
      <c r="A20" s="312">
        <v>10</v>
      </c>
      <c r="B20" s="1" t="s">
        <v>96</v>
      </c>
      <c r="C20" s="6">
        <v>76051706.200000003</v>
      </c>
      <c r="D20" s="6">
        <v>578</v>
      </c>
      <c r="E20" s="6">
        <v>37592195.197296001</v>
      </c>
      <c r="F20" s="6">
        <v>0</v>
      </c>
      <c r="G20" s="6">
        <v>0</v>
      </c>
      <c r="H20" s="512"/>
      <c r="I20" s="6">
        <v>3669747.2600000002</v>
      </c>
      <c r="J20" s="6">
        <v>415.99</v>
      </c>
      <c r="L20" s="662"/>
    </row>
    <row r="21" spans="1:12">
      <c r="A21" s="312">
        <v>11</v>
      </c>
      <c r="B21" s="1" t="s">
        <v>102</v>
      </c>
      <c r="C21" s="6">
        <v>76040039.540000007</v>
      </c>
      <c r="D21" s="6">
        <v>578</v>
      </c>
      <c r="E21" s="6">
        <v>40247763.682755202</v>
      </c>
      <c r="F21" s="6">
        <v>0</v>
      </c>
      <c r="G21" s="6">
        <v>0</v>
      </c>
      <c r="H21" s="512"/>
      <c r="I21" s="6">
        <v>3829875.13</v>
      </c>
      <c r="J21" s="6">
        <v>415.99</v>
      </c>
      <c r="L21" s="662"/>
    </row>
    <row r="22" spans="1:12">
      <c r="A22" s="312">
        <v>12</v>
      </c>
      <c r="B22" s="1" t="s">
        <v>95</v>
      </c>
      <c r="C22" s="6">
        <v>76028372.88000001</v>
      </c>
      <c r="D22" s="6">
        <v>578</v>
      </c>
      <c r="E22" s="6">
        <v>43529582.168214403</v>
      </c>
      <c r="F22" s="6">
        <v>0</v>
      </c>
      <c r="G22" s="6">
        <v>0</v>
      </c>
      <c r="H22" s="512"/>
      <c r="I22" s="6">
        <v>3989978.1100000003</v>
      </c>
      <c r="J22" s="6">
        <v>415.99</v>
      </c>
      <c r="L22" s="662"/>
    </row>
    <row r="23" spans="1:12">
      <c r="A23" s="312">
        <v>13</v>
      </c>
      <c r="B23" s="1" t="s">
        <v>239</v>
      </c>
      <c r="C23" s="6">
        <v>78635618.120000005</v>
      </c>
      <c r="D23" s="6">
        <v>578</v>
      </c>
      <c r="E23" s="6">
        <v>45661280.653673604</v>
      </c>
      <c r="F23" s="6">
        <v>0</v>
      </c>
      <c r="G23" s="6">
        <v>0</v>
      </c>
      <c r="H23" s="512"/>
      <c r="I23" s="6">
        <v>4152819.63</v>
      </c>
      <c r="J23" s="6">
        <v>415.99</v>
      </c>
      <c r="L23" s="662"/>
    </row>
    <row r="24" spans="1:12" ht="13.5" thickBot="1">
      <c r="A24" s="312">
        <v>14</v>
      </c>
      <c r="B24" s="7" t="s">
        <v>363</v>
      </c>
      <c r="C24" s="582">
        <f t="shared" ref="C24:J24" si="0">SUM(C11:C23)/13</f>
        <v>76288908.015384614</v>
      </c>
      <c r="D24" s="582">
        <f t="shared" si="0"/>
        <v>578</v>
      </c>
      <c r="E24" s="582">
        <f t="shared" si="0"/>
        <v>26872336.810502402</v>
      </c>
      <c r="F24" s="582">
        <f t="shared" si="0"/>
        <v>0</v>
      </c>
      <c r="G24" s="582">
        <f t="shared" si="0"/>
        <v>0</v>
      </c>
      <c r="H24" s="582">
        <f t="shared" si="0"/>
        <v>0</v>
      </c>
      <c r="I24" s="582">
        <f t="shared" si="0"/>
        <v>3187961.2023076927</v>
      </c>
      <c r="J24" s="582">
        <f t="shared" si="0"/>
        <v>408.40538461538449</v>
      </c>
    </row>
    <row r="25" spans="1:12" ht="13.5" thickTop="1">
      <c r="A25" s="312"/>
      <c r="B25" s="1"/>
      <c r="C25" s="9"/>
      <c r="D25" s="16"/>
      <c r="E25" s="16"/>
      <c r="F25" s="16"/>
      <c r="G25" s="9"/>
      <c r="H25" s="9"/>
      <c r="I25" s="9"/>
    </row>
    <row r="26" spans="1:12">
      <c r="A26" s="312"/>
      <c r="B26" s="10"/>
      <c r="C26" s="790" t="s">
        <v>257</v>
      </c>
      <c r="D26" s="790"/>
      <c r="E26" s="790"/>
      <c r="F26" s="790"/>
      <c r="G26" s="790"/>
      <c r="H26" s="790"/>
      <c r="I26" s="790"/>
    </row>
    <row r="27" spans="1:12" ht="72" customHeight="1">
      <c r="A27" s="312" t="s">
        <v>240</v>
      </c>
      <c r="B27" s="11" t="s">
        <v>201</v>
      </c>
      <c r="C27" s="4" t="s">
        <v>207</v>
      </c>
      <c r="D27" s="4" t="s">
        <v>208</v>
      </c>
      <c r="E27" s="4" t="s">
        <v>529</v>
      </c>
      <c r="F27" s="4" t="s">
        <v>530</v>
      </c>
      <c r="G27" s="4" t="s">
        <v>531</v>
      </c>
      <c r="H27" s="4" t="s">
        <v>615</v>
      </c>
      <c r="I27" s="4" t="s">
        <v>365</v>
      </c>
    </row>
    <row r="28" spans="1:12" s="14" customFormat="1">
      <c r="A28" s="312"/>
      <c r="B28" s="11" t="s">
        <v>241</v>
      </c>
      <c r="C28" s="4" t="s">
        <v>242</v>
      </c>
      <c r="D28" s="4" t="s">
        <v>243</v>
      </c>
      <c r="E28" s="4" t="s">
        <v>244</v>
      </c>
      <c r="F28" s="4" t="s">
        <v>246</v>
      </c>
      <c r="G28" s="4" t="s">
        <v>245</v>
      </c>
      <c r="H28" s="4" t="s">
        <v>247</v>
      </c>
      <c r="I28" s="4" t="s">
        <v>248</v>
      </c>
    </row>
    <row r="29" spans="1:12" s="14" customFormat="1">
      <c r="A29" s="511"/>
      <c r="B29" s="503" t="s">
        <v>616</v>
      </c>
      <c r="C29" s="357">
        <v>28</v>
      </c>
      <c r="D29" s="357">
        <v>29</v>
      </c>
      <c r="E29" s="357">
        <v>22</v>
      </c>
      <c r="F29" s="357">
        <v>23</v>
      </c>
      <c r="G29" s="357">
        <v>24</v>
      </c>
      <c r="H29" s="357">
        <v>25</v>
      </c>
      <c r="I29" s="357">
        <v>26</v>
      </c>
    </row>
    <row r="30" spans="1:12" s="14" customFormat="1" ht="26">
      <c r="A30" s="312"/>
      <c r="B30" s="11"/>
      <c r="C30" s="458" t="s">
        <v>522</v>
      </c>
      <c r="D30" s="4" t="s">
        <v>523</v>
      </c>
      <c r="E30" s="4" t="s">
        <v>524</v>
      </c>
      <c r="F30" s="4" t="s">
        <v>525</v>
      </c>
      <c r="G30" s="4" t="s">
        <v>526</v>
      </c>
      <c r="H30" s="4" t="s">
        <v>527</v>
      </c>
      <c r="I30" s="4" t="s">
        <v>528</v>
      </c>
    </row>
    <row r="31" spans="1:12">
      <c r="A31" s="312">
        <v>15</v>
      </c>
      <c r="B31" s="5" t="s">
        <v>238</v>
      </c>
      <c r="C31" s="6">
        <v>0</v>
      </c>
      <c r="D31" s="6">
        <v>0</v>
      </c>
      <c r="E31" s="6">
        <v>0</v>
      </c>
      <c r="F31" s="6">
        <v>0</v>
      </c>
      <c r="G31" s="6">
        <v>0</v>
      </c>
      <c r="H31" s="6">
        <v>0</v>
      </c>
      <c r="I31" s="6">
        <v>0</v>
      </c>
    </row>
    <row r="32" spans="1:12">
      <c r="A32" s="312">
        <v>16</v>
      </c>
      <c r="B32" s="5" t="s">
        <v>101</v>
      </c>
      <c r="C32" s="6">
        <v>0</v>
      </c>
      <c r="D32" s="6">
        <v>0</v>
      </c>
      <c r="E32" s="428"/>
      <c r="F32" s="428"/>
      <c r="G32" s="428"/>
      <c r="H32" s="428"/>
      <c r="I32" s="6">
        <v>0</v>
      </c>
    </row>
    <row r="33" spans="1:15">
      <c r="A33" s="312">
        <v>17</v>
      </c>
      <c r="B33" s="1" t="s">
        <v>100</v>
      </c>
      <c r="C33" s="6">
        <v>0</v>
      </c>
      <c r="D33" s="6">
        <v>0</v>
      </c>
      <c r="E33" s="428"/>
      <c r="F33" s="428"/>
      <c r="G33" s="428"/>
      <c r="H33" s="428"/>
      <c r="I33" s="6">
        <v>0</v>
      </c>
    </row>
    <row r="34" spans="1:15">
      <c r="A34" s="312">
        <v>18</v>
      </c>
      <c r="B34" s="1" t="s">
        <v>205</v>
      </c>
      <c r="C34" s="6">
        <v>0</v>
      </c>
      <c r="D34" s="6">
        <v>0</v>
      </c>
      <c r="E34" s="428"/>
      <c r="F34" s="428"/>
      <c r="G34" s="428"/>
      <c r="H34" s="428"/>
      <c r="I34" s="6">
        <v>0</v>
      </c>
    </row>
    <row r="35" spans="1:15">
      <c r="A35" s="312">
        <v>19</v>
      </c>
      <c r="B35" s="1" t="s">
        <v>91</v>
      </c>
      <c r="C35" s="6">
        <v>0</v>
      </c>
      <c r="D35" s="6">
        <v>0</v>
      </c>
      <c r="E35" s="428"/>
      <c r="F35" s="428"/>
      <c r="G35" s="428"/>
      <c r="H35" s="428"/>
      <c r="I35" s="6">
        <v>0</v>
      </c>
    </row>
    <row r="36" spans="1:15">
      <c r="A36" s="312">
        <v>20</v>
      </c>
      <c r="B36" s="1" t="s">
        <v>90</v>
      </c>
      <c r="C36" s="6">
        <v>0</v>
      </c>
      <c r="D36" s="6">
        <v>0</v>
      </c>
      <c r="E36" s="428"/>
      <c r="F36" s="428"/>
      <c r="G36" s="428"/>
      <c r="H36" s="428"/>
      <c r="I36" s="6">
        <v>0</v>
      </c>
    </row>
    <row r="37" spans="1:15">
      <c r="A37" s="312">
        <v>21</v>
      </c>
      <c r="B37" s="1" t="s">
        <v>111</v>
      </c>
      <c r="C37" s="6">
        <v>0</v>
      </c>
      <c r="D37" s="6">
        <v>0</v>
      </c>
      <c r="E37" s="428"/>
      <c r="F37" s="428"/>
      <c r="G37" s="428"/>
      <c r="H37" s="428"/>
      <c r="I37" s="6">
        <v>0</v>
      </c>
    </row>
    <row r="38" spans="1:15">
      <c r="A38" s="312">
        <v>22</v>
      </c>
      <c r="B38" s="1" t="s">
        <v>98</v>
      </c>
      <c r="C38" s="6">
        <v>0</v>
      </c>
      <c r="D38" s="6">
        <v>0</v>
      </c>
      <c r="E38" s="428"/>
      <c r="F38" s="428"/>
      <c r="G38" s="428"/>
      <c r="H38" s="428"/>
      <c r="I38" s="6">
        <v>0</v>
      </c>
    </row>
    <row r="39" spans="1:15">
      <c r="A39" s="312">
        <v>23</v>
      </c>
      <c r="B39" s="1" t="s">
        <v>206</v>
      </c>
      <c r="C39" s="6">
        <v>0</v>
      </c>
      <c r="D39" s="6">
        <v>0</v>
      </c>
      <c r="E39" s="428"/>
      <c r="F39" s="428"/>
      <c r="G39" s="428"/>
      <c r="H39" s="428"/>
      <c r="I39" s="6">
        <v>0</v>
      </c>
    </row>
    <row r="40" spans="1:15">
      <c r="A40" s="312">
        <v>24</v>
      </c>
      <c r="B40" s="1" t="s">
        <v>96</v>
      </c>
      <c r="C40" s="6">
        <v>0</v>
      </c>
      <c r="D40" s="6">
        <v>0</v>
      </c>
      <c r="E40" s="428"/>
      <c r="F40" s="428"/>
      <c r="G40" s="428"/>
      <c r="H40" s="428"/>
      <c r="I40" s="6">
        <v>0</v>
      </c>
    </row>
    <row r="41" spans="1:15">
      <c r="A41" s="312">
        <v>25</v>
      </c>
      <c r="B41" s="1" t="s">
        <v>102</v>
      </c>
      <c r="C41" s="6">
        <v>0</v>
      </c>
      <c r="D41" s="6">
        <v>0</v>
      </c>
      <c r="E41" s="428"/>
      <c r="F41" s="428"/>
      <c r="G41" s="428"/>
      <c r="H41" s="428"/>
      <c r="I41" s="6">
        <v>0</v>
      </c>
    </row>
    <row r="42" spans="1:15">
      <c r="A42" s="312">
        <v>26</v>
      </c>
      <c r="B42" s="1" t="s">
        <v>95</v>
      </c>
      <c r="C42" s="6">
        <v>0</v>
      </c>
      <c r="D42" s="6">
        <v>0</v>
      </c>
      <c r="E42" s="428"/>
      <c r="F42" s="428"/>
      <c r="G42" s="428"/>
      <c r="H42" s="428"/>
      <c r="I42" s="6">
        <v>0</v>
      </c>
    </row>
    <row r="43" spans="1:15">
      <c r="A43" s="312">
        <v>27</v>
      </c>
      <c r="B43" s="1" t="s">
        <v>239</v>
      </c>
      <c r="C43" s="6">
        <v>0</v>
      </c>
      <c r="D43" s="6">
        <v>0</v>
      </c>
      <c r="E43" s="6">
        <v>0</v>
      </c>
      <c r="F43" s="6"/>
      <c r="G43" s="6">
        <v>0</v>
      </c>
      <c r="H43" s="6">
        <v>0</v>
      </c>
      <c r="I43" s="6">
        <v>0</v>
      </c>
    </row>
    <row r="44" spans="1:15" ht="13.5" thickBot="1">
      <c r="A44" s="312">
        <v>28</v>
      </c>
      <c r="B44" s="7" t="s">
        <v>364</v>
      </c>
      <c r="C44" s="582">
        <f t="shared" ref="C44:I44" si="1">SUM(C31:C43)/13</f>
        <v>0</v>
      </c>
      <c r="D44" s="8">
        <f t="shared" si="1"/>
        <v>0</v>
      </c>
      <c r="E44" s="8">
        <f>(E31+E43)/2</f>
        <v>0</v>
      </c>
      <c r="F44" s="582">
        <f>'4a-Projection ADIT'!J95</f>
        <v>2700581.3081106879</v>
      </c>
      <c r="G44" s="582">
        <f>+'4a-Projection ADIT'!J126</f>
        <v>0</v>
      </c>
      <c r="H44" s="582">
        <f>+'4a-Projection ADIT'!J33</f>
        <v>-704453</v>
      </c>
      <c r="I44" s="8">
        <f t="shared" si="1"/>
        <v>0</v>
      </c>
    </row>
    <row r="45" spans="1:15" ht="13.5" thickTop="1">
      <c r="A45" s="312"/>
      <c r="B45" s="1"/>
      <c r="I45" s="16"/>
    </row>
    <row r="46" spans="1:15">
      <c r="A46" s="312"/>
    </row>
    <row r="47" spans="1:15">
      <c r="F47" s="594" t="s">
        <v>233</v>
      </c>
    </row>
    <row r="48" spans="1:15">
      <c r="A48" s="436"/>
      <c r="B48" s="303"/>
      <c r="C48" s="437"/>
      <c r="D48" s="437"/>
      <c r="E48" s="437"/>
      <c r="F48" s="355" t="s">
        <v>362</v>
      </c>
      <c r="G48" s="437"/>
      <c r="L48" s="14"/>
      <c r="M48" s="14"/>
      <c r="N48" s="14"/>
      <c r="O48" s="14"/>
    </row>
    <row r="49" spans="1:16">
      <c r="A49" s="436"/>
      <c r="C49" s="437"/>
      <c r="D49" s="437"/>
      <c r="E49" s="437"/>
      <c r="F49" s="648" t="str">
        <f>'Attachment H'!$D$5</f>
        <v>NextEra Energy Transmission MidAtlantic, Inc.</v>
      </c>
      <c r="G49" s="438"/>
      <c r="H49" s="297"/>
      <c r="I49" s="297"/>
      <c r="K49" s="14"/>
      <c r="L49" s="14"/>
      <c r="M49" s="14"/>
      <c r="N49" s="14"/>
      <c r="O49" s="14"/>
    </row>
    <row r="50" spans="1:16" s="558" customFormat="1">
      <c r="A50" s="595"/>
      <c r="B50" s="385" t="s">
        <v>617</v>
      </c>
      <c r="C50" s="437"/>
      <c r="D50" s="437"/>
      <c r="E50" s="437"/>
      <c r="F50" s="593"/>
      <c r="G50" s="438"/>
      <c r="H50" s="297"/>
      <c r="I50" s="297"/>
      <c r="K50" s="14"/>
      <c r="L50" s="14"/>
      <c r="M50" s="14"/>
      <c r="N50" s="14"/>
      <c r="O50" s="14"/>
    </row>
    <row r="51" spans="1:16">
      <c r="A51" s="436"/>
      <c r="B51" s="303" t="s">
        <v>241</v>
      </c>
      <c r="C51" s="303" t="s">
        <v>242</v>
      </c>
      <c r="D51" s="303" t="s">
        <v>243</v>
      </c>
      <c r="E51" s="303" t="s">
        <v>244</v>
      </c>
      <c r="F51" s="385" t="s">
        <v>246</v>
      </c>
      <c r="G51" s="385" t="s">
        <v>245</v>
      </c>
      <c r="H51" s="385" t="s">
        <v>247</v>
      </c>
      <c r="I51" s="385" t="s">
        <v>248</v>
      </c>
      <c r="J51" s="305" t="s">
        <v>188</v>
      </c>
      <c r="K51" s="297"/>
      <c r="L51" s="14"/>
      <c r="M51" s="14"/>
      <c r="N51" s="14"/>
      <c r="O51" s="14"/>
      <c r="P51" s="14"/>
    </row>
    <row r="52" spans="1:16" ht="78">
      <c r="A52" s="436">
        <v>29</v>
      </c>
      <c r="B52" s="439" t="s">
        <v>505</v>
      </c>
      <c r="C52" s="295"/>
      <c r="D52" s="440" t="s">
        <v>17</v>
      </c>
      <c r="E52" s="440" t="s">
        <v>506</v>
      </c>
      <c r="F52" s="440" t="s">
        <v>507</v>
      </c>
      <c r="G52" s="440" t="s">
        <v>686</v>
      </c>
      <c r="H52" s="441" t="s">
        <v>508</v>
      </c>
      <c r="I52" s="441" t="s">
        <v>509</v>
      </c>
      <c r="J52" s="439"/>
      <c r="K52" s="439"/>
      <c r="L52" s="439"/>
      <c r="M52" s="442"/>
      <c r="N52" s="14"/>
      <c r="O52" s="14"/>
      <c r="P52" s="14"/>
    </row>
    <row r="53" spans="1:16">
      <c r="A53" s="436" t="s">
        <v>510</v>
      </c>
      <c r="B53" s="422"/>
      <c r="C53" s="443" t="s">
        <v>511</v>
      </c>
      <c r="D53" s="444">
        <v>0</v>
      </c>
      <c r="E53" s="444">
        <v>0</v>
      </c>
      <c r="F53" s="445"/>
      <c r="G53" s="445"/>
      <c r="H53" s="444"/>
      <c r="I53" s="446">
        <f>+H53*E53*D53</f>
        <v>0</v>
      </c>
      <c r="J53" s="422"/>
      <c r="K53" s="422"/>
      <c r="L53" s="422"/>
      <c r="M53" s="442"/>
      <c r="N53" s="14"/>
      <c r="O53" s="14"/>
      <c r="P53" s="14"/>
    </row>
    <row r="54" spans="1:16">
      <c r="A54" s="436" t="s">
        <v>512</v>
      </c>
      <c r="B54" s="422"/>
      <c r="C54" s="443" t="s">
        <v>513</v>
      </c>
      <c r="D54" s="447">
        <v>0</v>
      </c>
      <c r="E54" s="444">
        <v>0</v>
      </c>
      <c r="F54" s="445"/>
      <c r="G54" s="445"/>
      <c r="H54" s="444"/>
      <c r="I54" s="446">
        <f>+H54*E54*D54</f>
        <v>0</v>
      </c>
      <c r="J54" s="422"/>
      <c r="K54" s="422"/>
      <c r="L54" s="422"/>
      <c r="M54" s="442"/>
      <c r="N54" s="14"/>
      <c r="O54" s="14"/>
      <c r="P54" s="14"/>
    </row>
    <row r="55" spans="1:16">
      <c r="A55" s="436" t="s">
        <v>514</v>
      </c>
      <c r="B55" s="422"/>
      <c r="C55" s="443" t="s">
        <v>515</v>
      </c>
      <c r="D55" s="447"/>
      <c r="E55" s="444"/>
      <c r="F55" s="445"/>
      <c r="G55" s="445"/>
      <c r="H55" s="444"/>
      <c r="I55" s="446"/>
      <c r="J55" s="422"/>
      <c r="K55" s="422"/>
      <c r="L55" s="422"/>
      <c r="M55" s="442"/>
      <c r="N55" s="14"/>
      <c r="O55" s="14"/>
      <c r="P55" s="14"/>
    </row>
    <row r="56" spans="1:16">
      <c r="A56" s="436" t="s">
        <v>516</v>
      </c>
      <c r="B56" s="422"/>
      <c r="C56" s="443" t="s">
        <v>517</v>
      </c>
      <c r="D56" s="447"/>
      <c r="E56" s="444"/>
      <c r="F56" s="445"/>
      <c r="G56" s="445"/>
      <c r="H56" s="444"/>
      <c r="I56" s="446"/>
      <c r="J56" s="422"/>
      <c r="K56" s="422"/>
      <c r="L56" s="422"/>
      <c r="M56" s="442"/>
      <c r="N56" s="14"/>
      <c r="O56" s="14"/>
      <c r="P56" s="14"/>
    </row>
    <row r="57" spans="1:16">
      <c r="A57" s="436" t="s">
        <v>518</v>
      </c>
      <c r="B57" s="422"/>
      <c r="C57" s="443" t="s">
        <v>441</v>
      </c>
      <c r="D57" s="447"/>
      <c r="E57" s="444"/>
      <c r="F57" s="445"/>
      <c r="G57" s="445"/>
      <c r="H57" s="444"/>
      <c r="I57" s="446"/>
      <c r="J57" s="422"/>
      <c r="K57" s="422"/>
      <c r="L57" s="422"/>
      <c r="M57" s="442"/>
      <c r="N57" s="14"/>
      <c r="O57" s="14"/>
      <c r="P57" s="14"/>
    </row>
    <row r="58" spans="1:16">
      <c r="A58" s="436" t="s">
        <v>519</v>
      </c>
      <c r="B58" s="422"/>
      <c r="C58" s="448" t="s">
        <v>441</v>
      </c>
      <c r="D58" s="449">
        <v>0</v>
      </c>
      <c r="E58" s="450">
        <v>0</v>
      </c>
      <c r="F58" s="451"/>
      <c r="G58" s="451"/>
      <c r="H58" s="450"/>
      <c r="I58" s="452">
        <f>+H58*E58*D58</f>
        <v>0</v>
      </c>
      <c r="J58" s="422"/>
      <c r="K58" s="422"/>
      <c r="L58" s="422"/>
      <c r="M58" s="442"/>
      <c r="N58" s="14"/>
      <c r="O58" s="14"/>
      <c r="P58" s="14"/>
    </row>
    <row r="59" spans="1:16">
      <c r="A59" s="436">
        <v>31</v>
      </c>
      <c r="B59" s="422"/>
      <c r="C59" s="439" t="s">
        <v>19</v>
      </c>
      <c r="D59" s="453">
        <f>SUM(D53:D58)</f>
        <v>0</v>
      </c>
      <c r="E59" s="119"/>
      <c r="F59" s="14"/>
      <c r="G59" s="14"/>
      <c r="H59" s="119"/>
      <c r="I59" s="446">
        <f>SUM(I53:I58)</f>
        <v>0</v>
      </c>
      <c r="J59" s="422"/>
      <c r="K59" s="422"/>
      <c r="L59" s="422"/>
      <c r="M59" s="442"/>
      <c r="N59" s="14"/>
      <c r="O59" s="14"/>
      <c r="P59" s="14"/>
    </row>
    <row r="60" spans="1:16">
      <c r="A60" s="314"/>
      <c r="B60" s="315"/>
      <c r="C60" s="316"/>
      <c r="D60" s="316"/>
      <c r="E60" s="316"/>
      <c r="F60" s="316"/>
      <c r="G60" s="316"/>
      <c r="I60" s="454"/>
      <c r="J60" s="454"/>
      <c r="K60" s="454"/>
    </row>
    <row r="61" spans="1:16">
      <c r="A61" s="314"/>
      <c r="B61" s="315"/>
      <c r="C61" s="316"/>
      <c r="D61" s="316"/>
      <c r="E61" s="316"/>
      <c r="F61" s="316"/>
      <c r="G61" s="316"/>
      <c r="L61" s="14"/>
      <c r="M61" s="14"/>
      <c r="N61" s="14"/>
      <c r="O61" s="14"/>
      <c r="P61" s="14"/>
    </row>
    <row r="62" spans="1:16">
      <c r="A62" s="314"/>
      <c r="B62" s="315"/>
      <c r="C62" s="316"/>
      <c r="D62" s="316"/>
      <c r="E62" s="316"/>
      <c r="F62" s="316"/>
      <c r="G62" s="316"/>
      <c r="L62" s="14"/>
      <c r="M62" s="14"/>
      <c r="N62" s="14"/>
      <c r="O62" s="14"/>
      <c r="P62" s="14"/>
    </row>
    <row r="63" spans="1:16">
      <c r="A63" s="436" t="s">
        <v>224</v>
      </c>
    </row>
    <row r="64" spans="1:16" ht="12.75" customHeight="1">
      <c r="A64" s="511" t="s">
        <v>73</v>
      </c>
      <c r="B64" s="792" t="s">
        <v>520</v>
      </c>
      <c r="C64" s="792"/>
      <c r="D64" s="792"/>
      <c r="E64" s="792"/>
      <c r="F64" s="792"/>
      <c r="G64" s="792"/>
      <c r="H64" s="792"/>
      <c r="I64" s="792"/>
      <c r="J64" s="792"/>
      <c r="K64" s="792"/>
    </row>
    <row r="65" spans="1:12" ht="12.75" customHeight="1">
      <c r="A65" s="511" t="s">
        <v>74</v>
      </c>
      <c r="B65" s="792" t="s">
        <v>618</v>
      </c>
      <c r="C65" s="792"/>
      <c r="D65" s="792"/>
      <c r="E65" s="792"/>
      <c r="F65" s="792"/>
      <c r="G65" s="792"/>
      <c r="H65" s="792"/>
      <c r="I65" s="792"/>
      <c r="J65" s="792"/>
      <c r="K65" s="792"/>
      <c r="L65" s="305"/>
    </row>
    <row r="66" spans="1:12" ht="12.75" customHeight="1">
      <c r="A66" s="456" t="s">
        <v>75</v>
      </c>
      <c r="B66" s="665" t="s">
        <v>837</v>
      </c>
      <c r="C66" s="535"/>
      <c r="D66" s="535"/>
      <c r="E66" s="535"/>
      <c r="F66" s="535"/>
      <c r="G66" s="535"/>
      <c r="H66" s="535"/>
      <c r="I66" s="535"/>
      <c r="J66" s="535"/>
      <c r="K66" s="535"/>
    </row>
    <row r="67" spans="1:12">
      <c r="A67" s="456"/>
      <c r="B67" s="536" t="s">
        <v>822</v>
      </c>
      <c r="C67" s="508"/>
      <c r="D67" s="508"/>
      <c r="E67" s="508"/>
      <c r="F67" s="508"/>
      <c r="G67" s="508"/>
      <c r="H67" s="508"/>
      <c r="I67" s="508"/>
      <c r="J67" s="508"/>
      <c r="K67" s="508"/>
    </row>
    <row r="68" spans="1:12" s="558" customFormat="1">
      <c r="A68" s="456"/>
      <c r="B68" s="536" t="s">
        <v>823</v>
      </c>
      <c r="C68" s="651"/>
      <c r="D68" s="651"/>
      <c r="E68" s="651"/>
      <c r="F68" s="651"/>
      <c r="G68" s="651"/>
      <c r="H68" s="651"/>
      <c r="I68" s="651"/>
      <c r="J68" s="651"/>
      <c r="K68" s="651"/>
    </row>
    <row r="69" spans="1:12" ht="12.75" customHeight="1">
      <c r="A69" s="511" t="s">
        <v>76</v>
      </c>
      <c r="B69" s="297" t="s">
        <v>799</v>
      </c>
      <c r="C69" s="297"/>
      <c r="D69" s="297"/>
      <c r="E69" s="297"/>
      <c r="F69" s="297"/>
      <c r="G69" s="297"/>
      <c r="H69" s="297"/>
      <c r="I69" s="297"/>
      <c r="J69" s="297"/>
      <c r="K69" s="297"/>
    </row>
    <row r="70" spans="1:12" ht="24" customHeight="1">
      <c r="A70" s="455" t="s">
        <v>77</v>
      </c>
      <c r="B70" s="789" t="s">
        <v>829</v>
      </c>
      <c r="C70" s="789"/>
      <c r="D70" s="789"/>
      <c r="E70" s="789"/>
      <c r="F70" s="789"/>
      <c r="G70" s="789"/>
      <c r="H70" s="789"/>
      <c r="I70" s="789"/>
      <c r="J70" s="789"/>
      <c r="K70" s="650"/>
    </row>
    <row r="71" spans="1:12" ht="12.75" customHeight="1">
      <c r="A71" s="652" t="s">
        <v>78</v>
      </c>
      <c r="B71" s="793" t="s">
        <v>521</v>
      </c>
      <c r="C71" s="793"/>
      <c r="D71" s="793"/>
      <c r="E71" s="793"/>
      <c r="F71" s="793"/>
      <c r="G71" s="793"/>
      <c r="H71" s="793"/>
      <c r="I71" s="793"/>
      <c r="J71" s="793"/>
      <c r="K71" s="793"/>
    </row>
    <row r="72" spans="1:12" ht="43.5" customHeight="1">
      <c r="A72" s="488" t="s">
        <v>79</v>
      </c>
      <c r="B72" s="789" t="s">
        <v>619</v>
      </c>
      <c r="C72" s="789"/>
      <c r="D72" s="789"/>
      <c r="E72" s="789"/>
      <c r="F72" s="789"/>
      <c r="G72" s="789"/>
      <c r="H72" s="789"/>
      <c r="I72" s="789"/>
      <c r="J72" s="789"/>
      <c r="K72" s="650"/>
    </row>
    <row r="73" spans="1:12">
      <c r="A73" s="652" t="s">
        <v>81</v>
      </c>
      <c r="B73" s="537" t="s">
        <v>684</v>
      </c>
      <c r="C73" s="558"/>
      <c r="D73" s="558"/>
      <c r="E73" s="558"/>
      <c r="F73" s="558"/>
      <c r="G73" s="558"/>
      <c r="H73" s="558"/>
      <c r="I73" s="558"/>
      <c r="J73" s="558"/>
      <c r="K73" s="558"/>
    </row>
    <row r="76" spans="1:12">
      <c r="B76" s="555"/>
    </row>
    <row r="77" spans="1:12">
      <c r="B77" s="550"/>
    </row>
    <row r="78" spans="1:12">
      <c r="B78" s="551"/>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opertie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P129"/>
  <sheetViews>
    <sheetView zoomScale="85" zoomScaleNormal="85" workbookViewId="0">
      <selection activeCell="D23" sqref="D23"/>
    </sheetView>
  </sheetViews>
  <sheetFormatPr defaultColWidth="8.765625" defaultRowHeight="15.5"/>
  <cols>
    <col min="1" max="1" width="5.23046875" style="677" customWidth="1"/>
    <col min="2" max="2" width="10.765625" style="677" customWidth="1"/>
    <col min="3" max="3" width="9.53515625" style="677" customWidth="1"/>
    <col min="4" max="4" width="10.07421875" style="677" customWidth="1"/>
    <col min="5" max="5" width="12.4609375" style="677" customWidth="1"/>
    <col min="6" max="6" width="10.07421875" style="677" customWidth="1"/>
    <col min="7" max="7" width="2.07421875" style="677" customWidth="1"/>
    <col min="8" max="8" width="15.07421875" style="677" customWidth="1"/>
    <col min="9" max="9" width="14.23046875" style="677" customWidth="1"/>
    <col min="10" max="10" width="16.4609375" style="677" customWidth="1"/>
    <col min="11" max="11" width="13.4609375" style="677" customWidth="1"/>
    <col min="12" max="16384" width="8.765625" style="677"/>
  </cols>
  <sheetData>
    <row r="1" spans="1:11" s="676" customFormat="1" ht="15">
      <c r="B1" s="800" t="str">
        <f>'Attachment H'!$D$5</f>
        <v>NextEra Energy Transmission MidAtlantic, Inc.</v>
      </c>
      <c r="C1" s="800"/>
      <c r="D1" s="800"/>
      <c r="E1" s="800"/>
      <c r="F1" s="800"/>
      <c r="G1" s="800"/>
      <c r="H1" s="800"/>
      <c r="I1" s="800"/>
      <c r="J1" s="800"/>
      <c r="K1" s="800"/>
    </row>
    <row r="2" spans="1:11" s="676" customFormat="1" ht="15">
      <c r="B2" s="801" t="s">
        <v>807</v>
      </c>
      <c r="C2" s="801"/>
      <c r="D2" s="801"/>
      <c r="E2" s="801"/>
      <c r="F2" s="801"/>
      <c r="G2" s="801"/>
      <c r="H2" s="801"/>
      <c r="I2" s="801"/>
      <c r="J2" s="801"/>
      <c r="K2" s="801"/>
    </row>
    <row r="3" spans="1:11" s="676" customFormat="1" ht="15">
      <c r="B3" s="802" t="s">
        <v>856</v>
      </c>
      <c r="C3" s="802"/>
      <c r="D3" s="802"/>
      <c r="E3" s="802"/>
      <c r="F3" s="802"/>
      <c r="G3" s="802"/>
      <c r="H3" s="802"/>
      <c r="I3" s="802"/>
      <c r="J3" s="802"/>
      <c r="K3" s="802"/>
    </row>
    <row r="4" spans="1:11">
      <c r="J4" s="678" t="s">
        <v>687</v>
      </c>
      <c r="K4" s="679" t="s">
        <v>849</v>
      </c>
    </row>
    <row r="5" spans="1:11">
      <c r="A5" s="677">
        <v>1</v>
      </c>
      <c r="B5" s="680" t="s">
        <v>688</v>
      </c>
      <c r="H5" s="681"/>
      <c r="I5" s="681"/>
      <c r="J5" s="681"/>
      <c r="K5" s="681"/>
    </row>
    <row r="6" spans="1:11">
      <c r="A6" s="677">
        <f>+A5+1</f>
        <v>2</v>
      </c>
      <c r="B6" s="794" t="s">
        <v>689</v>
      </c>
      <c r="C6" s="795"/>
      <c r="D6" s="795"/>
      <c r="E6" s="795"/>
      <c r="F6" s="796"/>
      <c r="G6" s="682"/>
      <c r="H6" s="797" t="s">
        <v>690</v>
      </c>
      <c r="I6" s="798"/>
      <c r="J6" s="799"/>
      <c r="K6" s="681"/>
    </row>
    <row r="7" spans="1:11">
      <c r="B7" s="683" t="s">
        <v>73</v>
      </c>
      <c r="C7" s="683" t="s">
        <v>74</v>
      </c>
      <c r="D7" s="683" t="s">
        <v>75</v>
      </c>
      <c r="E7" s="683" t="s">
        <v>76</v>
      </c>
      <c r="F7" s="683" t="s">
        <v>77</v>
      </c>
      <c r="G7" s="682"/>
      <c r="H7" s="683" t="s">
        <v>78</v>
      </c>
      <c r="I7" s="683" t="s">
        <v>79</v>
      </c>
      <c r="J7" s="683" t="s">
        <v>81</v>
      </c>
      <c r="K7" s="684"/>
    </row>
    <row r="8" spans="1:11" ht="62">
      <c r="A8" s="677">
        <f>+A6+1</f>
        <v>3</v>
      </c>
      <c r="B8" s="685" t="s">
        <v>201</v>
      </c>
      <c r="C8" s="685" t="s">
        <v>691</v>
      </c>
      <c r="D8" s="685" t="s">
        <v>692</v>
      </c>
      <c r="E8" s="685" t="s">
        <v>693</v>
      </c>
      <c r="F8" s="685" t="s">
        <v>694</v>
      </c>
      <c r="G8" s="686"/>
      <c r="H8" s="685" t="s">
        <v>695</v>
      </c>
      <c r="I8" s="685" t="s">
        <v>696</v>
      </c>
      <c r="J8" s="685" t="s">
        <v>697</v>
      </c>
      <c r="K8" s="686"/>
    </row>
    <row r="9" spans="1:11">
      <c r="A9" s="677">
        <f t="shared" ref="A9:A23" si="0">+A8+1</f>
        <v>4</v>
      </c>
      <c r="C9" s="686"/>
      <c r="D9" s="686"/>
      <c r="E9" s="686"/>
      <c r="F9" s="686"/>
      <c r="G9" s="686"/>
      <c r="H9" s="686"/>
      <c r="I9" s="686"/>
      <c r="J9" s="686"/>
      <c r="K9" s="686"/>
    </row>
    <row r="10" spans="1:11">
      <c r="A10" s="677">
        <f t="shared" si="0"/>
        <v>5</v>
      </c>
      <c r="B10" s="687" t="s">
        <v>698</v>
      </c>
      <c r="C10" s="688"/>
      <c r="D10" s="689"/>
      <c r="E10" s="689"/>
      <c r="F10" s="689"/>
      <c r="G10" s="689"/>
      <c r="H10" s="690"/>
      <c r="I10" s="690"/>
      <c r="J10" s="691">
        <v>-704452</v>
      </c>
      <c r="K10" s="692"/>
    </row>
    <row r="11" spans="1:11">
      <c r="A11" s="677">
        <f t="shared" si="0"/>
        <v>6</v>
      </c>
      <c r="B11" s="688" t="s">
        <v>101</v>
      </c>
      <c r="C11" s="690">
        <v>31</v>
      </c>
      <c r="D11" s="693">
        <f>C11</f>
        <v>31</v>
      </c>
      <c r="E11" s="694">
        <f>D23-D11+1</f>
        <v>335</v>
      </c>
      <c r="F11" s="695">
        <f>IF(E11=0,0,E11/$D$23)</f>
        <v>0.9178082191780822</v>
      </c>
      <c r="G11" s="689"/>
      <c r="H11" s="691"/>
      <c r="I11" s="690"/>
      <c r="J11" s="690">
        <f>+J10+I11</f>
        <v>-704452</v>
      </c>
      <c r="K11" s="692"/>
    </row>
    <row r="12" spans="1:11">
      <c r="A12" s="677">
        <f t="shared" si="0"/>
        <v>7</v>
      </c>
      <c r="B12" s="688" t="s">
        <v>100</v>
      </c>
      <c r="C12" s="691">
        <v>28</v>
      </c>
      <c r="D12" s="693">
        <f t="shared" ref="D12:D22" si="1">C12</f>
        <v>28</v>
      </c>
      <c r="E12" s="694">
        <f>$D$23-SUM($D$11:D12)+1</f>
        <v>307</v>
      </c>
      <c r="F12" s="695">
        <f t="shared" ref="F12:F22" si="2">IF(E12=0,0,E12/$D$23)</f>
        <v>0.84109589041095889</v>
      </c>
      <c r="G12" s="689"/>
      <c r="H12" s="691"/>
      <c r="I12" s="690"/>
      <c r="J12" s="690">
        <f t="shared" ref="J12:J22" si="3">+J11+I12</f>
        <v>-704452</v>
      </c>
      <c r="K12" s="692"/>
    </row>
    <row r="13" spans="1:11">
      <c r="A13" s="677">
        <f t="shared" si="0"/>
        <v>8</v>
      </c>
      <c r="B13" s="688" t="s">
        <v>99</v>
      </c>
      <c r="C13" s="690">
        <v>31</v>
      </c>
      <c r="D13" s="693">
        <f t="shared" si="1"/>
        <v>31</v>
      </c>
      <c r="E13" s="694">
        <f>$D$23-SUM($D$11:D13)+1</f>
        <v>276</v>
      </c>
      <c r="F13" s="695">
        <f t="shared" si="2"/>
        <v>0.75616438356164384</v>
      </c>
      <c r="G13" s="689"/>
      <c r="H13" s="691"/>
      <c r="I13" s="690"/>
      <c r="J13" s="690">
        <f t="shared" si="3"/>
        <v>-704452</v>
      </c>
      <c r="K13" s="692"/>
    </row>
    <row r="14" spans="1:11">
      <c r="A14" s="677">
        <f t="shared" si="0"/>
        <v>9</v>
      </c>
      <c r="B14" s="688" t="s">
        <v>91</v>
      </c>
      <c r="C14" s="690">
        <v>30</v>
      </c>
      <c r="D14" s="693">
        <f t="shared" si="1"/>
        <v>30</v>
      </c>
      <c r="E14" s="694">
        <f>$D$23-SUM($D$11:D14)+1</f>
        <v>246</v>
      </c>
      <c r="F14" s="695">
        <f t="shared" si="2"/>
        <v>0.67397260273972603</v>
      </c>
      <c r="G14" s="689"/>
      <c r="H14" s="691"/>
      <c r="I14" s="690"/>
      <c r="J14" s="690">
        <f t="shared" si="3"/>
        <v>-704452</v>
      </c>
      <c r="K14" s="692"/>
    </row>
    <row r="15" spans="1:11">
      <c r="A15" s="677">
        <f t="shared" si="0"/>
        <v>10</v>
      </c>
      <c r="B15" s="688" t="s">
        <v>90</v>
      </c>
      <c r="C15" s="690">
        <v>31</v>
      </c>
      <c r="D15" s="693">
        <f t="shared" si="1"/>
        <v>31</v>
      </c>
      <c r="E15" s="694">
        <f>$D$23-SUM($D$11:D15)+1</f>
        <v>215</v>
      </c>
      <c r="F15" s="695">
        <f t="shared" si="2"/>
        <v>0.58904109589041098</v>
      </c>
      <c r="G15" s="689"/>
      <c r="H15" s="691"/>
      <c r="I15" s="690"/>
      <c r="J15" s="690">
        <f t="shared" si="3"/>
        <v>-704452</v>
      </c>
      <c r="K15" s="692"/>
    </row>
    <row r="16" spans="1:11">
      <c r="A16" s="677">
        <f t="shared" si="0"/>
        <v>11</v>
      </c>
      <c r="B16" s="688" t="s">
        <v>111</v>
      </c>
      <c r="C16" s="690">
        <v>30</v>
      </c>
      <c r="D16" s="693">
        <f t="shared" si="1"/>
        <v>30</v>
      </c>
      <c r="E16" s="694">
        <f>$D$23-SUM($D$11:D16)+1</f>
        <v>185</v>
      </c>
      <c r="F16" s="695">
        <f t="shared" si="2"/>
        <v>0.50684931506849318</v>
      </c>
      <c r="G16" s="689"/>
      <c r="H16" s="691"/>
      <c r="I16" s="690"/>
      <c r="J16" s="690">
        <f t="shared" si="3"/>
        <v>-704452</v>
      </c>
      <c r="K16" s="692"/>
    </row>
    <row r="17" spans="1:11">
      <c r="A17" s="677">
        <f t="shared" si="0"/>
        <v>12</v>
      </c>
      <c r="B17" s="688" t="s">
        <v>98</v>
      </c>
      <c r="C17" s="690">
        <v>31</v>
      </c>
      <c r="D17" s="693">
        <f t="shared" si="1"/>
        <v>31</v>
      </c>
      <c r="E17" s="694">
        <f>$D$23-SUM($D$11:D17)+1</f>
        <v>154</v>
      </c>
      <c r="F17" s="695">
        <f t="shared" si="2"/>
        <v>0.42191780821917807</v>
      </c>
      <c r="G17" s="689"/>
      <c r="H17" s="691"/>
      <c r="I17" s="690"/>
      <c r="J17" s="690">
        <f t="shared" si="3"/>
        <v>-704452</v>
      </c>
      <c r="K17" s="692"/>
    </row>
    <row r="18" spans="1:11">
      <c r="A18" s="677">
        <f t="shared" si="0"/>
        <v>13</v>
      </c>
      <c r="B18" s="688" t="s">
        <v>97</v>
      </c>
      <c r="C18" s="690">
        <v>31</v>
      </c>
      <c r="D18" s="693">
        <f t="shared" si="1"/>
        <v>31</v>
      </c>
      <c r="E18" s="694">
        <f>$D$23-SUM($D$11:D18)+1</f>
        <v>123</v>
      </c>
      <c r="F18" s="695">
        <f t="shared" si="2"/>
        <v>0.33698630136986302</v>
      </c>
      <c r="G18" s="689"/>
      <c r="H18" s="691"/>
      <c r="I18" s="690"/>
      <c r="J18" s="690">
        <f t="shared" si="3"/>
        <v>-704452</v>
      </c>
      <c r="K18" s="692"/>
    </row>
    <row r="19" spans="1:11">
      <c r="A19" s="677">
        <f t="shared" si="0"/>
        <v>14</v>
      </c>
      <c r="B19" s="688" t="s">
        <v>96</v>
      </c>
      <c r="C19" s="690">
        <v>30</v>
      </c>
      <c r="D19" s="693">
        <f t="shared" si="1"/>
        <v>30</v>
      </c>
      <c r="E19" s="694">
        <f>$D$23-SUM($D$11:D19)+1</f>
        <v>93</v>
      </c>
      <c r="F19" s="695">
        <f t="shared" si="2"/>
        <v>0.25479452054794521</v>
      </c>
      <c r="G19" s="689"/>
      <c r="H19" s="691"/>
      <c r="I19" s="690"/>
      <c r="J19" s="690">
        <f t="shared" si="3"/>
        <v>-704452</v>
      </c>
      <c r="K19" s="692"/>
    </row>
    <row r="20" spans="1:11">
      <c r="A20" s="677">
        <f t="shared" si="0"/>
        <v>15</v>
      </c>
      <c r="B20" s="688" t="s">
        <v>102</v>
      </c>
      <c r="C20" s="690">
        <v>31</v>
      </c>
      <c r="D20" s="693">
        <f t="shared" si="1"/>
        <v>31</v>
      </c>
      <c r="E20" s="694">
        <f>$D$23-SUM($D$11:D20)+1</f>
        <v>62</v>
      </c>
      <c r="F20" s="695">
        <f t="shared" si="2"/>
        <v>0.16986301369863013</v>
      </c>
      <c r="G20" s="689"/>
      <c r="H20" s="691"/>
      <c r="I20" s="690"/>
      <c r="J20" s="690">
        <f t="shared" si="3"/>
        <v>-704452</v>
      </c>
      <c r="K20" s="692"/>
    </row>
    <row r="21" spans="1:11">
      <c r="A21" s="677">
        <f t="shared" si="0"/>
        <v>16</v>
      </c>
      <c r="B21" s="688" t="s">
        <v>95</v>
      </c>
      <c r="C21" s="690">
        <v>30</v>
      </c>
      <c r="D21" s="693">
        <f t="shared" si="1"/>
        <v>30</v>
      </c>
      <c r="E21" s="694">
        <f>$D$23-SUM($D$11:D21)+1</f>
        <v>32</v>
      </c>
      <c r="F21" s="695">
        <f t="shared" si="2"/>
        <v>8.7671232876712329E-2</v>
      </c>
      <c r="G21" s="689"/>
      <c r="H21" s="691"/>
      <c r="I21" s="690"/>
      <c r="J21" s="690">
        <f t="shared" si="3"/>
        <v>-704452</v>
      </c>
      <c r="K21" s="692"/>
    </row>
    <row r="22" spans="1:11">
      <c r="A22" s="677">
        <f t="shared" si="0"/>
        <v>17</v>
      </c>
      <c r="B22" s="688" t="s">
        <v>94</v>
      </c>
      <c r="C22" s="690">
        <v>31</v>
      </c>
      <c r="D22" s="693">
        <f t="shared" si="1"/>
        <v>31</v>
      </c>
      <c r="E22" s="694">
        <f>$D$23-SUM($D$11:D22)+1</f>
        <v>1</v>
      </c>
      <c r="F22" s="695">
        <f t="shared" si="2"/>
        <v>2.7397260273972603E-3</v>
      </c>
      <c r="G22" s="689"/>
      <c r="H22" s="691"/>
      <c r="I22" s="690"/>
      <c r="J22" s="690">
        <f t="shared" si="3"/>
        <v>-704452</v>
      </c>
      <c r="K22" s="692"/>
    </row>
    <row r="23" spans="1:11">
      <c r="A23" s="677">
        <f t="shared" si="0"/>
        <v>18</v>
      </c>
      <c r="B23" s="696"/>
      <c r="C23" s="696" t="s">
        <v>19</v>
      </c>
      <c r="D23" s="697">
        <f>SUM(D11:D22)</f>
        <v>365</v>
      </c>
      <c r="E23" s="696"/>
      <c r="F23" s="698"/>
      <c r="G23" s="689"/>
      <c r="H23" s="699">
        <f>SUM(H11:H22)</f>
        <v>0</v>
      </c>
      <c r="I23" s="699">
        <f>SUM(I11:I22)</f>
        <v>0</v>
      </c>
      <c r="J23" s="698"/>
      <c r="K23" s="700"/>
    </row>
    <row r="24" spans="1:11">
      <c r="B24" s="701"/>
      <c r="C24" s="701"/>
      <c r="D24" s="701"/>
      <c r="E24" s="701"/>
      <c r="F24" s="700"/>
      <c r="G24" s="700"/>
      <c r="H24" s="702"/>
      <c r="I24" s="703"/>
      <c r="J24" s="700"/>
      <c r="K24" s="700"/>
    </row>
    <row r="25" spans="1:11">
      <c r="A25" s="677">
        <f>+A23+1</f>
        <v>19</v>
      </c>
      <c r="B25" s="677" t="s">
        <v>699</v>
      </c>
      <c r="F25" s="704" t="s">
        <v>700</v>
      </c>
      <c r="G25" s="700"/>
      <c r="I25" s="700"/>
      <c r="J25" s="691">
        <v>-704453</v>
      </c>
    </row>
    <row r="26" spans="1:11">
      <c r="A26" s="677">
        <f>+A25+1</f>
        <v>20</v>
      </c>
      <c r="B26" s="677" t="s">
        <v>701</v>
      </c>
      <c r="F26" s="677" t="str">
        <f>"(Line "&amp;A25&amp;" less line "&amp;A27&amp;")"</f>
        <v>(Line 19 less line 21)</v>
      </c>
      <c r="G26" s="700"/>
      <c r="I26" s="700"/>
      <c r="J26" s="705">
        <f>+J25-J27</f>
        <v>-1</v>
      </c>
    </row>
    <row r="27" spans="1:11">
      <c r="A27" s="677">
        <f t="shared" ref="A27:A33" si="4">+A26+1</f>
        <v>21</v>
      </c>
      <c r="B27" s="677" t="s">
        <v>702</v>
      </c>
      <c r="F27" s="677" t="str">
        <f>"(Line "&amp;A10&amp;", Col H)"</f>
        <v>(Line 5, Col H)</v>
      </c>
      <c r="G27" s="700"/>
      <c r="I27" s="700"/>
      <c r="J27" s="690">
        <f>+J10</f>
        <v>-704452</v>
      </c>
    </row>
    <row r="28" spans="1:11">
      <c r="A28" s="677">
        <f t="shared" si="4"/>
        <v>22</v>
      </c>
      <c r="B28" s="677" t="s">
        <v>703</v>
      </c>
      <c r="F28" s="704" t="s">
        <v>704</v>
      </c>
      <c r="G28" s="700"/>
      <c r="I28" s="700"/>
      <c r="J28" s="691">
        <v>-704453</v>
      </c>
    </row>
    <row r="29" spans="1:11">
      <c r="A29" s="677">
        <f t="shared" si="4"/>
        <v>23</v>
      </c>
      <c r="B29" s="677" t="str">
        <f>+B26</f>
        <v>Less non Prorated Items</v>
      </c>
      <c r="F29" s="677" t="str">
        <f>"(Line "&amp;A28&amp;" less line "&amp;A30&amp;")"</f>
        <v>(Line 22 less line 24)</v>
      </c>
      <c r="G29" s="700"/>
      <c r="I29" s="700"/>
      <c r="J29" s="705">
        <f>+J28-J30</f>
        <v>-1</v>
      </c>
    </row>
    <row r="30" spans="1:11">
      <c r="A30" s="677">
        <f t="shared" si="4"/>
        <v>24</v>
      </c>
      <c r="B30" s="677" t="s">
        <v>705</v>
      </c>
      <c r="F30" s="677" t="str">
        <f>"(Line "&amp;A22&amp;", Col H)"</f>
        <v>(Line 17, Col H)</v>
      </c>
      <c r="G30" s="700"/>
      <c r="I30" s="700"/>
      <c r="J30" s="727">
        <f>+J22</f>
        <v>-704452</v>
      </c>
    </row>
    <row r="31" spans="1:11">
      <c r="A31" s="704">
        <f t="shared" si="4"/>
        <v>25</v>
      </c>
      <c r="B31" s="704" t="s">
        <v>706</v>
      </c>
      <c r="C31" s="704"/>
      <c r="D31" s="704"/>
      <c r="E31" s="704"/>
      <c r="F31" s="704" t="s">
        <v>842</v>
      </c>
      <c r="G31" s="730"/>
      <c r="H31" s="704"/>
      <c r="I31" s="731"/>
      <c r="J31" s="732">
        <f>J22+(J26+J29)/2</f>
        <v>-704453</v>
      </c>
    </row>
    <row r="32" spans="1:11">
      <c r="A32" s="677">
        <f t="shared" si="4"/>
        <v>26</v>
      </c>
      <c r="B32" s="677" t="s">
        <v>707</v>
      </c>
      <c r="F32" s="677" t="s">
        <v>804</v>
      </c>
      <c r="G32" s="700"/>
      <c r="I32" s="686"/>
      <c r="J32" s="691">
        <v>0</v>
      </c>
    </row>
    <row r="33" spans="1:10">
      <c r="A33" s="677">
        <f t="shared" si="4"/>
        <v>27</v>
      </c>
      <c r="B33" s="677" t="s">
        <v>798</v>
      </c>
      <c r="F33" s="677" t="str">
        <f>"(Line "&amp;A31&amp;" less line "&amp;A32&amp;")"</f>
        <v>(Line 25 less line 26)</v>
      </c>
      <c r="J33" s="706">
        <f>+J31-J32</f>
        <v>-704453</v>
      </c>
    </row>
    <row r="35" spans="1:10">
      <c r="A35" s="707"/>
      <c r="B35" s="708"/>
      <c r="C35" s="707"/>
      <c r="D35" s="707"/>
      <c r="E35" s="707"/>
      <c r="F35" s="707"/>
      <c r="G35" s="707"/>
      <c r="H35" s="707"/>
      <c r="I35" s="707"/>
      <c r="J35" s="707"/>
    </row>
    <row r="36" spans="1:10">
      <c r="A36" s="677">
        <f>+A33+1</f>
        <v>28</v>
      </c>
      <c r="B36" s="680" t="s">
        <v>714</v>
      </c>
      <c r="H36" s="681"/>
      <c r="I36" s="681"/>
      <c r="J36" s="681"/>
    </row>
    <row r="37" spans="1:10">
      <c r="A37" s="677">
        <f>+A36+1</f>
        <v>29</v>
      </c>
      <c r="B37" s="794" t="s">
        <v>689</v>
      </c>
      <c r="C37" s="795"/>
      <c r="D37" s="795"/>
      <c r="E37" s="795"/>
      <c r="F37" s="796"/>
      <c r="G37" s="682"/>
      <c r="H37" s="797" t="s">
        <v>690</v>
      </c>
      <c r="I37" s="798"/>
      <c r="J37" s="799"/>
    </row>
    <row r="38" spans="1:10">
      <c r="B38" s="683" t="s">
        <v>73</v>
      </c>
      <c r="C38" s="683" t="s">
        <v>74</v>
      </c>
      <c r="D38" s="683" t="s">
        <v>75</v>
      </c>
      <c r="E38" s="683" t="s">
        <v>76</v>
      </c>
      <c r="F38" s="683" t="s">
        <v>77</v>
      </c>
      <c r="G38" s="682"/>
      <c r="H38" s="683" t="s">
        <v>78</v>
      </c>
      <c r="I38" s="683" t="s">
        <v>79</v>
      </c>
      <c r="J38" s="683" t="s">
        <v>81</v>
      </c>
    </row>
    <row r="39" spans="1:10" ht="62">
      <c r="A39" s="677">
        <f>+A37+1</f>
        <v>30</v>
      </c>
      <c r="B39" s="685" t="s">
        <v>201</v>
      </c>
      <c r="C39" s="685" t="s">
        <v>691</v>
      </c>
      <c r="D39" s="685" t="s">
        <v>692</v>
      </c>
      <c r="E39" s="685" t="s">
        <v>693</v>
      </c>
      <c r="F39" s="685" t="s">
        <v>694</v>
      </c>
      <c r="G39" s="686"/>
      <c r="H39" s="685" t="s">
        <v>695</v>
      </c>
      <c r="I39" s="685" t="s">
        <v>696</v>
      </c>
      <c r="J39" s="685" t="s">
        <v>697</v>
      </c>
    </row>
    <row r="40" spans="1:10">
      <c r="A40" s="677">
        <f t="shared" ref="A40:A54" si="5">+A39+1</f>
        <v>31</v>
      </c>
      <c r="C40" s="686"/>
      <c r="D40" s="686"/>
      <c r="E40" s="686"/>
      <c r="F40" s="686"/>
      <c r="G40" s="686"/>
      <c r="H40" s="686"/>
      <c r="I40" s="686"/>
      <c r="J40" s="686"/>
    </row>
    <row r="41" spans="1:10">
      <c r="A41" s="677">
        <f t="shared" si="5"/>
        <v>32</v>
      </c>
      <c r="B41" s="687" t="s">
        <v>698</v>
      </c>
      <c r="C41" s="688"/>
      <c r="D41" s="689"/>
      <c r="E41" s="689"/>
      <c r="F41" s="689"/>
      <c r="G41" s="689"/>
      <c r="H41" s="690"/>
      <c r="I41" s="690"/>
      <c r="J41" s="691">
        <v>0</v>
      </c>
    </row>
    <row r="42" spans="1:10">
      <c r="A42" s="677">
        <f t="shared" si="5"/>
        <v>33</v>
      </c>
      <c r="B42" s="688" t="s">
        <v>101</v>
      </c>
      <c r="C42" s="690">
        <v>31</v>
      </c>
      <c r="D42" s="693">
        <f>C42</f>
        <v>31</v>
      </c>
      <c r="E42" s="694">
        <f>D54-D42+1</f>
        <v>335</v>
      </c>
      <c r="F42" s="695">
        <f>IF(E42=0,0,E42/$D$54)</f>
        <v>0.9178082191780822</v>
      </c>
      <c r="G42" s="689"/>
      <c r="H42" s="691">
        <v>0</v>
      </c>
      <c r="I42" s="690">
        <f>+H42*F42</f>
        <v>0</v>
      </c>
      <c r="J42" s="690">
        <f t="shared" ref="J42:J53" si="6">+I42+J41</f>
        <v>0</v>
      </c>
    </row>
    <row r="43" spans="1:10">
      <c r="A43" s="677">
        <f t="shared" si="5"/>
        <v>34</v>
      </c>
      <c r="B43" s="688" t="s">
        <v>100</v>
      </c>
      <c r="C43" s="691">
        <f>C12</f>
        <v>28</v>
      </c>
      <c r="D43" s="693">
        <f t="shared" ref="D43:D53" si="7">C43</f>
        <v>28</v>
      </c>
      <c r="E43" s="694">
        <f>$D$23-SUM($D$42:D43)+1</f>
        <v>307</v>
      </c>
      <c r="F43" s="695">
        <f t="shared" ref="F43:F53" si="8">IF(E43=0,0,E43/$D$54)</f>
        <v>0.84109589041095889</v>
      </c>
      <c r="G43" s="689"/>
      <c r="H43" s="691">
        <f t="shared" ref="H43:H53" si="9">+H42</f>
        <v>0</v>
      </c>
      <c r="I43" s="690">
        <f t="shared" ref="I43:I53" si="10">+H43*F43</f>
        <v>0</v>
      </c>
      <c r="J43" s="690">
        <f t="shared" si="6"/>
        <v>0</v>
      </c>
    </row>
    <row r="44" spans="1:10">
      <c r="A44" s="677">
        <f t="shared" si="5"/>
        <v>35</v>
      </c>
      <c r="B44" s="688" t="s">
        <v>99</v>
      </c>
      <c r="C44" s="690">
        <v>31</v>
      </c>
      <c r="D44" s="693">
        <f t="shared" si="7"/>
        <v>31</v>
      </c>
      <c r="E44" s="694">
        <f>$D$23-SUM($D$42:D44)+1</f>
        <v>276</v>
      </c>
      <c r="F44" s="695">
        <f t="shared" si="8"/>
        <v>0.75616438356164384</v>
      </c>
      <c r="G44" s="689"/>
      <c r="H44" s="691">
        <f t="shared" si="9"/>
        <v>0</v>
      </c>
      <c r="I44" s="690">
        <f t="shared" si="10"/>
        <v>0</v>
      </c>
      <c r="J44" s="690">
        <f t="shared" si="6"/>
        <v>0</v>
      </c>
    </row>
    <row r="45" spans="1:10">
      <c r="A45" s="677">
        <f t="shared" si="5"/>
        <v>36</v>
      </c>
      <c r="B45" s="688" t="s">
        <v>91</v>
      </c>
      <c r="C45" s="690">
        <v>30</v>
      </c>
      <c r="D45" s="693">
        <f t="shared" si="7"/>
        <v>30</v>
      </c>
      <c r="E45" s="694">
        <f>$D$23-SUM($D$42:D45)+1</f>
        <v>246</v>
      </c>
      <c r="F45" s="695">
        <f t="shared" si="8"/>
        <v>0.67397260273972603</v>
      </c>
      <c r="G45" s="689"/>
      <c r="H45" s="691">
        <f t="shared" si="9"/>
        <v>0</v>
      </c>
      <c r="I45" s="690">
        <f t="shared" si="10"/>
        <v>0</v>
      </c>
      <c r="J45" s="690">
        <f t="shared" si="6"/>
        <v>0</v>
      </c>
    </row>
    <row r="46" spans="1:10">
      <c r="A46" s="677">
        <f t="shared" si="5"/>
        <v>37</v>
      </c>
      <c r="B46" s="688" t="s">
        <v>90</v>
      </c>
      <c r="C46" s="690">
        <v>31</v>
      </c>
      <c r="D46" s="693">
        <f t="shared" si="7"/>
        <v>31</v>
      </c>
      <c r="E46" s="694">
        <f>$D$23-SUM($D$42:D46)+1</f>
        <v>215</v>
      </c>
      <c r="F46" s="695">
        <f t="shared" si="8"/>
        <v>0.58904109589041098</v>
      </c>
      <c r="G46" s="689"/>
      <c r="H46" s="691">
        <f t="shared" si="9"/>
        <v>0</v>
      </c>
      <c r="I46" s="690">
        <f t="shared" si="10"/>
        <v>0</v>
      </c>
      <c r="J46" s="690">
        <f t="shared" si="6"/>
        <v>0</v>
      </c>
    </row>
    <row r="47" spans="1:10">
      <c r="A47" s="677">
        <f t="shared" si="5"/>
        <v>38</v>
      </c>
      <c r="B47" s="688" t="s">
        <v>111</v>
      </c>
      <c r="C47" s="690">
        <v>30</v>
      </c>
      <c r="D47" s="693">
        <f t="shared" si="7"/>
        <v>30</v>
      </c>
      <c r="E47" s="694">
        <f>$D$23-SUM($D$42:D47)+1</f>
        <v>185</v>
      </c>
      <c r="F47" s="695">
        <f t="shared" si="8"/>
        <v>0.50684931506849318</v>
      </c>
      <c r="G47" s="689"/>
      <c r="H47" s="691">
        <f t="shared" si="9"/>
        <v>0</v>
      </c>
      <c r="I47" s="690">
        <f t="shared" si="10"/>
        <v>0</v>
      </c>
      <c r="J47" s="690">
        <f t="shared" si="6"/>
        <v>0</v>
      </c>
    </row>
    <row r="48" spans="1:10">
      <c r="A48" s="677">
        <f t="shared" si="5"/>
        <v>39</v>
      </c>
      <c r="B48" s="688" t="s">
        <v>98</v>
      </c>
      <c r="C48" s="690">
        <v>31</v>
      </c>
      <c r="D48" s="693">
        <f t="shared" si="7"/>
        <v>31</v>
      </c>
      <c r="E48" s="694">
        <f>$D$23-SUM($D$42:D48)+1</f>
        <v>154</v>
      </c>
      <c r="F48" s="695">
        <f t="shared" si="8"/>
        <v>0.42191780821917807</v>
      </c>
      <c r="G48" s="689"/>
      <c r="H48" s="691">
        <f t="shared" si="9"/>
        <v>0</v>
      </c>
      <c r="I48" s="690">
        <f t="shared" si="10"/>
        <v>0</v>
      </c>
      <c r="J48" s="690">
        <f t="shared" si="6"/>
        <v>0</v>
      </c>
    </row>
    <row r="49" spans="1:10">
      <c r="A49" s="677">
        <f t="shared" si="5"/>
        <v>40</v>
      </c>
      <c r="B49" s="688" t="s">
        <v>97</v>
      </c>
      <c r="C49" s="690">
        <v>31</v>
      </c>
      <c r="D49" s="693">
        <f t="shared" si="7"/>
        <v>31</v>
      </c>
      <c r="E49" s="694">
        <f>$D$23-SUM($D$42:D49)+1</f>
        <v>123</v>
      </c>
      <c r="F49" s="695">
        <f t="shared" si="8"/>
        <v>0.33698630136986302</v>
      </c>
      <c r="G49" s="689"/>
      <c r="H49" s="691">
        <f t="shared" si="9"/>
        <v>0</v>
      </c>
      <c r="I49" s="690">
        <f t="shared" si="10"/>
        <v>0</v>
      </c>
      <c r="J49" s="690">
        <f t="shared" si="6"/>
        <v>0</v>
      </c>
    </row>
    <row r="50" spans="1:10">
      <c r="A50" s="677">
        <f t="shared" si="5"/>
        <v>41</v>
      </c>
      <c r="B50" s="688" t="s">
        <v>96</v>
      </c>
      <c r="C50" s="690">
        <v>30</v>
      </c>
      <c r="D50" s="693">
        <f t="shared" si="7"/>
        <v>30</v>
      </c>
      <c r="E50" s="694">
        <f>$D$23-SUM($D$42:D50)+1</f>
        <v>93</v>
      </c>
      <c r="F50" s="695">
        <f t="shared" si="8"/>
        <v>0.25479452054794521</v>
      </c>
      <c r="G50" s="689"/>
      <c r="H50" s="691">
        <f t="shared" si="9"/>
        <v>0</v>
      </c>
      <c r="I50" s="690">
        <f t="shared" si="10"/>
        <v>0</v>
      </c>
      <c r="J50" s="690">
        <f t="shared" si="6"/>
        <v>0</v>
      </c>
    </row>
    <row r="51" spans="1:10">
      <c r="A51" s="677">
        <f t="shared" si="5"/>
        <v>42</v>
      </c>
      <c r="B51" s="688" t="s">
        <v>102</v>
      </c>
      <c r="C51" s="690">
        <v>31</v>
      </c>
      <c r="D51" s="693">
        <f t="shared" si="7"/>
        <v>31</v>
      </c>
      <c r="E51" s="694">
        <f>$D$23-SUM($D$42:D51)+1</f>
        <v>62</v>
      </c>
      <c r="F51" s="695">
        <f t="shared" si="8"/>
        <v>0.16986301369863013</v>
      </c>
      <c r="G51" s="689"/>
      <c r="H51" s="691">
        <f t="shared" si="9"/>
        <v>0</v>
      </c>
      <c r="I51" s="690">
        <f t="shared" si="10"/>
        <v>0</v>
      </c>
      <c r="J51" s="690">
        <f t="shared" si="6"/>
        <v>0</v>
      </c>
    </row>
    <row r="52" spans="1:10">
      <c r="A52" s="677">
        <f t="shared" si="5"/>
        <v>43</v>
      </c>
      <c r="B52" s="688" t="s">
        <v>95</v>
      </c>
      <c r="C52" s="690">
        <v>30</v>
      </c>
      <c r="D52" s="693">
        <f t="shared" si="7"/>
        <v>30</v>
      </c>
      <c r="E52" s="694">
        <f>$D$23-SUM($D$42:D52)+1</f>
        <v>32</v>
      </c>
      <c r="F52" s="695">
        <f t="shared" si="8"/>
        <v>8.7671232876712329E-2</v>
      </c>
      <c r="G52" s="689"/>
      <c r="H52" s="691">
        <f t="shared" si="9"/>
        <v>0</v>
      </c>
      <c r="I52" s="690">
        <f t="shared" si="10"/>
        <v>0</v>
      </c>
      <c r="J52" s="690">
        <f t="shared" si="6"/>
        <v>0</v>
      </c>
    </row>
    <row r="53" spans="1:10">
      <c r="A53" s="677">
        <f t="shared" si="5"/>
        <v>44</v>
      </c>
      <c r="B53" s="688" t="s">
        <v>94</v>
      </c>
      <c r="C53" s="690">
        <v>31</v>
      </c>
      <c r="D53" s="693">
        <f t="shared" si="7"/>
        <v>31</v>
      </c>
      <c r="E53" s="694">
        <f>$D$23-SUM($D$42:D53)+1</f>
        <v>1</v>
      </c>
      <c r="F53" s="695">
        <f t="shared" si="8"/>
        <v>2.7397260273972603E-3</v>
      </c>
      <c r="G53" s="689"/>
      <c r="H53" s="691">
        <f t="shared" si="9"/>
        <v>0</v>
      </c>
      <c r="I53" s="690">
        <f t="shared" si="10"/>
        <v>0</v>
      </c>
      <c r="J53" s="690">
        <f t="shared" si="6"/>
        <v>0</v>
      </c>
    </row>
    <row r="54" spans="1:10">
      <c r="A54" s="677">
        <f t="shared" si="5"/>
        <v>45</v>
      </c>
      <c r="B54" s="696"/>
      <c r="C54" s="696" t="s">
        <v>19</v>
      </c>
      <c r="D54" s="697">
        <f>SUM(D42:D53)</f>
        <v>365</v>
      </c>
      <c r="E54" s="696"/>
      <c r="F54" s="698"/>
      <c r="G54" s="689"/>
      <c r="H54" s="699">
        <f>SUM(H42:H53)</f>
        <v>0</v>
      </c>
      <c r="I54" s="699">
        <f>SUM(I42:I53)</f>
        <v>0</v>
      </c>
      <c r="J54" s="698"/>
    </row>
    <row r="55" spans="1:10">
      <c r="B55" s="701"/>
      <c r="C55" s="701"/>
      <c r="D55" s="701"/>
      <c r="E55" s="701"/>
      <c r="F55" s="700"/>
      <c r="G55" s="700"/>
      <c r="H55" s="702"/>
      <c r="I55" s="703"/>
      <c r="J55" s="700"/>
    </row>
    <row r="56" spans="1:10">
      <c r="A56" s="677">
        <f>+A54+1</f>
        <v>46</v>
      </c>
      <c r="B56" s="677" t="s">
        <v>699</v>
      </c>
      <c r="F56" s="704" t="s">
        <v>709</v>
      </c>
      <c r="G56" s="700"/>
      <c r="I56" s="700"/>
      <c r="J56" s="691">
        <v>0</v>
      </c>
    </row>
    <row r="57" spans="1:10">
      <c r="A57" s="677">
        <f>+A56+1</f>
        <v>47</v>
      </c>
      <c r="B57" s="677" t="s">
        <v>701</v>
      </c>
      <c r="F57" s="677" t="str">
        <f>"(Line "&amp;A56&amp;" less line "&amp;A58&amp;")"</f>
        <v>(Line 46 less line 48)</v>
      </c>
      <c r="G57" s="700"/>
      <c r="I57" s="700"/>
      <c r="J57" s="705">
        <f>+J56-J58</f>
        <v>0</v>
      </c>
    </row>
    <row r="58" spans="1:10">
      <c r="A58" s="677">
        <f t="shared" ref="A58:A64" si="11">+A57+1</f>
        <v>48</v>
      </c>
      <c r="B58" s="677" t="s">
        <v>702</v>
      </c>
      <c r="F58" s="677" t="str">
        <f>"(Line "&amp;A41&amp;", Col H)"</f>
        <v>(Line 32, Col H)</v>
      </c>
      <c r="G58" s="700"/>
      <c r="I58" s="700"/>
      <c r="J58" s="690">
        <f>+J41</f>
        <v>0</v>
      </c>
    </row>
    <row r="59" spans="1:10">
      <c r="A59" s="677">
        <f t="shared" si="11"/>
        <v>49</v>
      </c>
      <c r="B59" s="677" t="s">
        <v>703</v>
      </c>
      <c r="F59" s="704" t="s">
        <v>710</v>
      </c>
      <c r="G59" s="700"/>
      <c r="I59" s="700"/>
      <c r="J59" s="691">
        <v>0</v>
      </c>
    </row>
    <row r="60" spans="1:10">
      <c r="A60" s="677">
        <f t="shared" si="11"/>
        <v>50</v>
      </c>
      <c r="B60" s="677" t="str">
        <f>+B57</f>
        <v>Less non Prorated Items</v>
      </c>
      <c r="F60" s="677" t="str">
        <f>"(Line "&amp;A59&amp;" less line "&amp;A61&amp;")"</f>
        <v>(Line 49 less line 51)</v>
      </c>
      <c r="G60" s="700"/>
      <c r="I60" s="700"/>
      <c r="J60" s="705">
        <f>+J59-J61</f>
        <v>0</v>
      </c>
    </row>
    <row r="61" spans="1:10">
      <c r="A61" s="677">
        <f t="shared" si="11"/>
        <v>51</v>
      </c>
      <c r="B61" s="677" t="s">
        <v>705</v>
      </c>
      <c r="F61" s="677" t="str">
        <f>"(Line "&amp;A53&amp;", Col H)"</f>
        <v>(Line 44, Col H)</v>
      </c>
      <c r="G61" s="700"/>
      <c r="I61" s="700"/>
      <c r="J61" s="690">
        <f>+J53</f>
        <v>0</v>
      </c>
    </row>
    <row r="62" spans="1:10">
      <c r="A62" s="704">
        <f t="shared" si="11"/>
        <v>52</v>
      </c>
      <c r="B62" s="704" t="s">
        <v>706</v>
      </c>
      <c r="C62" s="704"/>
      <c r="D62" s="704"/>
      <c r="E62" s="704"/>
      <c r="F62" s="704" t="s">
        <v>843</v>
      </c>
      <c r="G62" s="730"/>
      <c r="H62" s="704"/>
      <c r="I62" s="731"/>
      <c r="J62" s="732">
        <f>J53+(J57+J60)/2</f>
        <v>0</v>
      </c>
    </row>
    <row r="63" spans="1:10">
      <c r="A63" s="677">
        <f t="shared" si="11"/>
        <v>53</v>
      </c>
      <c r="B63" s="677" t="s">
        <v>707</v>
      </c>
      <c r="F63" s="677" t="s">
        <v>804</v>
      </c>
      <c r="G63" s="700"/>
      <c r="I63" s="686"/>
      <c r="J63" s="691">
        <v>0</v>
      </c>
    </row>
    <row r="64" spans="1:10">
      <c r="A64" s="677">
        <f t="shared" si="11"/>
        <v>54</v>
      </c>
      <c r="B64" s="677" t="s">
        <v>798</v>
      </c>
      <c r="F64" s="677" t="str">
        <f>"(Line "&amp;A62&amp;" less line "&amp;A63&amp;")"</f>
        <v>(Line 52 less line 53)</v>
      </c>
      <c r="J64" s="706">
        <f>+J62-J63</f>
        <v>0</v>
      </c>
    </row>
    <row r="66" spans="1:16">
      <c r="A66" s="707"/>
      <c r="B66" s="708"/>
      <c r="C66" s="707"/>
      <c r="D66" s="707"/>
      <c r="E66" s="707"/>
      <c r="F66" s="707"/>
      <c r="G66" s="707"/>
      <c r="H66" s="707"/>
      <c r="I66" s="707"/>
      <c r="J66" s="707"/>
    </row>
    <row r="67" spans="1:16">
      <c r="A67" s="677">
        <f>+A64+1</f>
        <v>55</v>
      </c>
      <c r="B67" s="680" t="s">
        <v>708</v>
      </c>
      <c r="H67" s="681"/>
      <c r="I67" s="681"/>
      <c r="J67" s="681"/>
    </row>
    <row r="68" spans="1:16">
      <c r="A68" s="677">
        <f>+A67+1</f>
        <v>56</v>
      </c>
      <c r="B68" s="794" t="s">
        <v>689</v>
      </c>
      <c r="C68" s="795"/>
      <c r="D68" s="795"/>
      <c r="E68" s="795"/>
      <c r="F68" s="796"/>
      <c r="G68" s="682"/>
      <c r="H68" s="797" t="s">
        <v>690</v>
      </c>
      <c r="I68" s="798"/>
      <c r="J68" s="799"/>
    </row>
    <row r="69" spans="1:16">
      <c r="B69" s="683" t="s">
        <v>73</v>
      </c>
      <c r="C69" s="683" t="s">
        <v>74</v>
      </c>
      <c r="D69" s="683" t="s">
        <v>75</v>
      </c>
      <c r="E69" s="683" t="s">
        <v>76</v>
      </c>
      <c r="F69" s="683" t="s">
        <v>77</v>
      </c>
      <c r="G69" s="682"/>
      <c r="H69" s="683" t="s">
        <v>78</v>
      </c>
      <c r="I69" s="683" t="s">
        <v>79</v>
      </c>
      <c r="J69" s="683" t="s">
        <v>81</v>
      </c>
    </row>
    <row r="70" spans="1:16" ht="62">
      <c r="A70" s="677">
        <f>+A68+1</f>
        <v>57</v>
      </c>
      <c r="B70" s="685" t="s">
        <v>201</v>
      </c>
      <c r="C70" s="685" t="s">
        <v>691</v>
      </c>
      <c r="D70" s="685" t="s">
        <v>692</v>
      </c>
      <c r="E70" s="685" t="s">
        <v>693</v>
      </c>
      <c r="F70" s="685" t="s">
        <v>694</v>
      </c>
      <c r="G70" s="686"/>
      <c r="H70" s="685" t="s">
        <v>695</v>
      </c>
      <c r="I70" s="685" t="s">
        <v>696</v>
      </c>
      <c r="J70" s="685" t="s">
        <v>697</v>
      </c>
    </row>
    <row r="71" spans="1:16">
      <c r="A71" s="677">
        <f t="shared" ref="A71:A85" si="12">+A70+1</f>
        <v>58</v>
      </c>
      <c r="C71" s="686"/>
      <c r="D71" s="686"/>
      <c r="E71" s="686"/>
      <c r="F71" s="686"/>
      <c r="G71" s="686"/>
      <c r="H71" s="686"/>
      <c r="I71" s="686"/>
      <c r="J71" s="686"/>
    </row>
    <row r="72" spans="1:16">
      <c r="A72" s="677">
        <f t="shared" si="12"/>
        <v>59</v>
      </c>
      <c r="B72" s="687" t="s">
        <v>698</v>
      </c>
      <c r="C72" s="688"/>
      <c r="D72" s="689"/>
      <c r="E72" s="689"/>
      <c r="F72" s="689"/>
      <c r="G72" s="689"/>
      <c r="H72" s="690"/>
      <c r="I72" s="690"/>
      <c r="J72" s="691">
        <v>1822038</v>
      </c>
      <c r="K72" s="709"/>
    </row>
    <row r="73" spans="1:16">
      <c r="A73" s="677">
        <f t="shared" si="12"/>
        <v>60</v>
      </c>
      <c r="B73" s="688" t="s">
        <v>101</v>
      </c>
      <c r="C73" s="690">
        <v>31</v>
      </c>
      <c r="D73" s="693">
        <f>C73</f>
        <v>31</v>
      </c>
      <c r="E73" s="694">
        <f>D85-D73+1</f>
        <v>335</v>
      </c>
      <c r="F73" s="695">
        <f>IF(E73=0,0,E73/$D$85)</f>
        <v>0.9178082191780822</v>
      </c>
      <c r="G73" s="689"/>
      <c r="H73" s="691">
        <v>100068.12528020002</v>
      </c>
      <c r="I73" s="690">
        <f>+H73*F73</f>
        <v>91843.347859909612</v>
      </c>
      <c r="J73" s="690">
        <f>+J72+I73</f>
        <v>1913881.3478599095</v>
      </c>
      <c r="L73" s="710"/>
      <c r="M73" s="711"/>
    </row>
    <row r="74" spans="1:16">
      <c r="A74" s="677">
        <f t="shared" si="12"/>
        <v>61</v>
      </c>
      <c r="B74" s="688" t="s">
        <v>100</v>
      </c>
      <c r="C74" s="691">
        <f>C12</f>
        <v>28</v>
      </c>
      <c r="D74" s="693">
        <f t="shared" ref="D74:D84" si="13">C74</f>
        <v>28</v>
      </c>
      <c r="E74" s="694">
        <f>$D$23-SUM($D$73:D74)+1</f>
        <v>307</v>
      </c>
      <c r="F74" s="695">
        <f t="shared" ref="F74:F84" si="14">IF(E74=0,0,E74/$D$85)</f>
        <v>0.84109589041095889</v>
      </c>
      <c r="G74" s="712"/>
      <c r="H74" s="691">
        <v>100068.12528020002</v>
      </c>
      <c r="I74" s="690">
        <f t="shared" ref="I74:I82" si="15">+H74*F74</f>
        <v>84166.888934305229</v>
      </c>
      <c r="J74" s="690">
        <f>+J73+I74</f>
        <v>1998048.2367942147</v>
      </c>
      <c r="L74" s="710"/>
      <c r="M74" s="710"/>
    </row>
    <row r="75" spans="1:16">
      <c r="A75" s="677">
        <f t="shared" si="12"/>
        <v>62</v>
      </c>
      <c r="B75" s="688" t="s">
        <v>99</v>
      </c>
      <c r="C75" s="690">
        <v>31</v>
      </c>
      <c r="D75" s="693">
        <f t="shared" si="13"/>
        <v>31</v>
      </c>
      <c r="E75" s="694">
        <f>$D$23-SUM($D$73:D75)+1</f>
        <v>276</v>
      </c>
      <c r="F75" s="695">
        <f t="shared" si="14"/>
        <v>0.75616438356164384</v>
      </c>
      <c r="G75" s="712"/>
      <c r="H75" s="691">
        <v>100068.12528020002</v>
      </c>
      <c r="I75" s="690">
        <f t="shared" si="15"/>
        <v>75667.952266671797</v>
      </c>
      <c r="J75" s="690">
        <f>+J74+I75</f>
        <v>2073716.1890608864</v>
      </c>
      <c r="L75" s="710"/>
      <c r="M75" s="710"/>
    </row>
    <row r="76" spans="1:16">
      <c r="A76" s="677">
        <f t="shared" si="12"/>
        <v>63</v>
      </c>
      <c r="B76" s="688" t="s">
        <v>91</v>
      </c>
      <c r="C76" s="690">
        <v>30</v>
      </c>
      <c r="D76" s="693">
        <f t="shared" si="13"/>
        <v>30</v>
      </c>
      <c r="E76" s="694">
        <f>$D$23-SUM($D$73:D76)+1</f>
        <v>246</v>
      </c>
      <c r="F76" s="695">
        <f t="shared" si="14"/>
        <v>0.67397260273972603</v>
      </c>
      <c r="G76" s="712"/>
      <c r="H76" s="691">
        <v>100068.12528020002</v>
      </c>
      <c r="I76" s="690">
        <f t="shared" si="15"/>
        <v>67443.174846381386</v>
      </c>
      <c r="J76" s="690">
        <f t="shared" ref="J76:J84" si="16">+J75+I76</f>
        <v>2141159.3639072678</v>
      </c>
      <c r="L76" s="710"/>
      <c r="M76" s="710"/>
    </row>
    <row r="77" spans="1:16">
      <c r="A77" s="677">
        <f t="shared" si="12"/>
        <v>64</v>
      </c>
      <c r="B77" s="688" t="s">
        <v>90</v>
      </c>
      <c r="C77" s="690">
        <v>31</v>
      </c>
      <c r="D77" s="693">
        <f t="shared" si="13"/>
        <v>31</v>
      </c>
      <c r="E77" s="694">
        <f>$D$23-SUM($D$73:D77)+1</f>
        <v>215</v>
      </c>
      <c r="F77" s="695">
        <f t="shared" si="14"/>
        <v>0.58904109589041098</v>
      </c>
      <c r="G77" s="712"/>
      <c r="H77" s="691">
        <v>100068.12528020002</v>
      </c>
      <c r="I77" s="690">
        <f t="shared" si="15"/>
        <v>58944.238178747961</v>
      </c>
      <c r="J77" s="690">
        <f t="shared" si="16"/>
        <v>2200103.602086016</v>
      </c>
      <c r="L77" s="710"/>
      <c r="M77" s="710"/>
    </row>
    <row r="78" spans="1:16">
      <c r="A78" s="677">
        <f t="shared" si="12"/>
        <v>65</v>
      </c>
      <c r="B78" s="688" t="s">
        <v>111</v>
      </c>
      <c r="C78" s="690">
        <v>30</v>
      </c>
      <c r="D78" s="693">
        <f t="shared" si="13"/>
        <v>30</v>
      </c>
      <c r="E78" s="694">
        <f>$D$23-SUM($D$73:D78)+1</f>
        <v>185</v>
      </c>
      <c r="F78" s="695">
        <f t="shared" si="14"/>
        <v>0.50684931506849318</v>
      </c>
      <c r="G78" s="712"/>
      <c r="H78" s="691">
        <v>100068.12528020002</v>
      </c>
      <c r="I78" s="690">
        <f t="shared" si="15"/>
        <v>50719.46075845755</v>
      </c>
      <c r="J78" s="690">
        <f t="shared" si="16"/>
        <v>2250823.0628444734</v>
      </c>
      <c r="L78" s="710"/>
      <c r="M78" s="710"/>
    </row>
    <row r="79" spans="1:16">
      <c r="A79" s="677">
        <f t="shared" si="12"/>
        <v>66</v>
      </c>
      <c r="B79" s="688" t="s">
        <v>98</v>
      </c>
      <c r="C79" s="690">
        <v>31</v>
      </c>
      <c r="D79" s="693">
        <f t="shared" si="13"/>
        <v>31</v>
      </c>
      <c r="E79" s="694">
        <f>$D$23-SUM($D$73:D79)+1</f>
        <v>154</v>
      </c>
      <c r="F79" s="695">
        <f t="shared" si="14"/>
        <v>0.42191780821917807</v>
      </c>
      <c r="G79" s="712"/>
      <c r="H79" s="691">
        <v>100068.12528020002</v>
      </c>
      <c r="I79" s="690">
        <f t="shared" si="15"/>
        <v>42220.524090824118</v>
      </c>
      <c r="J79" s="690">
        <f t="shared" si="16"/>
        <v>2293043.5869352976</v>
      </c>
      <c r="L79" s="710"/>
      <c r="M79" s="710"/>
      <c r="N79" s="713"/>
      <c r="P79" s="710"/>
    </row>
    <row r="80" spans="1:16">
      <c r="A80" s="677">
        <f t="shared" si="12"/>
        <v>67</v>
      </c>
      <c r="B80" s="688" t="s">
        <v>97</v>
      </c>
      <c r="C80" s="690">
        <v>31</v>
      </c>
      <c r="D80" s="693">
        <f t="shared" si="13"/>
        <v>31</v>
      </c>
      <c r="E80" s="694">
        <f>$D$23-SUM($D$73:D80)+1</f>
        <v>123</v>
      </c>
      <c r="F80" s="695">
        <f t="shared" si="14"/>
        <v>0.33698630136986302</v>
      </c>
      <c r="G80" s="712"/>
      <c r="H80" s="691">
        <v>100068.12528020002</v>
      </c>
      <c r="I80" s="690">
        <f t="shared" si="15"/>
        <v>33721.587423190693</v>
      </c>
      <c r="J80" s="690">
        <f t="shared" si="16"/>
        <v>2326765.1743584881</v>
      </c>
      <c r="L80" s="710"/>
      <c r="M80" s="710"/>
      <c r="N80" s="713"/>
      <c r="P80" s="710"/>
    </row>
    <row r="81" spans="1:16">
      <c r="A81" s="677">
        <f t="shared" si="12"/>
        <v>68</v>
      </c>
      <c r="B81" s="688" t="s">
        <v>96</v>
      </c>
      <c r="C81" s="690">
        <v>30</v>
      </c>
      <c r="D81" s="693">
        <f t="shared" si="13"/>
        <v>30</v>
      </c>
      <c r="E81" s="694">
        <f>$D$23-SUM($D$73:D81)+1</f>
        <v>93</v>
      </c>
      <c r="F81" s="695">
        <f t="shared" si="14"/>
        <v>0.25479452054794521</v>
      </c>
      <c r="G81" s="712"/>
      <c r="H81" s="691">
        <v>100068.12528020002</v>
      </c>
      <c r="I81" s="690">
        <f t="shared" si="15"/>
        <v>25496.810002900282</v>
      </c>
      <c r="J81" s="690">
        <f t="shared" si="16"/>
        <v>2352261.9843613883</v>
      </c>
      <c r="L81" s="710"/>
      <c r="M81" s="710"/>
      <c r="N81" s="713"/>
      <c r="P81" s="710"/>
    </row>
    <row r="82" spans="1:16">
      <c r="A82" s="677">
        <f t="shared" si="12"/>
        <v>69</v>
      </c>
      <c r="B82" s="688" t="s">
        <v>102</v>
      </c>
      <c r="C82" s="690">
        <v>31</v>
      </c>
      <c r="D82" s="693">
        <f t="shared" si="13"/>
        <v>31</v>
      </c>
      <c r="E82" s="694">
        <f>$D$23-SUM($D$73:D82)+1</f>
        <v>62</v>
      </c>
      <c r="F82" s="695">
        <f t="shared" si="14"/>
        <v>0.16986301369863013</v>
      </c>
      <c r="G82" s="712"/>
      <c r="H82" s="691">
        <v>100068.12528020002</v>
      </c>
      <c r="I82" s="690">
        <f t="shared" si="15"/>
        <v>16997.873335266853</v>
      </c>
      <c r="J82" s="690">
        <f t="shared" si="16"/>
        <v>2369259.8576966552</v>
      </c>
      <c r="L82" s="710"/>
      <c r="M82" s="710"/>
      <c r="N82" s="713"/>
      <c r="P82" s="710"/>
    </row>
    <row r="83" spans="1:16">
      <c r="A83" s="677">
        <f t="shared" si="12"/>
        <v>70</v>
      </c>
      <c r="B83" s="688" t="s">
        <v>95</v>
      </c>
      <c r="C83" s="690">
        <v>30</v>
      </c>
      <c r="D83" s="693">
        <f t="shared" si="13"/>
        <v>30</v>
      </c>
      <c r="E83" s="694">
        <f>$D$23-SUM($D$73:D83)+1</f>
        <v>32</v>
      </c>
      <c r="F83" s="695">
        <f t="shared" si="14"/>
        <v>8.7671232876712329E-2</v>
      </c>
      <c r="G83" s="712"/>
      <c r="H83" s="691">
        <v>100068.12528020002</v>
      </c>
      <c r="I83" s="690">
        <f>+H83*F83</f>
        <v>8773.0959149764403</v>
      </c>
      <c r="J83" s="690">
        <f t="shared" si="16"/>
        <v>2378032.9536116319</v>
      </c>
      <c r="L83" s="710"/>
      <c r="M83" s="710"/>
      <c r="N83" s="713"/>
      <c r="P83" s="710"/>
    </row>
    <row r="84" spans="1:16">
      <c r="A84" s="677">
        <f t="shared" si="12"/>
        <v>71</v>
      </c>
      <c r="B84" s="688" t="s">
        <v>94</v>
      </c>
      <c r="C84" s="690">
        <v>31</v>
      </c>
      <c r="D84" s="693">
        <f t="shared" si="13"/>
        <v>31</v>
      </c>
      <c r="E84" s="694">
        <f>$D$23-SUM($D$73:D84)+1</f>
        <v>1</v>
      </c>
      <c r="F84" s="695">
        <f t="shared" si="14"/>
        <v>2.7397260273972603E-3</v>
      </c>
      <c r="G84" s="712"/>
      <c r="H84" s="691">
        <v>100068.12528020002</v>
      </c>
      <c r="I84" s="690">
        <f>+H84*F84</f>
        <v>274.15924734301376</v>
      </c>
      <c r="J84" s="690">
        <f t="shared" si="16"/>
        <v>2378307.1128589748</v>
      </c>
      <c r="K84" s="714"/>
      <c r="L84" s="710"/>
      <c r="M84" s="710"/>
      <c r="N84" s="713"/>
      <c r="P84" s="710"/>
    </row>
    <row r="85" spans="1:16">
      <c r="A85" s="677">
        <f t="shared" si="12"/>
        <v>72</v>
      </c>
      <c r="B85" s="696"/>
      <c r="C85" s="696" t="s">
        <v>19</v>
      </c>
      <c r="D85" s="697">
        <f>SUM(D73:D84)</f>
        <v>365</v>
      </c>
      <c r="E85" s="696"/>
      <c r="F85" s="698"/>
      <c r="G85" s="689"/>
      <c r="H85" s="699">
        <f>SUM(H73:H84)</f>
        <v>1200817.5033624002</v>
      </c>
      <c r="I85" s="699">
        <f>SUM(I73:I84)</f>
        <v>556269.11285897484</v>
      </c>
      <c r="J85" s="698"/>
    </row>
    <row r="86" spans="1:16">
      <c r="B86" s="701"/>
      <c r="C86" s="701"/>
      <c r="D86" s="701"/>
      <c r="E86" s="701"/>
      <c r="F86" s="700"/>
      <c r="G86" s="700"/>
      <c r="H86" s="715"/>
      <c r="I86" s="703"/>
      <c r="J86" s="700"/>
    </row>
    <row r="87" spans="1:16">
      <c r="A87" s="677">
        <f>+A85+1</f>
        <v>73</v>
      </c>
      <c r="B87" s="677" t="s">
        <v>699</v>
      </c>
      <c r="F87" s="704" t="s">
        <v>709</v>
      </c>
      <c r="G87" s="700"/>
      <c r="H87" s="725"/>
      <c r="I87" s="700"/>
      <c r="J87" s="691">
        <v>1822038</v>
      </c>
      <c r="K87" s="704"/>
      <c r="M87" s="716"/>
    </row>
    <row r="88" spans="1:16">
      <c r="A88" s="677">
        <f>+A87+1</f>
        <v>74</v>
      </c>
      <c r="B88" s="677" t="s">
        <v>841</v>
      </c>
      <c r="F88" s="677" t="str">
        <f>"(Line "&amp;A87&amp;" less line "&amp;A89&amp;")"</f>
        <v>(Line 73 less line 75)</v>
      </c>
      <c r="G88" s="700"/>
      <c r="I88" s="700"/>
      <c r="J88" s="705">
        <f>+J87-J89</f>
        <v>0</v>
      </c>
      <c r="K88" s="704"/>
    </row>
    <row r="89" spans="1:16">
      <c r="A89" s="677">
        <f t="shared" ref="A89:A95" si="17">+A88+1</f>
        <v>75</v>
      </c>
      <c r="B89" s="677" t="s">
        <v>702</v>
      </c>
      <c r="F89" s="677" t="str">
        <f>"(Line "&amp;A72&amp;", Col H)"</f>
        <v>(Line 59, Col H)</v>
      </c>
      <c r="G89" s="700"/>
      <c r="I89" s="700"/>
      <c r="J89" s="690">
        <f>J87</f>
        <v>1822038</v>
      </c>
      <c r="K89" s="704"/>
    </row>
    <row r="90" spans="1:16">
      <c r="A90" s="677">
        <f t="shared" si="17"/>
        <v>76</v>
      </c>
      <c r="B90" s="677" t="s">
        <v>703</v>
      </c>
      <c r="F90" s="704" t="s">
        <v>710</v>
      </c>
      <c r="G90" s="700"/>
      <c r="I90" s="700"/>
      <c r="J90" s="691">
        <v>3022855.5033624005</v>
      </c>
      <c r="K90" s="704"/>
    </row>
    <row r="91" spans="1:16">
      <c r="A91" s="677">
        <f t="shared" si="17"/>
        <v>77</v>
      </c>
      <c r="B91" s="677" t="str">
        <f>+B88</f>
        <v xml:space="preserve">Less non Prorated Items </v>
      </c>
      <c r="F91" s="677" t="str">
        <f>"(Line "&amp;A90&amp;" less line "&amp;A92&amp;")"</f>
        <v>(Line 76 less line 78)</v>
      </c>
      <c r="G91" s="700"/>
      <c r="I91" s="700"/>
      <c r="J91" s="705">
        <f>J90-J92</f>
        <v>644548.39050342562</v>
      </c>
    </row>
    <row r="92" spans="1:16">
      <c r="A92" s="677">
        <f t="shared" si="17"/>
        <v>78</v>
      </c>
      <c r="B92" s="677" t="s">
        <v>705</v>
      </c>
      <c r="F92" s="677" t="str">
        <f>"(Line "&amp;A84&amp;", Col H)"</f>
        <v>(Line 71, Col H)</v>
      </c>
      <c r="G92" s="700"/>
      <c r="I92" s="700"/>
      <c r="J92" s="735">
        <f>J84</f>
        <v>2378307.1128589748</v>
      </c>
    </row>
    <row r="93" spans="1:16">
      <c r="A93" s="704">
        <f t="shared" si="17"/>
        <v>79</v>
      </c>
      <c r="B93" s="704" t="s">
        <v>706</v>
      </c>
      <c r="C93" s="704"/>
      <c r="D93" s="704"/>
      <c r="E93" s="704"/>
      <c r="F93" s="704" t="s">
        <v>844</v>
      </c>
      <c r="G93" s="730"/>
      <c r="H93" s="704"/>
      <c r="I93" s="731"/>
      <c r="J93" s="736">
        <f>J84+(J88+J91)/2</f>
        <v>2700581.3081106879</v>
      </c>
    </row>
    <row r="94" spans="1:16">
      <c r="A94" s="677">
        <f t="shared" si="17"/>
        <v>80</v>
      </c>
      <c r="B94" s="677" t="s">
        <v>707</v>
      </c>
      <c r="F94" s="677" t="s">
        <v>804</v>
      </c>
      <c r="G94" s="700"/>
      <c r="I94" s="686"/>
      <c r="J94" s="691">
        <v>0</v>
      </c>
    </row>
    <row r="95" spans="1:16">
      <c r="A95" s="677">
        <f t="shared" si="17"/>
        <v>81</v>
      </c>
      <c r="B95" s="677" t="s">
        <v>798</v>
      </c>
      <c r="F95" s="677" t="str">
        <f>"(Line "&amp;A93&amp;" less line "&amp;A94&amp;")"</f>
        <v>(Line 79 less line 80)</v>
      </c>
      <c r="J95" s="706">
        <f>+J93-J94</f>
        <v>2700581.3081106879</v>
      </c>
    </row>
    <row r="98" spans="1:10">
      <c r="A98" s="677">
        <f>+A95+1</f>
        <v>82</v>
      </c>
      <c r="B98" s="680" t="s">
        <v>711</v>
      </c>
      <c r="H98" s="681"/>
      <c r="I98" s="681"/>
      <c r="J98" s="681"/>
    </row>
    <row r="99" spans="1:10">
      <c r="A99" s="677">
        <f>+A98+1</f>
        <v>83</v>
      </c>
      <c r="B99" s="794" t="s">
        <v>689</v>
      </c>
      <c r="C99" s="795"/>
      <c r="D99" s="795"/>
      <c r="E99" s="795"/>
      <c r="F99" s="796"/>
      <c r="G99" s="682"/>
      <c r="H99" s="797" t="s">
        <v>690</v>
      </c>
      <c r="I99" s="798"/>
      <c r="J99" s="799"/>
    </row>
    <row r="100" spans="1:10">
      <c r="B100" s="683" t="s">
        <v>73</v>
      </c>
      <c r="C100" s="683" t="s">
        <v>74</v>
      </c>
      <c r="D100" s="683" t="s">
        <v>75</v>
      </c>
      <c r="E100" s="683" t="s">
        <v>76</v>
      </c>
      <c r="F100" s="683" t="s">
        <v>77</v>
      </c>
      <c r="G100" s="682"/>
      <c r="H100" s="683" t="s">
        <v>78</v>
      </c>
      <c r="I100" s="683" t="s">
        <v>79</v>
      </c>
      <c r="J100" s="683" t="s">
        <v>81</v>
      </c>
    </row>
    <row r="101" spans="1:10" ht="62">
      <c r="A101" s="677">
        <f>+A99+1</f>
        <v>84</v>
      </c>
      <c r="B101" s="685" t="s">
        <v>201</v>
      </c>
      <c r="C101" s="685" t="s">
        <v>691</v>
      </c>
      <c r="D101" s="685" t="s">
        <v>692</v>
      </c>
      <c r="E101" s="685" t="s">
        <v>693</v>
      </c>
      <c r="F101" s="685" t="s">
        <v>694</v>
      </c>
      <c r="G101" s="686"/>
      <c r="H101" s="685" t="s">
        <v>695</v>
      </c>
      <c r="I101" s="685" t="s">
        <v>696</v>
      </c>
      <c r="J101" s="685" t="s">
        <v>697</v>
      </c>
    </row>
    <row r="102" spans="1:10">
      <c r="A102" s="677">
        <f t="shared" ref="A102:A116" si="18">+A101+1</f>
        <v>85</v>
      </c>
      <c r="C102" s="686"/>
      <c r="D102" s="686"/>
      <c r="E102" s="686"/>
      <c r="F102" s="686"/>
      <c r="G102" s="686"/>
      <c r="H102" s="686"/>
      <c r="I102" s="686"/>
      <c r="J102" s="686"/>
    </row>
    <row r="103" spans="1:10">
      <c r="A103" s="677">
        <f t="shared" si="18"/>
        <v>86</v>
      </c>
      <c r="B103" s="687" t="s">
        <v>698</v>
      </c>
      <c r="C103" s="688"/>
      <c r="D103" s="689"/>
      <c r="E103" s="689"/>
      <c r="F103" s="689"/>
      <c r="G103" s="689"/>
      <c r="H103" s="690"/>
      <c r="I103" s="690"/>
      <c r="J103" s="691">
        <v>0</v>
      </c>
    </row>
    <row r="104" spans="1:10">
      <c r="A104" s="677">
        <f t="shared" si="18"/>
        <v>87</v>
      </c>
      <c r="B104" s="688" t="s">
        <v>101</v>
      </c>
      <c r="C104" s="690">
        <v>31</v>
      </c>
      <c r="D104" s="693">
        <f>C104</f>
        <v>31</v>
      </c>
      <c r="E104" s="694">
        <f>D116-D104+1</f>
        <v>335</v>
      </c>
      <c r="F104" s="695">
        <f>IF(E104=0,0,E104/$D$116)</f>
        <v>0.9178082191780822</v>
      </c>
      <c r="G104" s="689"/>
      <c r="H104" s="691"/>
      <c r="I104" s="690">
        <f>+H104*F104</f>
        <v>0</v>
      </c>
      <c r="J104" s="690">
        <f>+I104+J103</f>
        <v>0</v>
      </c>
    </row>
    <row r="105" spans="1:10">
      <c r="A105" s="677">
        <f t="shared" si="18"/>
        <v>88</v>
      </c>
      <c r="B105" s="688" t="s">
        <v>100</v>
      </c>
      <c r="C105" s="691">
        <v>28</v>
      </c>
      <c r="D105" s="693">
        <f t="shared" ref="D105:D115" si="19">C105</f>
        <v>28</v>
      </c>
      <c r="E105" s="694">
        <f>$D$23-SUM($D$104:D105)+1</f>
        <v>307</v>
      </c>
      <c r="F105" s="695">
        <f t="shared" ref="F105:F115" si="20">IF(E105=0,0,E105/$D$116)</f>
        <v>0.84109589041095889</v>
      </c>
      <c r="G105" s="689"/>
      <c r="H105" s="691"/>
      <c r="I105" s="690">
        <f t="shared" ref="I105:I115" si="21">+H105*F105</f>
        <v>0</v>
      </c>
      <c r="J105" s="690">
        <f>+I105+J104</f>
        <v>0</v>
      </c>
    </row>
    <row r="106" spans="1:10">
      <c r="A106" s="677">
        <f t="shared" si="18"/>
        <v>89</v>
      </c>
      <c r="B106" s="688" t="s">
        <v>99</v>
      </c>
      <c r="C106" s="690">
        <v>31</v>
      </c>
      <c r="D106" s="693">
        <f t="shared" si="19"/>
        <v>31</v>
      </c>
      <c r="E106" s="694">
        <f>$D$23-SUM($D$104:D106)+1</f>
        <v>276</v>
      </c>
      <c r="F106" s="695">
        <f t="shared" si="20"/>
        <v>0.75616438356164384</v>
      </c>
      <c r="G106" s="689"/>
      <c r="H106" s="691"/>
      <c r="I106" s="690">
        <f>+H106*F106</f>
        <v>0</v>
      </c>
      <c r="J106" s="690">
        <f t="shared" ref="J106:J115" si="22">+I106+J105</f>
        <v>0</v>
      </c>
    </row>
    <row r="107" spans="1:10">
      <c r="A107" s="677">
        <f t="shared" si="18"/>
        <v>90</v>
      </c>
      <c r="B107" s="688" t="s">
        <v>91</v>
      </c>
      <c r="C107" s="690">
        <v>30</v>
      </c>
      <c r="D107" s="693">
        <f t="shared" si="19"/>
        <v>30</v>
      </c>
      <c r="E107" s="694">
        <f>$D$23-SUM($D$104:D107)+1</f>
        <v>246</v>
      </c>
      <c r="F107" s="695">
        <f t="shared" si="20"/>
        <v>0.67397260273972603</v>
      </c>
      <c r="G107" s="689"/>
      <c r="H107" s="691"/>
      <c r="I107" s="690">
        <f t="shared" si="21"/>
        <v>0</v>
      </c>
      <c r="J107" s="690">
        <f t="shared" si="22"/>
        <v>0</v>
      </c>
    </row>
    <row r="108" spans="1:10">
      <c r="A108" s="677">
        <f t="shared" si="18"/>
        <v>91</v>
      </c>
      <c r="B108" s="688" t="s">
        <v>90</v>
      </c>
      <c r="C108" s="690">
        <v>31</v>
      </c>
      <c r="D108" s="693">
        <f t="shared" si="19"/>
        <v>31</v>
      </c>
      <c r="E108" s="694">
        <f>$D$23-SUM($D$104:D108)+1</f>
        <v>215</v>
      </c>
      <c r="F108" s="695">
        <f t="shared" si="20"/>
        <v>0.58904109589041098</v>
      </c>
      <c r="G108" s="689"/>
      <c r="H108" s="691"/>
      <c r="I108" s="690">
        <f t="shared" si="21"/>
        <v>0</v>
      </c>
      <c r="J108" s="690">
        <f t="shared" si="22"/>
        <v>0</v>
      </c>
    </row>
    <row r="109" spans="1:10">
      <c r="A109" s="677">
        <f t="shared" si="18"/>
        <v>92</v>
      </c>
      <c r="B109" s="688" t="s">
        <v>111</v>
      </c>
      <c r="C109" s="690">
        <v>30</v>
      </c>
      <c r="D109" s="693">
        <f t="shared" si="19"/>
        <v>30</v>
      </c>
      <c r="E109" s="694">
        <f>$D$23-SUM($D$104:D109)+1</f>
        <v>185</v>
      </c>
      <c r="F109" s="695">
        <f t="shared" si="20"/>
        <v>0.50684931506849318</v>
      </c>
      <c r="G109" s="689"/>
      <c r="H109" s="691"/>
      <c r="I109" s="690">
        <f t="shared" si="21"/>
        <v>0</v>
      </c>
      <c r="J109" s="690">
        <f t="shared" si="22"/>
        <v>0</v>
      </c>
    </row>
    <row r="110" spans="1:10">
      <c r="A110" s="677">
        <f t="shared" si="18"/>
        <v>93</v>
      </c>
      <c r="B110" s="688" t="s">
        <v>98</v>
      </c>
      <c r="C110" s="690">
        <v>31</v>
      </c>
      <c r="D110" s="693">
        <f t="shared" si="19"/>
        <v>31</v>
      </c>
      <c r="E110" s="694">
        <f>$D$23-SUM($D$104:D110)+1</f>
        <v>154</v>
      </c>
      <c r="F110" s="695">
        <f t="shared" si="20"/>
        <v>0.42191780821917807</v>
      </c>
      <c r="G110" s="689"/>
      <c r="H110" s="691"/>
      <c r="I110" s="690">
        <f t="shared" si="21"/>
        <v>0</v>
      </c>
      <c r="J110" s="690">
        <f t="shared" si="22"/>
        <v>0</v>
      </c>
    </row>
    <row r="111" spans="1:10">
      <c r="A111" s="677">
        <f t="shared" si="18"/>
        <v>94</v>
      </c>
      <c r="B111" s="688" t="s">
        <v>97</v>
      </c>
      <c r="C111" s="690">
        <v>31</v>
      </c>
      <c r="D111" s="693">
        <f t="shared" si="19"/>
        <v>31</v>
      </c>
      <c r="E111" s="694">
        <f>$D$23-SUM($D$104:D111)+1</f>
        <v>123</v>
      </c>
      <c r="F111" s="695">
        <f t="shared" si="20"/>
        <v>0.33698630136986302</v>
      </c>
      <c r="G111" s="689"/>
      <c r="H111" s="691"/>
      <c r="I111" s="690">
        <f t="shared" si="21"/>
        <v>0</v>
      </c>
      <c r="J111" s="690">
        <f t="shared" si="22"/>
        <v>0</v>
      </c>
    </row>
    <row r="112" spans="1:10">
      <c r="A112" s="677">
        <f t="shared" si="18"/>
        <v>95</v>
      </c>
      <c r="B112" s="688" t="s">
        <v>96</v>
      </c>
      <c r="C112" s="690">
        <v>30</v>
      </c>
      <c r="D112" s="693">
        <f t="shared" si="19"/>
        <v>30</v>
      </c>
      <c r="E112" s="694">
        <f>$D$23-SUM($D$104:D112)+1</f>
        <v>93</v>
      </c>
      <c r="F112" s="695">
        <f t="shared" si="20"/>
        <v>0.25479452054794521</v>
      </c>
      <c r="G112" s="689"/>
      <c r="H112" s="691"/>
      <c r="I112" s="690">
        <f t="shared" si="21"/>
        <v>0</v>
      </c>
      <c r="J112" s="690">
        <f t="shared" si="22"/>
        <v>0</v>
      </c>
    </row>
    <row r="113" spans="1:10">
      <c r="A113" s="677">
        <f t="shared" si="18"/>
        <v>96</v>
      </c>
      <c r="B113" s="688" t="s">
        <v>102</v>
      </c>
      <c r="C113" s="690">
        <v>31</v>
      </c>
      <c r="D113" s="693">
        <f t="shared" si="19"/>
        <v>31</v>
      </c>
      <c r="E113" s="694">
        <f>$D$23-SUM($D$104:D113)+1</f>
        <v>62</v>
      </c>
      <c r="F113" s="695">
        <f t="shared" si="20"/>
        <v>0.16986301369863013</v>
      </c>
      <c r="G113" s="689"/>
      <c r="H113" s="691"/>
      <c r="I113" s="690">
        <f t="shared" si="21"/>
        <v>0</v>
      </c>
      <c r="J113" s="690">
        <f t="shared" si="22"/>
        <v>0</v>
      </c>
    </row>
    <row r="114" spans="1:10">
      <c r="A114" s="677">
        <f t="shared" si="18"/>
        <v>97</v>
      </c>
      <c r="B114" s="688" t="s">
        <v>95</v>
      </c>
      <c r="C114" s="690">
        <v>30</v>
      </c>
      <c r="D114" s="693">
        <f t="shared" si="19"/>
        <v>30</v>
      </c>
      <c r="E114" s="694">
        <f>$D$23-SUM($D$104:D114)+1</f>
        <v>32</v>
      </c>
      <c r="F114" s="695">
        <f t="shared" si="20"/>
        <v>8.7671232876712329E-2</v>
      </c>
      <c r="G114" s="689"/>
      <c r="H114" s="691"/>
      <c r="I114" s="690">
        <f t="shared" si="21"/>
        <v>0</v>
      </c>
      <c r="J114" s="690">
        <f t="shared" si="22"/>
        <v>0</v>
      </c>
    </row>
    <row r="115" spans="1:10">
      <c r="A115" s="677">
        <f t="shared" si="18"/>
        <v>98</v>
      </c>
      <c r="B115" s="688" t="s">
        <v>94</v>
      </c>
      <c r="C115" s="690">
        <v>31</v>
      </c>
      <c r="D115" s="693">
        <f t="shared" si="19"/>
        <v>31</v>
      </c>
      <c r="E115" s="694">
        <f>$D$23-SUM($D$104:D115)+1</f>
        <v>1</v>
      </c>
      <c r="F115" s="695">
        <f t="shared" si="20"/>
        <v>2.7397260273972603E-3</v>
      </c>
      <c r="G115" s="689"/>
      <c r="H115" s="691"/>
      <c r="I115" s="690">
        <f t="shared" si="21"/>
        <v>0</v>
      </c>
      <c r="J115" s="690">
        <f t="shared" si="22"/>
        <v>0</v>
      </c>
    </row>
    <row r="116" spans="1:10">
      <c r="A116" s="677">
        <f t="shared" si="18"/>
        <v>99</v>
      </c>
      <c r="B116" s="696"/>
      <c r="C116" s="696" t="s">
        <v>19</v>
      </c>
      <c r="D116" s="697">
        <f>SUM(D104:D115)</f>
        <v>365</v>
      </c>
      <c r="E116" s="696"/>
      <c r="F116" s="698"/>
      <c r="G116" s="689"/>
      <c r="H116" s="699">
        <f>SUM(H104:H115)</f>
        <v>0</v>
      </c>
      <c r="I116" s="699">
        <f>SUM(I104:I115)</f>
        <v>0</v>
      </c>
      <c r="J116" s="698"/>
    </row>
    <row r="117" spans="1:10">
      <c r="B117" s="701"/>
      <c r="C117" s="701"/>
      <c r="D117" s="701"/>
      <c r="E117" s="701"/>
      <c r="F117" s="700"/>
      <c r="G117" s="700"/>
      <c r="H117" s="702"/>
      <c r="I117" s="703"/>
      <c r="J117" s="700"/>
    </row>
    <row r="118" spans="1:10">
      <c r="A118" s="677">
        <f>+A116+1</f>
        <v>100</v>
      </c>
      <c r="B118" s="677" t="s">
        <v>699</v>
      </c>
      <c r="F118" s="704" t="s">
        <v>712</v>
      </c>
      <c r="G118" s="700"/>
      <c r="I118" s="700"/>
      <c r="J118" s="691">
        <v>0</v>
      </c>
    </row>
    <row r="119" spans="1:10">
      <c r="A119" s="677">
        <f>+A118+1</f>
        <v>101</v>
      </c>
      <c r="B119" s="677" t="s">
        <v>701</v>
      </c>
      <c r="F119" s="677" t="str">
        <f>"(Line "&amp;A118&amp;" less line "&amp;A120&amp;")"</f>
        <v>(Line 100 less line 102)</v>
      </c>
      <c r="G119" s="700"/>
      <c r="I119" s="700"/>
      <c r="J119" s="705">
        <f>+J118-J120</f>
        <v>0</v>
      </c>
    </row>
    <row r="120" spans="1:10">
      <c r="A120" s="677">
        <f t="shared" ref="A120:A126" si="23">+A119+1</f>
        <v>102</v>
      </c>
      <c r="B120" s="677" t="s">
        <v>702</v>
      </c>
      <c r="F120" s="677" t="str">
        <f>"(Line "&amp;A103&amp;", Col H)"</f>
        <v>(Line 86, Col H)</v>
      </c>
      <c r="G120" s="700"/>
      <c r="I120" s="700"/>
      <c r="J120" s="690">
        <f>+J103</f>
        <v>0</v>
      </c>
    </row>
    <row r="121" spans="1:10">
      <c r="A121" s="677">
        <f t="shared" si="23"/>
        <v>103</v>
      </c>
      <c r="B121" s="677" t="s">
        <v>703</v>
      </c>
      <c r="F121" s="704" t="s">
        <v>713</v>
      </c>
      <c r="G121" s="700"/>
      <c r="I121" s="700"/>
      <c r="J121" s="691">
        <v>0</v>
      </c>
    </row>
    <row r="122" spans="1:10">
      <c r="A122" s="677">
        <f t="shared" si="23"/>
        <v>104</v>
      </c>
      <c r="B122" s="677" t="str">
        <f>+B119</f>
        <v>Less non Prorated Items</v>
      </c>
      <c r="F122" s="677" t="str">
        <f>"(Line "&amp;A121&amp;" less line "&amp;A123&amp;")"</f>
        <v>(Line 103 less line 105)</v>
      </c>
      <c r="G122" s="700"/>
      <c r="I122" s="700"/>
      <c r="J122" s="705">
        <f>+J121-J123</f>
        <v>0</v>
      </c>
    </row>
    <row r="123" spans="1:10">
      <c r="A123" s="677">
        <f t="shared" si="23"/>
        <v>105</v>
      </c>
      <c r="B123" s="677" t="s">
        <v>705</v>
      </c>
      <c r="F123" s="677" t="str">
        <f>"(Line "&amp;A115&amp;", Col H)"</f>
        <v>(Line 98, Col H)</v>
      </c>
      <c r="G123" s="700"/>
      <c r="I123" s="700"/>
      <c r="J123" s="690">
        <f>+J115</f>
        <v>0</v>
      </c>
    </row>
    <row r="124" spans="1:10">
      <c r="A124" s="704">
        <f t="shared" si="23"/>
        <v>106</v>
      </c>
      <c r="B124" s="704" t="s">
        <v>706</v>
      </c>
      <c r="C124" s="704"/>
      <c r="D124" s="704"/>
      <c r="E124" s="704"/>
      <c r="F124" s="704" t="s">
        <v>845</v>
      </c>
      <c r="G124" s="730"/>
      <c r="H124" s="704"/>
      <c r="I124" s="731"/>
      <c r="J124" s="732">
        <f>J115+(J119+J122)/2</f>
        <v>0</v>
      </c>
    </row>
    <row r="125" spans="1:10">
      <c r="A125" s="677">
        <f t="shared" si="23"/>
        <v>107</v>
      </c>
      <c r="B125" s="677" t="s">
        <v>707</v>
      </c>
      <c r="F125" s="677" t="s">
        <v>804</v>
      </c>
      <c r="G125" s="700"/>
      <c r="I125" s="686"/>
      <c r="J125" s="691">
        <v>0</v>
      </c>
    </row>
    <row r="126" spans="1:10">
      <c r="A126" s="677">
        <f t="shared" si="23"/>
        <v>108</v>
      </c>
      <c r="B126" s="677" t="s">
        <v>798</v>
      </c>
      <c r="F126" s="677" t="str">
        <f>"(Line "&amp;A124&amp;" less line "&amp;A125&amp;")"</f>
        <v>(Line 106 less line 107)</v>
      </c>
      <c r="J126" s="706">
        <f>+J124-J125</f>
        <v>0</v>
      </c>
    </row>
    <row r="128" spans="1:10">
      <c r="A128" s="717"/>
      <c r="B128" s="717"/>
      <c r="C128" s="717"/>
      <c r="D128" s="717"/>
      <c r="E128" s="717"/>
      <c r="F128" s="717"/>
      <c r="G128" s="717"/>
      <c r="H128" s="717"/>
    </row>
    <row r="129" spans="1:8">
      <c r="A129" s="717"/>
      <c r="B129" s="717"/>
      <c r="C129" s="717"/>
      <c r="D129" s="717"/>
      <c r="E129" s="717"/>
      <c r="F129" s="717"/>
      <c r="G129" s="717"/>
      <c r="H129" s="717"/>
    </row>
  </sheetData>
  <mergeCells count="11">
    <mergeCell ref="B99:F99"/>
    <mergeCell ref="H99:J99"/>
    <mergeCell ref="B37:F37"/>
    <mergeCell ref="H37:J37"/>
    <mergeCell ref="B1:K1"/>
    <mergeCell ref="B2:K2"/>
    <mergeCell ref="B3:K3"/>
    <mergeCell ref="B6:F6"/>
    <mergeCell ref="H6:J6"/>
    <mergeCell ref="B68:F68"/>
    <mergeCell ref="H68:J68"/>
  </mergeCells>
  <pageMargins left="0.25" right="0.25" top="0.75" bottom="0.75" header="0.3" footer="0.3"/>
  <pageSetup scale="24"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O96"/>
  <sheetViews>
    <sheetView topLeftCell="A6" zoomScale="85" zoomScaleNormal="85" zoomScaleSheetLayoutView="80" workbookViewId="0">
      <selection activeCell="D23" sqref="D23"/>
    </sheetView>
  </sheetViews>
  <sheetFormatPr defaultColWidth="14" defaultRowHeight="13"/>
  <cols>
    <col min="1" max="1" width="5.765625" style="123" bestFit="1" customWidth="1"/>
    <col min="2" max="2" width="23.765625" style="15" customWidth="1"/>
    <col min="3" max="3" width="16.765625" style="15" customWidth="1"/>
    <col min="4" max="4" width="16.23046875" style="15" customWidth="1"/>
    <col min="5" max="5" width="12" style="15" customWidth="1"/>
    <col min="6" max="7" width="10.765625" style="15" customWidth="1"/>
    <col min="8" max="8" width="12.4609375" style="15" bestFit="1" customWidth="1"/>
    <col min="9" max="9" width="12.4609375" style="15" customWidth="1"/>
    <col min="10" max="10" width="13.765625" style="15" bestFit="1" customWidth="1"/>
    <col min="11" max="11" width="12.53515625" style="15" bestFit="1" customWidth="1"/>
    <col min="12" max="12" width="13.23046875" style="15" customWidth="1"/>
    <col min="13" max="13" width="12.765625" style="15" customWidth="1"/>
    <col min="14" max="14" width="14" style="15"/>
    <col min="15" max="15" width="10" style="15" bestFit="1" customWidth="1"/>
    <col min="16" max="16384" width="14" style="15"/>
  </cols>
  <sheetData>
    <row r="1" spans="1:15">
      <c r="G1" s="20" t="s">
        <v>234</v>
      </c>
      <c r="M1" s="305" t="s">
        <v>683</v>
      </c>
    </row>
    <row r="2" spans="1:15" ht="15" customHeight="1">
      <c r="G2" s="303" t="s">
        <v>620</v>
      </c>
    </row>
    <row r="3" spans="1:15">
      <c r="D3" s="40"/>
      <c r="E3" s="40"/>
      <c r="F3" s="40"/>
      <c r="G3" s="648" t="str">
        <f>'Attachment H'!$D$5</f>
        <v>NextEra Energy Transmission MidAtlantic, Inc.</v>
      </c>
      <c r="H3" s="40"/>
      <c r="J3" s="40"/>
      <c r="K3" s="40"/>
      <c r="L3" s="40"/>
      <c r="M3" s="40"/>
      <c r="N3" s="40"/>
    </row>
    <row r="4" spans="1:15">
      <c r="B4" s="29"/>
    </row>
    <row r="6" spans="1:15" s="136" customFormat="1" ht="69.75" customHeight="1">
      <c r="A6" s="396" t="s">
        <v>189</v>
      </c>
      <c r="B6" s="134" t="s">
        <v>201</v>
      </c>
      <c r="C6" s="134" t="s">
        <v>406</v>
      </c>
      <c r="D6" s="134" t="s">
        <v>345</v>
      </c>
      <c r="E6" s="134" t="s">
        <v>346</v>
      </c>
      <c r="F6" s="134" t="s">
        <v>407</v>
      </c>
      <c r="G6" s="134" t="s">
        <v>326</v>
      </c>
      <c r="H6" s="134" t="s">
        <v>209</v>
      </c>
      <c r="I6" s="134" t="s">
        <v>210</v>
      </c>
      <c r="J6" s="135" t="s">
        <v>330</v>
      </c>
      <c r="K6" s="135" t="s">
        <v>408</v>
      </c>
      <c r="L6" s="506" t="s">
        <v>495</v>
      </c>
      <c r="M6" s="134" t="s">
        <v>409</v>
      </c>
      <c r="O6" s="416"/>
    </row>
    <row r="7" spans="1:15" s="136" customFormat="1">
      <c r="A7" s="396"/>
      <c r="B7" s="134"/>
      <c r="C7" s="127" t="s">
        <v>241</v>
      </c>
      <c r="D7" s="355" t="s">
        <v>242</v>
      </c>
      <c r="E7" s="355" t="s">
        <v>243</v>
      </c>
      <c r="F7" s="356" t="s">
        <v>244</v>
      </c>
      <c r="G7" s="356" t="s">
        <v>246</v>
      </c>
      <c r="H7" s="356" t="s">
        <v>245</v>
      </c>
      <c r="I7" s="357" t="s">
        <v>247</v>
      </c>
      <c r="J7" s="357" t="s">
        <v>248</v>
      </c>
      <c r="K7" s="357" t="s">
        <v>249</v>
      </c>
      <c r="L7" s="303" t="s">
        <v>344</v>
      </c>
      <c r="M7" s="303" t="s">
        <v>348</v>
      </c>
      <c r="O7" s="416"/>
    </row>
    <row r="8" spans="1:15" ht="25.5" customHeight="1">
      <c r="A8" s="359"/>
      <c r="B8" s="503" t="s">
        <v>499</v>
      </c>
      <c r="C8" s="127">
        <v>1</v>
      </c>
      <c r="D8" s="127">
        <v>2</v>
      </c>
      <c r="E8" s="127">
        <v>3</v>
      </c>
      <c r="F8" s="127">
        <v>4</v>
      </c>
      <c r="G8" s="127">
        <v>5</v>
      </c>
      <c r="H8" s="128">
        <v>6</v>
      </c>
      <c r="I8" s="127">
        <v>7</v>
      </c>
      <c r="J8" s="128">
        <v>9</v>
      </c>
      <c r="K8" s="128">
        <v>11</v>
      </c>
      <c r="L8" s="128">
        <v>12</v>
      </c>
      <c r="M8" s="127">
        <v>16</v>
      </c>
      <c r="O8" s="417"/>
    </row>
    <row r="9" spans="1:15" s="17" customFormat="1" ht="24.75" customHeight="1">
      <c r="A9" s="359"/>
      <c r="B9" s="130" t="s">
        <v>621</v>
      </c>
      <c r="C9" s="303" t="s">
        <v>622</v>
      </c>
      <c r="D9" s="303" t="s">
        <v>623</v>
      </c>
      <c r="E9" s="303" t="s">
        <v>624</v>
      </c>
      <c r="F9" s="303" t="s">
        <v>625</v>
      </c>
      <c r="G9" s="538" t="s">
        <v>626</v>
      </c>
      <c r="H9" s="538" t="str">
        <f>+G9</f>
        <v>(Note E)</v>
      </c>
      <c r="I9" s="538" t="str">
        <f>+H9</f>
        <v>(Note E)</v>
      </c>
      <c r="J9" s="538" t="s">
        <v>627</v>
      </c>
      <c r="K9" s="538" t="s">
        <v>628</v>
      </c>
      <c r="L9" s="538" t="s">
        <v>629</v>
      </c>
      <c r="M9" s="303" t="s">
        <v>630</v>
      </c>
      <c r="O9" s="418"/>
    </row>
    <row r="10" spans="1:15" s="17" customFormat="1">
      <c r="A10" s="359"/>
      <c r="B10" s="130"/>
      <c r="O10" s="418"/>
    </row>
    <row r="11" spans="1:15">
      <c r="A11" s="359"/>
      <c r="B11" s="137"/>
      <c r="C11" s="127"/>
      <c r="D11" s="127"/>
      <c r="E11" s="127"/>
      <c r="F11" s="127"/>
      <c r="G11" s="127"/>
      <c r="H11" s="128"/>
      <c r="I11" s="127"/>
      <c r="J11" s="128"/>
      <c r="K11" s="128"/>
      <c r="L11" s="128"/>
      <c r="M11" s="127"/>
      <c r="O11" s="417"/>
    </row>
    <row r="12" spans="1:15">
      <c r="A12" s="359" t="s">
        <v>332</v>
      </c>
      <c r="B12" s="126" t="s">
        <v>101</v>
      </c>
      <c r="C12" s="513">
        <v>119471.26000000001</v>
      </c>
      <c r="D12" s="512">
        <v>0</v>
      </c>
      <c r="E12" s="512">
        <v>0</v>
      </c>
      <c r="F12" s="513">
        <v>551385.21000000008</v>
      </c>
      <c r="G12" s="512">
        <v>0</v>
      </c>
      <c r="H12" s="512">
        <v>0</v>
      </c>
      <c r="I12" s="512">
        <v>0</v>
      </c>
      <c r="J12" s="512">
        <v>0</v>
      </c>
      <c r="K12" s="512">
        <v>0</v>
      </c>
      <c r="L12" s="512">
        <v>0</v>
      </c>
      <c r="M12" s="513">
        <v>161212.31</v>
      </c>
      <c r="O12" s="419"/>
    </row>
    <row r="13" spans="1:15">
      <c r="A13" s="359" t="s">
        <v>199</v>
      </c>
      <c r="B13" s="126" t="s">
        <v>100</v>
      </c>
      <c r="C13" s="513">
        <v>245023.57</v>
      </c>
      <c r="D13" s="512">
        <v>0</v>
      </c>
      <c r="E13" s="512">
        <v>0</v>
      </c>
      <c r="F13" s="513">
        <v>334497.46000000002</v>
      </c>
      <c r="G13" s="512">
        <v>0</v>
      </c>
      <c r="H13" s="512">
        <v>0</v>
      </c>
      <c r="I13" s="512">
        <v>0</v>
      </c>
      <c r="J13" s="512">
        <v>0</v>
      </c>
      <c r="K13" s="512">
        <v>0</v>
      </c>
      <c r="L13" s="512">
        <v>0</v>
      </c>
      <c r="M13" s="513">
        <v>161275.01999999999</v>
      </c>
      <c r="O13" s="419"/>
    </row>
    <row r="14" spans="1:15">
      <c r="A14" s="359" t="s">
        <v>333</v>
      </c>
      <c r="B14" s="126" t="s">
        <v>99</v>
      </c>
      <c r="C14" s="513">
        <v>210451.09</v>
      </c>
      <c r="D14" s="512">
        <v>0</v>
      </c>
      <c r="E14" s="512">
        <v>0</v>
      </c>
      <c r="F14" s="513">
        <v>396228.75999999995</v>
      </c>
      <c r="G14" s="512">
        <v>0</v>
      </c>
      <c r="H14" s="512">
        <v>0</v>
      </c>
      <c r="I14" s="512">
        <v>0</v>
      </c>
      <c r="J14" s="512">
        <v>0</v>
      </c>
      <c r="K14" s="512">
        <v>0</v>
      </c>
      <c r="L14" s="512">
        <v>0</v>
      </c>
      <c r="M14" s="513">
        <v>160745.53</v>
      </c>
      <c r="O14" s="419"/>
    </row>
    <row r="15" spans="1:15">
      <c r="A15" s="359" t="s">
        <v>331</v>
      </c>
      <c r="B15" s="126" t="s">
        <v>91</v>
      </c>
      <c r="C15" s="513">
        <v>93422.940000000017</v>
      </c>
      <c r="D15" s="512">
        <v>0</v>
      </c>
      <c r="E15" s="512">
        <v>0</v>
      </c>
      <c r="F15" s="513">
        <v>486829.74</v>
      </c>
      <c r="G15" s="512">
        <v>0</v>
      </c>
      <c r="H15" s="512">
        <v>0</v>
      </c>
      <c r="I15" s="512">
        <v>0</v>
      </c>
      <c r="J15" s="512">
        <v>0</v>
      </c>
      <c r="K15" s="512">
        <v>0</v>
      </c>
      <c r="L15" s="512">
        <v>0</v>
      </c>
      <c r="M15" s="513">
        <v>160213.16999999998</v>
      </c>
      <c r="O15" s="419"/>
    </row>
    <row r="16" spans="1:15">
      <c r="A16" s="359" t="s">
        <v>166</v>
      </c>
      <c r="B16" s="126" t="s">
        <v>90</v>
      </c>
      <c r="C16" s="760">
        <v>553535.48250000004</v>
      </c>
      <c r="D16" s="512">
        <v>0</v>
      </c>
      <c r="E16" s="512">
        <v>0</v>
      </c>
      <c r="F16" s="760">
        <v>222270.26873149999</v>
      </c>
      <c r="G16" s="512">
        <v>0</v>
      </c>
      <c r="H16" s="512">
        <v>0</v>
      </c>
      <c r="I16" s="512">
        <v>0</v>
      </c>
      <c r="J16" s="512">
        <v>0</v>
      </c>
      <c r="K16" s="512">
        <v>0</v>
      </c>
      <c r="L16" s="512">
        <v>0</v>
      </c>
      <c r="M16" s="513">
        <v>160229.79999999999</v>
      </c>
      <c r="O16" s="419"/>
    </row>
    <row r="17" spans="1:15">
      <c r="A17" s="359" t="s">
        <v>167</v>
      </c>
      <c r="B17" s="126" t="s">
        <v>111</v>
      </c>
      <c r="C17" s="760">
        <v>503916.74250000005</v>
      </c>
      <c r="D17" s="512">
        <v>0</v>
      </c>
      <c r="E17" s="512">
        <v>0</v>
      </c>
      <c r="F17" s="760">
        <v>215408.02021339998</v>
      </c>
      <c r="G17" s="512">
        <v>0</v>
      </c>
      <c r="H17" s="512">
        <v>0</v>
      </c>
      <c r="I17" s="512">
        <v>0</v>
      </c>
      <c r="J17" s="512">
        <v>0</v>
      </c>
      <c r="K17" s="512">
        <v>0</v>
      </c>
      <c r="L17" s="512">
        <v>0</v>
      </c>
      <c r="M17" s="513">
        <v>160227.43</v>
      </c>
      <c r="O17" s="419"/>
    </row>
    <row r="18" spans="1:15">
      <c r="A18" s="359" t="s">
        <v>170</v>
      </c>
      <c r="B18" s="126" t="s">
        <v>98</v>
      </c>
      <c r="C18" s="760">
        <v>566916.74250000005</v>
      </c>
      <c r="D18" s="512">
        <v>0</v>
      </c>
      <c r="E18" s="512">
        <v>0</v>
      </c>
      <c r="F18" s="760">
        <v>232986.53754490003</v>
      </c>
      <c r="G18" s="512">
        <v>0</v>
      </c>
      <c r="H18" s="512">
        <v>0</v>
      </c>
      <c r="I18" s="512">
        <v>0</v>
      </c>
      <c r="J18" s="512">
        <v>0</v>
      </c>
      <c r="K18" s="512">
        <v>0</v>
      </c>
      <c r="L18" s="512">
        <v>0</v>
      </c>
      <c r="M18" s="513">
        <v>160202.54</v>
      </c>
      <c r="O18" s="419"/>
    </row>
    <row r="19" spans="1:15">
      <c r="A19" s="359" t="s">
        <v>172</v>
      </c>
      <c r="B19" s="126" t="s">
        <v>97</v>
      </c>
      <c r="C19" s="760">
        <v>720916.74250000005</v>
      </c>
      <c r="D19" s="512">
        <v>0</v>
      </c>
      <c r="E19" s="512">
        <v>0</v>
      </c>
      <c r="F19" s="760">
        <v>218981.4051343</v>
      </c>
      <c r="G19" s="512">
        <v>0</v>
      </c>
      <c r="H19" s="512">
        <v>0</v>
      </c>
      <c r="I19" s="512">
        <v>0</v>
      </c>
      <c r="J19" s="512">
        <v>0</v>
      </c>
      <c r="K19" s="512">
        <v>0</v>
      </c>
      <c r="L19" s="512">
        <v>0</v>
      </c>
      <c r="M19" s="513">
        <v>160177.64000000001</v>
      </c>
      <c r="O19" s="419"/>
    </row>
    <row r="20" spans="1:15">
      <c r="A20" s="359" t="s">
        <v>175</v>
      </c>
      <c r="B20" s="126" t="s">
        <v>96</v>
      </c>
      <c r="C20" s="760">
        <v>523916.74250000005</v>
      </c>
      <c r="D20" s="512">
        <v>0</v>
      </c>
      <c r="E20" s="512">
        <v>0</v>
      </c>
      <c r="F20" s="760">
        <v>225833.27581040002</v>
      </c>
      <c r="G20" s="512">
        <v>0</v>
      </c>
      <c r="H20" s="512">
        <v>0</v>
      </c>
      <c r="I20" s="512">
        <v>0</v>
      </c>
      <c r="J20" s="512">
        <v>0</v>
      </c>
      <c r="K20" s="512">
        <v>0</v>
      </c>
      <c r="L20" s="512">
        <v>0</v>
      </c>
      <c r="M20" s="513">
        <v>160152.75</v>
      </c>
      <c r="O20" s="419"/>
    </row>
    <row r="21" spans="1:15">
      <c r="A21" s="359" t="s">
        <v>178</v>
      </c>
      <c r="B21" s="126" t="s">
        <v>102</v>
      </c>
      <c r="C21" s="760">
        <v>1214916.7424999999</v>
      </c>
      <c r="D21" s="512">
        <v>0</v>
      </c>
      <c r="E21" s="512">
        <v>0</v>
      </c>
      <c r="F21" s="760">
        <v>232875.785164</v>
      </c>
      <c r="G21" s="512">
        <v>0</v>
      </c>
      <c r="H21" s="512">
        <v>0</v>
      </c>
      <c r="I21" s="512">
        <v>0</v>
      </c>
      <c r="J21" s="512">
        <v>0</v>
      </c>
      <c r="K21" s="512">
        <v>0</v>
      </c>
      <c r="L21" s="512">
        <v>0</v>
      </c>
      <c r="M21" s="513">
        <v>160127.87</v>
      </c>
      <c r="O21" s="419"/>
    </row>
    <row r="22" spans="1:15">
      <c r="A22" s="359" t="s">
        <v>179</v>
      </c>
      <c r="B22" s="126" t="s">
        <v>95</v>
      </c>
      <c r="C22" s="760">
        <v>190916.74249999999</v>
      </c>
      <c r="D22" s="512">
        <v>0</v>
      </c>
      <c r="E22" s="512">
        <v>0</v>
      </c>
      <c r="F22" s="760">
        <v>215597.9381078</v>
      </c>
      <c r="G22" s="512">
        <v>0</v>
      </c>
      <c r="H22" s="512">
        <v>0</v>
      </c>
      <c r="I22" s="512">
        <v>0</v>
      </c>
      <c r="J22" s="512">
        <v>0</v>
      </c>
      <c r="K22" s="512">
        <v>0</v>
      </c>
      <c r="L22" s="512">
        <v>0</v>
      </c>
      <c r="M22" s="513">
        <v>160102.98000000001</v>
      </c>
      <c r="O22" s="419"/>
    </row>
    <row r="23" spans="1:15">
      <c r="A23" s="359" t="s">
        <v>181</v>
      </c>
      <c r="B23" s="126" t="s">
        <v>94</v>
      </c>
      <c r="C23" s="760">
        <v>133607.74249999999</v>
      </c>
      <c r="D23" s="512">
        <v>0</v>
      </c>
      <c r="E23" s="512">
        <v>0</v>
      </c>
      <c r="F23" s="760">
        <v>274490.06294580002</v>
      </c>
      <c r="G23" s="512">
        <v>0</v>
      </c>
      <c r="H23" s="512">
        <v>0</v>
      </c>
      <c r="I23" s="512">
        <v>0</v>
      </c>
      <c r="J23" s="512">
        <v>0</v>
      </c>
      <c r="K23" s="512">
        <v>0</v>
      </c>
      <c r="L23" s="512">
        <v>0</v>
      </c>
      <c r="M23" s="513">
        <v>162841.51999999999</v>
      </c>
      <c r="O23" s="419"/>
    </row>
    <row r="24" spans="1:15">
      <c r="A24" s="359" t="s">
        <v>183</v>
      </c>
      <c r="B24" s="129" t="s">
        <v>19</v>
      </c>
      <c r="C24" s="133">
        <f t="shared" ref="C24:L24" si="0">SUM(C12:C23)</f>
        <v>5077012.54</v>
      </c>
      <c r="D24" s="133">
        <f t="shared" si="0"/>
        <v>0</v>
      </c>
      <c r="E24" s="133">
        <f t="shared" si="0"/>
        <v>0</v>
      </c>
      <c r="F24" s="133">
        <f t="shared" si="0"/>
        <v>3607384.4636521004</v>
      </c>
      <c r="G24" s="133">
        <f t="shared" si="0"/>
        <v>0</v>
      </c>
      <c r="H24" s="133">
        <f t="shared" si="0"/>
        <v>0</v>
      </c>
      <c r="I24" s="133">
        <f t="shared" si="0"/>
        <v>0</v>
      </c>
      <c r="J24" s="133">
        <f t="shared" si="0"/>
        <v>0</v>
      </c>
      <c r="K24" s="133">
        <f t="shared" si="0"/>
        <v>0</v>
      </c>
      <c r="L24" s="133">
        <f t="shared" si="0"/>
        <v>0</v>
      </c>
      <c r="M24" s="133">
        <f>SUM(M12:M23)</f>
        <v>1927508.56</v>
      </c>
      <c r="O24" s="420"/>
    </row>
    <row r="25" spans="1:15">
      <c r="A25" s="359"/>
      <c r="B25" s="126"/>
      <c r="C25" s="673"/>
      <c r="D25" s="126"/>
      <c r="E25" s="126"/>
      <c r="F25" s="673"/>
      <c r="G25" s="126"/>
      <c r="H25" s="126"/>
      <c r="I25" s="126"/>
      <c r="J25" s="126"/>
      <c r="N25" s="126"/>
      <c r="O25" s="421"/>
    </row>
    <row r="26" spans="1:15">
      <c r="A26" s="359"/>
      <c r="B26" s="126"/>
      <c r="C26" s="126"/>
      <c r="D26" s="126"/>
      <c r="E26" s="126"/>
      <c r="F26" s="126"/>
      <c r="G26" s="126"/>
      <c r="H26" s="126"/>
      <c r="I26" s="126"/>
      <c r="J26" s="126"/>
      <c r="N26" s="126"/>
      <c r="O26" s="421"/>
    </row>
    <row r="27" spans="1:15" ht="39">
      <c r="A27" s="359"/>
      <c r="C27" s="134" t="s">
        <v>410</v>
      </c>
      <c r="D27" s="136" t="s">
        <v>347</v>
      </c>
      <c r="E27" s="134" t="s">
        <v>411</v>
      </c>
      <c r="F27" s="136" t="s">
        <v>327</v>
      </c>
      <c r="G27" s="136" t="s">
        <v>412</v>
      </c>
      <c r="H27" s="134" t="s">
        <v>328</v>
      </c>
      <c r="I27" s="134" t="s">
        <v>413</v>
      </c>
      <c r="J27" s="134" t="s">
        <v>329</v>
      </c>
      <c r="K27" s="134" t="s">
        <v>213</v>
      </c>
      <c r="L27" s="134" t="s">
        <v>212</v>
      </c>
      <c r="M27" s="134" t="s">
        <v>417</v>
      </c>
      <c r="N27" s="126"/>
      <c r="O27" s="422"/>
    </row>
    <row r="28" spans="1:15" s="509" customFormat="1">
      <c r="A28" s="359"/>
      <c r="C28" s="127" t="s">
        <v>241</v>
      </c>
      <c r="D28" s="355" t="s">
        <v>242</v>
      </c>
      <c r="E28" s="355" t="s">
        <v>243</v>
      </c>
      <c r="F28" s="356" t="s">
        <v>244</v>
      </c>
      <c r="G28" s="356" t="s">
        <v>246</v>
      </c>
      <c r="H28" s="356" t="s">
        <v>245</v>
      </c>
      <c r="I28" s="356" t="s">
        <v>247</v>
      </c>
      <c r="J28" s="357" t="s">
        <v>248</v>
      </c>
      <c r="K28" s="357" t="s">
        <v>249</v>
      </c>
      <c r="L28" s="303" t="s">
        <v>344</v>
      </c>
      <c r="M28" s="303" t="s">
        <v>348</v>
      </c>
      <c r="N28" s="126"/>
      <c r="O28" s="422"/>
    </row>
    <row r="29" spans="1:15">
      <c r="A29" s="359"/>
      <c r="B29" s="139" t="s">
        <v>446</v>
      </c>
      <c r="C29" s="127">
        <v>17</v>
      </c>
      <c r="D29" s="359">
        <v>19</v>
      </c>
      <c r="E29" s="128">
        <v>23</v>
      </c>
      <c r="F29" s="128">
        <v>24</v>
      </c>
      <c r="G29" s="128">
        <v>26</v>
      </c>
      <c r="H29" s="128">
        <v>27</v>
      </c>
      <c r="I29" s="128">
        <v>28</v>
      </c>
      <c r="J29" s="128">
        <v>29</v>
      </c>
      <c r="K29" s="360">
        <v>37</v>
      </c>
      <c r="L29" s="128">
        <v>38</v>
      </c>
      <c r="M29" s="128">
        <v>39</v>
      </c>
      <c r="N29" s="126"/>
      <c r="O29" s="422"/>
    </row>
    <row r="30" spans="1:15" s="509" customFormat="1" ht="26">
      <c r="A30" s="359"/>
      <c r="B30" s="130" t="s">
        <v>621</v>
      </c>
      <c r="C30" s="538" t="s">
        <v>634</v>
      </c>
      <c r="D30" s="303" t="s">
        <v>631</v>
      </c>
      <c r="E30" s="303" t="s">
        <v>677</v>
      </c>
      <c r="F30" s="303" t="str">
        <f>+E30</f>
        <v>263.i</v>
      </c>
      <c r="G30" s="303" t="str">
        <f>+F30</f>
        <v>263.i</v>
      </c>
      <c r="H30" s="303" t="str">
        <f>+G30</f>
        <v>263.i</v>
      </c>
      <c r="I30" s="303" t="str">
        <f>+H30</f>
        <v>263.i</v>
      </c>
      <c r="J30" s="303" t="str">
        <f>+I30</f>
        <v>263.i</v>
      </c>
      <c r="K30" s="303" t="s">
        <v>632</v>
      </c>
      <c r="L30" s="303" t="s">
        <v>320</v>
      </c>
      <c r="M30" s="303" t="s">
        <v>633</v>
      </c>
      <c r="N30" s="126"/>
      <c r="O30" s="422"/>
    </row>
    <row r="31" spans="1:15" s="17" customFormat="1">
      <c r="A31" s="359"/>
      <c r="B31" s="130"/>
      <c r="N31" s="303"/>
    </row>
    <row r="32" spans="1:15">
      <c r="A32" s="359"/>
      <c r="C32" s="127"/>
      <c r="E32" s="127"/>
      <c r="F32" s="127"/>
      <c r="G32" s="127"/>
      <c r="H32" s="127"/>
      <c r="I32" s="127"/>
      <c r="J32" s="127"/>
      <c r="K32" s="127"/>
      <c r="L32" s="127"/>
      <c r="M32" s="127"/>
      <c r="N32" s="126"/>
    </row>
    <row r="33" spans="1:15">
      <c r="A33" s="359" t="s">
        <v>186</v>
      </c>
      <c r="B33" s="126" t="s">
        <v>101</v>
      </c>
      <c r="C33" s="358">
        <v>0</v>
      </c>
      <c r="D33" s="358">
        <v>0</v>
      </c>
      <c r="E33" s="358">
        <v>0</v>
      </c>
      <c r="F33" s="358">
        <v>0</v>
      </c>
      <c r="G33" s="512">
        <v>164108.57999999999</v>
      </c>
      <c r="H33" s="358">
        <v>0</v>
      </c>
      <c r="I33" s="358">
        <v>0</v>
      </c>
      <c r="J33" s="358">
        <v>0</v>
      </c>
      <c r="K33" s="358">
        <v>0</v>
      </c>
      <c r="L33" s="512"/>
      <c r="M33" s="738">
        <v>1145.8069699999999</v>
      </c>
      <c r="N33" s="126"/>
    </row>
    <row r="34" spans="1:15">
      <c r="A34" s="359" t="s">
        <v>214</v>
      </c>
      <c r="B34" s="126" t="s">
        <v>100</v>
      </c>
      <c r="C34" s="358">
        <v>0</v>
      </c>
      <c r="D34" s="358">
        <v>0</v>
      </c>
      <c r="E34" s="358">
        <v>0</v>
      </c>
      <c r="F34" s="358">
        <v>0</v>
      </c>
      <c r="G34" s="512">
        <v>164108.57999999999</v>
      </c>
      <c r="H34" s="358">
        <v>0</v>
      </c>
      <c r="I34" s="358">
        <v>0</v>
      </c>
      <c r="J34" s="358">
        <v>0</v>
      </c>
      <c r="K34" s="358">
        <v>0</v>
      </c>
      <c r="L34" s="512"/>
      <c r="M34" s="738">
        <v>1145.8069699999999</v>
      </c>
      <c r="N34" s="126"/>
    </row>
    <row r="35" spans="1:15">
      <c r="A35" s="359" t="s">
        <v>215</v>
      </c>
      <c r="B35" s="126" t="s">
        <v>99</v>
      </c>
      <c r="C35" s="358">
        <v>0</v>
      </c>
      <c r="D35" s="358">
        <v>0</v>
      </c>
      <c r="E35" s="358">
        <v>0</v>
      </c>
      <c r="F35" s="358">
        <v>0</v>
      </c>
      <c r="G35" s="512">
        <v>164108.57999999999</v>
      </c>
      <c r="H35" s="358">
        <v>0</v>
      </c>
      <c r="I35" s="358">
        <v>0</v>
      </c>
      <c r="J35" s="358">
        <v>0</v>
      </c>
      <c r="K35" s="358">
        <v>0</v>
      </c>
      <c r="L35" s="512"/>
      <c r="M35" s="738">
        <v>1145.8069699999999</v>
      </c>
      <c r="N35" s="126"/>
    </row>
    <row r="36" spans="1:15">
      <c r="A36" s="359" t="s">
        <v>334</v>
      </c>
      <c r="B36" s="126" t="s">
        <v>91</v>
      </c>
      <c r="C36" s="358">
        <v>0</v>
      </c>
      <c r="D36" s="358">
        <v>0</v>
      </c>
      <c r="E36" s="358">
        <v>0</v>
      </c>
      <c r="F36" s="358">
        <v>0</v>
      </c>
      <c r="G36" s="512">
        <v>164108.57999999999</v>
      </c>
      <c r="H36" s="358">
        <v>0</v>
      </c>
      <c r="I36" s="358">
        <v>0</v>
      </c>
      <c r="J36" s="358">
        <v>0</v>
      </c>
      <c r="K36" s="358">
        <v>0</v>
      </c>
      <c r="L36" s="512"/>
      <c r="M36" s="738">
        <v>1145.8069699999999</v>
      </c>
      <c r="N36" s="126"/>
    </row>
    <row r="37" spans="1:15">
      <c r="A37" s="359" t="s">
        <v>335</v>
      </c>
      <c r="B37" s="126" t="s">
        <v>90</v>
      </c>
      <c r="C37" s="358">
        <v>0</v>
      </c>
      <c r="D37" s="358">
        <v>0</v>
      </c>
      <c r="E37" s="358">
        <v>0</v>
      </c>
      <c r="F37" s="358">
        <v>0</v>
      </c>
      <c r="G37" s="512">
        <v>32358.58</v>
      </c>
      <c r="H37" s="358">
        <v>0</v>
      </c>
      <c r="I37" s="358">
        <v>0</v>
      </c>
      <c r="J37" s="358">
        <v>0</v>
      </c>
      <c r="K37" s="358">
        <v>0</v>
      </c>
      <c r="L37" s="512"/>
      <c r="M37" s="738">
        <v>1145.8069699999999</v>
      </c>
      <c r="N37" s="126"/>
    </row>
    <row r="38" spans="1:15">
      <c r="A38" s="359" t="s">
        <v>336</v>
      </c>
      <c r="B38" s="126" t="s">
        <v>111</v>
      </c>
      <c r="C38" s="358">
        <v>0</v>
      </c>
      <c r="D38" s="358">
        <v>0</v>
      </c>
      <c r="E38" s="358">
        <v>0</v>
      </c>
      <c r="F38" s="358">
        <v>0</v>
      </c>
      <c r="G38" s="512">
        <v>156358.57999999999</v>
      </c>
      <c r="H38" s="358">
        <v>0</v>
      </c>
      <c r="I38" s="358">
        <v>0</v>
      </c>
      <c r="J38" s="358">
        <v>0</v>
      </c>
      <c r="K38" s="358">
        <v>0</v>
      </c>
      <c r="L38" s="512"/>
      <c r="M38" s="738">
        <v>1145.8069699999999</v>
      </c>
      <c r="N38" s="126"/>
    </row>
    <row r="39" spans="1:15">
      <c r="A39" s="359" t="s">
        <v>337</v>
      </c>
      <c r="B39" s="126" t="s">
        <v>98</v>
      </c>
      <c r="C39" s="358">
        <v>0</v>
      </c>
      <c r="D39" s="358">
        <v>0</v>
      </c>
      <c r="E39" s="358">
        <v>0</v>
      </c>
      <c r="F39" s="512">
        <v>0</v>
      </c>
      <c r="G39" s="512">
        <v>156358.57999999999</v>
      </c>
      <c r="H39" s="358">
        <v>0</v>
      </c>
      <c r="I39" s="358">
        <v>0</v>
      </c>
      <c r="J39" s="358">
        <v>0</v>
      </c>
      <c r="K39" s="358">
        <v>0</v>
      </c>
      <c r="L39" s="512"/>
      <c r="M39" s="738">
        <v>1145.8069699999999</v>
      </c>
      <c r="N39" s="126"/>
    </row>
    <row r="40" spans="1:15">
      <c r="A40" s="359" t="s">
        <v>338</v>
      </c>
      <c r="B40" s="126" t="s">
        <v>97</v>
      </c>
      <c r="C40" s="358">
        <v>0</v>
      </c>
      <c r="D40" s="358">
        <v>0</v>
      </c>
      <c r="E40" s="358">
        <v>0</v>
      </c>
      <c r="F40" s="512">
        <v>0</v>
      </c>
      <c r="G40" s="512">
        <v>156358.57999999999</v>
      </c>
      <c r="H40" s="358">
        <v>0</v>
      </c>
      <c r="I40" s="358">
        <v>0</v>
      </c>
      <c r="J40" s="358">
        <v>0</v>
      </c>
      <c r="K40" s="358">
        <v>0</v>
      </c>
      <c r="L40" s="512"/>
      <c r="M40" s="738">
        <v>1145.8069699999999</v>
      </c>
      <c r="N40" s="126"/>
    </row>
    <row r="41" spans="1:15">
      <c r="A41" s="359" t="s">
        <v>339</v>
      </c>
      <c r="B41" s="126" t="s">
        <v>96</v>
      </c>
      <c r="C41" s="358">
        <v>0</v>
      </c>
      <c r="D41" s="358">
        <v>0</v>
      </c>
      <c r="E41" s="358">
        <v>0</v>
      </c>
      <c r="F41" s="512">
        <v>0</v>
      </c>
      <c r="G41" s="512">
        <v>156358.57999999999</v>
      </c>
      <c r="H41" s="358">
        <v>0</v>
      </c>
      <c r="I41" s="358">
        <v>0</v>
      </c>
      <c r="J41" s="358">
        <v>0</v>
      </c>
      <c r="K41" s="358">
        <v>0</v>
      </c>
      <c r="L41" s="512"/>
      <c r="M41" s="738">
        <v>1145.8069699999999</v>
      </c>
      <c r="N41" s="126"/>
    </row>
    <row r="42" spans="1:15">
      <c r="A42" s="359" t="s">
        <v>340</v>
      </c>
      <c r="B42" s="126" t="s">
        <v>102</v>
      </c>
      <c r="C42" s="358">
        <v>0</v>
      </c>
      <c r="D42" s="358">
        <v>0</v>
      </c>
      <c r="E42" s="358">
        <v>0</v>
      </c>
      <c r="F42" s="512">
        <v>0</v>
      </c>
      <c r="G42" s="512">
        <v>156358.57999999999</v>
      </c>
      <c r="H42" s="358">
        <v>0</v>
      </c>
      <c r="I42" s="358">
        <v>0</v>
      </c>
      <c r="J42" s="358">
        <v>0</v>
      </c>
      <c r="K42" s="358">
        <v>0</v>
      </c>
      <c r="L42" s="512"/>
      <c r="M42" s="738">
        <v>1145.8069699999999</v>
      </c>
      <c r="N42" s="126"/>
    </row>
    <row r="43" spans="1:15">
      <c r="A43" s="359" t="s">
        <v>341</v>
      </c>
      <c r="B43" s="126" t="s">
        <v>95</v>
      </c>
      <c r="C43" s="358">
        <v>0</v>
      </c>
      <c r="D43" s="358">
        <v>0</v>
      </c>
      <c r="E43" s="358">
        <v>0</v>
      </c>
      <c r="F43" s="512">
        <v>0</v>
      </c>
      <c r="G43" s="512">
        <v>156358.57999999999</v>
      </c>
      <c r="H43" s="358">
        <v>0</v>
      </c>
      <c r="I43" s="358">
        <v>0</v>
      </c>
      <c r="J43" s="358">
        <v>0</v>
      </c>
      <c r="K43" s="358">
        <v>0</v>
      </c>
      <c r="L43" s="512"/>
      <c r="M43" s="738">
        <v>1145.8069699999999</v>
      </c>
      <c r="N43" s="126"/>
    </row>
    <row r="44" spans="1:15">
      <c r="A44" s="359" t="s">
        <v>342</v>
      </c>
      <c r="B44" s="126" t="s">
        <v>94</v>
      </c>
      <c r="C44" s="358">
        <v>0</v>
      </c>
      <c r="D44" s="358">
        <v>0</v>
      </c>
      <c r="E44" s="358">
        <v>0</v>
      </c>
      <c r="F44" s="512">
        <v>0</v>
      </c>
      <c r="G44" s="512">
        <v>156358.57999999999</v>
      </c>
      <c r="H44" s="358">
        <v>0</v>
      </c>
      <c r="I44" s="358">
        <v>0</v>
      </c>
      <c r="J44" s="358">
        <v>0</v>
      </c>
      <c r="K44" s="358">
        <v>0</v>
      </c>
      <c r="L44" s="512"/>
      <c r="M44" s="738">
        <v>1145.8069699999999</v>
      </c>
      <c r="N44" s="126"/>
    </row>
    <row r="45" spans="1:15">
      <c r="A45" s="359" t="s">
        <v>343</v>
      </c>
      <c r="B45" s="129" t="s">
        <v>19</v>
      </c>
      <c r="C45" s="133">
        <f t="shared" ref="C45:L45" si="1">SUM(C33:C44)</f>
        <v>0</v>
      </c>
      <c r="D45" s="133">
        <f t="shared" si="1"/>
        <v>0</v>
      </c>
      <c r="E45" s="133">
        <f t="shared" si="1"/>
        <v>0</v>
      </c>
      <c r="F45" s="133">
        <f t="shared" si="1"/>
        <v>0</v>
      </c>
      <c r="G45" s="133">
        <f t="shared" si="1"/>
        <v>1783302.9600000002</v>
      </c>
      <c r="H45" s="133">
        <f t="shared" si="1"/>
        <v>0</v>
      </c>
      <c r="I45" s="133">
        <f t="shared" si="1"/>
        <v>0</v>
      </c>
      <c r="J45" s="133">
        <f t="shared" si="1"/>
        <v>0</v>
      </c>
      <c r="K45" s="133">
        <f t="shared" si="1"/>
        <v>0</v>
      </c>
      <c r="L45" s="133">
        <f t="shared" si="1"/>
        <v>0</v>
      </c>
      <c r="M45" s="133">
        <f>SUM(M33:M44)</f>
        <v>13749.683639999997</v>
      </c>
      <c r="N45" s="126"/>
    </row>
    <row r="46" spans="1:15">
      <c r="B46" s="126"/>
      <c r="C46" s="126"/>
      <c r="D46" s="126"/>
      <c r="E46" s="126"/>
      <c r="F46" s="126"/>
      <c r="G46" s="127" t="s">
        <v>234</v>
      </c>
      <c r="H46" s="126"/>
      <c r="I46" s="126"/>
      <c r="J46" s="126"/>
      <c r="M46" s="305" t="s">
        <v>188</v>
      </c>
      <c r="N46" s="126"/>
      <c r="O46" s="138"/>
    </row>
    <row r="47" spans="1:15" s="558" customFormat="1">
      <c r="A47" s="123"/>
      <c r="B47" s="126"/>
      <c r="C47" s="126"/>
      <c r="D47" s="126"/>
      <c r="E47" s="126"/>
      <c r="F47" s="126"/>
      <c r="G47" s="127" t="s">
        <v>620</v>
      </c>
      <c r="H47" s="126"/>
      <c r="I47" s="126"/>
      <c r="J47" s="126"/>
      <c r="N47" s="126"/>
      <c r="O47" s="138"/>
    </row>
    <row r="48" spans="1:15" s="558" customFormat="1">
      <c r="A48" s="123"/>
      <c r="B48" s="126"/>
      <c r="C48" s="126"/>
      <c r="D48" s="126"/>
      <c r="E48" s="126"/>
      <c r="F48" s="126"/>
      <c r="G48" s="648" t="str">
        <f>'Attachment H'!$D$5</f>
        <v>NextEra Energy Transmission MidAtlantic, Inc.</v>
      </c>
      <c r="H48" s="126"/>
      <c r="I48" s="126"/>
      <c r="J48" s="126"/>
      <c r="N48" s="126"/>
      <c r="O48" s="138"/>
    </row>
    <row r="49" spans="1:15" s="558" customFormat="1">
      <c r="A49" s="123"/>
      <c r="B49" s="126"/>
      <c r="C49" s="126"/>
      <c r="D49" s="126"/>
      <c r="E49" s="126"/>
      <c r="F49" s="126"/>
      <c r="G49" s="126"/>
      <c r="H49" s="126"/>
      <c r="I49" s="126"/>
      <c r="J49" s="126"/>
      <c r="N49" s="126"/>
      <c r="O49" s="138"/>
    </row>
    <row r="50" spans="1:15">
      <c r="B50" s="126"/>
      <c r="C50" s="126"/>
      <c r="D50" s="126"/>
      <c r="E50" s="126"/>
      <c r="F50" s="126"/>
      <c r="G50" s="126"/>
      <c r="H50" s="126"/>
      <c r="I50" s="126"/>
      <c r="J50" s="126"/>
      <c r="L50" s="509"/>
      <c r="N50" s="126"/>
      <c r="O50" s="138"/>
    </row>
    <row r="51" spans="1:15" ht="129" customHeight="1">
      <c r="B51" s="539"/>
      <c r="C51" s="540" t="s">
        <v>0</v>
      </c>
      <c r="D51" s="541" t="s">
        <v>264</v>
      </c>
      <c r="E51" s="541" t="s">
        <v>422</v>
      </c>
      <c r="F51" s="542" t="s">
        <v>423</v>
      </c>
      <c r="G51" s="543" t="s">
        <v>223</v>
      </c>
      <c r="H51" s="126"/>
      <c r="I51" s="126"/>
      <c r="J51" s="126"/>
      <c r="K51" s="509"/>
      <c r="M51" s="509"/>
      <c r="N51" s="126"/>
      <c r="O51" s="126"/>
    </row>
    <row r="52" spans="1:15">
      <c r="B52" s="509"/>
      <c r="C52" s="128" t="s">
        <v>241</v>
      </c>
      <c r="D52" s="377" t="s">
        <v>242</v>
      </c>
      <c r="E52" s="377" t="s">
        <v>243</v>
      </c>
      <c r="F52" s="378" t="s">
        <v>244</v>
      </c>
      <c r="G52" s="378" t="s">
        <v>246</v>
      </c>
      <c r="H52" s="126"/>
      <c r="I52" s="126"/>
      <c r="J52" s="126"/>
      <c r="K52" s="509"/>
      <c r="L52" s="509"/>
      <c r="M52" s="509"/>
      <c r="N52" s="126"/>
      <c r="O52" s="126"/>
    </row>
    <row r="53" spans="1:15" ht="26">
      <c r="B53" s="503" t="s">
        <v>500</v>
      </c>
      <c r="C53" s="128">
        <v>27</v>
      </c>
      <c r="D53" s="376" t="s">
        <v>424</v>
      </c>
      <c r="E53" s="128">
        <v>31</v>
      </c>
      <c r="F53" s="128">
        <v>32</v>
      </c>
      <c r="G53" s="360" t="s">
        <v>479</v>
      </c>
      <c r="H53" s="127"/>
      <c r="I53" s="127"/>
      <c r="J53" s="126"/>
      <c r="K53" s="509"/>
      <c r="L53" s="509"/>
      <c r="M53" s="509"/>
    </row>
    <row r="54" spans="1:15" ht="26">
      <c r="B54" s="130"/>
      <c r="C54" s="538" t="s">
        <v>635</v>
      </c>
      <c r="D54" s="303" t="s">
        <v>636</v>
      </c>
      <c r="E54" s="12" t="s">
        <v>637</v>
      </c>
      <c r="F54" s="509" t="str">
        <f>+E54</f>
        <v>Portion of Account 456.1</v>
      </c>
      <c r="G54" s="509"/>
      <c r="H54" s="127"/>
      <c r="I54" s="509"/>
      <c r="J54" s="509"/>
      <c r="K54" s="509"/>
      <c r="L54" s="127"/>
      <c r="M54" s="127"/>
    </row>
    <row r="55" spans="1:15">
      <c r="B55" s="509"/>
      <c r="C55" s="127"/>
      <c r="D55" s="509"/>
      <c r="E55" s="127"/>
      <c r="F55" s="127"/>
      <c r="G55" s="127"/>
      <c r="H55" s="127"/>
      <c r="I55" s="36"/>
      <c r="J55" s="509"/>
      <c r="K55" s="509"/>
      <c r="L55" s="127"/>
      <c r="M55" s="127"/>
    </row>
    <row r="56" spans="1:15">
      <c r="A56" s="375">
        <f>+A45+1</f>
        <v>27</v>
      </c>
      <c r="B56" s="126" t="s">
        <v>101</v>
      </c>
      <c r="C56" s="358">
        <v>0</v>
      </c>
      <c r="D56" s="358">
        <v>0</v>
      </c>
      <c r="E56" s="358">
        <v>0</v>
      </c>
      <c r="F56" s="358">
        <v>0</v>
      </c>
      <c r="G56" s="358">
        <v>0</v>
      </c>
      <c r="H56" s="126"/>
      <c r="I56" s="36"/>
      <c r="J56" s="509"/>
      <c r="K56" s="509"/>
      <c r="L56" s="126"/>
      <c r="M56" s="126"/>
    </row>
    <row r="57" spans="1:15">
      <c r="A57" s="375">
        <f t="shared" ref="A57:A88" si="2">+A56+1</f>
        <v>28</v>
      </c>
      <c r="B57" s="126" t="s">
        <v>100</v>
      </c>
      <c r="C57" s="358">
        <v>0</v>
      </c>
      <c r="D57" s="358">
        <v>0</v>
      </c>
      <c r="E57" s="358">
        <v>0</v>
      </c>
      <c r="F57" s="358">
        <v>0</v>
      </c>
      <c r="G57" s="358">
        <v>0</v>
      </c>
      <c r="H57" s="126"/>
      <c r="I57" s="509"/>
      <c r="J57" s="509"/>
      <c r="K57" s="509"/>
      <c r="L57" s="126"/>
      <c r="M57" s="126"/>
    </row>
    <row r="58" spans="1:15">
      <c r="A58" s="375">
        <f t="shared" si="2"/>
        <v>29</v>
      </c>
      <c r="B58" s="126" t="s">
        <v>99</v>
      </c>
      <c r="C58" s="358">
        <v>0</v>
      </c>
      <c r="D58" s="358">
        <v>0</v>
      </c>
      <c r="E58" s="358">
        <v>0</v>
      </c>
      <c r="F58" s="358">
        <v>0</v>
      </c>
      <c r="G58" s="358">
        <v>0</v>
      </c>
      <c r="H58" s="126"/>
      <c r="I58" s="36"/>
      <c r="J58" s="509"/>
      <c r="K58" s="509"/>
      <c r="L58" s="126"/>
      <c r="M58" s="126"/>
    </row>
    <row r="59" spans="1:15">
      <c r="A59" s="375">
        <f t="shared" si="2"/>
        <v>30</v>
      </c>
      <c r="B59" s="126" t="s">
        <v>91</v>
      </c>
      <c r="C59" s="358">
        <v>0</v>
      </c>
      <c r="D59" s="358">
        <v>0</v>
      </c>
      <c r="E59" s="358">
        <v>0</v>
      </c>
      <c r="F59" s="358">
        <v>0</v>
      </c>
      <c r="G59" s="358">
        <v>0</v>
      </c>
      <c r="H59" s="126"/>
      <c r="I59" s="28"/>
      <c r="J59" s="509"/>
      <c r="K59" s="509"/>
      <c r="L59" s="126"/>
      <c r="M59" s="126"/>
    </row>
    <row r="60" spans="1:15">
      <c r="A60" s="375">
        <f t="shared" si="2"/>
        <v>31</v>
      </c>
      <c r="B60" s="126" t="s">
        <v>90</v>
      </c>
      <c r="C60" s="358">
        <v>0</v>
      </c>
      <c r="D60" s="358">
        <v>0</v>
      </c>
      <c r="E60" s="358">
        <v>0</v>
      </c>
      <c r="F60" s="358">
        <v>0</v>
      </c>
      <c r="G60" s="358">
        <v>0</v>
      </c>
      <c r="H60" s="126"/>
      <c r="I60" s="509"/>
      <c r="J60" s="509"/>
      <c r="K60" s="509"/>
      <c r="L60" s="126"/>
      <c r="M60" s="126"/>
    </row>
    <row r="61" spans="1:15">
      <c r="A61" s="375">
        <f t="shared" si="2"/>
        <v>32</v>
      </c>
      <c r="B61" s="126" t="s">
        <v>111</v>
      </c>
      <c r="C61" s="358">
        <v>0</v>
      </c>
      <c r="D61" s="358">
        <v>0</v>
      </c>
      <c r="E61" s="358">
        <v>0</v>
      </c>
      <c r="F61" s="358">
        <v>0</v>
      </c>
      <c r="G61" s="358">
        <v>0</v>
      </c>
      <c r="H61" s="126"/>
      <c r="I61" s="509"/>
      <c r="J61" s="509"/>
      <c r="K61" s="509"/>
      <c r="L61" s="126"/>
      <c r="M61" s="126"/>
    </row>
    <row r="62" spans="1:15">
      <c r="A62" s="375">
        <f t="shared" si="2"/>
        <v>33</v>
      </c>
      <c r="B62" s="126" t="s">
        <v>98</v>
      </c>
      <c r="C62" s="358">
        <v>0</v>
      </c>
      <c r="D62" s="358">
        <v>0</v>
      </c>
      <c r="E62" s="358">
        <v>0</v>
      </c>
      <c r="F62" s="358">
        <v>0</v>
      </c>
      <c r="G62" s="358">
        <v>0</v>
      </c>
      <c r="H62" s="126"/>
      <c r="I62" s="509"/>
      <c r="J62" s="509"/>
      <c r="K62" s="509"/>
      <c r="L62" s="126"/>
      <c r="M62" s="126"/>
    </row>
    <row r="63" spans="1:15">
      <c r="A63" s="375">
        <f t="shared" si="2"/>
        <v>34</v>
      </c>
      <c r="B63" s="126" t="s">
        <v>97</v>
      </c>
      <c r="C63" s="358">
        <v>0</v>
      </c>
      <c r="D63" s="358">
        <v>0</v>
      </c>
      <c r="E63" s="358">
        <v>0</v>
      </c>
      <c r="F63" s="358">
        <v>0</v>
      </c>
      <c r="G63" s="358">
        <v>0</v>
      </c>
      <c r="H63" s="126"/>
      <c r="I63" s="509"/>
      <c r="J63" s="509"/>
      <c r="K63" s="509"/>
      <c r="L63" s="126"/>
      <c r="M63" s="126"/>
    </row>
    <row r="64" spans="1:15">
      <c r="A64" s="375">
        <f t="shared" si="2"/>
        <v>35</v>
      </c>
      <c r="B64" s="126" t="s">
        <v>96</v>
      </c>
      <c r="C64" s="358">
        <v>0</v>
      </c>
      <c r="D64" s="358">
        <v>0</v>
      </c>
      <c r="E64" s="358">
        <v>0</v>
      </c>
      <c r="F64" s="358">
        <v>0</v>
      </c>
      <c r="G64" s="358">
        <v>0</v>
      </c>
      <c r="H64" s="126"/>
      <c r="I64" s="509"/>
      <c r="J64" s="509"/>
      <c r="K64" s="509"/>
      <c r="L64" s="126"/>
      <c r="M64" s="126"/>
    </row>
    <row r="65" spans="1:15">
      <c r="A65" s="375">
        <f t="shared" si="2"/>
        <v>36</v>
      </c>
      <c r="B65" s="126" t="s">
        <v>102</v>
      </c>
      <c r="C65" s="358">
        <v>0</v>
      </c>
      <c r="D65" s="358">
        <v>0</v>
      </c>
      <c r="E65" s="358">
        <v>0</v>
      </c>
      <c r="F65" s="358">
        <v>0</v>
      </c>
      <c r="G65" s="358">
        <v>0</v>
      </c>
      <c r="H65" s="126"/>
      <c r="I65" s="509"/>
      <c r="J65" s="509"/>
      <c r="K65" s="509"/>
      <c r="L65" s="126"/>
      <c r="M65" s="126"/>
    </row>
    <row r="66" spans="1:15">
      <c r="A66" s="375">
        <f t="shared" si="2"/>
        <v>37</v>
      </c>
      <c r="B66" s="126" t="s">
        <v>95</v>
      </c>
      <c r="C66" s="358">
        <v>0</v>
      </c>
      <c r="D66" s="358">
        <v>0</v>
      </c>
      <c r="E66" s="358">
        <v>0</v>
      </c>
      <c r="F66" s="358">
        <v>0</v>
      </c>
      <c r="G66" s="358">
        <v>0</v>
      </c>
      <c r="H66" s="126"/>
      <c r="I66" s="509"/>
      <c r="J66" s="509"/>
      <c r="K66" s="509"/>
      <c r="L66" s="126"/>
      <c r="M66" s="126"/>
    </row>
    <row r="67" spans="1:15">
      <c r="A67" s="375">
        <f t="shared" si="2"/>
        <v>38</v>
      </c>
      <c r="B67" s="126" t="s">
        <v>94</v>
      </c>
      <c r="C67" s="358">
        <v>0</v>
      </c>
      <c r="D67" s="358">
        <v>0</v>
      </c>
      <c r="E67" s="358">
        <v>0</v>
      </c>
      <c r="F67" s="358">
        <v>0</v>
      </c>
      <c r="G67" s="358">
        <v>0</v>
      </c>
      <c r="H67" s="126"/>
      <c r="I67" s="509"/>
      <c r="J67" s="509"/>
      <c r="K67" s="509"/>
      <c r="L67" s="126"/>
      <c r="M67" s="126"/>
      <c r="N67" s="126"/>
      <c r="O67" s="126"/>
    </row>
    <row r="68" spans="1:15">
      <c r="A68" s="375">
        <f t="shared" si="2"/>
        <v>39</v>
      </c>
      <c r="B68" s="129" t="s">
        <v>19</v>
      </c>
      <c r="C68" s="133">
        <f>SUM(C56:C67)</f>
        <v>0</v>
      </c>
      <c r="D68" s="133">
        <f>SUM(D56:D67)</f>
        <v>0</v>
      </c>
      <c r="E68" s="133">
        <f>SUM(E56:E67)</f>
        <v>0</v>
      </c>
      <c r="F68" s="133">
        <f>SUM(F56:F67)</f>
        <v>0</v>
      </c>
      <c r="G68" s="133">
        <f>SUM(G56:G67)</f>
        <v>0</v>
      </c>
      <c r="H68" s="126"/>
      <c r="I68" s="126"/>
      <c r="J68" s="126"/>
      <c r="K68" s="509"/>
      <c r="L68" s="509"/>
      <c r="M68" s="509"/>
      <c r="N68" s="126"/>
      <c r="O68" s="126"/>
    </row>
    <row r="69" spans="1:15">
      <c r="A69" s="375">
        <f t="shared" si="2"/>
        <v>40</v>
      </c>
      <c r="B69" s="126"/>
      <c r="C69" s="126"/>
      <c r="D69" s="126"/>
      <c r="E69" s="126"/>
      <c r="F69" s="126"/>
      <c r="G69" s="126"/>
      <c r="H69" s="126"/>
      <c r="I69" s="126"/>
      <c r="J69" s="126"/>
      <c r="K69" s="509"/>
      <c r="L69" s="509"/>
      <c r="M69" s="509"/>
      <c r="N69" s="126"/>
      <c r="O69" s="126"/>
    </row>
    <row r="70" spans="1:15">
      <c r="A70" s="375">
        <f t="shared" si="2"/>
        <v>41</v>
      </c>
      <c r="B70" s="28" t="s">
        <v>64</v>
      </c>
      <c r="C70" s="29"/>
      <c r="D70" s="509"/>
      <c r="E70" s="509"/>
      <c r="F70" s="29"/>
      <c r="G70" s="29"/>
      <c r="H70" s="29"/>
      <c r="I70" s="29"/>
      <c r="J70" s="37"/>
      <c r="K70" s="400"/>
      <c r="L70" s="37"/>
      <c r="M70" s="509"/>
      <c r="N70" s="126"/>
      <c r="O70" s="126"/>
    </row>
    <row r="71" spans="1:15" ht="24" customHeight="1">
      <c r="A71" s="375"/>
      <c r="B71" s="28" t="s">
        <v>638</v>
      </c>
      <c r="C71" s="29"/>
      <c r="D71" s="509"/>
      <c r="E71" s="509"/>
      <c r="F71" s="29"/>
      <c r="G71" s="29"/>
      <c r="H71" s="29"/>
      <c r="I71" s="29"/>
      <c r="J71" s="29"/>
      <c r="K71" s="401"/>
      <c r="L71" s="29"/>
      <c r="M71" s="509"/>
      <c r="N71" s="126"/>
      <c r="O71" s="126"/>
    </row>
    <row r="72" spans="1:15" ht="16" thickBot="1">
      <c r="A72" s="375"/>
      <c r="B72" s="28"/>
      <c r="C72" s="29"/>
      <c r="D72" s="402"/>
      <c r="E72" s="402"/>
      <c r="F72" s="402"/>
      <c r="G72" s="402"/>
      <c r="H72" s="402"/>
      <c r="I72" s="402"/>
      <c r="J72" s="403" t="s">
        <v>56</v>
      </c>
      <c r="K72" s="401"/>
      <c r="L72" s="29"/>
      <c r="M72" s="509"/>
      <c r="N72" s="132"/>
      <c r="O72" s="132"/>
    </row>
    <row r="73" spans="1:15" ht="15.5">
      <c r="A73" s="375">
        <f>+A70+1</f>
        <v>42</v>
      </c>
      <c r="B73" s="28"/>
      <c r="C73" s="29"/>
      <c r="D73" s="402" t="s">
        <v>838</v>
      </c>
      <c r="E73" s="402"/>
      <c r="F73" s="402"/>
      <c r="G73" s="402"/>
      <c r="H73" s="402"/>
      <c r="I73" s="402"/>
      <c r="J73" s="430">
        <v>2985318.5805117041</v>
      </c>
      <c r="K73" s="509"/>
      <c r="L73" s="509"/>
      <c r="M73" s="509"/>
      <c r="N73" s="126"/>
      <c r="O73" s="126"/>
    </row>
    <row r="74" spans="1:15" ht="15.5">
      <c r="A74" s="375"/>
      <c r="B74" s="28"/>
      <c r="C74" s="29"/>
      <c r="D74" s="402"/>
      <c r="E74" s="402"/>
      <c r="F74" s="402"/>
      <c r="G74" s="402"/>
      <c r="H74" s="402"/>
      <c r="I74" s="402"/>
      <c r="J74" s="379"/>
      <c r="K74" s="509"/>
      <c r="L74" s="509"/>
      <c r="M74" s="509"/>
      <c r="N74" s="126"/>
      <c r="O74" s="126"/>
    </row>
    <row r="75" spans="1:15" ht="15.5">
      <c r="A75" s="375">
        <f>+A73+1</f>
        <v>43</v>
      </c>
      <c r="B75" s="28"/>
      <c r="C75" s="29"/>
      <c r="D75" s="402" t="s">
        <v>450</v>
      </c>
      <c r="E75" s="402"/>
      <c r="F75" s="402"/>
      <c r="G75" s="402"/>
      <c r="H75" s="402"/>
      <c r="I75" s="404"/>
      <c r="J75" s="430">
        <v>0</v>
      </c>
      <c r="K75" s="509"/>
      <c r="L75" s="509"/>
      <c r="M75" s="509"/>
      <c r="N75" s="126"/>
      <c r="O75" s="126"/>
    </row>
    <row r="76" spans="1:15" ht="15.5">
      <c r="A76" s="375"/>
      <c r="B76" s="28"/>
      <c r="C76" s="29"/>
      <c r="D76" s="402"/>
      <c r="E76" s="402"/>
      <c r="F76" s="402"/>
      <c r="G76" s="402"/>
      <c r="H76" s="402"/>
      <c r="I76" s="402"/>
      <c r="J76" s="379"/>
      <c r="K76" s="509"/>
      <c r="L76" s="509"/>
      <c r="M76" s="509"/>
    </row>
    <row r="77" spans="1:15" ht="15.5">
      <c r="A77" s="375">
        <f>+A75+1</f>
        <v>44</v>
      </c>
      <c r="B77" s="28"/>
      <c r="C77" s="29"/>
      <c r="D77" s="402" t="s">
        <v>451</v>
      </c>
      <c r="E77" s="405"/>
      <c r="F77" s="402"/>
      <c r="G77" s="402"/>
      <c r="H77" s="402"/>
      <c r="I77" s="402"/>
      <c r="J77" s="430">
        <v>0</v>
      </c>
      <c r="K77" s="509"/>
      <c r="L77" s="509"/>
      <c r="M77" s="509"/>
    </row>
    <row r="78" spans="1:15" ht="15.5">
      <c r="A78" s="375">
        <f t="shared" si="2"/>
        <v>45</v>
      </c>
      <c r="B78" s="28"/>
      <c r="C78" s="29"/>
      <c r="D78" s="402" t="s">
        <v>481</v>
      </c>
      <c r="E78" s="402"/>
      <c r="F78" s="402"/>
      <c r="G78" s="402"/>
      <c r="H78" s="402"/>
      <c r="I78" s="402"/>
      <c r="J78" s="431">
        <v>0</v>
      </c>
      <c r="K78" s="509"/>
      <c r="L78" s="509"/>
      <c r="M78" s="509"/>
    </row>
    <row r="79" spans="1:15" ht="16" thickBot="1">
      <c r="A79" s="375">
        <f t="shared" si="2"/>
        <v>46</v>
      </c>
      <c r="B79" s="28"/>
      <c r="C79" s="29"/>
      <c r="D79" s="402" t="s">
        <v>452</v>
      </c>
      <c r="E79" s="402"/>
      <c r="F79" s="402"/>
      <c r="G79" s="402"/>
      <c r="H79" s="402"/>
      <c r="I79" s="402"/>
      <c r="J79" s="432">
        <v>0</v>
      </c>
      <c r="K79" s="509"/>
      <c r="L79" s="509"/>
      <c r="M79" s="509"/>
    </row>
    <row r="80" spans="1:15" ht="15.5">
      <c r="A80" s="375">
        <f t="shared" si="2"/>
        <v>47</v>
      </c>
      <c r="B80" s="28"/>
      <c r="C80" s="29"/>
      <c r="D80" s="402" t="s">
        <v>453</v>
      </c>
      <c r="E80" s="405" t="s">
        <v>678</v>
      </c>
      <c r="F80" s="405"/>
      <c r="G80" s="405"/>
      <c r="H80" s="406"/>
      <c r="I80" s="405"/>
      <c r="J80" s="379">
        <f>+J77-J78-J79</f>
        <v>0</v>
      </c>
      <c r="K80" s="509"/>
      <c r="L80" s="509"/>
      <c r="M80" s="509"/>
    </row>
    <row r="81" spans="1:13">
      <c r="A81" s="375"/>
      <c r="B81" s="28"/>
      <c r="C81" s="29"/>
      <c r="D81" s="509"/>
      <c r="E81" s="509"/>
      <c r="F81" s="509"/>
      <c r="G81" s="509"/>
      <c r="H81" s="509"/>
      <c r="I81" s="509"/>
      <c r="J81" s="18"/>
      <c r="K81" s="509"/>
      <c r="L81" s="509"/>
      <c r="M81" s="509"/>
    </row>
    <row r="82" spans="1:13">
      <c r="A82" s="375"/>
      <c r="B82" s="28"/>
      <c r="C82" s="29"/>
      <c r="D82" s="509"/>
      <c r="E82" s="509"/>
      <c r="G82" s="29"/>
      <c r="H82" s="29"/>
      <c r="I82" s="29"/>
      <c r="J82" s="29"/>
      <c r="K82" s="401"/>
      <c r="L82" s="29"/>
      <c r="M82" s="509"/>
    </row>
    <row r="83" spans="1:13">
      <c r="A83" s="375"/>
      <c r="B83" s="31"/>
      <c r="C83" s="29"/>
      <c r="D83" s="509"/>
      <c r="E83" s="509"/>
      <c r="F83" s="29"/>
      <c r="G83" s="29"/>
      <c r="H83" s="29"/>
      <c r="I83" s="32" t="s">
        <v>65</v>
      </c>
      <c r="J83" s="29"/>
      <c r="K83" s="29"/>
      <c r="L83" s="29"/>
      <c r="M83" s="509"/>
    </row>
    <row r="84" spans="1:13" ht="13.5" thickBot="1">
      <c r="A84" s="375"/>
      <c r="B84" s="31"/>
      <c r="C84" s="29"/>
      <c r="D84" s="509"/>
      <c r="E84" s="509"/>
      <c r="F84" s="33" t="s">
        <v>56</v>
      </c>
      <c r="G84" s="33" t="s">
        <v>66</v>
      </c>
      <c r="H84" s="29"/>
      <c r="I84" s="253"/>
      <c r="J84" s="29"/>
      <c r="K84" s="33" t="s">
        <v>67</v>
      </c>
      <c r="L84" s="29"/>
      <c r="M84" s="509"/>
    </row>
    <row r="85" spans="1:13">
      <c r="A85" s="375">
        <f>+A80+1</f>
        <v>48</v>
      </c>
      <c r="B85" s="28" t="s">
        <v>305</v>
      </c>
      <c r="C85" s="34" t="s">
        <v>502</v>
      </c>
      <c r="D85" s="509"/>
      <c r="E85" s="509"/>
      <c r="F85" s="444">
        <v>39502703.926582411</v>
      </c>
      <c r="G85" s="158">
        <f>IF(F$88=0,0,F85/F$88)</f>
        <v>0.40000000000000008</v>
      </c>
      <c r="H85" s="27"/>
      <c r="I85" s="721">
        <f>J73/F85</f>
        <v>7.5572512354092417E-2</v>
      </c>
      <c r="J85" s="27"/>
      <c r="K85" s="27">
        <f>G85*I85</f>
        <v>3.0229004941636974E-2</v>
      </c>
      <c r="L85" s="254" t="s">
        <v>68</v>
      </c>
      <c r="M85" s="509"/>
    </row>
    <row r="86" spans="1:13">
      <c r="A86" s="375">
        <f t="shared" si="2"/>
        <v>49</v>
      </c>
      <c r="B86" s="28" t="s">
        <v>142</v>
      </c>
      <c r="C86" s="36" t="s">
        <v>503</v>
      </c>
      <c r="D86" s="509"/>
      <c r="E86" s="509"/>
      <c r="F86" s="444">
        <v>0</v>
      </c>
      <c r="G86" s="158">
        <f>IF(F$88=0,0,F86/F$88)</f>
        <v>0</v>
      </c>
      <c r="H86" s="27"/>
      <c r="I86" s="158">
        <v>0</v>
      </c>
      <c r="J86" s="27"/>
      <c r="K86" s="27">
        <f>G86*I86</f>
        <v>0</v>
      </c>
      <c r="L86" s="29"/>
      <c r="M86" s="509"/>
    </row>
    <row r="87" spans="1:13" ht="13.5" thickBot="1">
      <c r="A87" s="375">
        <f t="shared" si="2"/>
        <v>50</v>
      </c>
      <c r="B87" s="28" t="s">
        <v>414</v>
      </c>
      <c r="C87" s="36" t="s">
        <v>504</v>
      </c>
      <c r="D87" s="509"/>
      <c r="E87" s="509"/>
      <c r="F87" s="627">
        <v>59254055.889873594</v>
      </c>
      <c r="G87" s="158">
        <f>IF(F$88=0,0,F87/F$88)</f>
        <v>0.59999999999999987</v>
      </c>
      <c r="H87" s="35"/>
      <c r="I87" s="630">
        <v>0.115</v>
      </c>
      <c r="J87" s="27"/>
      <c r="K87" s="47">
        <f>G87*I87</f>
        <v>6.8999999999999992E-2</v>
      </c>
      <c r="L87" s="29"/>
      <c r="M87" s="509"/>
    </row>
    <row r="88" spans="1:13">
      <c r="A88" s="375">
        <f t="shared" si="2"/>
        <v>51</v>
      </c>
      <c r="B88" s="31" t="s">
        <v>293</v>
      </c>
      <c r="C88" s="36" t="s">
        <v>797</v>
      </c>
      <c r="D88" s="509"/>
      <c r="E88" s="509"/>
      <c r="F88" s="255">
        <f>SUM(F85:F87)</f>
        <v>98756759.816456005</v>
      </c>
      <c r="G88" s="27" t="s">
        <v>8</v>
      </c>
      <c r="H88" s="29"/>
      <c r="I88" s="158"/>
      <c r="J88" s="27"/>
      <c r="K88" s="27">
        <f>SUM(K85:K87)</f>
        <v>9.9229004941636972E-2</v>
      </c>
      <c r="L88" s="254" t="s">
        <v>69</v>
      </c>
      <c r="M88" s="509"/>
    </row>
    <row r="89" spans="1:13">
      <c r="A89" s="375"/>
      <c r="B89" s="509"/>
      <c r="C89" s="509"/>
      <c r="D89" s="509"/>
      <c r="E89" s="509"/>
      <c r="F89" s="509"/>
      <c r="G89" s="27"/>
      <c r="H89" s="509"/>
      <c r="I89" s="509"/>
      <c r="J89" s="509"/>
      <c r="K89" s="509"/>
      <c r="L89" s="509"/>
      <c r="M89" s="509"/>
    </row>
    <row r="90" spans="1:13">
      <c r="A90" s="509" t="s">
        <v>501</v>
      </c>
      <c r="B90" s="509"/>
      <c r="C90" s="509"/>
      <c r="D90" s="509"/>
      <c r="E90" s="509"/>
      <c r="F90" s="509"/>
      <c r="G90" s="509"/>
      <c r="H90" s="509"/>
      <c r="I90" s="509"/>
      <c r="J90" s="509"/>
      <c r="K90" s="509"/>
      <c r="L90" s="509"/>
      <c r="M90" s="509"/>
    </row>
    <row r="91" spans="1:13">
      <c r="A91" s="376" t="s">
        <v>73</v>
      </c>
      <c r="B91" s="297" t="s">
        <v>839</v>
      </c>
      <c r="C91" s="297"/>
      <c r="D91" s="297"/>
      <c r="E91" s="297"/>
      <c r="F91" s="297"/>
      <c r="G91" s="297"/>
      <c r="H91" s="297"/>
      <c r="I91" s="297"/>
      <c r="J91" s="297"/>
      <c r="K91" s="297"/>
      <c r="L91" s="297"/>
      <c r="M91" s="297"/>
    </row>
    <row r="92" spans="1:13" s="662" customFormat="1">
      <c r="A92" s="664"/>
      <c r="B92" s="666" t="s">
        <v>836</v>
      </c>
      <c r="C92" s="663"/>
      <c r="D92" s="663"/>
      <c r="E92" s="663"/>
      <c r="F92" s="663"/>
      <c r="G92" s="663"/>
      <c r="H92" s="663"/>
      <c r="I92" s="663"/>
      <c r="J92" s="663"/>
      <c r="K92" s="663"/>
      <c r="L92" s="663"/>
      <c r="M92" s="663"/>
    </row>
    <row r="93" spans="1:13">
      <c r="A93" s="376" t="s">
        <v>74</v>
      </c>
      <c r="B93" s="297" t="s">
        <v>679</v>
      </c>
      <c r="C93" s="297"/>
      <c r="D93" s="297"/>
      <c r="E93" s="297"/>
      <c r="F93" s="297"/>
      <c r="G93" s="297"/>
      <c r="H93" s="297"/>
      <c r="I93" s="297"/>
      <c r="J93" s="297"/>
      <c r="K93" s="297"/>
      <c r="L93" s="297"/>
      <c r="M93" s="297"/>
    </row>
    <row r="94" spans="1:13">
      <c r="A94" s="376" t="s">
        <v>75</v>
      </c>
      <c r="B94" s="297" t="s">
        <v>680</v>
      </c>
      <c r="C94" s="297"/>
      <c r="D94" s="297"/>
      <c r="E94" s="297"/>
      <c r="F94" s="297"/>
      <c r="G94" s="297"/>
      <c r="H94" s="297"/>
      <c r="I94" s="297"/>
      <c r="J94" s="297"/>
      <c r="K94" s="297"/>
      <c r="L94" s="297"/>
      <c r="M94" s="297"/>
    </row>
    <row r="95" spans="1:13">
      <c r="A95" s="359"/>
      <c r="B95" s="769" t="s">
        <v>237</v>
      </c>
      <c r="C95" s="769"/>
      <c r="D95" s="769"/>
      <c r="E95" s="769"/>
      <c r="F95" s="769"/>
      <c r="G95" s="769"/>
      <c r="H95" s="769"/>
      <c r="I95" s="769"/>
      <c r="J95" s="769"/>
      <c r="K95" s="769"/>
    </row>
    <row r="96" spans="1:13">
      <c r="A96" s="359"/>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1">
    <mergeCell ref="B95:K95"/>
  </mergeCells>
  <phoneticPr fontId="0" type="noConversion"/>
  <pageMargins left="0.25" right="0.25" top="0.75" bottom="0.75" header="0.3" footer="0.3"/>
  <pageSetup scale="62" fitToHeight="2" orientation="landscape" r:id="rId2"/>
  <rowBreaks count="1" manualBreakCount="1">
    <brk id="45" max="12" man="1"/>
  </rowBreaks>
  <customProperties>
    <customPr name="_pios_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A70"/>
  <sheetViews>
    <sheetView zoomScale="85" zoomScaleNormal="85" zoomScaleSheetLayoutView="100" workbookViewId="0">
      <selection activeCell="D23" sqref="D23"/>
    </sheetView>
  </sheetViews>
  <sheetFormatPr defaultColWidth="8.765625" defaultRowHeight="13"/>
  <cols>
    <col min="1" max="1" width="4" style="15" customWidth="1"/>
    <col min="2" max="2" width="12" style="15" bestFit="1" customWidth="1"/>
    <col min="3" max="3" width="8.765625" style="15"/>
    <col min="4" max="4" width="9.53515625" style="15" bestFit="1" customWidth="1"/>
    <col min="5" max="6" width="7.765625" style="15" customWidth="1"/>
    <col min="7" max="7" width="8.23046875" style="15" customWidth="1"/>
    <col min="8" max="16" width="7.765625" style="15" customWidth="1"/>
    <col min="17" max="17" width="10.765625" style="15" bestFit="1" customWidth="1"/>
    <col min="18" max="16384" width="8.765625" style="15"/>
  </cols>
  <sheetData>
    <row r="1" spans="1:27">
      <c r="I1" s="20" t="s">
        <v>235</v>
      </c>
      <c r="Q1" s="305" t="s">
        <v>676</v>
      </c>
    </row>
    <row r="2" spans="1:27">
      <c r="I2" s="303" t="s">
        <v>641</v>
      </c>
    </row>
    <row r="3" spans="1:27">
      <c r="I3" s="648" t="str">
        <f>'Attachment H'!$D$5</f>
        <v>NextEra Energy Transmission MidAtlantic, Inc.</v>
      </c>
    </row>
    <row r="4" spans="1:27" s="558" customFormat="1">
      <c r="I4" s="593"/>
    </row>
    <row r="5" spans="1:27" s="558" customFormat="1">
      <c r="I5" s="593"/>
    </row>
    <row r="6" spans="1:27" ht="15.5">
      <c r="E6" s="634" t="s">
        <v>782</v>
      </c>
      <c r="F6" s="635" t="s">
        <v>783</v>
      </c>
      <c r="G6" s="636" t="s">
        <v>784</v>
      </c>
      <c r="H6" s="635" t="s">
        <v>785</v>
      </c>
    </row>
    <row r="7" spans="1:27" ht="51">
      <c r="A7" s="410"/>
      <c r="B7" s="309"/>
      <c r="C7" s="306" t="s">
        <v>639</v>
      </c>
      <c r="D7" s="306"/>
      <c r="E7" s="637" t="s">
        <v>786</v>
      </c>
      <c r="F7" s="637" t="s">
        <v>791</v>
      </c>
      <c r="G7" s="637" t="s">
        <v>824</v>
      </c>
      <c r="H7" s="637" t="s">
        <v>787</v>
      </c>
      <c r="R7" s="422"/>
      <c r="S7" s="422"/>
      <c r="T7" s="422"/>
      <c r="U7" s="422"/>
      <c r="V7" s="422"/>
      <c r="W7" s="422"/>
      <c r="X7" s="422"/>
      <c r="Y7" s="422"/>
      <c r="Z7" s="422"/>
      <c r="AA7" s="422"/>
    </row>
    <row r="8" spans="1:27" ht="15.5">
      <c r="A8" s="410">
        <v>1</v>
      </c>
      <c r="B8" s="307"/>
      <c r="C8" s="308" t="s">
        <v>462</v>
      </c>
      <c r="D8" s="726">
        <v>2024</v>
      </c>
      <c r="E8" s="638">
        <v>8.5000000000000006E-2</v>
      </c>
      <c r="F8" s="638"/>
      <c r="G8" s="722">
        <f>IF(F8&gt;0,MIN(E8:F8),E8)</f>
        <v>8.5000000000000006E-2</v>
      </c>
      <c r="H8" s="722">
        <f>E8</f>
        <v>8.5000000000000006E-2</v>
      </c>
      <c r="R8" s="639"/>
      <c r="S8" s="640"/>
      <c r="T8" s="640"/>
      <c r="U8" s="640"/>
      <c r="V8" s="641"/>
      <c r="W8" s="642"/>
      <c r="X8" s="643"/>
      <c r="Y8" s="642"/>
      <c r="Z8" s="640"/>
      <c r="AA8" s="422"/>
    </row>
    <row r="9" spans="1:27" ht="15.5">
      <c r="A9" s="410">
        <v>2</v>
      </c>
      <c r="B9" s="307"/>
      <c r="C9" s="308" t="s">
        <v>460</v>
      </c>
      <c r="D9" s="726">
        <v>2024</v>
      </c>
      <c r="E9" s="638">
        <v>8.5000000000000006E-2</v>
      </c>
      <c r="F9" s="638"/>
      <c r="G9" s="722">
        <f t="shared" ref="G9:G14" si="0">IF(F9&gt;0,MIN(E9:F9),E9)</f>
        <v>8.5000000000000006E-2</v>
      </c>
      <c r="H9" s="722">
        <f t="shared" ref="H9:H14" si="1">E9</f>
        <v>8.5000000000000006E-2</v>
      </c>
      <c r="R9" s="639"/>
      <c r="S9" s="640"/>
      <c r="T9" s="639"/>
      <c r="U9" s="639"/>
      <c r="V9" s="644"/>
      <c r="W9" s="644"/>
      <c r="X9" s="644"/>
      <c r="Y9" s="644"/>
      <c r="Z9" s="644"/>
      <c r="AA9" s="422"/>
    </row>
    <row r="10" spans="1:27" ht="15.5">
      <c r="A10" s="410">
        <v>3</v>
      </c>
      <c r="B10" s="307"/>
      <c r="C10" s="308" t="s">
        <v>461</v>
      </c>
      <c r="D10" s="726">
        <v>2024</v>
      </c>
      <c r="E10" s="638">
        <v>8.5000000000000006E-2</v>
      </c>
      <c r="F10" s="638"/>
      <c r="G10" s="722">
        <f t="shared" si="0"/>
        <v>8.5000000000000006E-2</v>
      </c>
      <c r="H10" s="722">
        <f t="shared" si="1"/>
        <v>8.5000000000000006E-2</v>
      </c>
      <c r="R10" s="639"/>
      <c r="S10" s="640"/>
      <c r="T10" s="639"/>
      <c r="U10" s="639"/>
      <c r="V10" s="645"/>
      <c r="W10" s="645"/>
      <c r="X10" s="646"/>
      <c r="Y10" s="646"/>
      <c r="Z10" s="646"/>
      <c r="AA10" s="422"/>
    </row>
    <row r="11" spans="1:27" ht="15.5">
      <c r="A11" s="410">
        <v>4</v>
      </c>
      <c r="B11" s="307"/>
      <c r="C11" s="308" t="s">
        <v>801</v>
      </c>
      <c r="D11" s="726">
        <v>2024</v>
      </c>
      <c r="E11" s="638">
        <v>8.5000000000000006E-2</v>
      </c>
      <c r="F11" s="638"/>
      <c r="G11" s="722">
        <f t="shared" si="0"/>
        <v>8.5000000000000006E-2</v>
      </c>
      <c r="H11" s="722">
        <f t="shared" si="1"/>
        <v>8.5000000000000006E-2</v>
      </c>
      <c r="M11" s="663"/>
      <c r="N11" s="663"/>
      <c r="O11" s="663"/>
      <c r="R11" s="639"/>
      <c r="S11" s="640"/>
      <c r="T11" s="639"/>
      <c r="U11" s="639"/>
      <c r="V11" s="645"/>
      <c r="W11" s="645"/>
      <c r="X11" s="646"/>
      <c r="Y11" s="646"/>
      <c r="Z11" s="646"/>
      <c r="AA11" s="422"/>
    </row>
    <row r="12" spans="1:27" ht="15.75" customHeight="1">
      <c r="A12" s="410">
        <v>5</v>
      </c>
      <c r="B12" s="307"/>
      <c r="C12" s="308" t="s">
        <v>462</v>
      </c>
      <c r="D12" s="726">
        <v>2025</v>
      </c>
      <c r="E12" s="638">
        <v>8.0399999999999999E-2</v>
      </c>
      <c r="F12" s="638"/>
      <c r="G12" s="722">
        <f t="shared" si="0"/>
        <v>8.0399999999999999E-2</v>
      </c>
      <c r="H12" s="722">
        <f t="shared" si="1"/>
        <v>8.0399999999999999E-2</v>
      </c>
      <c r="M12" s="737"/>
      <c r="N12" s="663"/>
      <c r="O12" s="663"/>
      <c r="R12" s="639"/>
      <c r="S12" s="640"/>
      <c r="T12" s="639"/>
      <c r="U12" s="639"/>
      <c r="V12" s="645"/>
      <c r="W12" s="645"/>
      <c r="X12" s="646"/>
      <c r="Y12" s="646"/>
      <c r="Z12" s="646"/>
      <c r="AA12" s="422"/>
    </row>
    <row r="13" spans="1:27" ht="15.5">
      <c r="A13" s="410">
        <v>6</v>
      </c>
      <c r="B13" s="307"/>
      <c r="C13" s="308" t="s">
        <v>460</v>
      </c>
      <c r="D13" s="726">
        <v>2025</v>
      </c>
      <c r="E13" s="638">
        <v>7.5499999999999998E-2</v>
      </c>
      <c r="F13" s="638"/>
      <c r="G13" s="722">
        <f t="shared" si="0"/>
        <v>7.5499999999999998E-2</v>
      </c>
      <c r="H13" s="722">
        <f t="shared" si="1"/>
        <v>7.5499999999999998E-2</v>
      </c>
      <c r="M13" s="663"/>
      <c r="N13" s="663"/>
      <c r="O13" s="663"/>
      <c r="R13" s="639"/>
      <c r="S13" s="640"/>
      <c r="T13" s="639"/>
      <c r="U13" s="639"/>
      <c r="V13" s="645"/>
      <c r="W13" s="645"/>
      <c r="X13" s="646"/>
      <c r="Y13" s="646"/>
      <c r="Z13" s="646"/>
      <c r="AA13" s="422"/>
    </row>
    <row r="14" spans="1:27" ht="15.5">
      <c r="A14" s="410">
        <v>7</v>
      </c>
      <c r="B14" s="307"/>
      <c r="C14" s="308" t="s">
        <v>461</v>
      </c>
      <c r="D14" s="726">
        <v>2025</v>
      </c>
      <c r="E14" s="638">
        <v>7.5499999999999998E-2</v>
      </c>
      <c r="F14" s="638"/>
      <c r="G14" s="722">
        <f t="shared" si="0"/>
        <v>7.5499999999999998E-2</v>
      </c>
      <c r="H14" s="722">
        <f t="shared" si="1"/>
        <v>7.5499999999999998E-2</v>
      </c>
      <c r="M14" s="663"/>
      <c r="N14" s="663"/>
      <c r="O14" s="663"/>
      <c r="R14" s="639"/>
      <c r="S14" s="640"/>
      <c r="T14" s="640"/>
      <c r="U14" s="640"/>
      <c r="V14" s="640"/>
      <c r="W14" s="640"/>
      <c r="X14" s="640"/>
      <c r="Y14" s="640"/>
      <c r="Z14" s="640"/>
      <c r="AA14" s="422"/>
    </row>
    <row r="15" spans="1:27" ht="15.5">
      <c r="A15" s="410"/>
      <c r="B15" s="307"/>
      <c r="C15" s="307"/>
      <c r="D15" s="433"/>
      <c r="E15" s="638"/>
      <c r="F15" s="638"/>
      <c r="G15" s="723"/>
      <c r="H15" s="723"/>
      <c r="M15" s="663"/>
      <c r="N15" s="663"/>
      <c r="O15" s="663"/>
      <c r="R15" s="639"/>
      <c r="S15" s="640"/>
      <c r="T15" s="640"/>
      <c r="U15" s="640"/>
      <c r="V15" s="640"/>
      <c r="W15" s="640"/>
      <c r="X15" s="640"/>
      <c r="Y15" s="640"/>
      <c r="Z15" s="640"/>
      <c r="AA15" s="422"/>
    </row>
    <row r="16" spans="1:27" ht="15.5">
      <c r="A16" s="410"/>
      <c r="B16" s="307"/>
      <c r="C16" s="310"/>
      <c r="D16" s="434"/>
      <c r="E16" s="434"/>
      <c r="F16" s="433"/>
      <c r="G16" s="674"/>
      <c r="H16" s="674"/>
      <c r="R16" s="639"/>
      <c r="S16" s="640"/>
      <c r="T16" s="640"/>
      <c r="U16" s="640"/>
      <c r="V16" s="647"/>
      <c r="W16" s="646"/>
      <c r="X16" s="640"/>
      <c r="Y16" s="640"/>
      <c r="Z16" s="640"/>
      <c r="AA16" s="422"/>
    </row>
    <row r="17" spans="1:27" ht="15.5">
      <c r="A17" s="410">
        <v>8</v>
      </c>
      <c r="B17" s="411" t="s">
        <v>789</v>
      </c>
      <c r="C17" s="311"/>
      <c r="D17" s="434"/>
      <c r="E17" s="433"/>
      <c r="F17" s="433"/>
      <c r="G17" s="724">
        <f>AVERAGE(G8:G14)</f>
        <v>8.1628571428571425E-2</v>
      </c>
      <c r="H17" s="724">
        <f>AVERAGE(H8:H14)</f>
        <v>8.1628571428571425E-2</v>
      </c>
      <c r="R17" s="639"/>
      <c r="S17" s="640"/>
      <c r="T17" s="640"/>
      <c r="U17" s="640"/>
      <c r="V17" s="647"/>
      <c r="W17" s="646"/>
      <c r="X17" s="640"/>
      <c r="Y17" s="640"/>
      <c r="Z17" s="640"/>
      <c r="AA17" s="422"/>
    </row>
    <row r="18" spans="1:27" ht="15.5">
      <c r="A18" s="307"/>
      <c r="B18" s="307"/>
      <c r="C18" s="311"/>
      <c r="D18" s="434"/>
      <c r="E18" s="434"/>
      <c r="F18" s="433"/>
      <c r="G18" s="674"/>
      <c r="H18" s="674"/>
      <c r="R18" s="639"/>
      <c r="S18" s="640"/>
      <c r="T18" s="640"/>
      <c r="U18" s="640"/>
      <c r="V18" s="640"/>
      <c r="W18" s="640"/>
      <c r="X18" s="640"/>
      <c r="Y18" s="640"/>
      <c r="Z18" s="640"/>
      <c r="AA18" s="422"/>
    </row>
    <row r="19" spans="1:27" ht="15.5">
      <c r="A19" s="307" t="s">
        <v>640</v>
      </c>
      <c r="B19" s="307"/>
      <c r="C19" s="307"/>
      <c r="D19" s="307"/>
      <c r="E19" s="307"/>
      <c r="F19" s="307"/>
      <c r="G19" s="307"/>
      <c r="H19" s="307"/>
      <c r="R19" s="639"/>
      <c r="S19" s="640"/>
      <c r="T19" s="640"/>
      <c r="U19" s="640"/>
      <c r="V19" s="640"/>
      <c r="W19" s="640"/>
      <c r="X19" s="640"/>
      <c r="Y19" s="640"/>
      <c r="Z19" s="640"/>
      <c r="AA19" s="422"/>
    </row>
    <row r="20" spans="1:27" ht="15.5">
      <c r="A20" s="307"/>
      <c r="B20" s="633" t="s">
        <v>788</v>
      </c>
      <c r="C20" s="307"/>
      <c r="D20" s="307"/>
      <c r="E20" s="307"/>
      <c r="F20" s="307"/>
      <c r="G20" s="307"/>
      <c r="H20" s="307"/>
      <c r="R20" s="639"/>
      <c r="S20" s="639"/>
      <c r="T20" s="422"/>
      <c r="U20" s="640"/>
      <c r="V20" s="640"/>
      <c r="W20" s="640"/>
      <c r="X20" s="640"/>
      <c r="Y20" s="640"/>
      <c r="Z20" s="640"/>
      <c r="AA20" s="422"/>
    </row>
    <row r="21" spans="1:27" ht="15.5">
      <c r="A21" s="307"/>
      <c r="B21" s="633" t="s">
        <v>790</v>
      </c>
      <c r="C21" s="307"/>
      <c r="D21" s="307"/>
      <c r="E21" s="307"/>
      <c r="F21" s="307"/>
      <c r="G21" s="307"/>
      <c r="H21" s="307"/>
      <c r="R21" s="632"/>
      <c r="S21" s="633"/>
      <c r="U21" s="633"/>
      <c r="V21" s="633"/>
      <c r="W21" s="633"/>
      <c r="X21" s="633"/>
      <c r="Y21" s="633"/>
      <c r="Z21" s="633"/>
    </row>
    <row r="22" spans="1:27" s="558" customFormat="1" ht="15.5">
      <c r="A22" s="307"/>
      <c r="B22" s="633" t="s">
        <v>792</v>
      </c>
      <c r="C22" s="307"/>
      <c r="D22" s="307"/>
      <c r="E22" s="307"/>
      <c r="F22" s="307"/>
      <c r="G22" s="307"/>
      <c r="H22" s="307"/>
      <c r="R22" s="632"/>
      <c r="S22" s="633"/>
      <c r="T22" s="633"/>
      <c r="U22" s="633"/>
      <c r="V22" s="633"/>
      <c r="W22" s="633"/>
      <c r="X22" s="633"/>
      <c r="Y22" s="633"/>
      <c r="Z22" s="633"/>
    </row>
    <row r="23" spans="1:27" s="558" customFormat="1" ht="15.5">
      <c r="A23" s="307"/>
      <c r="B23" s="307"/>
      <c r="C23" s="307"/>
      <c r="D23" s="307"/>
      <c r="E23" s="307"/>
      <c r="F23" s="307"/>
      <c r="G23" s="307"/>
      <c r="H23" s="307"/>
    </row>
    <row r="24" spans="1:27">
      <c r="A24" s="516"/>
      <c r="B24" s="296"/>
      <c r="C24" s="296"/>
      <c r="D24" s="804"/>
      <c r="E24" s="804"/>
      <c r="F24" s="299"/>
      <c r="G24" s="299"/>
      <c r="H24" s="560"/>
      <c r="I24" s="299"/>
      <c r="J24" s="299"/>
      <c r="K24" s="299"/>
      <c r="L24" s="299"/>
    </row>
    <row r="25" spans="1:27">
      <c r="A25" s="516">
        <v>9</v>
      </c>
      <c r="B25" s="296" t="s">
        <v>92</v>
      </c>
      <c r="C25" s="296"/>
      <c r="D25" s="804"/>
      <c r="E25" s="804"/>
      <c r="F25" s="804"/>
      <c r="G25" s="804"/>
      <c r="H25" s="560"/>
      <c r="I25" s="804"/>
      <c r="J25" s="804"/>
      <c r="K25" s="804"/>
      <c r="L25" s="804"/>
    </row>
    <row r="26" spans="1:27">
      <c r="A26" s="516">
        <v>10</v>
      </c>
      <c r="B26" s="719"/>
      <c r="C26" s="296"/>
      <c r="D26" s="299"/>
      <c r="E26" s="299"/>
      <c r="F26" s="300"/>
      <c r="G26" s="299"/>
      <c r="H26" s="299"/>
      <c r="I26" s="299"/>
      <c r="J26" s="299"/>
      <c r="K26" s="299"/>
      <c r="L26" s="299"/>
    </row>
    <row r="27" spans="1:27">
      <c r="A27" s="408"/>
      <c r="B27" s="469" t="s">
        <v>73</v>
      </c>
      <c r="C27" s="469" t="s">
        <v>74</v>
      </c>
      <c r="D27" s="569" t="s">
        <v>75</v>
      </c>
      <c r="E27" s="570" t="s">
        <v>76</v>
      </c>
      <c r="F27" s="570" t="s">
        <v>77</v>
      </c>
      <c r="G27" s="570" t="s">
        <v>78</v>
      </c>
      <c r="H27" s="570" t="s">
        <v>79</v>
      </c>
      <c r="I27" s="570" t="s">
        <v>81</v>
      </c>
      <c r="J27" s="570" t="s">
        <v>82</v>
      </c>
      <c r="K27" s="570" t="s">
        <v>83</v>
      </c>
      <c r="L27" s="570" t="s">
        <v>120</v>
      </c>
      <c r="M27" s="571" t="s">
        <v>649</v>
      </c>
      <c r="N27" s="571" t="s">
        <v>150</v>
      </c>
      <c r="O27" s="572" t="s">
        <v>642</v>
      </c>
      <c r="P27" s="556" t="s">
        <v>153</v>
      </c>
      <c r="Q27" s="557" t="s">
        <v>154</v>
      </c>
    </row>
    <row r="28" spans="1:27">
      <c r="A28" s="516"/>
      <c r="B28" s="467"/>
      <c r="C28" s="464"/>
      <c r="D28" s="559"/>
      <c r="E28" s="560"/>
      <c r="F28" s="560"/>
      <c r="G28" s="408"/>
      <c r="H28" s="560"/>
      <c r="I28" s="299"/>
      <c r="J28" s="560"/>
      <c r="K28" s="299"/>
      <c r="L28" s="299"/>
      <c r="M28" s="454"/>
      <c r="N28" s="454"/>
      <c r="O28" s="564"/>
      <c r="P28" s="576"/>
      <c r="Q28" s="577"/>
    </row>
    <row r="29" spans="1:27">
      <c r="A29" s="516"/>
      <c r="B29" s="468"/>
      <c r="C29" s="470"/>
      <c r="D29" s="559"/>
      <c r="E29" s="560"/>
      <c r="F29" s="560"/>
      <c r="G29" s="560"/>
      <c r="H29" s="560"/>
      <c r="I29" s="560"/>
      <c r="J29" s="560"/>
      <c r="K29" s="560"/>
      <c r="L29" s="560"/>
      <c r="M29" s="562"/>
      <c r="N29" s="562"/>
      <c r="O29" s="520"/>
      <c r="P29" s="519"/>
      <c r="Q29" s="470"/>
    </row>
    <row r="30" spans="1:27">
      <c r="A30" s="516"/>
      <c r="B30" s="470" t="s">
        <v>547</v>
      </c>
      <c r="C30" s="470"/>
      <c r="D30" s="803" t="s">
        <v>650</v>
      </c>
      <c r="E30" s="804"/>
      <c r="F30" s="804"/>
      <c r="G30" s="804"/>
      <c r="H30" s="804"/>
      <c r="I30" s="804"/>
      <c r="J30" s="804"/>
      <c r="K30" s="804"/>
      <c r="L30" s="804"/>
      <c r="M30" s="804"/>
      <c r="N30" s="804"/>
      <c r="O30" s="805"/>
      <c r="P30" s="519" t="s">
        <v>442</v>
      </c>
      <c r="Q30" s="470" t="s">
        <v>442</v>
      </c>
    </row>
    <row r="31" spans="1:27">
      <c r="A31" s="516"/>
      <c r="B31" s="466" t="s">
        <v>539</v>
      </c>
      <c r="C31" s="466" t="s">
        <v>540</v>
      </c>
      <c r="D31" s="587" t="s">
        <v>101</v>
      </c>
      <c r="E31" s="588" t="s">
        <v>100</v>
      </c>
      <c r="F31" s="589" t="s">
        <v>99</v>
      </c>
      <c r="G31" s="589" t="s">
        <v>91</v>
      </c>
      <c r="H31" s="588" t="s">
        <v>90</v>
      </c>
      <c r="I31" s="588" t="s">
        <v>111</v>
      </c>
      <c r="J31" s="588" t="s">
        <v>98</v>
      </c>
      <c r="K31" s="588" t="s">
        <v>97</v>
      </c>
      <c r="L31" s="588" t="s">
        <v>96</v>
      </c>
      <c r="M31" s="590" t="s">
        <v>102</v>
      </c>
      <c r="N31" s="590" t="s">
        <v>95</v>
      </c>
      <c r="O31" s="585" t="s">
        <v>94</v>
      </c>
      <c r="P31" s="584" t="s">
        <v>651</v>
      </c>
      <c r="Q31" s="466" t="s">
        <v>612</v>
      </c>
    </row>
    <row r="32" spans="1:27">
      <c r="A32" s="516">
        <v>11</v>
      </c>
      <c r="B32" s="489"/>
      <c r="C32" s="489"/>
      <c r="D32" s="524"/>
      <c r="E32" s="490"/>
      <c r="F32" s="490"/>
      <c r="G32" s="490"/>
      <c r="H32" s="490"/>
      <c r="I32" s="563"/>
      <c r="J32" s="563"/>
      <c r="K32" s="563"/>
      <c r="L32" s="563"/>
      <c r="M32" s="545"/>
      <c r="N32" s="545"/>
      <c r="O32" s="565"/>
      <c r="P32" s="573"/>
      <c r="Q32" s="578"/>
    </row>
    <row r="33" spans="1:17">
      <c r="A33" s="516" t="s">
        <v>646</v>
      </c>
      <c r="B33" s="489"/>
      <c r="C33" s="489"/>
      <c r="D33" s="524"/>
      <c r="E33" s="490"/>
      <c r="F33" s="490"/>
      <c r="G33" s="490"/>
      <c r="H33" s="490"/>
      <c r="I33" s="490"/>
      <c r="J33" s="490"/>
      <c r="K33" s="563"/>
      <c r="L33" s="563"/>
      <c r="M33" s="545"/>
      <c r="N33" s="545"/>
      <c r="O33" s="565"/>
      <c r="P33" s="574">
        <f>+H17</f>
        <v>8.1628571428571425E-2</v>
      </c>
      <c r="Q33" s="591">
        <f>+P33*(D33+E33*0.91667+F33*0.83333+G33*0.75+H33*0.66667+I33*7/12+J33*6/12+K33*5/12+L33*4/12+M33*3/12+N33*2/12+O33*1/12)+P33*1.5*SUM(D33:O33)</f>
        <v>0</v>
      </c>
    </row>
    <row r="34" spans="1:17">
      <c r="A34" s="516" t="s">
        <v>647</v>
      </c>
      <c r="B34" s="489"/>
      <c r="C34" s="489"/>
      <c r="D34" s="524"/>
      <c r="E34" s="490"/>
      <c r="F34" s="490"/>
      <c r="G34" s="490"/>
      <c r="H34" s="490"/>
      <c r="I34" s="490"/>
      <c r="J34" s="490"/>
      <c r="K34" s="563"/>
      <c r="L34" s="563"/>
      <c r="M34" s="545"/>
      <c r="N34" s="545"/>
      <c r="O34" s="565"/>
      <c r="P34" s="574">
        <f>+P33</f>
        <v>8.1628571428571425E-2</v>
      </c>
      <c r="Q34" s="591">
        <f t="shared" ref="Q34:Q51" si="2">+P34*(D34+E34*0.91667+F34*0.83333+G34*0.75+H34*0.66667+I34*7/12+J34*6/12+K34*5/12+L34*4/12+M34*3/12+N34*2/12+O34*1/12)+P34*1.5*SUM(D34:O34)</f>
        <v>0</v>
      </c>
    </row>
    <row r="35" spans="1:17">
      <c r="A35" s="516" t="s">
        <v>648</v>
      </c>
      <c r="B35" s="489"/>
      <c r="C35" s="489"/>
      <c r="D35" s="524"/>
      <c r="E35" s="490"/>
      <c r="F35" s="490"/>
      <c r="G35" s="490"/>
      <c r="H35" s="490"/>
      <c r="I35" s="490"/>
      <c r="J35" s="490"/>
      <c r="K35" s="563"/>
      <c r="L35" s="563"/>
      <c r="M35" s="545"/>
      <c r="N35" s="545"/>
      <c r="O35" s="565"/>
      <c r="P35" s="574">
        <f t="shared" ref="P35:P51" si="3">+P34</f>
        <v>8.1628571428571425E-2</v>
      </c>
      <c r="Q35" s="591">
        <f t="shared" si="2"/>
        <v>0</v>
      </c>
    </row>
    <row r="36" spans="1:17">
      <c r="A36" s="516" t="s">
        <v>441</v>
      </c>
      <c r="B36" s="489"/>
      <c r="C36" s="489"/>
      <c r="D36" s="524"/>
      <c r="E36" s="490"/>
      <c r="F36" s="490"/>
      <c r="G36" s="490"/>
      <c r="H36" s="490"/>
      <c r="I36" s="490"/>
      <c r="J36" s="490"/>
      <c r="K36" s="563"/>
      <c r="L36" s="563"/>
      <c r="M36" s="545"/>
      <c r="N36" s="545"/>
      <c r="O36" s="565"/>
      <c r="P36" s="574">
        <f t="shared" si="3"/>
        <v>8.1628571428571425E-2</v>
      </c>
      <c r="Q36" s="591">
        <f t="shared" si="2"/>
        <v>0</v>
      </c>
    </row>
    <row r="37" spans="1:17">
      <c r="A37" s="516"/>
      <c r="B37" s="489"/>
      <c r="C37" s="489"/>
      <c r="D37" s="524"/>
      <c r="E37" s="490"/>
      <c r="F37" s="490"/>
      <c r="G37" s="490"/>
      <c r="H37" s="490"/>
      <c r="I37" s="490"/>
      <c r="J37" s="490"/>
      <c r="K37" s="563"/>
      <c r="L37" s="563"/>
      <c r="M37" s="545"/>
      <c r="N37" s="545"/>
      <c r="O37" s="565"/>
      <c r="P37" s="574">
        <f t="shared" si="3"/>
        <v>8.1628571428571425E-2</v>
      </c>
      <c r="Q37" s="591">
        <f t="shared" si="2"/>
        <v>0</v>
      </c>
    </row>
    <row r="38" spans="1:17">
      <c r="A38" s="516"/>
      <c r="B38" s="489"/>
      <c r="C38" s="489"/>
      <c r="D38" s="524"/>
      <c r="E38" s="490"/>
      <c r="F38" s="490"/>
      <c r="G38" s="490"/>
      <c r="H38" s="490"/>
      <c r="I38" s="490"/>
      <c r="J38" s="490"/>
      <c r="K38" s="563"/>
      <c r="L38" s="563"/>
      <c r="M38" s="545"/>
      <c r="N38" s="545"/>
      <c r="O38" s="565"/>
      <c r="P38" s="574">
        <f t="shared" si="3"/>
        <v>8.1628571428571425E-2</v>
      </c>
      <c r="Q38" s="591">
        <f t="shared" si="2"/>
        <v>0</v>
      </c>
    </row>
    <row r="39" spans="1:17">
      <c r="A39" s="516"/>
      <c r="B39" s="489"/>
      <c r="C39" s="489"/>
      <c r="D39" s="524"/>
      <c r="E39" s="490"/>
      <c r="F39" s="490"/>
      <c r="G39" s="490"/>
      <c r="H39" s="490"/>
      <c r="I39" s="490"/>
      <c r="J39" s="490"/>
      <c r="K39" s="563"/>
      <c r="L39" s="563"/>
      <c r="M39" s="545"/>
      <c r="N39" s="545"/>
      <c r="O39" s="565"/>
      <c r="P39" s="574">
        <f t="shared" si="3"/>
        <v>8.1628571428571425E-2</v>
      </c>
      <c r="Q39" s="591">
        <f t="shared" si="2"/>
        <v>0</v>
      </c>
    </row>
    <row r="40" spans="1:17">
      <c r="A40" s="516"/>
      <c r="B40" s="489"/>
      <c r="C40" s="489"/>
      <c r="D40" s="524"/>
      <c r="E40" s="490"/>
      <c r="F40" s="490"/>
      <c r="G40" s="490"/>
      <c r="H40" s="490"/>
      <c r="I40" s="490"/>
      <c r="J40" s="490"/>
      <c r="K40" s="563"/>
      <c r="L40" s="563"/>
      <c r="M40" s="545"/>
      <c r="N40" s="545"/>
      <c r="O40" s="565"/>
      <c r="P40" s="574">
        <f t="shared" si="3"/>
        <v>8.1628571428571425E-2</v>
      </c>
      <c r="Q40" s="591">
        <f t="shared" si="2"/>
        <v>0</v>
      </c>
    </row>
    <row r="41" spans="1:17">
      <c r="A41" s="516"/>
      <c r="B41" s="489"/>
      <c r="C41" s="489"/>
      <c r="D41" s="524"/>
      <c r="E41" s="490"/>
      <c r="F41" s="490"/>
      <c r="G41" s="490"/>
      <c r="H41" s="490"/>
      <c r="I41" s="490"/>
      <c r="J41" s="490"/>
      <c r="K41" s="563"/>
      <c r="L41" s="563"/>
      <c r="M41" s="545"/>
      <c r="N41" s="545"/>
      <c r="O41" s="565"/>
      <c r="P41" s="574">
        <f t="shared" si="3"/>
        <v>8.1628571428571425E-2</v>
      </c>
      <c r="Q41" s="591">
        <f t="shared" si="2"/>
        <v>0</v>
      </c>
    </row>
    <row r="42" spans="1:17">
      <c r="A42" s="516"/>
      <c r="B42" s="489"/>
      <c r="C42" s="489"/>
      <c r="D42" s="524"/>
      <c r="E42" s="490"/>
      <c r="F42" s="490"/>
      <c r="G42" s="490"/>
      <c r="H42" s="490"/>
      <c r="I42" s="490"/>
      <c r="J42" s="490"/>
      <c r="K42" s="563"/>
      <c r="L42" s="563"/>
      <c r="M42" s="545"/>
      <c r="N42" s="545"/>
      <c r="O42" s="565"/>
      <c r="P42" s="574">
        <f t="shared" si="3"/>
        <v>8.1628571428571425E-2</v>
      </c>
      <c r="Q42" s="591">
        <f t="shared" si="2"/>
        <v>0</v>
      </c>
    </row>
    <row r="43" spans="1:17">
      <c r="A43" s="516"/>
      <c r="B43" s="489"/>
      <c r="C43" s="489"/>
      <c r="D43" s="524"/>
      <c r="E43" s="490"/>
      <c r="F43" s="490"/>
      <c r="G43" s="490"/>
      <c r="H43" s="490"/>
      <c r="I43" s="490"/>
      <c r="J43" s="490"/>
      <c r="K43" s="563"/>
      <c r="L43" s="563"/>
      <c r="M43" s="545"/>
      <c r="N43" s="545"/>
      <c r="O43" s="565"/>
      <c r="P43" s="574">
        <f t="shared" si="3"/>
        <v>8.1628571428571425E-2</v>
      </c>
      <c r="Q43" s="591">
        <f t="shared" si="2"/>
        <v>0</v>
      </c>
    </row>
    <row r="44" spans="1:17">
      <c r="A44" s="516"/>
      <c r="B44" s="489"/>
      <c r="C44" s="489"/>
      <c r="D44" s="524"/>
      <c r="E44" s="490"/>
      <c r="F44" s="490"/>
      <c r="G44" s="490"/>
      <c r="H44" s="490"/>
      <c r="I44" s="490"/>
      <c r="J44" s="490"/>
      <c r="K44" s="563"/>
      <c r="L44" s="563"/>
      <c r="M44" s="545"/>
      <c r="N44" s="545"/>
      <c r="O44" s="565"/>
      <c r="P44" s="574">
        <f t="shared" si="3"/>
        <v>8.1628571428571425E-2</v>
      </c>
      <c r="Q44" s="591">
        <f t="shared" si="2"/>
        <v>0</v>
      </c>
    </row>
    <row r="45" spans="1:17">
      <c r="A45" s="516"/>
      <c r="B45" s="489"/>
      <c r="C45" s="489"/>
      <c r="D45" s="524"/>
      <c r="E45" s="490"/>
      <c r="F45" s="490"/>
      <c r="G45" s="490"/>
      <c r="H45" s="490"/>
      <c r="I45" s="490"/>
      <c r="J45" s="490"/>
      <c r="K45" s="563"/>
      <c r="L45" s="563"/>
      <c r="M45" s="545"/>
      <c r="N45" s="545"/>
      <c r="O45" s="565"/>
      <c r="P45" s="574">
        <f t="shared" si="3"/>
        <v>8.1628571428571425E-2</v>
      </c>
      <c r="Q45" s="591">
        <f>+P45*(D45+E45*0.91667+F45*0.83333+G45*0.75+H45*0.66667+I45*7/12+J45*6/12+K45*5/12+L45*4/12+M45*3/12+N45*2/12+O45*1/12)+P45*1.5*SUM(D45:O45)</f>
        <v>0</v>
      </c>
    </row>
    <row r="46" spans="1:17">
      <c r="A46" s="516"/>
      <c r="B46" s="489"/>
      <c r="C46" s="489"/>
      <c r="D46" s="524"/>
      <c r="E46" s="490"/>
      <c r="F46" s="490"/>
      <c r="G46" s="490"/>
      <c r="H46" s="490"/>
      <c r="I46" s="490"/>
      <c r="J46" s="490"/>
      <c r="K46" s="563"/>
      <c r="L46" s="563"/>
      <c r="M46" s="545"/>
      <c r="N46" s="545"/>
      <c r="O46" s="565"/>
      <c r="P46" s="574">
        <f t="shared" si="3"/>
        <v>8.1628571428571425E-2</v>
      </c>
      <c r="Q46" s="591">
        <f>+P46*(D46+E46*0.91667+F46*0.83333+G46*0.75+H46*0.66667+I46*7/12+J46*6/12+K46*5/12+L46*4/12+M46*3/12+N46*2/12+O46*1/12)+P46*1.5*SUM(D46:O46)</f>
        <v>0</v>
      </c>
    </row>
    <row r="47" spans="1:17">
      <c r="A47" s="516"/>
      <c r="B47" s="489"/>
      <c r="C47" s="489"/>
      <c r="D47" s="524"/>
      <c r="E47" s="490"/>
      <c r="F47" s="490"/>
      <c r="G47" s="490"/>
      <c r="H47" s="490"/>
      <c r="I47" s="490"/>
      <c r="J47" s="490"/>
      <c r="K47" s="563"/>
      <c r="L47" s="563"/>
      <c r="M47" s="545"/>
      <c r="N47" s="545"/>
      <c r="O47" s="565"/>
      <c r="P47" s="574">
        <f t="shared" si="3"/>
        <v>8.1628571428571425E-2</v>
      </c>
      <c r="Q47" s="591">
        <f t="shared" si="2"/>
        <v>0</v>
      </c>
    </row>
    <row r="48" spans="1:17">
      <c r="A48" s="516"/>
      <c r="B48" s="489"/>
      <c r="C48" s="489"/>
      <c r="D48" s="524"/>
      <c r="E48" s="490"/>
      <c r="F48" s="490"/>
      <c r="G48" s="490"/>
      <c r="H48" s="490"/>
      <c r="I48" s="490"/>
      <c r="J48" s="490"/>
      <c r="K48" s="563"/>
      <c r="L48" s="563"/>
      <c r="M48" s="545"/>
      <c r="N48" s="545"/>
      <c r="O48" s="565"/>
      <c r="P48" s="574">
        <f t="shared" si="3"/>
        <v>8.1628571428571425E-2</v>
      </c>
      <c r="Q48" s="591">
        <f t="shared" si="2"/>
        <v>0</v>
      </c>
    </row>
    <row r="49" spans="1:17">
      <c r="A49" s="516"/>
      <c r="B49" s="489"/>
      <c r="C49" s="489"/>
      <c r="D49" s="524"/>
      <c r="E49" s="490"/>
      <c r="F49" s="490"/>
      <c r="G49" s="490"/>
      <c r="H49" s="490"/>
      <c r="I49" s="490"/>
      <c r="J49" s="490"/>
      <c r="K49" s="563"/>
      <c r="L49" s="563"/>
      <c r="M49" s="545"/>
      <c r="N49" s="545"/>
      <c r="O49" s="565"/>
      <c r="P49" s="574">
        <f t="shared" si="3"/>
        <v>8.1628571428571425E-2</v>
      </c>
      <c r="Q49" s="591">
        <f t="shared" si="2"/>
        <v>0</v>
      </c>
    </row>
    <row r="50" spans="1:17">
      <c r="A50" s="516"/>
      <c r="B50" s="489"/>
      <c r="C50" s="489"/>
      <c r="D50" s="524"/>
      <c r="E50" s="490"/>
      <c r="F50" s="490"/>
      <c r="G50" s="490"/>
      <c r="H50" s="490"/>
      <c r="I50" s="490"/>
      <c r="J50" s="490"/>
      <c r="K50" s="563"/>
      <c r="L50" s="563"/>
      <c r="M50" s="545"/>
      <c r="N50" s="545"/>
      <c r="O50" s="565"/>
      <c r="P50" s="574">
        <f t="shared" si="3"/>
        <v>8.1628571428571425E-2</v>
      </c>
      <c r="Q50" s="591">
        <f t="shared" si="2"/>
        <v>0</v>
      </c>
    </row>
    <row r="51" spans="1:17">
      <c r="A51" s="516"/>
      <c r="B51" s="489"/>
      <c r="C51" s="489"/>
      <c r="D51" s="524"/>
      <c r="E51" s="490"/>
      <c r="F51" s="490"/>
      <c r="G51" s="490"/>
      <c r="H51" s="490"/>
      <c r="I51" s="490"/>
      <c r="J51" s="490"/>
      <c r="K51" s="563"/>
      <c r="L51" s="563"/>
      <c r="M51" s="545"/>
      <c r="N51" s="545"/>
      <c r="O51" s="565"/>
      <c r="P51" s="574">
        <f t="shared" si="3"/>
        <v>8.1628571428571425E-2</v>
      </c>
      <c r="Q51" s="591">
        <f t="shared" si="2"/>
        <v>0</v>
      </c>
    </row>
    <row r="52" spans="1:17">
      <c r="A52" s="516"/>
      <c r="B52" s="471"/>
      <c r="C52" s="471"/>
      <c r="D52" s="528"/>
      <c r="E52" s="566"/>
      <c r="F52" s="301"/>
      <c r="G52" s="566"/>
      <c r="H52" s="302"/>
      <c r="I52" s="301"/>
      <c r="J52" s="301"/>
      <c r="K52" s="301"/>
      <c r="L52" s="301"/>
      <c r="M52" s="567"/>
      <c r="N52" s="567"/>
      <c r="O52" s="568"/>
      <c r="P52" s="575"/>
      <c r="Q52" s="579"/>
    </row>
    <row r="53" spans="1:17">
      <c r="A53" s="516"/>
      <c r="B53" s="296"/>
      <c r="C53" s="296"/>
      <c r="D53" s="561"/>
      <c r="E53" s="561"/>
      <c r="F53" s="561"/>
      <c r="G53" s="561"/>
      <c r="H53" s="561"/>
      <c r="I53" s="561"/>
      <c r="J53" s="561"/>
      <c r="K53" s="561"/>
      <c r="L53" s="561"/>
    </row>
    <row r="54" spans="1:17">
      <c r="A54" s="516"/>
      <c r="B54" s="296" t="s">
        <v>503</v>
      </c>
      <c r="C54" s="296"/>
      <c r="D54" s="530"/>
      <c r="E54" s="530"/>
      <c r="F54" s="530"/>
      <c r="G54" s="530"/>
      <c r="H54" s="530"/>
      <c r="I54" s="530"/>
      <c r="J54" s="530"/>
      <c r="K54" s="530"/>
      <c r="L54" s="530"/>
    </row>
    <row r="55" spans="1:17">
      <c r="A55" s="516"/>
      <c r="B55" s="296" t="s">
        <v>655</v>
      </c>
      <c r="C55" s="296"/>
      <c r="D55" s="530"/>
      <c r="E55" s="530"/>
      <c r="F55" s="530"/>
      <c r="G55" s="530"/>
      <c r="H55" s="131"/>
      <c r="I55" s="131"/>
      <c r="J55" s="131"/>
      <c r="K55" s="131"/>
      <c r="L55" s="530"/>
    </row>
    <row r="56" spans="1:17">
      <c r="A56" s="516"/>
      <c r="B56" s="296" t="s">
        <v>656</v>
      </c>
      <c r="C56" s="296"/>
      <c r="D56" s="530"/>
      <c r="E56" s="530"/>
      <c r="F56" s="530"/>
      <c r="G56" s="530"/>
      <c r="H56" s="131"/>
      <c r="I56" s="131"/>
      <c r="J56" s="131"/>
      <c r="K56" s="131"/>
      <c r="L56" s="530"/>
    </row>
    <row r="70"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65"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Application xmlns="http://www.sap.com/cof/excel/application">
  <Version>2</Version>
  <Revision>2.8.2000.1138</Revision>
</Application>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48DE81EE-0463-4944-870A-8022628B4A30}">
  <ds:schemaRefs>
    <ds:schemaRef ds:uri="http://www.sap.com/cof/excel/application"/>
  </ds:schemaRefs>
</ds:datastoreItem>
</file>

<file path=customXml/itemProps3.xml><?xml version="1.0" encoding="utf-8"?>
<ds:datastoreItem xmlns:ds="http://schemas.openxmlformats.org/officeDocument/2006/customXml" ds:itemID="{988DBC8E-E135-4F5E-ADEE-BD14D77AAFE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Attachment H</vt:lpstr>
      <vt:lpstr>1-Project Rev Req</vt:lpstr>
      <vt:lpstr>2-Incentive ROE</vt:lpstr>
      <vt:lpstr>3-Project True-up</vt:lpstr>
      <vt:lpstr>4- Rate Base</vt:lpstr>
      <vt:lpstr>4a-Projection ADIT</vt:lpstr>
      <vt:lpstr>5-P3 Support</vt:lpstr>
      <vt:lpstr>6-True-Up Interest</vt:lpstr>
      <vt:lpstr>8-Dep Rates</vt:lpstr>
      <vt:lpstr>7 - PBOP</vt:lpstr>
      <vt:lpstr>'1-Project Rev Req'!Print_Area</vt:lpstr>
      <vt:lpstr>'2-Incentive ROE'!Print_Area</vt:lpstr>
      <vt:lpstr>'4- Rate Base'!Print_Area</vt:lpstr>
      <vt:lpstr>'4a-Projection ADIT'!Print_Area</vt:lpstr>
      <vt:lpstr>'5-P3 Support'!Print_Area</vt:lpstr>
      <vt:lpstr>'7 - PBOP'!Print_Area</vt:lpstr>
      <vt:lpstr>'8-Dep Rates'!Print_Area</vt:lpstr>
      <vt:lpstr>'Attachment H'!Print_Area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Hollis, Gabriel</dc:creator>
  <cp:lastModifiedBy>Beilhart, Alex</cp:lastModifiedBy>
  <cp:lastPrinted>2025-06-20T20:44:09Z</cp:lastPrinted>
  <dcterms:created xsi:type="dcterms:W3CDTF">2020-03-10T19:08:26Z</dcterms:created>
  <dcterms:modified xsi:type="dcterms:W3CDTF">2025-06-20T20:44:40Z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