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https://nee-my.sharepoint.com/personal/lxf0i36_fpl_com/Documents/Documents/Laura/0.02- NEET/Regulatory Proceedings/NEET MA/True-Up Q&amp;A/Keryn Newman/"/>
    </mc:Choice>
  </mc:AlternateContent>
  <xr:revisionPtr revIDLastSave="0" documentId="8_{5A558170-36DA-4029-9F46-03929E4B0F7D}" xr6:coauthVersionLast="47" xr6:coauthVersionMax="47" xr10:uidLastSave="{00000000-0000-0000-0000-000000000000}"/>
  <bookViews>
    <workbookView xWindow="-120" yWindow="-120" windowWidth="29040" windowHeight="15720" tabRatio="815" firstSheet="1" activeTab="14" xr2:uid="{00000000-000D-0000-FFFF-FFFF00000000}"/>
  </bookViews>
  <sheets>
    <sheet name="_com.sap.ip.bi.xl.hiddensheet" sheetId="34" state="veryHidden" r:id="rId1"/>
    <sheet name="Attachment H" sheetId="1" r:id="rId2"/>
    <sheet name="1-Project Rev Req" sheetId="2" r:id="rId3"/>
    <sheet name="2-Incentive ROE" sheetId="16" r:id="rId4"/>
    <sheet name="3-Project True-up" sheetId="21" r:id="rId5"/>
    <sheet name="4- Rate Base" sheetId="5" r:id="rId6"/>
    <sheet name="4a-Projection ADIT" sheetId="26" r:id="rId7"/>
    <sheet name="5-P3 Support" sheetId="6" r:id="rId8"/>
    <sheet name="6-True-Up Interest" sheetId="7" r:id="rId9"/>
    <sheet name="7 - PBOP" sheetId="17" r:id="rId10"/>
    <sheet name="8-Dep Rates" sheetId="13" r:id="rId11"/>
    <sheet name="2025 Plant-in-Service" sheetId="67" r:id="rId12"/>
    <sheet name="2025 Expenses" sheetId="69" r:id="rId13"/>
    <sheet name="CWIP" sheetId="68" r:id="rId14"/>
    <sheet name="Taxes" sheetId="72" r:id="rId15"/>
    <sheet name="Depreciation" sheetId="7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0" localSheetId="14">#REF!</definedName>
    <definedName name="\0">#REF!</definedName>
    <definedName name="\a" localSheetId="14">#REF!</definedName>
    <definedName name="\a">#REF!</definedName>
    <definedName name="\b">#REF!</definedName>
    <definedName name="\c">#REF!</definedName>
    <definedName name="\d">#REF!</definedName>
    <definedName name="\e">#REF!</definedName>
    <definedName name="\f">#REF!</definedName>
    <definedName name="\j">#REF!</definedName>
    <definedName name="\m">#REF!</definedName>
    <definedName name="\p">#REF!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dat1111">#REF!</definedName>
    <definedName name="____dat1111">#REF!</definedName>
    <definedName name="____n4" localSheetId="14" hidden="1">{"EXCELHLP.HLP!1802";5;10;5;10;13;13;13;8;5;5;10;14;13;13;13;13;5;10;14;13;5;10;1;2;24}</definedName>
    <definedName name="____n4" hidden="1">{"EXCELHLP.HLP!1802";5;10;5;10;13;13;13;8;5;5;10;14;13;13;13;13;5;10;14;13;5;10;1;2;24}</definedName>
    <definedName name="___dat1111">#REF!</definedName>
    <definedName name="___n4" localSheetId="14" hidden="1">{"EXCELHLP.HLP!1802";5;10;5;10;13;13;13;8;5;5;10;14;13;13;13;13;5;10;14;13;5;10;1;2;24}</definedName>
    <definedName name="___n4" hidden="1">{"EXCELHLP.HLP!1802";5;10;5;10;13;13;13;8;5;5;10;14;13;13;13;13;5;10;14;13;5;10;1;2;24}</definedName>
    <definedName name="__1__123Graph_ACHART_1" localSheetId="14" hidden="1">[1]DSAR!$BY$6:$BY$32</definedName>
    <definedName name="__1__123Graph_ACHART_1" hidden="1">#REF!</definedName>
    <definedName name="__10__123Graph_XMKT_STOR" localSheetId="14" hidden="1">[1]DSAR!$A$6:$A$32</definedName>
    <definedName name="__10__123Graph_XMKT_STOR" hidden="1">#REF!</definedName>
    <definedName name="__11__123Graph_XX_ACTUAL" localSheetId="14" hidden="1">[1]DSAR!$A$6:$A$32</definedName>
    <definedName name="__11__123Graph_XX_ACTUAL" hidden="1">#REF!</definedName>
    <definedName name="__123Graph_A" localSheetId="14" hidden="1">'[2]Cash Flow'!#REF!</definedName>
    <definedName name="__123Graph_A" hidden="1">#REF!</definedName>
    <definedName name="__123Graph_A1991" localSheetId="14" hidden="1">[3]Sheet3!#REF!</definedName>
    <definedName name="__123Graph_A1991" hidden="1">#REF!</definedName>
    <definedName name="__123Graph_A1992" localSheetId="14" hidden="1">[3]Sheet3!#REF!</definedName>
    <definedName name="__123Graph_A1992" hidden="1">#REF!</definedName>
    <definedName name="__123Graph_A1993" localSheetId="14" hidden="1">[3]Sheet3!#REF!</definedName>
    <definedName name="__123Graph_A1993" hidden="1">#REF!</definedName>
    <definedName name="__123Graph_A1994" localSheetId="14" hidden="1">[3]Sheet3!#REF!</definedName>
    <definedName name="__123Graph_A1994" hidden="1">#REF!</definedName>
    <definedName name="__123Graph_A1995" localSheetId="14" hidden="1">[3]Sheet3!#REF!</definedName>
    <definedName name="__123Graph_A1995" hidden="1">#REF!</definedName>
    <definedName name="__123Graph_A1996" localSheetId="14" hidden="1">[3]Sheet3!#REF!</definedName>
    <definedName name="__123Graph_A1996" hidden="1">#REF!</definedName>
    <definedName name="__123Graph_ABAR" localSheetId="14" hidden="1">[3]Sheet3!#REF!</definedName>
    <definedName name="__123Graph_ABAR" hidden="1">#REF!</definedName>
    <definedName name="__123Graph_ACCMS" localSheetId="14" hidden="1">[1]DSAR!$J$6:$J$32</definedName>
    <definedName name="__123Graph_ACCMS" hidden="1">#REF!</definedName>
    <definedName name="__123Graph_ACCSP" localSheetId="14" hidden="1">[1]DSAR!$K$6:$K$32</definedName>
    <definedName name="__123Graph_ACCSP" hidden="1">#REF!</definedName>
    <definedName name="__123Graph_ACG" localSheetId="14" hidden="1">[1]DSAR!$I$6:$I$32</definedName>
    <definedName name="__123Graph_ACG" hidden="1">#REF!</definedName>
    <definedName name="__123Graph_ACM" localSheetId="14" hidden="1">[1]DSAR!$D$6:$D$32</definedName>
    <definedName name="__123Graph_ACM" hidden="1">#REF!</definedName>
    <definedName name="__123Graph_ACMS" localSheetId="14" hidden="1">[1]DSAR!$H$6:$H$32</definedName>
    <definedName name="__123Graph_ACMS" hidden="1">#REF!</definedName>
    <definedName name="__123Graph_ACSP" localSheetId="14" hidden="1">[1]DSAR!$G$6:$G$32</definedName>
    <definedName name="__123Graph_ACSP" hidden="1">#REF!</definedName>
    <definedName name="__123Graph_AHG" localSheetId="14" hidden="1">[1]DSAR!$B$6:$B$32</definedName>
    <definedName name="__123Graph_AHG" hidden="1">#REF!</definedName>
    <definedName name="__123Graph_AHMS" localSheetId="14" hidden="1">[1]DSAR!$C$6:$C$32</definedName>
    <definedName name="__123Graph_AHMS" hidden="1">#REF!</definedName>
    <definedName name="__123Graph_AILL" localSheetId="14" hidden="1">[1]DSAR!$AL$6:$AL$23</definedName>
    <definedName name="__123Graph_AILL" hidden="1">#REF!</definedName>
    <definedName name="__123Graph_AIOWA" localSheetId="14" hidden="1">[1]DSAR!$W$6:$W$31</definedName>
    <definedName name="__123Graph_AIOWA" hidden="1">#REF!</definedName>
    <definedName name="__123Graph_AKEOTA" localSheetId="14" hidden="1">[1]DSAR!$F$6:$F$32</definedName>
    <definedName name="__123Graph_AKEOTA" hidden="1">#REF!</definedName>
    <definedName name="__123Graph_ALOUD" localSheetId="14" hidden="1">[1]DSAR!$E$6:$E$32</definedName>
    <definedName name="__123Graph_ALOUD" hidden="1">#REF!</definedName>
    <definedName name="__123Graph_ANL" localSheetId="14" hidden="1">[1]DSAR!$M$6:$M$32</definedName>
    <definedName name="__123Graph_ANL" hidden="1">#REF!</definedName>
    <definedName name="__123Graph_ASAY" localSheetId="14" hidden="1">[1]DSAR!$L$6:$L$32</definedName>
    <definedName name="__123Graph_ASAY" hidden="1">#REF!</definedName>
    <definedName name="__123Graph_ATOTSYS" localSheetId="14" hidden="1">[1]DSAR!$T$6:$T$23</definedName>
    <definedName name="__123Graph_ATOTSYS" hidden="1">#REF!</definedName>
    <definedName name="__123Graph_B" localSheetId="14" hidden="1">[3]Sheet3!#REF!</definedName>
    <definedName name="__123Graph_B" hidden="1">#REF!</definedName>
    <definedName name="__123Graph_B1991" localSheetId="14" hidden="1">[3]Sheet3!#REF!</definedName>
    <definedName name="__123Graph_B1991" hidden="1">#REF!</definedName>
    <definedName name="__123Graph_B1992" localSheetId="14" hidden="1">[3]Sheet3!#REF!</definedName>
    <definedName name="__123Graph_B1992" hidden="1">#REF!</definedName>
    <definedName name="__123Graph_B1993" localSheetId="14" hidden="1">[3]Sheet3!#REF!</definedName>
    <definedName name="__123Graph_B1993" hidden="1">#REF!</definedName>
    <definedName name="__123Graph_B1994" localSheetId="14" hidden="1">[3]Sheet3!#REF!</definedName>
    <definedName name="__123Graph_B1994" hidden="1">#REF!</definedName>
    <definedName name="__123Graph_B1995" localSheetId="14" hidden="1">[3]Sheet3!#REF!</definedName>
    <definedName name="__123Graph_B1995" hidden="1">#REF!</definedName>
    <definedName name="__123Graph_B1996" localSheetId="14" hidden="1">[3]Sheet3!#REF!</definedName>
    <definedName name="__123Graph_B1996" hidden="1">#REF!</definedName>
    <definedName name="__123Graph_BBAR" localSheetId="14" hidden="1">[3]Sheet3!#REF!</definedName>
    <definedName name="__123Graph_BBAR" hidden="1">#REF!</definedName>
    <definedName name="__123Graph_BCCMS" localSheetId="14" hidden="1">[1]DSAR!$BM$6:$BM$32</definedName>
    <definedName name="__123Graph_BCCMS" hidden="1">#REF!</definedName>
    <definedName name="__123Graph_BCCSP" localSheetId="14" hidden="1">[1]DSAR!$BN$6:$BN$32</definedName>
    <definedName name="__123Graph_BCCSP" hidden="1">#REF!</definedName>
    <definedName name="__123Graph_BCG" localSheetId="14" hidden="1">[1]DSAR!$BO$6:$BO$32</definedName>
    <definedName name="__123Graph_BCG" hidden="1">#REF!</definedName>
    <definedName name="__123Graph_BCM" localSheetId="14" hidden="1">[1]DSAR!$BQ$6:$BQ$32</definedName>
    <definedName name="__123Graph_BCM" hidden="1">#REF!</definedName>
    <definedName name="__123Graph_BCMS" localSheetId="14" hidden="1">[1]DSAR!$BL$6:$BL$32</definedName>
    <definedName name="__123Graph_BCMS" hidden="1">#REF!</definedName>
    <definedName name="__123Graph_BCSP" localSheetId="14" hidden="1">[1]DSAR!$BK$6:$BK$32</definedName>
    <definedName name="__123Graph_BCSP" hidden="1">#REF!</definedName>
    <definedName name="__123Graph_BHG" localSheetId="14" hidden="1">[1]DSAR!$BS$6:$BS$32</definedName>
    <definedName name="__123Graph_BHG" hidden="1">#REF!</definedName>
    <definedName name="__123Graph_BHMS" localSheetId="14" hidden="1">[1]DSAR!$BR$6:$BR$32</definedName>
    <definedName name="__123Graph_BHMS" hidden="1">#REF!</definedName>
    <definedName name="__123Graph_BILL" localSheetId="14" hidden="1">[1]DSAR!$AM$6:$AM$32</definedName>
    <definedName name="__123Graph_BILL" hidden="1">#REF!</definedName>
    <definedName name="__123Graph_BIOWA" localSheetId="14" hidden="1">[1]DSAR!$X$6:$X$32</definedName>
    <definedName name="__123Graph_BIOWA" hidden="1">#REF!</definedName>
    <definedName name="__123Graph_BKEOTA" localSheetId="14" hidden="1">[1]DSAR!$BJ$6:$BJ$32</definedName>
    <definedName name="__123Graph_BKEOTA" hidden="1">#REF!</definedName>
    <definedName name="__123Graph_BLOUD" localSheetId="14" hidden="1">[1]DSAR!$BP$6:$BP$32</definedName>
    <definedName name="__123Graph_BLOUD" hidden="1">#REF!</definedName>
    <definedName name="__123Graph_BNL" localSheetId="14" hidden="1">[1]DSAR!$AA$6:$AA$32</definedName>
    <definedName name="__123Graph_BNL" hidden="1">#REF!</definedName>
    <definedName name="__123Graph_BSAY" localSheetId="14" hidden="1">[1]DSAR!$AF$6:$AF$32</definedName>
    <definedName name="__123Graph_BSAY" hidden="1">#REF!</definedName>
    <definedName name="__123Graph_BTOTSYS" localSheetId="14" hidden="1">[1]DSAR!$U$6:$U$32</definedName>
    <definedName name="__123Graph_BTOTSYS" hidden="1">#REF!</definedName>
    <definedName name="__123Graph_C" localSheetId="14" hidden="1">[1]DSAR!$AW$6:$AW$23</definedName>
    <definedName name="__123Graph_C" hidden="1">#REF!</definedName>
    <definedName name="__123Graph_CBAR" localSheetId="14" hidden="1">[3]Sheet3!#REF!</definedName>
    <definedName name="__123Graph_CBAR" hidden="1">#REF!</definedName>
    <definedName name="__123Graph_CCCMS" localSheetId="14" hidden="1">[1]DSAR!$AY$6:$AY$29</definedName>
    <definedName name="__123Graph_CCCMS" hidden="1">#REF!</definedName>
    <definedName name="__123Graph_CCCSP" localSheetId="14" hidden="1">[1]DSAR!$AZ$6:$AZ$29</definedName>
    <definedName name="__123Graph_CCCSP" hidden="1">#REF!</definedName>
    <definedName name="__123Graph_CCG" localSheetId="14" hidden="1">[1]DSAR!$BA$6:$BA$29</definedName>
    <definedName name="__123Graph_CCG" hidden="1">#REF!</definedName>
    <definedName name="__123Graph_CCM" localSheetId="14" hidden="1">[1]DSAR!$BC$6:$BC$31</definedName>
    <definedName name="__123Graph_CCM" hidden="1">#REF!</definedName>
    <definedName name="__123Graph_CCMS" localSheetId="14" hidden="1">[1]DSAR!$AX$6:$AX$31</definedName>
    <definedName name="__123Graph_CCMS" hidden="1">#REF!</definedName>
    <definedName name="__123Graph_CCSP" localSheetId="14" hidden="1">[1]DSAR!$AW$6:$AW$31</definedName>
    <definedName name="__123Graph_CCSP" hidden="1">#REF!</definedName>
    <definedName name="__123Graph_CHG" localSheetId="14" hidden="1">[1]DSAR!$BE$6:$BE$29</definedName>
    <definedName name="__123Graph_CHG" hidden="1">#REF!</definedName>
    <definedName name="__123Graph_CHMS" localSheetId="14" hidden="1">[1]DSAR!$BD$6:$BD$29</definedName>
    <definedName name="__123Graph_CHMS" hidden="1">#REF!</definedName>
    <definedName name="__123Graph_CILL" localSheetId="14" hidden="1">[1]DSAR!$AN$6:$AN$23</definedName>
    <definedName name="__123Graph_CILL" hidden="1">#REF!</definedName>
    <definedName name="__123Graph_CIOWA" localSheetId="14" hidden="1">[1]DSAR!$Y$6:$Y$31</definedName>
    <definedName name="__123Graph_CIOWA" hidden="1">#REF!</definedName>
    <definedName name="__123Graph_CKEOTA" localSheetId="14" hidden="1">[1]DSAR!$AV$6:$AV$31</definedName>
    <definedName name="__123Graph_CKEOTA" hidden="1">#REF!</definedName>
    <definedName name="__123Graph_CLOUD" localSheetId="14" hidden="1">[1]DSAR!$BB$6:$BB$29</definedName>
    <definedName name="__123Graph_CLOUD" hidden="1">#REF!</definedName>
    <definedName name="__123Graph_CNL" localSheetId="14" hidden="1">[1]DSAR!$AB$6:$AB$30</definedName>
    <definedName name="__123Graph_CNL" hidden="1">#REF!</definedName>
    <definedName name="__123Graph_CSAY" localSheetId="14" hidden="1">[1]DSAR!$AG$6:$AG$30</definedName>
    <definedName name="__123Graph_CSAY" hidden="1">#REF!</definedName>
    <definedName name="__123Graph_CTOTSYS" localSheetId="14" hidden="1">[1]DSAR!$V$6:$V$23</definedName>
    <definedName name="__123Graph_CTOTSYS" hidden="1">#REF!</definedName>
    <definedName name="__123Graph_DBAR" localSheetId="14" hidden="1">[3]Sheet3!#REF!</definedName>
    <definedName name="__123Graph_DBAR" hidden="1">#REF!</definedName>
    <definedName name="__123Graph_EBAR" localSheetId="14" hidden="1">[3]Sheet3!#REF!</definedName>
    <definedName name="__123Graph_EBAR" hidden="1">#REF!</definedName>
    <definedName name="__123Graph_FBAR" localSheetId="14" hidden="1">[3]Sheet3!#REF!</definedName>
    <definedName name="__123Graph_FBAR" hidden="1">#REF!</definedName>
    <definedName name="__123Graph_X" localSheetId="14" hidden="1">[3]Sheet3!#REF!</definedName>
    <definedName name="__123Graph_X" hidden="1">#REF!</definedName>
    <definedName name="__123Graph_X1991" localSheetId="14" hidden="1">[3]Sheet3!#REF!</definedName>
    <definedName name="__123Graph_X1991" hidden="1">#REF!</definedName>
    <definedName name="__123Graph_X1992" localSheetId="14" hidden="1">[3]Sheet3!#REF!</definedName>
    <definedName name="__123Graph_X1992" hidden="1">#REF!</definedName>
    <definedName name="__123Graph_X1993" localSheetId="14" hidden="1">[3]Sheet3!#REF!</definedName>
    <definedName name="__123Graph_X1993" hidden="1">#REF!</definedName>
    <definedName name="__123Graph_X1994" localSheetId="14" hidden="1">[3]Sheet3!#REF!</definedName>
    <definedName name="__123Graph_X1994" hidden="1">#REF!</definedName>
    <definedName name="__123Graph_X1995" localSheetId="14" hidden="1">[3]Sheet3!#REF!</definedName>
    <definedName name="__123Graph_X1995" hidden="1">#REF!</definedName>
    <definedName name="__123Graph_X1996" localSheetId="14" hidden="1">[3]Sheet3!#REF!</definedName>
    <definedName name="__123Graph_X1996" hidden="1">#REF!</definedName>
    <definedName name="__123Graph_XCCMS" localSheetId="14" hidden="1">[1]DSAR!$A$6:$A$32</definedName>
    <definedName name="__123Graph_XCCMS" hidden="1">#REF!</definedName>
    <definedName name="__123Graph_XCCSP" localSheetId="14" hidden="1">[1]DSAR!$A$6:$A$32</definedName>
    <definedName name="__123Graph_XCCSP" hidden="1">#REF!</definedName>
    <definedName name="__123Graph_XCG" localSheetId="14" hidden="1">[1]DSAR!$A$6:$A$32</definedName>
    <definedName name="__123Graph_XCG" hidden="1">#REF!</definedName>
    <definedName name="__123Graph_XCM" localSheetId="14" hidden="1">[1]DSAR!$A$6:$A$32</definedName>
    <definedName name="__123Graph_XCM" hidden="1">#REF!</definedName>
    <definedName name="__123Graph_XCMS" localSheetId="14" hidden="1">[1]DSAR!$A$6:$A$32</definedName>
    <definedName name="__123Graph_XCMS" hidden="1">#REF!</definedName>
    <definedName name="__123Graph_XCSP" localSheetId="14" hidden="1">[1]DSAR!$A$6:$A$32</definedName>
    <definedName name="__123Graph_XCSP" hidden="1">#REF!</definedName>
    <definedName name="__123Graph_XHG" localSheetId="14" hidden="1">[1]DSAR!$A$6:$A$32</definedName>
    <definedName name="__123Graph_XHG" hidden="1">#REF!</definedName>
    <definedName name="__123Graph_XHMS" localSheetId="14" hidden="1">[1]DSAR!$A$6:$A$32</definedName>
    <definedName name="__123Graph_XHMS" hidden="1">#REF!</definedName>
    <definedName name="__123Graph_XILL" localSheetId="14" hidden="1">[1]DSAR!$A$6:$A$32</definedName>
    <definedName name="__123Graph_XILL" hidden="1">#REF!</definedName>
    <definedName name="__123Graph_XIOWA" localSheetId="14" hidden="1">[1]DSAR!$A$6:$A$32</definedName>
    <definedName name="__123Graph_XIOWA" hidden="1">#REF!</definedName>
    <definedName name="__123Graph_XKEOTA" localSheetId="14" hidden="1">[1]DSAR!$A$6:$A$32</definedName>
    <definedName name="__123Graph_XKEOTA" hidden="1">#REF!</definedName>
    <definedName name="__123Graph_XLOUD" localSheetId="14" hidden="1">[1]DSAR!$A$6:$A$32</definedName>
    <definedName name="__123Graph_XLOUD" hidden="1">#REF!</definedName>
    <definedName name="__123Graph_XNL" localSheetId="14" hidden="1">[1]DSAR!$A$6:$A$32</definedName>
    <definedName name="__123Graph_XNL" hidden="1">#REF!</definedName>
    <definedName name="__123Graph_XSAY" localSheetId="14" hidden="1">[1]DSAR!$A$6:$A$32</definedName>
    <definedName name="__123Graph_XSAY" hidden="1">#REF!</definedName>
    <definedName name="__123Graph_XTOTSYS" localSheetId="14" hidden="1">[1]DSAR!$A$6:$A$32</definedName>
    <definedName name="__123Graph_XTOTSYS" hidden="1">#REF!</definedName>
    <definedName name="__2__123Graph_AMKT_STOR" localSheetId="14" hidden="1">[1]DSAR!$AR$6:$AR$23</definedName>
    <definedName name="__2__123Graph_AMKT_STOR" hidden="1">#REF!</definedName>
    <definedName name="__3__123Graph_AX_ACTUAL" localSheetId="14" hidden="1">[1]DSAR!$P$6:$P$32</definedName>
    <definedName name="__3__123Graph_AX_ACTUAL" hidden="1">#REF!</definedName>
    <definedName name="__4__123Graph_BCHART_1" localSheetId="14" hidden="1">[1]DSAR!$CB$6:$CB$9</definedName>
    <definedName name="__4__123Graph_BCHART_1" hidden="1">#REF!</definedName>
    <definedName name="__5__123Graph_BMKT_STOR" localSheetId="14" hidden="1">[1]DSAR!$AS$6:$AS$32</definedName>
    <definedName name="__5__123Graph_BMKT_STOR" hidden="1">#REF!</definedName>
    <definedName name="__6__123Graph_CCHART_1" localSheetId="14" hidden="1">[1]DSAR!$CD$6:$CD$32</definedName>
    <definedName name="__6__123Graph_CCHART_1" hidden="1">#REF!</definedName>
    <definedName name="__7__123Graph_CMKT_STOR" localSheetId="14" hidden="1">[1]DSAR!$AT$6:$AT$23</definedName>
    <definedName name="__7__123Graph_CMKT_STOR" hidden="1">#REF!</definedName>
    <definedName name="__8__123Graph_CX_ACTUAL" localSheetId="14" hidden="1">[1]DSAR!$S$6:$S$23</definedName>
    <definedName name="__8__123Graph_CX_ACTUAL" hidden="1">#REF!</definedName>
    <definedName name="__9__123Graph_XCHART_1" localSheetId="14" hidden="1">[1]DSAR!$A$6:$A$32</definedName>
    <definedName name="__9__123Graph_XCHART_1" hidden="1">#REF!</definedName>
    <definedName name="__dat1111" localSheetId="14">#REF!</definedName>
    <definedName name="__dat1111">#REF!</definedName>
    <definedName name="__FDS_HYPERLINK_TOGGLE_STATE__" hidden="1">"ON"</definedName>
    <definedName name="__n4" localSheetId="14" hidden="1">{"EXCELHLP.HLP!1802";5;10;5;10;13;13;13;8;5;5;10;14;13;13;13;13;5;10;14;13;5;10;1;2;24}</definedName>
    <definedName name="__n4" hidden="1">{"EXCELHLP.HLP!1802";5;10;5;10;13;13;13;8;5;5;10;14;13;13;13;13;5;10;14;13;5;10;1;2;24}</definedName>
    <definedName name="__rm9" localSheetId="14" hidden="1">{"detail305",#N/A,FALSE,"BI-305"}</definedName>
    <definedName name="__rm9" hidden="1">{"detail305",#N/A,FALSE,"BI-305"}</definedName>
    <definedName name="__WSH7">#REF!</definedName>
    <definedName name="_1__123Graph_ACHART_1" localSheetId="14" hidden="1">[1]DSAR!$BY$6:$BY$32</definedName>
    <definedName name="_1__123Graph_ACHART_1" hidden="1">#REF!</definedName>
    <definedName name="_1_0c" localSheetId="14">'[4]Journal Entry'!#REF!</definedName>
    <definedName name="_1_0c">#REF!</definedName>
    <definedName name="_10__123Graph_XMKT_STOR" localSheetId="14" hidden="1">[1]DSAR!$A$6:$A$32</definedName>
    <definedName name="_10__123Graph_XMKT_STOR" hidden="1">#REF!</definedName>
    <definedName name="_11__123Graph_XX_ACTUAL" localSheetId="14" hidden="1">[1]DSAR!$A$6:$A$32</definedName>
    <definedName name="_11__123Graph_XX_ACTUAL" hidden="1">#REF!</definedName>
    <definedName name="_1E_1">#N/A</definedName>
    <definedName name="_2__123Graph_AMKT_STOR" localSheetId="14" hidden="1">[1]DSAR!$AR$6:$AR$23</definedName>
    <definedName name="_2__123Graph_AMKT_STOR" hidden="1">#REF!</definedName>
    <definedName name="_2_0calculat" localSheetId="14">'[4]Journal Entry'!#REF!</definedName>
    <definedName name="_2_0calculat">#REF!</definedName>
    <definedName name="_3__123Graph_AX_ACTUAL" localSheetId="14" hidden="1">[1]DSAR!$P$6:$P$32</definedName>
    <definedName name="_3__123Graph_AX_ACTUAL" hidden="1">#REF!</definedName>
    <definedName name="_3_0jen" localSheetId="14">'[4]Journal Entry'!#REF!</definedName>
    <definedName name="_3_0jen">#REF!</definedName>
    <definedName name="_31_Dec_00" localSheetId="3">#REF!</definedName>
    <definedName name="_31_Dec_00">#REF!</definedName>
    <definedName name="_31_Jan_01">#REF!</definedName>
    <definedName name="_4__123Graph_BCHART_1" localSheetId="14" hidden="1">[1]DSAR!$CB$6:$CB$9</definedName>
    <definedName name="_4__123Graph_BCHART_1" hidden="1">#REF!</definedName>
    <definedName name="_4c" localSheetId="14">'[4]Journal Entry'!#REF!</definedName>
    <definedName name="_4c">#REF!</definedName>
    <definedName name="_5__123Graph_BMKT_STOR" localSheetId="14" hidden="1">[1]DSAR!$AS$6:$AS$32</definedName>
    <definedName name="_5__123Graph_BMKT_STOR" hidden="1">#REF!</definedName>
    <definedName name="_5calculat" localSheetId="14">'[4]Journal Entry'!#REF!</definedName>
    <definedName name="_5calculat">#REF!</definedName>
    <definedName name="_6__123Graph_CCHART_1" localSheetId="14" hidden="1">[1]DSAR!$CD$6:$CD$32</definedName>
    <definedName name="_6__123Graph_CCHART_1" hidden="1">#REF!</definedName>
    <definedName name="_6jen" localSheetId="14">'[4]Journal Entry'!#REF!</definedName>
    <definedName name="_6jen">#REF!</definedName>
    <definedName name="_7__123Graph_CMKT_STOR" localSheetId="14" hidden="1">[1]DSAR!$AT$6:$AT$23</definedName>
    <definedName name="_7__123Graph_CMKT_STOR" hidden="1">#REF!</definedName>
    <definedName name="_8__123Graph_CX_ACTUAL" localSheetId="14" hidden="1">[1]DSAR!$S$6:$S$23</definedName>
    <definedName name="_8__123Graph_CX_ACTUAL" hidden="1">#REF!</definedName>
    <definedName name="_9__123Graph_XCHART_1" localSheetId="14" hidden="1">[1]DSAR!$A$6:$A$32</definedName>
    <definedName name="_9__123Graph_XCHART_1" hidden="1">#REF!</definedName>
    <definedName name="_a1111" localSheetId="14" hidden="1">{"Cash Budget",#N/A,FALSE,"98 Cash";"Running Cash Budget",#N/A,FALSE,"98 Cash";"Actual Cash",#N/A,FALSE,"98 Cash";"Update Cash Budget",#N/A,FALSE,"98 Cash"}</definedName>
    <definedName name="_a1111" hidden="1">{"Cash Budget",#N/A,FALSE,"98 Cash";"Running Cash Budget",#N/A,FALSE,"98 Cash";"Actual Cash",#N/A,FALSE,"98 Cash";"Update Cash Budget",#N/A,FALSE,"98 Cash"}</definedName>
    <definedName name="_ACD1">#REF!</definedName>
    <definedName name="_ACD2">#REF!</definedName>
    <definedName name="_ACD3">#REF!</definedName>
    <definedName name="_ALK1">#REF!</definedName>
    <definedName name="_ALK2">#REF!</definedName>
    <definedName name="_ALK3">#REF!</definedName>
    <definedName name="_AMO_UniqueIdentifier" hidden="1">"'8403d099-e876-4d31-b913-cb2efff0232f'"</definedName>
    <definedName name="_ATPRegress_Dlg_Results" localSheetId="14"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4" hidden="1">{"EXCELHLP.HLP!1802";5;10;5;10;13;13;13;8;5;5;10;14;13;13;13;13;5;10;14;13;5;10;1;2;24}</definedName>
    <definedName name="_ATPRegress_Dlg_Types" hidden="1">{"EXCELHLP.HLP!1802";5;10;5;10;13;13;13;8;5;5;10;14;13;13;13;13;5;10;14;13;5;10;1;2;24}</definedName>
    <definedName name="_ATPRegress_Range1" localSheetId="14" hidden="1">'[5]ST Corrections'!#REF!</definedName>
    <definedName name="_ATPRegress_Range1" hidden="1">#REF!</definedName>
    <definedName name="_ATPRegress_Range2" localSheetId="14" hidden="1">'[5]ST Corrections'!#REF!</definedName>
    <definedName name="_ATPRegress_Range2" hidden="1">#REF!</definedName>
    <definedName name="_ATPRegress_Range3" localSheetId="14" hidden="1">'[5]ST Corrections'!#REF!</definedName>
    <definedName name="_ATPRegress_Range3" hidden="1">#REF!</definedName>
    <definedName name="_ATPRegress_Range4" hidden="1">"="</definedName>
    <definedName name="_ATPRegress_Range5" hidden="1">"="</definedName>
    <definedName name="_bdm.37E2A9A526F14BE28438D0D77462415E.edm" hidden="1">#REF!</definedName>
    <definedName name="_bdm.67DB5193A043445CAC1F8C017AB81E09.edm" hidden="1">#REF!</definedName>
    <definedName name="_cs1">#REF!</definedName>
    <definedName name="_CS2">#REF!</definedName>
    <definedName name="_dat1111">#REF!</definedName>
    <definedName name="_DIC1">#REF!</definedName>
    <definedName name="_DIC2">#REF!</definedName>
    <definedName name="_Fill" hidden="1">#REF!</definedName>
    <definedName name="_Fill1" hidden="1">#REF!</definedName>
    <definedName name="_FLL2" localSheetId="14" hidden="1">#REF!</definedName>
    <definedName name="_FLL2" hidden="1">#REF!</definedName>
    <definedName name="_Key1" hidden="1">#REF!</definedName>
    <definedName name="_Key2" hidden="1">#REF!</definedName>
    <definedName name="_n4" localSheetId="14" hidden="1">{"EXCELHLP.HLP!1802";5;10;5;10;13;13;13;8;5;5;10;14;13;13;13;13;5;10;14;13;5;10;1;2;24}</definedName>
    <definedName name="_n4" hidden="1">{"EXCELHLP.HLP!1802";5;10;5;10;13;13;13;8;5;5;10;14;13;13;13;13;5;10;14;13;5;10;1;2;24}</definedName>
    <definedName name="_Order1" hidden="1">255</definedName>
    <definedName name="_Order2" hidden="1">255</definedName>
    <definedName name="_PH1">#REF!</definedName>
    <definedName name="_PH2">#REF!</definedName>
    <definedName name="_PH3">#REF!</definedName>
    <definedName name="_pHF1" localSheetId="14">'[6]Lime Soda Softener'!#REF!</definedName>
    <definedName name="_pHF1">#REF!</definedName>
    <definedName name="_PP1" localSheetId="14">#REF!</definedName>
    <definedName name="_PP1">#REF!</definedName>
    <definedName name="_PP2" localSheetId="14">#REF!</definedName>
    <definedName name="_PP2">#REF!</definedName>
    <definedName name="_Regression_Out" localSheetId="14" hidden="1">#REF!</definedName>
    <definedName name="_Regression_Out" hidden="1">#REF!</definedName>
    <definedName name="_Regression_X" hidden="1">#REF!</definedName>
    <definedName name="_Regression_Y" hidden="1">#REF!</definedName>
    <definedName name="_rm9" localSheetId="14" hidden="1">{"detail305",#N/A,FALSE,"BI-305"}</definedName>
    <definedName name="_rm9" hidden="1">{"detail305",#N/A,FALSE,"BI-305"}</definedName>
    <definedName name="_SHT1">#REF!</definedName>
    <definedName name="_SHT2">#N/A</definedName>
    <definedName name="_SHT3">#N/A</definedName>
    <definedName name="_SO4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et12" localSheetId="14" hidden="1">{"assumptions",#N/A,FALSE,"Scenario 1";"valuation",#N/A,FALSE,"Scenario 1"}</definedName>
    <definedName name="_tet12" hidden="1">{"assumptions",#N/A,FALSE,"Scenario 1";"valuation",#N/A,FALSE,"Scenario 1"}</definedName>
    <definedName name="_tet5" localSheetId="14" hidden="1">{"assumptions",#N/A,FALSE,"Scenario 1";"valuation",#N/A,FALSE,"Scenario 1"}</definedName>
    <definedName name="_tet5" hidden="1">{"assumptions",#N/A,FALSE,"Scenario 1";"valuation",#N/A,FALSE,"Scenario 1"}</definedName>
    <definedName name="_WSH7">#REF!</definedName>
    <definedName name="_xlcn.WorksheetConnection_CopyofCableEventCostTrackingCURRENT2.xlsxtable_cable_splice" localSheetId="14" hidden="1">table_cable_splice</definedName>
    <definedName name="_xlcn.WorksheetConnection_CopyofCableEventCostTrackingCURRENT2.xlsxtable_cable_splice" hidden="1">table_cable_splice</definedName>
    <definedName name="_xlcn.WorksheetConnection_CopyofCableEventCostTrackingCURRENT2.xlsxtable_demob" localSheetId="14" hidden="1">table_demob</definedName>
    <definedName name="_xlcn.WorksheetConnection_CopyofCableEventCostTrackingCURRENT2.xlsxtable_demob" hidden="1">table_demob</definedName>
    <definedName name="_xlcn.WorksheetConnection_CopyofCableEventCostTrackingCURRENT2.xlsxtable_inspection" localSheetId="14" hidden="1">table_inspection</definedName>
    <definedName name="_xlcn.WorksheetConnection_CopyofCableEventCostTrackingCURRENT2.xlsxtable_inspection" hidden="1">table_inspection</definedName>
    <definedName name="A" localSheetId="14">#REF!</definedName>
    <definedName name="A">#REF!</definedName>
    <definedName name="aa" localSheetId="14" hidden="1">{"1999 Cash Budget",#N/A,FALSE,"99 Cash";"1999 Cash Budget YTD",#N/A,FALSE,"99 Cash";"1999 Cash Actual/Forcast",#N/A,FALSE,"99 Cash";"1999 Cash Actual/Forcast YTD",#N/A,FALSE,"99 Cash"}</definedName>
    <definedName name="aa" hidden="1">{"1999 Cash Budget",#N/A,FALSE,"99 Cash";"1999 Cash Budget YTD",#N/A,FALSE,"99 Cash";"1999 Cash Actual/Forcast",#N/A,FALSE,"99 Cash";"1999 Cash Actual/Forcast YTD",#N/A,FALSE,"99 Cash"}</definedName>
    <definedName name="aaa" localSheetId="14"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 localSheetId="14" hidden="1">{"1999 Cash Budget",#N/A,FALSE,"99 Cash";"1999 Cash Budget YTD",#N/A,FALSE,"99 Cash";"1999 Cash Actual/Forcast",#N/A,FALSE,"99 Cash";"1999 Cash Actual/Forcast YTD",#N/A,FALSE,"99 Cash"}</definedName>
    <definedName name="aaaa" hidden="1">{"1999 Cash Budget",#N/A,FALSE,"99 Cash";"1999 Cash Budget YTD",#N/A,FALSE,"99 Cash";"1999 Cash Actual/Forcast",#N/A,FALSE,"99 Cash";"1999 Cash Actual/Forcast YTD",#N/A,FALSE,"99 Cash"}</definedName>
    <definedName name="aaaa1" localSheetId="14"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localSheetId="14" hidden="1">{"Income Budget",#N/A,FALSE,"98 Income";"Running GAAP Budget Income",#N/A,FALSE,"98 Income";"GAAP Actual",#N/A,FALSE,"98 Income";"GAAP Varinance",#N/A,FALSE,"98 Income"}</definedName>
    <definedName name="aaaaa" hidden="1">{"Income Budget",#N/A,FALSE,"98 Income";"Running GAAP Budget Income",#N/A,FALSE,"98 Income";"GAAP Actual",#N/A,FALSE,"98 Income";"GAAP Varinance",#N/A,FALSE,"98 Income"}</definedName>
    <definedName name="aaaaaa" localSheetId="14" hidden="1">{"Cash Budget",#N/A,FALSE,"98 Cash";"Running Cash Budget",#N/A,FALSE,"98 Cash";"Actual Cash",#N/A,FALSE,"98 Cash";"Update Cash Budget",#N/A,FALSE,"98 Cash"}</definedName>
    <definedName name="aaaaaa" hidden="1">{"Cash Budget",#N/A,FALSE,"98 Cash";"Running Cash Budget",#N/A,FALSE,"98 Cash";"Actual Cash",#N/A,FALSE,"98 Cash";"Update Cash Budget",#N/A,FALSE,"98 Cash"}</definedName>
    <definedName name="aaaaaaa" localSheetId="14"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localSheetId="14" hidden="1">{"Income Budget",#N/A,FALSE,"98 Income";"Running GAAP Budget Income",#N/A,FALSE,"98 Income";"GAAP Actual",#N/A,FALSE,"98 Income";"GAAP Varinance",#N/A,FALSE,"98 Income"}</definedName>
    <definedName name="aaaaaaaa" hidden="1">{"Income Budget",#N/A,FALSE,"98 Income";"Running GAAP Budget Income",#N/A,FALSE,"98 Income";"GAAP Actual",#N/A,FALSE,"98 Income";"GAAP Varinance",#N/A,FALSE,"98 Income"}</definedName>
    <definedName name="aaaaaaaaaa" localSheetId="14" hidden="1">{"Cash Budget",#N/A,FALSE,"98 Cash";"Running Cash Budget",#N/A,FALSE,"98 Cash";"Actual Cash",#N/A,FALSE,"98 Cash";"Update Cash Budget",#N/A,FALSE,"98 Cash"}</definedName>
    <definedName name="aaaaaaaaaa" hidden="1">{"Cash Budget",#N/A,FALSE,"98 Cash";"Running Cash Budget",#N/A,FALSE,"98 Cash";"Actual Cash",#N/A,FALSE,"98 Cash";"Update Cash Budget",#N/A,FALSE,"98 Cash"}</definedName>
    <definedName name="aaaaaaaaaaaaaaa" localSheetId="14"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bcd" localSheetId="14" hidden="1">{#N/A,#N/A,TRUE,"TOTAL DSBN";#N/A,#N/A,TRUE,"WEST";#N/A,#N/A,TRUE,"SOUTH";#N/A,#N/A,TRUE,"NORTHEAST"}</definedName>
    <definedName name="abcd" hidden="1">{#N/A,#N/A,TRUE,"TOTAL DSBN";#N/A,#N/A,TRUE,"WEST";#N/A,#N/A,TRUE,"SOUTH";#N/A,#N/A,TRUE,"NORTHEAST"}</definedName>
    <definedName name="AC_255">#REF!</definedName>
    <definedName name="Account_List">#REF!</definedName>
    <definedName name="ACDADD">#REF!</definedName>
    <definedName name="ACSR">#REF!</definedName>
    <definedName name="Actual">#REF!</definedName>
    <definedName name="ACwvu.OP." hidden="1">#REF!</definedName>
    <definedName name="AFUDC" localSheetId="14">'[7]VEA Inputs'!$E$86</definedName>
    <definedName name="AFUDC">#REF!</definedName>
    <definedName name="AFUDC_or_Not" localSheetId="14">[8]Sheet1!$K$6:$K$7</definedName>
    <definedName name="AFUDC_or_Not">#REF!</definedName>
    <definedName name="AG_Expense_Rate" localSheetId="14">'[7]VEA Inputs'!$E$94</definedName>
    <definedName name="AG_Expense_Rate">#REF!</definedName>
    <definedName name="Alignment" hidden="1">"a1"</definedName>
    <definedName name="ALKADD">#REF!</definedName>
    <definedName name="ALKF">#REF!</definedName>
    <definedName name="AllASS">#REF!</definedName>
    <definedName name="ALLCGI">#REF!</definedName>
    <definedName name="ALLRD">#REF!</definedName>
    <definedName name="ALLSKP">#REF!</definedName>
    <definedName name="AllTemplate1">#REF!</definedName>
    <definedName name="AllTemplate2">#REF!</definedName>
    <definedName name="Amps">#REF!</definedName>
    <definedName name="Angle_DE_PoleCount" localSheetId="14">[9]Picklist_TeeLine!$S$61:$AC$70</definedName>
    <definedName name="Angle_DE_PoleCount">#REF!</definedName>
    <definedName name="Angle_DE_PoleCount_Column" localSheetId="14">[9]Picklist_TeeLine!$S$60:$AC$60</definedName>
    <definedName name="Angle_DE_PoleCount_Column">#REF!</definedName>
    <definedName name="Angle_DE_PoleCount_Row" localSheetId="14">[9]Picklist_TeeLine!$R$61:$R$70</definedName>
    <definedName name="Angle_DE_PoleCount_Row">#REF!</definedName>
    <definedName name="Angle_List" localSheetId="14">#REF!</definedName>
    <definedName name="Angle_List">#REF!</definedName>
    <definedName name="Angle_Pole_Costs" localSheetId="14">[9]Picklist_TeeLine!$DE$57:$HH$91</definedName>
    <definedName name="Angle_Pole_Costs">#REF!</definedName>
    <definedName name="Angle_Poles_Column" localSheetId="14">[9]Picklist_TeeLine!$CL$6:$CP$107</definedName>
    <definedName name="Angle_Poles_Column">#REF!</definedName>
    <definedName name="Angle_Poles_Column_FPL" localSheetId="14">[9]Picklist_TeeLine!$CS$6:$CW$107</definedName>
    <definedName name="Angle_Poles_Column_FPL">#REF!</definedName>
    <definedName name="Angle_Poles_Costs" localSheetId="14">[10]Lookups!$BE$33:$CS$53</definedName>
    <definedName name="Angle_Poles_Costs">#REF!</definedName>
    <definedName name="Angle_Tangents" localSheetId="14">[9]Picklist_TeeLine!$AH$63:$AH$67</definedName>
    <definedName name="Angle_Tangents">#REF!</definedName>
    <definedName name="anscount" hidden="1">1</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axWorkpaper" hidden="1">" "</definedName>
    <definedName name="AS2TickmarkLS" hidden="1">#REF!</definedName>
    <definedName name="AS2VersionLS" hidden="1">300</definedName>
    <definedName name="asd" localSheetId="14" hidden="1">{2;#N/A;"R13C16:R17C16";#N/A;"R13C14:R17C15";FALSE;FALSE;FALSE;95;#N/A;#N/A;"R13C19";#N/A;FALSE;FALSE;FALSE;FALSE;#N/A;"";#N/A;FALSE;"";"";#N/A;#N/A;#N/A}</definedName>
    <definedName name="asd" hidden="1">{2;#N/A;"R13C16:R17C16";#N/A;"R13C14:R17C15";FALSE;FALSE;FALSE;95;#N/A;#N/A;"R13C19";#N/A;FALSE;FALSE;FALSE;FALSE;#N/A;"";#N/A;FALSE;"";"";#N/A;#N/A;#N/A}</definedName>
    <definedName name="Assembly_Costs" localSheetId="14">[9]Picklist_TeeLine!$B$115:$L$134</definedName>
    <definedName name="Assembly_Costs">#REF!</definedName>
    <definedName name="Assembly_Labor" localSheetId="14">[9]Picklist_TeeLine!$B$137:$L$156</definedName>
    <definedName name="Assembly_Labor">#REF!</definedName>
    <definedName name="Assumed_Equity_Return" localSheetId="14">'[7]VEA Inputs'!$E$78</definedName>
    <definedName name="Assumed_Equity_Return">#REF!</definedName>
    <definedName name="atpr" localSheetId="14" hidden="1">{"EXCELHLP.HLP!1802";5;10;5;10;13;13;13;8;5;5;10;14;13;13;13;13;5;10;14;13;5;10;1;2;24}</definedName>
    <definedName name="atpr" hidden="1">{"EXCELHLP.HLP!1802";5;10;5;10;13;13;13;8;5;5;10;14;13;13;13;13;5;10;14;13;5;10;1;2;24}</definedName>
    <definedName name="ATRR_Percent_Assigned" localSheetId="14">'[7]VEA Inputs'!$E$110</definedName>
    <definedName name="ATRR_Percent_Assigned">#REF!</definedName>
    <definedName name="Auger" localSheetId="14">[9]Picklist_TeeLine!$R$45</definedName>
    <definedName name="Auger">#REF!</definedName>
    <definedName name="Auger_Setup" localSheetId="14">[9]Picklist_TeeLine!$R$46</definedName>
    <definedName name="Auger_Setup">#REF!</definedName>
    <definedName name="BALANCE" localSheetId="14">#REF!</definedName>
    <definedName name="BALANCE">#REF!</definedName>
    <definedName name="Balances">#REF!</definedName>
    <definedName name="Basis_Points">#REF!</definedName>
    <definedName name="bb" localSheetId="14">[11]말뚝물량!$D$11</definedName>
    <definedName name="bb">#REF!</definedName>
    <definedName name="bbb" localSheetId="14"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hidden="1">{#N/A,#N/A,FALSE,"O&amp;M by processes";#N/A,#N/A,FALSE,"Elec Act vs Bud";#N/A,#N/A,FALSE,"G&amp;A";#N/A,#N/A,FALSE,"BGS";#N/A,#N/A,FALSE,"Res Cost"}</definedName>
    <definedName name="Because" localSheetId="14" hidden="1">{#N/A,#N/A,TRUE,"TOTAL DISTRIBUTION";#N/A,#N/A,TRUE,"SOUTH";#N/A,#N/A,TRUE,"NORTHEAST";#N/A,#N/A,TRUE,"WEST"}</definedName>
    <definedName name="Because" hidden="1">{#N/A,#N/A,TRUE,"TOTAL DISTRIBUTION";#N/A,#N/A,TRUE,"SOUTH";#N/A,#N/A,TRUE,"NORTHEAST";#N/A,#N/A,TRUE,"WEST"}</definedName>
    <definedName name="beg_CWIP">#REF!</definedName>
    <definedName name="BG_Del" hidden="1">15</definedName>
    <definedName name="BG_Ins" hidden="1">4</definedName>
    <definedName name="BG_Mod" hidden="1">6</definedName>
    <definedName name="BGS_Cost_Scenario">#REF!</definedName>
    <definedName name="BGS_RFP">#REF!</definedName>
    <definedName name="Bid_Data_Sub">#REF!</definedName>
    <definedName name="Bid_Data_TLine">#REF!</definedName>
    <definedName name="Bird_Diverters" localSheetId="14">[10]Lookups!$B$67:$M$129</definedName>
    <definedName name="Bird_Diverters">#REF!</definedName>
    <definedName name="Bkr_Column" localSheetId="14">[10]Lookups!$AC$199:$AD$210</definedName>
    <definedName name="Bkr_Column">#REF!</definedName>
    <definedName name="BLE_Close_Date" localSheetId="14">#REF!</definedName>
    <definedName name="BLE_Close_Date">#REF!</definedName>
    <definedName name="BLPH10" localSheetId="14" hidden="1">[12]Fundamentals!#REF!</definedName>
    <definedName name="BLPH10" hidden="1">#REF!</definedName>
    <definedName name="BLPH11" localSheetId="14" hidden="1">[12]Fundamentals!#REF!</definedName>
    <definedName name="BLPH11" hidden="1">#REF!</definedName>
    <definedName name="BLPH12" localSheetId="14" hidden="1">[12]Fundamentals!#REF!</definedName>
    <definedName name="BLPH12" hidden="1">#REF!</definedName>
    <definedName name="BLPH13" localSheetId="14" hidden="1">[12]Fundamentals!#REF!</definedName>
    <definedName name="BLPH13" hidden="1">#REF!</definedName>
    <definedName name="BLPH14" localSheetId="14" hidden="1">[12]Fundamentals!#REF!</definedName>
    <definedName name="BLPH14" hidden="1">#REF!</definedName>
    <definedName name="BLPH15" localSheetId="14" hidden="1">[12]Fundamentals!#REF!</definedName>
    <definedName name="BLPH15" hidden="1">#REF!</definedName>
    <definedName name="BLPH16" localSheetId="14" hidden="1">[12]Fundamentals!#REF!</definedName>
    <definedName name="BLPH16" hidden="1">#REF!</definedName>
    <definedName name="BLPH17" localSheetId="14" hidden="1">[12]Fundamentals!#REF!</definedName>
    <definedName name="BLPH17" hidden="1">#REF!</definedName>
    <definedName name="BLPH18" localSheetId="14" hidden="1">[12]Fundamentals!#REF!</definedName>
    <definedName name="BLPH18" hidden="1">#REF!</definedName>
    <definedName name="BLPH19" localSheetId="14" hidden="1">[12]Fundamentals!#REF!</definedName>
    <definedName name="BLPH19" hidden="1">#REF!</definedName>
    <definedName name="BLPH20" localSheetId="14" hidden="1">[12]Fundamentals!#REF!</definedName>
    <definedName name="BLPH20" hidden="1">#REF!</definedName>
    <definedName name="BLPH21" localSheetId="14" hidden="1">[12]Fundamentals!#REF!</definedName>
    <definedName name="BLPH21" hidden="1">#REF!</definedName>
    <definedName name="BLPH22" localSheetId="14" hidden="1">[12]Fundamentals!#REF!</definedName>
    <definedName name="BLPH22" hidden="1">#REF!</definedName>
    <definedName name="BLPH23" localSheetId="14" hidden="1">[12]Fundamentals!#REF!</definedName>
    <definedName name="BLPH23" hidden="1">#REF!</definedName>
    <definedName name="BLPH24" localSheetId="14" hidden="1">[12]Fundamentals!#REF!</definedName>
    <definedName name="BLPH24" hidden="1">#REF!</definedName>
    <definedName name="BLPH25" localSheetId="14" hidden="1">[12]Fundamentals!#REF!</definedName>
    <definedName name="BLPH25" hidden="1">#REF!</definedName>
    <definedName name="BLPH6" localSheetId="14" hidden="1">[12]BetaCalcs!#REF!</definedName>
    <definedName name="BLPH6" hidden="1">#REF!</definedName>
    <definedName name="BLPH66" localSheetId="14" hidden="1">[12]BetaCalcs!#REF!</definedName>
    <definedName name="BLPH66" hidden="1">#REF!</definedName>
    <definedName name="BOEquipment_Concrete" localSheetId="14">[9]Picklist_Substations!$S$223:$AD$236</definedName>
    <definedName name="BOEquipment_Concrete">#REF!</definedName>
    <definedName name="BOEquipment_Costs" localSheetId="14">[9]Picklist_Substations!$E$223:$P$236</definedName>
    <definedName name="BOEquipment_Costs">#REF!</definedName>
    <definedName name="BOEquipment_Steel" localSheetId="14">[9]Picklist_Substations!$AG$223:$AR$236</definedName>
    <definedName name="BOEquipment_Steel">#REF!</definedName>
    <definedName name="BoilerFeedwtrPumpNoiseEmiss" localSheetId="14">#REF!</definedName>
    <definedName name="BoilerFeedwtrPumpNoiseEmiss">#REF!</definedName>
    <definedName name="BoilerFeedwtrPumpVend" localSheetId="14">#REF!</definedName>
    <definedName name="BoilerFeedwtrPumpVend">#REF!</definedName>
    <definedName name="booby" localSheetId="14" hidden="1">{#N/A,#N/A,TRUE,"TOTAL DISTRIBUTION";#N/A,#N/A,TRUE,"SOUTH";#N/A,#N/A,TRUE,"NORTHEAST";#N/A,#N/A,TRUE,"WEST"}</definedName>
    <definedName name="booby" hidden="1">{#N/A,#N/A,TRUE,"TOTAL DISTRIBUTION";#N/A,#N/A,TRUE,"SOUTH";#N/A,#N/A,TRUE,"NORTHEAST";#N/A,#N/A,TRUE,"WEST"}</definedName>
    <definedName name="booby2" localSheetId="14" hidden="1">{#N/A,#N/A,TRUE,"TOTAL DSBN";#N/A,#N/A,TRUE,"WEST";#N/A,#N/A,TRUE,"SOUTH";#N/A,#N/A,TRUE,"NORTHEAST"}</definedName>
    <definedName name="booby2" hidden="1">{#N/A,#N/A,TRUE,"TOTAL DSBN";#N/A,#N/A,TRUE,"WEST";#N/A,#N/A,TRUE,"SOUTH";#N/A,#N/A,TRUE,"NORTHEAST"}</definedName>
    <definedName name="book2.xls" localSheetId="14" hidden="1">{#N/A,#N/A,TRUE,"TOTAL DISTRIBUTION";#N/A,#N/A,TRUE,"SOUTH";#N/A,#N/A,TRUE,"NORTHEAST";#N/A,#N/A,TRUE,"WEST"}</definedName>
    <definedName name="book2.xls" hidden="1">{#N/A,#N/A,TRUE,"TOTAL DISTRIBUTION";#N/A,#N/A,TRUE,"SOUTH";#N/A,#N/A,TRUE,"NORTHEAST";#N/A,#N/A,TRUE,"WEST"}</definedName>
    <definedName name="book2a\.xls" localSheetId="14" hidden="1">{#N/A,#N/A,TRUE,"TOTAL DSBN";#N/A,#N/A,TRUE,"WEST";#N/A,#N/A,TRUE,"SOUTH";#N/A,#N/A,TRUE,"NORTHEAST"}</definedName>
    <definedName name="book2a\.xls" hidden="1">{#N/A,#N/A,TRUE,"TOTAL DSBN";#N/A,#N/A,TRUE,"WEST";#N/A,#N/A,TRUE,"SOUTH";#N/A,#N/A,TRUE,"NORTHEAST"}</definedName>
    <definedName name="BOPEquipment_Labor" localSheetId="14">[9]Picklist_Substations!$AU$223:$BF$236</definedName>
    <definedName name="BOPEquipment_Labor">#REF!</definedName>
    <definedName name="Bore" localSheetId="14">[9]Picklist_TeeLine!$F$170:$H$180</definedName>
    <definedName name="Bore">#REF!</definedName>
    <definedName name="BOY" localSheetId="14">#REF!</definedName>
    <definedName name="BOY">#REF!</definedName>
    <definedName name="Breakers_LV" localSheetId="14">[10]Lookups!$B$249:$O$260</definedName>
    <definedName name="Breakers_LV">#REF!</definedName>
    <definedName name="BridgeCrane" localSheetId="14">'[13]Bridge Crane'!#REF!</definedName>
    <definedName name="BridgeCrane">#REF!</definedName>
    <definedName name="bud" localSheetId="14" hidden="1">{"summary",#N/A,FALSE,"PCR DIRECTORY"}</definedName>
    <definedName name="bud" hidden="1">{"summary",#N/A,FALSE,"PCR DIRECTORY"}</definedName>
    <definedName name="Bundle_Discount" localSheetId="14">[9]Picklist_TeeLine!$S$80:$T$83</definedName>
    <definedName name="Bundle_Discount">#REF!</definedName>
    <definedName name="Bus_Bar" localSheetId="14">[9]Picklist_Substations!$E$248:$P$251</definedName>
    <definedName name="Bus_Bar">#REF!</definedName>
    <definedName name="Bus_Bar_Concrete" localSheetId="14">[9]Picklist_Substations!$S$261:$AD$276</definedName>
    <definedName name="Bus_Bar_Concrete">#REF!</definedName>
    <definedName name="Bus_Bar_Steel" localSheetId="14">[9]Picklist_Substations!$E$261:$P$276</definedName>
    <definedName name="Bus_Bar_Steel">#REF!</definedName>
    <definedName name="Bus_Cable" localSheetId="14">[9]Picklist_Substations!$S$279:$X$282</definedName>
    <definedName name="Bus_Cable">#REF!</definedName>
    <definedName name="Bus_Dia" localSheetId="14">[9]Picklist_Substations!$E$280:$I$287</definedName>
    <definedName name="Bus_Dia">#REF!</definedName>
    <definedName name="Bus_Insulator_Costs" localSheetId="14">[9]Picklist_Substations!$E$242:$P$245</definedName>
    <definedName name="Bus_Insulator_Costs">#REF!</definedName>
    <definedName name="Bus_Insulator_Labor" localSheetId="14">[9]Picklist_Substations!$AU$242:$BF$245</definedName>
    <definedName name="Bus_Insulator_Labor">#REF!</definedName>
    <definedName name="Bus_Support" localSheetId="14">[9]Picklist_Substations!$B$261:$B$264</definedName>
    <definedName name="Bus_Support">#REF!</definedName>
    <definedName name="Bus_Support_Spacing" localSheetId="14">[10]Lookups!$Q$401:$R$409</definedName>
    <definedName name="Bus_Support_Spacing">#REF!</definedName>
    <definedName name="Butt_Dia" localSheetId="14">[9]Picklist_TeeLine!$DE$222:$HH$256</definedName>
    <definedName name="Butt_Dia">#REF!</definedName>
    <definedName name="bym" localSheetId="14" hidden="1">{"summary",#N/A,FALSE,"PCR DIRECTORY"}</definedName>
    <definedName name="bym" hidden="1">{"summary",#N/A,FALSE,"PCR DIRECTORY"}</definedName>
    <definedName name="CA1_">#REF!</definedName>
    <definedName name="CA2_">#REF!</definedName>
    <definedName name="CA3_">#REF!</definedName>
    <definedName name="CAADD">#REF!</definedName>
    <definedName name="Cable_Bus" localSheetId="14">[9]Picklist_Substations!$S$285:$U$287</definedName>
    <definedName name="Cable_Bus">#REF!</definedName>
    <definedName name="Cable_pick" localSheetId="14">[14]Picklist_TeeLine!$B$5:$M$27</definedName>
    <definedName name="Cable_pick">#REF!</definedName>
    <definedName name="Cable_pick_ACSS" localSheetId="14">[14]Picklist_TeeLine!$B$308:$Q$330</definedName>
    <definedName name="Cable_pick_ACSS">#REF!</definedName>
    <definedName name="Cable_Pick_Amps" localSheetId="14">[9]Picklist_TeeLine!$B$312:$B$444</definedName>
    <definedName name="Cable_Pick_Amps">#REF!</definedName>
    <definedName name="Cable_Pick_Auto" localSheetId="14">[9]Picklist_TeeLine!$F$312:$R$444</definedName>
    <definedName name="Cable_Pick_Auto">#REF!</definedName>
    <definedName name="Cable_Pick_Bundles" localSheetId="14">[9]Picklist_TeeLine!$S$312:$AE$444</definedName>
    <definedName name="Cable_Pick_Bundles">#REF!</definedName>
    <definedName name="Cable_Pick_Row" localSheetId="14">[9]Picklist_TeeLine!$A$312:$A$444</definedName>
    <definedName name="Cable_Pick_Row">#REF!</definedName>
    <definedName name="Cable_Pick_Temp" localSheetId="14">[9]Picklist_TeeLine!$D$312:$D$444</definedName>
    <definedName name="Cable_Pick_Temp">#REF!</definedName>
    <definedName name="Cable_Pick_Type" localSheetId="14">[9]Picklist_TeeLine!$E$312:$E$444</definedName>
    <definedName name="Cable_Pick_Type">#REF!</definedName>
    <definedName name="Cable_Pick_Voltage" localSheetId="14">[9]Picklist_TeeLine!$F$311:$R$311</definedName>
    <definedName name="Cable_Pick_Voltage">#REF!</definedName>
    <definedName name="Cable_Pick_Voltage_Bundle" localSheetId="14">[9]Picklist_TeeLine!$S$311:$AE$311</definedName>
    <definedName name="Cable_Pick_Voltage_Bundle">#REF!</definedName>
    <definedName name="CAF" localSheetId="14">#REF!</definedName>
    <definedName name="CAF">#REF!</definedName>
    <definedName name="Caisson_Foundations" localSheetId="14">[10]Lookups!$BQ$195:$BU$204</definedName>
    <definedName name="Caisson_Foundations">#REF!</definedName>
    <definedName name="can" localSheetId="14" hidden="1">{#N/A,#N/A,FALSE,"O&amp;M by processes";#N/A,#N/A,FALSE,"Elec Act vs Bud";#N/A,#N/A,FALSE,"G&amp;A";#N/A,#N/A,FALSE,"BGS";#N/A,#N/A,FALSE,"Res Cost"}</definedName>
    <definedName name="can" hidden="1">{#N/A,#N/A,FALSE,"O&amp;M by processes";#N/A,#N/A,FALSE,"Elec Act vs Bud";#N/A,#N/A,FALSE,"G&amp;A";#N/A,#N/A,FALSE,"BGS";#N/A,#N/A,FALSE,"Res Cost"}</definedName>
    <definedName name="Cap_Bank_Series_Labor" localSheetId="14">[9]Picklist_Substations!$AG$80:$AR$92</definedName>
    <definedName name="Cap_Bank_Series_Labor">#REF!</definedName>
    <definedName name="Cap_banks" localSheetId="14">[10]Lookups!$B$220:$K$232</definedName>
    <definedName name="Cap_banks">#REF!</definedName>
    <definedName name="Cap_banks_concrete" localSheetId="14">[10]Lookups!$N$220:$W$232</definedName>
    <definedName name="Cap_banks_concrete">#REF!</definedName>
    <definedName name="Cap_banks_labor" localSheetId="14">[10]Lookups!$Z$220:$AI$232</definedName>
    <definedName name="Cap_banks_labor">#REF!</definedName>
    <definedName name="Cap_Banks_Series" localSheetId="14">[9]Picklist_Substations!$E$80:$P$92</definedName>
    <definedName name="Cap_Banks_Series">#REF!</definedName>
    <definedName name="Cap_Banks_Series_Concrete" localSheetId="14">[9]Picklist_Substations!$S$80:$AD$92</definedName>
    <definedName name="Cap_Banks_Series_Concrete">#REF!</definedName>
    <definedName name="Cap_Banks_Shunt" localSheetId="14">[9]Picklist_Substations!$E$62:$P$74</definedName>
    <definedName name="Cap_Banks_Shunt">#REF!</definedName>
    <definedName name="Cap_Banks_Shunt_Concrete" localSheetId="14">[9]Picklist_Substations!$S$62:$AD$74</definedName>
    <definedName name="Cap_Banks_Shunt_Concrete">#REF!</definedName>
    <definedName name="Cap_Banks_Shunt_Labor" localSheetId="14">[9]Picklist_Substations!$AG$62:$AR$74</definedName>
    <definedName name="Cap_Banks_Shunt_Labor">#REF!</definedName>
    <definedName name="cap_interest" localSheetId="14">#REF!</definedName>
    <definedName name="cap_interest">#REF!</definedName>
    <definedName name="CASAT1" localSheetId="14">#REF!</definedName>
    <definedName name="CASAT1">#REF!</definedName>
    <definedName name="CASAT2" localSheetId="14">#REF!</definedName>
    <definedName name="CASAT2">#REF!</definedName>
    <definedName name="CaseID1">#REF!</definedName>
    <definedName name="CaseID2">#REF!</definedName>
    <definedName name="Cash_Working_Capital_Percent" localSheetId="14">'[7]VEA Inputs'!$E$75</definedName>
    <definedName name="Cash_Working_Capital_Percent">#REF!</definedName>
    <definedName name="CB" localSheetId="14">[9]Picklist_Substations!$X$327:$X$329</definedName>
    <definedName name="CB">#REF!</definedName>
    <definedName name="CBS_Code_Labor" localSheetId="14">#REF!</definedName>
    <definedName name="CBS_Code_Labor">#REF!</definedName>
    <definedName name="CBS_Code_Mat" localSheetId="14">#REF!</definedName>
    <definedName name="CBS_Code_Mat">#REF!</definedName>
    <definedName name="ccc" localSheetId="14"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hidden="1">{#N/A,#N/A,FALSE,"O&amp;M by processes";#N/A,#N/A,FALSE,"Elec Act vs Bud";#N/A,#N/A,FALSE,"G&amp;A";#N/A,#N/A,FALSE,"BGS";#N/A,#N/A,FALSE,"Res Cost"}</definedName>
    <definedName name="cccccc" localSheetId="14" hidden="1">{"EXCELHLP.HLP!1802";5;10;5;10;13;13;13;8;5;5;10;14;13;13;13;13;5;10;14;13;5;10;1;2;24}</definedName>
    <definedName name="cccccc" hidden="1">{"EXCELHLP.HLP!1802";5;10;5;10;13;13;13;8;5;5;10;14;13;13;13;13;5;10;14;13;5;10;1;2;24}</definedName>
    <definedName name="CEP_Amortization">#REF!</definedName>
    <definedName name="CH_COS" localSheetId="2">#REF!</definedName>
    <definedName name="CH_COS">#REF!</definedName>
    <definedName name="Chloridetype" localSheetId="14">[10]Lookups!$AK$4:$AL$6</definedName>
    <definedName name="Chloridetype">#REF!</definedName>
    <definedName name="CIQWBGuid" hidden="1">"1cbb647e-56c6-4fd6-8155-649f77b34fbe"</definedName>
    <definedName name="Circuit_Breaker" localSheetId="14">[9]Picklist_Substations!$E$154:$P$157</definedName>
    <definedName name="Circuit_Breaker">#REF!</definedName>
    <definedName name="Circuit_Breaker_Concrete" localSheetId="14">[9]Picklist_Substations!$S$154:$AD$157</definedName>
    <definedName name="Circuit_Breaker_Concrete">#REF!</definedName>
    <definedName name="Circuit_Breaker_Labor" localSheetId="14">[9]Picklist_Substations!$AU$154:$BF$157</definedName>
    <definedName name="Circuit_Breaker_Labor">#REF!</definedName>
    <definedName name="Circuit_Breaker_Steel" localSheetId="14">[9]Picklist_Substations!$AG$154:$AR$157</definedName>
    <definedName name="Circuit_Breaker_Steel">#REF!</definedName>
    <definedName name="Circuit_Switcher" localSheetId="14">[9]Picklist_Substations!$AG$251:$AR$254</definedName>
    <definedName name="Circuit_Switcher">#REF!</definedName>
    <definedName name="Circuit_Switcher_Concrete" localSheetId="14">[9]Picklist_Substations!$AG$267:$AR$270</definedName>
    <definedName name="Circuit_Switcher_Concrete">#REF!</definedName>
    <definedName name="Circuit_Switcher_Labor" localSheetId="14">[9]Picklist_Substations!$AG$259:$AR$262</definedName>
    <definedName name="Circuit_Switcher_Labor">#REF!</definedName>
    <definedName name="Circuit_Switcher_Steel" localSheetId="14">[9]Picklist_Substations!$AG$275:$AR$278</definedName>
    <definedName name="Circuit_Switcher_Steel">#REF!</definedName>
    <definedName name="CL1_" localSheetId="14">#REF!</definedName>
    <definedName name="CL1_">#REF!</definedName>
    <definedName name="CL2DOSE" localSheetId="14">#REF!</definedName>
    <definedName name="CL2DOSE">#REF!</definedName>
    <definedName name="CL2RESID" localSheetId="14">#REF!</definedName>
    <definedName name="CL2RESID">#REF!</definedName>
    <definedName name="CLADD">#REF!</definedName>
    <definedName name="Clearing">#REF!</definedName>
    <definedName name="Clearing_Cost" localSheetId="14">[9]Picklist_TeeLine!$G$22:$L$28</definedName>
    <definedName name="Clearing_Cost">#REF!</definedName>
    <definedName name="Clearing_Debris_Type" localSheetId="14">#REF!</definedName>
    <definedName name="Clearing_Debris_Type">#REF!</definedName>
    <definedName name="Clearing_Type" localSheetId="14">#REF!</definedName>
    <definedName name="Clearing_Type">#REF!</definedName>
    <definedName name="ClientMatter" hidden="1">"b1"</definedName>
    <definedName name="CoCode0500">#REF!</definedName>
    <definedName name="COGEN">#REF!</definedName>
    <definedName name="colNEET_GL">#REF!</definedName>
    <definedName name="Columns">#REF!</definedName>
    <definedName name="colWBS">#REF!</definedName>
    <definedName name="colWBS_Suffix">#REF!</definedName>
    <definedName name="CombLiqProps" localSheetId="14">[15]Settings!$D$30:$D$80</definedName>
    <definedName name="CombLiqProps">#REF!</definedName>
    <definedName name="Companies" localSheetId="14">#REF!:OFFSET(#REF!,0,0,COUNTA(#REF!)-COUNTBLANK(#REF!),)</definedName>
    <definedName name="Companies">#REF!:OFFSET(#REF!,0,0,COUNTA(#REF!)-COUNTBLANK(#REF!),)</definedName>
    <definedName name="company_id_valid_values">#REF!</definedName>
    <definedName name="compInc">#REF!</definedName>
    <definedName name="Concrete" localSheetId="14">[9]Picklist_TeeLine!$R$47</definedName>
    <definedName name="Concrete">#REF!</definedName>
    <definedName name="Concrete_Bulks_HV" localSheetId="14">[10]Lookups!$D$435:$N$445</definedName>
    <definedName name="Concrete_Bulks_HV">#REF!</definedName>
    <definedName name="Concrete_Bulks_LV" localSheetId="14">[10]Lookups!$B$307:$O$319</definedName>
    <definedName name="Concrete_Bulks_LV">#REF!</definedName>
    <definedName name="Concrete_PolePlant_Loc" localSheetId="14">[9]Picklist_TeeLine!$J$714:$N$717</definedName>
    <definedName name="Concrete_PolePlant_Loc">#REF!</definedName>
    <definedName name="Condensate" localSheetId="14" hidden="1">{#N/A,#N/A,FALSE,"Earnings release"}</definedName>
    <definedName name="Condensate" hidden="1">{#N/A,#N/A,FALSE,"Earnings release"}</definedName>
    <definedName name="Conductor_Bundle" localSheetId="14">[14]Picklist_TeeLine!$B$334:$D$390</definedName>
    <definedName name="Conductor_Bundle">#REF!</definedName>
    <definedName name="Conductor_Information" localSheetId="14">[14]Picklist_TeeLine!$B$420:$Z$438</definedName>
    <definedName name="Conductor_Information">#REF!</definedName>
    <definedName name="Conductor_Information_ACSR" localSheetId="14">[9]Picklist_TeeLine!$B$508:$AJ$568</definedName>
    <definedName name="Conductor_Information_ACSR">#REF!</definedName>
    <definedName name="Conductor_Information_ACSR_T2" localSheetId="14">[9]Picklist_TeeLine!$B$646:$AJ$706</definedName>
    <definedName name="Conductor_Information_ACSR_T2">#REF!</definedName>
    <definedName name="Conductor_Information_ACSS" localSheetId="14">[9]Picklist_TeeLine!$B$577:$AJ$637</definedName>
    <definedName name="Conductor_Information_ACSS">#REF!</definedName>
    <definedName name="Conductor_OH" localSheetId="14">[10]Lookups!$CA$223:$CA$227</definedName>
    <definedName name="Conductor_OH">#REF!</definedName>
    <definedName name="Conductor_Pick" localSheetId="14">#REF!</definedName>
    <definedName name="Conductor_Pick">#REF!</definedName>
    <definedName name="Conductor_Temp_ACSR" localSheetId="14">[9]Picklist_TeeLine!$B$305:$D$308</definedName>
    <definedName name="Conductor_Temp_ACSR">#REF!</definedName>
    <definedName name="Conductor_Temp_ACSS" localSheetId="14">[9]Picklist_TeeLine!$B$305:$E$308</definedName>
    <definedName name="Conductor_Temp_ACSS">#REF!</definedName>
    <definedName name="Conductor_Temp_Column_2" localSheetId="14">[9]Picklist_TeeLine!$F$305:$G$308</definedName>
    <definedName name="Conductor_Temp_Column_2">#REF!</definedName>
    <definedName name="Conduit" localSheetId="14">[9]Picklist_TeeLine!$AA$217:$AC$236</definedName>
    <definedName name="Conduit">#REF!</definedName>
    <definedName name="Conduit_Bulks_HV" localSheetId="14">[10]Lookups!$D$448:$N$457</definedName>
    <definedName name="Conduit_Bulks_HV">#REF!</definedName>
    <definedName name="Conduit_Bulks_LV" localSheetId="14">[10]Lookups!$B$322:$O$332</definedName>
    <definedName name="Conduit_Bulks_LV">#REF!</definedName>
    <definedName name="Conduit_HDPE" localSheetId="14">[9]Picklist_TeeLine!$AE$217:$AG$236</definedName>
    <definedName name="Conduit_HDPE">#REF!</definedName>
    <definedName name="CONOCO_FAC" localSheetId="14">#REF!</definedName>
    <definedName name="CONOCO_FAC">#REF!</definedName>
    <definedName name="Consolid" localSheetId="14"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hidden="1">{#N/A,#N/A,FALSE,"O&amp;M by processes";#N/A,#N/A,FALSE,"Elec Act vs Bud";#N/A,#N/A,FALSE,"G&amp;A";#N/A,#N/A,FALSE,"BGS";#N/A,#N/A,FALSE,"Res Cost"}</definedName>
    <definedName name="CoolingTowers">#REF!</definedName>
    <definedName name="CoolingTowersVendTable">#REF!</definedName>
    <definedName name="CORPTAX_DATAMAPDEFINITIONS_DataMap_1" hidden="1">#REF!</definedName>
    <definedName name="CORPTAX_DATAMAPDEFINITIONS_DataMap_2" localSheetId="14" hidden="1">'[16](A) Book to Tax Recon'!#REF!</definedName>
    <definedName name="CORPTAX_DATAMAPDEFINITIONS_DataMap_2" hidden="1">#REF!</definedName>
    <definedName name="CORPTAX_DATAMAPDEFINITIONS_DataMap_3" localSheetId="14" hidden="1">#REF!</definedName>
    <definedName name="CORPTAX_DATAMAPDEFINITIONS_DataMap_3" hidden="1">#REF!</definedName>
    <definedName name="cost" localSheetId="14" hidden="1">{#N/A,#N/A,FALSE,"T COST";#N/A,#N/A,FALSE,"COST_FH"}</definedName>
    <definedName name="cost" hidden="1">{#N/A,#N/A,FALSE,"T COST";#N/A,#N/A,FALSE,"COST_FH"}</definedName>
    <definedName name="cost_of_good_sold">#REF!</definedName>
    <definedName name="cost2001">#REF!</definedName>
    <definedName name="CostCenters" localSheetId="14">[8]Sheet1!$B$6:$B$12</definedName>
    <definedName name="CostCenters">#REF!</definedName>
    <definedName name="Country" localSheetId="14">[10]Lookups!$B$67:$L$129</definedName>
    <definedName name="Country">#REF!</definedName>
    <definedName name="CPI" localSheetId="14">#REF!</definedName>
    <definedName name="CPI">#REF!</definedName>
    <definedName name="cs" localSheetId="14">#REF!</definedName>
    <definedName name="cs">#REF!</definedName>
    <definedName name="Ct_Fe2___Fe_OH_2" localSheetId="14">#REF!</definedName>
    <definedName name="Ct_Fe2___Fe_OH_2">#REF!</definedName>
    <definedName name="Current_Month" localSheetId="14">#REF!</definedName>
    <definedName name="Current_Month">#REF!</definedName>
    <definedName name="Current_sum">#REF!</definedName>
    <definedName name="CUT">#REF!</definedName>
    <definedName name="CUTINS">#REF!</definedName>
    <definedName name="Cwvu.GREY_ALL." hidden="1">#REF!</definedName>
    <definedName name="da" localSheetId="14"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hidden="1">{#N/A,#N/A,FALSE,"O&amp;M by processes";#N/A,#N/A,FALSE,"Elec Act vs Bud";#N/A,#N/A,FALSE,"G&amp;A";#N/A,#N/A,FALSE,"BGS";#N/A,#N/A,FALSE,"Res Cost"}</definedName>
    <definedName name="dae">#REF!</definedName>
    <definedName name="Data" localSheetId="14">[17]run!$A:$IV</definedName>
    <definedName name="Data">#REF!</definedName>
    <definedName name="data_3" localSheetId="14">#REF!</definedName>
    <definedName name="data_3">#REF!</definedName>
    <definedName name="DATA1" localSheetId="14">#REF!</definedName>
    <definedName name="DATA1">#REF!</definedName>
    <definedName name="DATA10" localSheetId="14">#REF!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 hidden="1">"b1"</definedName>
    <definedName name="DavitArms" localSheetId="14">[10]Lookups!$BX$173:$BZ$182</definedName>
    <definedName name="DavitArms">#REF!</definedName>
    <definedName name="DB_Type" localSheetId="14">[10]Lookups!$X$474:$X$475</definedName>
    <definedName name="DB_Type">#REF!</definedName>
    <definedName name="dd" localSheetId="14" hidden="1">{#N/A,#N/A,FALSE,"95CAPGRY"}</definedName>
    <definedName name="dd" hidden="1">{#N/A,#N/A,FALSE,"95CAPGRY"}</definedName>
    <definedName name="ddd" localSheetId="14" hidden="1">{#N/A,#N/A,FALSE,"Results";#N/A,#N/A,FALSE,"Input Data";#N/A,#N/A,FALSE,"Generation Calculation";#N/A,#N/A,FALSE,"Unit Heat Rate Calculation";#N/A,#N/A,FALSE,"BEFF.XLS";#N/A,#N/A,FALSE,"TURBEFF.XLS";#N/A,#N/A,FALSE,"Final FWH Extraction Flow";#N/A,#N/A,FALSE,"Condenser Performance";#N/A,#N/A,FALSE,"Stage Pressure Correction"}</definedName>
    <definedName name="ddd" hidden="1">{#N/A,#N/A,FALSE,"Results";#N/A,#N/A,FALSE,"Input Data";#N/A,#N/A,FALSE,"Generation Calculation";#N/A,#N/A,FALSE,"Unit Heat Rate Calculation";#N/A,#N/A,FALSE,"BEFF.XLS";#N/A,#N/A,FALSE,"TURBEFF.XLS";#N/A,#N/A,FALSE,"Final FWH Extraction Flow";#N/A,#N/A,FALSE,"Condenser Performance";#N/A,#N/A,FALSE,"Stage Pressure Correction"}</definedName>
    <definedName name="Debt_Percent" localSheetId="14">'[7]VEA '!$E$139</definedName>
    <definedName name="Debt_Percent">#REF!</definedName>
    <definedName name="DefaultCopy" localSheetId="3">#REF!</definedName>
    <definedName name="DefaultCopy" localSheetId="14">#REF!</definedName>
    <definedName name="DefaultCopy">#REF!</definedName>
    <definedName name="DefaultPaste">#REF!</definedName>
    <definedName name="Deferral_Interest_Rate">#REF!</definedName>
    <definedName name="Deferral_Recovery">#REF!</definedName>
    <definedName name="DefTax">#REF!</definedName>
    <definedName name="delete" localSheetId="14" hidden="1">{#N/A,#N/A,FALSE,"CURRENT"}</definedName>
    <definedName name="delete" hidden="1">{#N/A,#N/A,FALSE,"CURRENT"}</definedName>
    <definedName name="dep_book" localSheetId="14">'[7]VEA Inputs'!$E$70</definedName>
    <definedName name="dep_book">#REF!</definedName>
    <definedName name="des" localSheetId="14" hidden="1">{#N/A,#N/A,FALSE,"Transaction Summary-DTW";#N/A,#N/A,FALSE,"Proforma Five Yr";#N/A,#N/A,FALSE,"Occ and Rate"}</definedName>
    <definedName name="des" hidden="1">{#N/A,#N/A,FALSE,"Transaction Summary-DTW";#N/A,#N/A,FALSE,"Proforma Five Yr";#N/A,#N/A,FALSE,"Occ and Rate"}</definedName>
    <definedName name="DescriptionColumn1">#REF!</definedName>
    <definedName name="DescriptionColumn2">#REF!</definedName>
    <definedName name="detail">#REF!</definedName>
    <definedName name="df" localSheetId="14" hidden="1">{2;#N/A;"R13C16:R17C16";#N/A;"R13C14:R17C15";FALSE;FALSE;FALSE;95;#N/A;#N/A;"R13C19";#N/A;FALSE;FALSE;FALSE;FALSE;#N/A;"";#N/A;FALSE;"";"";#N/A;#N/A;#N/A}</definedName>
    <definedName name="df" hidden="1">{2;#N/A;"R13C16:R17C16";#N/A;"R13C14:R17C15";FALSE;FALSE;FALSE;95;#N/A;#N/A;"R13C19";#N/A;FALSE;FALSE;FALSE;FALSE;#N/A;"";#N/A;FALSE;"";"";#N/A;#N/A;#N/A}</definedName>
    <definedName name="DF_GRID_1">#REF!</definedName>
    <definedName name="DICF">#REF!</definedName>
    <definedName name="DIR_HOURS">#REF!</definedName>
    <definedName name="Directbury_Excavation" localSheetId="14">[10]Lookups!$J$548:$N$553</definedName>
    <definedName name="Directbury_Excavation">#REF!</definedName>
    <definedName name="Directbury_Width" localSheetId="14">[10]Lookups!$P$548:$T$553</definedName>
    <definedName name="Directbury_Width">#REF!</definedName>
    <definedName name="Disconnect_Switch" localSheetId="14">[9]Picklist_Substations!$E$169:$P$188</definedName>
    <definedName name="Disconnect_Switch">#REF!</definedName>
    <definedName name="Disconnect_Switch_Concrete" localSheetId="14">[9]Picklist_Substations!$S$169:$AD$188</definedName>
    <definedName name="Disconnect_Switch_Concrete">#REF!</definedName>
    <definedName name="Disconnect_Switch_Labor" localSheetId="14">[9]Picklist_Substations!$AU$169:$BF$188</definedName>
    <definedName name="Disconnect_Switch_Labor">#REF!</definedName>
    <definedName name="Disconnect_Switch_Steel" localSheetId="14">[9]Picklist_Substations!$AG$169:$AR$188</definedName>
    <definedName name="Disconnect_Switch_Steel">#REF!</definedName>
    <definedName name="dmoe" hidden="1">"45E1EZH1GI603A6TQ7A2B7Y0J"</definedName>
    <definedName name="DocumentName" hidden="1">"b1"</definedName>
    <definedName name="DocumentNum" hidden="1">"a1"</definedName>
    <definedName name="Dollar">#REF!</definedName>
    <definedName name="dr" hidden="1">"45E1COOP3K6ZCCKMU61PY1S6R"</definedName>
    <definedName name="Drop_CWIP" localSheetId="14">'[18]Analysis Summary'!$E$26</definedName>
    <definedName name="Drop_CWIP">#REF!</definedName>
    <definedName name="dt" localSheetId="14">#REF!</definedName>
    <definedName name="dt">#REF!</definedName>
    <definedName name="Ductbank" localSheetId="14">[10]Lookups!$D$537:$H$542</definedName>
    <definedName name="Ductbank">#REF!</definedName>
    <definedName name="Ductbank_Excavation" localSheetId="14">[10]Lookups!$J$537:$N$542</definedName>
    <definedName name="Ductbank_Excavation">#REF!</definedName>
    <definedName name="Ductbank_Width" localSheetId="14">[10]Lookups!$P$537:$T$542</definedName>
    <definedName name="Ductbank_Width">#REF!</definedName>
    <definedName name="E" localSheetId="14">#REF!</definedName>
    <definedName name="E">#REF!</definedName>
    <definedName name="eeee" localSheetId="14" hidden="1">{#N/A,#N/A,FALSE,"O&amp;M by processes";#N/A,#N/A,FALSE,"Elec Act vs Bud";#N/A,#N/A,FALSE,"G&amp;A";#N/A,#N/A,FALSE,"BGS";#N/A,#N/A,FALSE,"Res Cost"}</definedName>
    <definedName name="eeee" hidden="1">{#N/A,#N/A,FALSE,"O&amp;M by processes";#N/A,#N/A,FALSE,"Elec Act vs Bud";#N/A,#N/A,FALSE,"G&amp;A";#N/A,#N/A,FALSE,"BGS";#N/A,#N/A,FALSE,"Res Cost"}</definedName>
    <definedName name="Embed_Ratio" localSheetId="14">[9]Picklist_TeeLine!$Q$50</definedName>
    <definedName name="Embed_Ratio">#REF!</definedName>
    <definedName name="Embeds" localSheetId="14">[14]Picklist_TeeLine!$T$69</definedName>
    <definedName name="Embeds">#REF!</definedName>
    <definedName name="Embeds_AllIn" localSheetId="14">[9]Picklist_TeeLine!$R$52</definedName>
    <definedName name="Embeds_AllIn">#REF!</definedName>
    <definedName name="Embeds_Labor" localSheetId="14">[9]Picklist_TeeLine!$R$51</definedName>
    <definedName name="Embeds_Labor">#REF!</definedName>
    <definedName name="Embeds_Mat" localSheetId="14">[9]Picklist_TeeLine!$R$50</definedName>
    <definedName name="Embeds_Mat">#REF!</definedName>
    <definedName name="Enthalpy" localSheetId="14">#REF!</definedName>
    <definedName name="Enthalpy">#REF!</definedName>
    <definedName name="Enthalpy3C" localSheetId="14">#REF!</definedName>
    <definedName name="Enthalpy3C">#REF!</definedName>
    <definedName name="Enthalpy3T" localSheetId="14">#REF!</definedName>
    <definedName name="Enthalpy3T">#REF!</definedName>
    <definedName name="Enthalpy4C">#REF!</definedName>
    <definedName name="enthalpy4c1">#REF!</definedName>
    <definedName name="Enthalpy4T">#REF!</definedName>
    <definedName name="Environmental" localSheetId="14">'[19]Data Tables'!$B$38:$B$40</definedName>
    <definedName name="Environmental">#REF!</definedName>
    <definedName name="EOY" localSheetId="14">#REF!</definedName>
    <definedName name="EOY">#REF!</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quity_Percent" localSheetId="14">'[7]VEA Inputs'!$E$79</definedName>
    <definedName name="Equity_Percent">#REF!</definedName>
    <definedName name="erase" localSheetId="14" hidden="1">{#N/A,#N/A,TRUE,"TOTAL DISTRIBUTION";#N/A,#N/A,TRUE,"SOUTH";#N/A,#N/A,TRUE,"NORTHEAST";#N/A,#N/A,TRUE,"WEST"}</definedName>
    <definedName name="erase" hidden="1">{#N/A,#N/A,TRUE,"TOTAL DISTRIBUTION";#N/A,#N/A,TRUE,"SOUTH";#N/A,#N/A,TRUE,"NORTHEAST";#N/A,#N/A,TRUE,"WEST"}</definedName>
    <definedName name="EROA">#REF!</definedName>
    <definedName name="error">#REF!</definedName>
    <definedName name="ert4e" localSheetId="14" hidden="1">{#N/A,#N/A,TRUE,"TOTAL DISTRIBUTION";#N/A,#N/A,TRUE,"SOUTH";#N/A,#N/A,TRUE,"NORTHEAST";#N/A,#N/A,TRUE,"WEST"}</definedName>
    <definedName name="ert4e" hidden="1">{#N/A,#N/A,TRUE,"TOTAL DISTRIBUTION";#N/A,#N/A,TRUE,"SOUTH";#N/A,#N/A,TRUE,"NORTHEAST";#N/A,#N/A,TRUE,"WEST"}</definedName>
    <definedName name="Escalation" localSheetId="14">[10]Lookups!$I$659:$O$685</definedName>
    <definedName name="Escalation">#REF!</definedName>
    <definedName name="Estimate" localSheetId="14">#REF!</definedName>
    <definedName name="Estimate">#REF!</definedName>
    <definedName name="Estimate_Data" localSheetId="14">#REF!</definedName>
    <definedName name="Estimate_Data">#REF!</definedName>
    <definedName name="Estimate_Name" localSheetId="14">#REF!</definedName>
    <definedName name="Estimate_Name">#REF!</definedName>
    <definedName name="Estimator_Last_Name">#REF!</definedName>
    <definedName name="etl" localSheetId="1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V__LASTREFTIME__" hidden="1">39826.8319444444</definedName>
    <definedName name="evt" localSheetId="14" hidden="1">{#N/A,#N/A,FALSE,"INPUTDATA";#N/A,#N/A,FALSE,"SUMMARY";#N/A,#N/A,FALSE,"CTAREP";#N/A,#N/A,FALSE,"CTBREP";#N/A,#N/A,FALSE,"TURBEFF";#N/A,#N/A,FALSE,"Condenser Performance"}</definedName>
    <definedName name="evt" hidden="1">{#N/A,#N/A,FALSE,"INPUTDATA";#N/A,#N/A,FALSE,"SUMMARY";#N/A,#N/A,FALSE,"CTAREP";#N/A,#N/A,FALSE,"CTBREP";#N/A,#N/A,FALSE,"TURBEFF";#N/A,#N/A,FALSE,"Condenser Performance"}</definedName>
    <definedName name="Excavation" localSheetId="14">[10]Lookups!$U$18:$V$25</definedName>
    <definedName name="Excavation">#REF!</definedName>
    <definedName name="Exposures" localSheetId="14">#REF!</definedName>
    <definedName name="Exposures">#REF!</definedName>
    <definedName name="ExposuresRev" localSheetId="14">#REF!</definedName>
    <definedName name="ExposuresRev">#REF!</definedName>
    <definedName name="F_I_" localSheetId="14">#REF!</definedName>
    <definedName name="F_I_">#REF!</definedName>
    <definedName name="fA">#REF!</definedName>
    <definedName name="Fac_Picks">#REF!</definedName>
    <definedName name="fB">#REF!</definedName>
    <definedName name="FD">#REF!</definedName>
    <definedName name="FDN_Wind_Spread_GE" localSheetId="14">[10]Lookups!$AD$510:$AY$595</definedName>
    <definedName name="FDN_Wind_Spread_GE">#REF!</definedName>
    <definedName name="Fe_OH" localSheetId="14">#REF!</definedName>
    <definedName name="Fe_OH">#REF!</definedName>
    <definedName name="Fe_OH_3" localSheetId="14">#REF!</definedName>
    <definedName name="Fe_OH_3">#REF!</definedName>
    <definedName name="Fe2__Fe_CO3" localSheetId="14">#REF!</definedName>
    <definedName name="Fe2__Fe_CO3">#REF!</definedName>
    <definedName name="fed_inc_tax">#REF!</definedName>
    <definedName name="fer" localSheetId="14" hidden="1">{2;#N/A;"R13C16:R17C16";#N/A;"R13C14:R17C15";FALSE;FALSE;FALSE;95;#N/A;#N/A;"R13C19";#N/A;FALSE;FALSE;FALSE;FALSE;#N/A;"";#N/A;FALSE;"";"";#N/A;#N/A;#N/A}</definedName>
    <definedName name="fer" hidden="1">{2;#N/A;"R13C16:R17C16";#N/A;"R13C14:R17C15";FALSE;FALSE;FALSE;95;#N/A;#N/A;"R13C19";#N/A;FALSE;FALSE;FALSE;FALSE;#N/A;"";#N/A;FALSE;"";"";#N/A;#N/A;#N/A}</definedName>
    <definedName name="fff" localSheetId="14" hidden="1">{#N/A,#N/A,FALSE,"SUMMARY";#N/A,#N/A,FALSE,"INPUTDATA";#N/A,#N/A,FALSE,"Condenser Performance"}</definedName>
    <definedName name="fff" hidden="1">{#N/A,#N/A,FALSE,"SUMMARY";#N/A,#N/A,FALSE,"INPUTDATA";#N/A,#N/A,FALSE,"Condenser Performance"}</definedName>
    <definedName name="FilePath1">#REF!</definedName>
    <definedName name="FilePath2">#REF!</definedName>
    <definedName name="findwrn" localSheetId="14" hidden="1">{#N/A,#N/A,TRUE,"TOTAL DISTRIBUTION";#N/A,#N/A,TRUE,"SOUTH";#N/A,#N/A,TRUE,"NORTHEAST";#N/A,#N/A,TRUE,"WEST"}</definedName>
    <definedName name="findwrn" hidden="1">{#N/A,#N/A,TRUE,"TOTAL DISTRIBUTION";#N/A,#N/A,TRUE,"SOUTH";#N/A,#N/A,TRUE,"NORTHEAST";#N/A,#N/A,TRUE,"WEST"}</definedName>
    <definedName name="findwrnor" localSheetId="14" hidden="1">{#N/A,#N/A,TRUE,"TOTAL DSBN";#N/A,#N/A,TRUE,"WEST";#N/A,#N/A,TRUE,"SOUTH";#N/A,#N/A,TRUE,"NORTHEAST"}</definedName>
    <definedName name="findwrnor" hidden="1">{#N/A,#N/A,TRUE,"TOTAL DSBN";#N/A,#N/A,TRUE,"WEST";#N/A,#N/A,TRUE,"SOUTH";#N/A,#N/A,TRUE,"NORTHEAST"}</definedName>
    <definedName name="FINISH" localSheetId="14" hidden="1">{#N/A,#N/A,TRUE,"TOTAL DISTRIBUTION";#N/A,#N/A,TRUE,"SOUTH";#N/A,#N/A,TRUE,"NORTHEAST";#N/A,#N/A,TRUE,"WEST"}</definedName>
    <definedName name="FINISH" hidden="1">{#N/A,#N/A,TRUE,"TOTAL DISTRIBUTION";#N/A,#N/A,TRUE,"SOUTH";#N/A,#N/A,TRUE,"NORTHEAST";#N/A,#N/A,TRUE,"WEST"}</definedName>
    <definedName name="FM">#REF!</definedName>
    <definedName name="Formwork" localSheetId="14">[9]Picklist_TeeLine!$R$48</definedName>
    <definedName name="Formwork">#REF!</definedName>
    <definedName name="forney" localSheetId="1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ssil_BGS">#REF!</definedName>
    <definedName name="Fossil_Secur_Date">#REF!</definedName>
    <definedName name="Framing" localSheetId="14">[9]Picklist_TeeLine!$Y$105:$AI$106</definedName>
    <definedName name="Framing">#REF!</definedName>
    <definedName name="Framing_labor" localSheetId="14">[9]Picklist_TeeLine!$Y$113:$AI$114</definedName>
    <definedName name="Framing_labor">#REF!</definedName>
    <definedName name="Frequencies" localSheetId="14">{"Annual";"Semiannual";"Quarterly";"Monthly"}</definedName>
    <definedName name="Frequencies">{"Annual";"Semiannual";"Quarterly";"Monthly"}</definedName>
    <definedName name="FrequencyNormalize" localSheetId="14">{"Annual","Annual",1;"Annually","Annual",1;1,"Annual",1;"Semiannual","Semiannual",2;"Semiannually","Semiannual",2;2,"Semiannual",2;"Quarterly","Quarterly",4;4,"Quarterly",4;"Monthly","Monthly",12;12,"Monthly",12}</definedName>
    <definedName name="FrequencyNormalize">{"Annual","Annual",1;"Annually","Annual",1;1,"Annual",1;"Semiannual","Semiannual",2;"Semiannually","Semiannual",2;2,"Semiannual",2;"Quarterly","Quarterly",4;4,"Quarterly",4;"Monthly","Monthly",12;12,"Monthly",12}</definedName>
    <definedName name="ft" localSheetId="14">[11]말뚝물량!#REF!</definedName>
    <definedName name="ft">#REF!</definedName>
    <definedName name="G" localSheetId="14">#REF!</definedName>
    <definedName name="G">#REF!</definedName>
    <definedName name="GCInputs1" localSheetId="14">#REF!</definedName>
    <definedName name="GCInputs1">#REF!</definedName>
    <definedName name="GCInputs2" localSheetId="14">#REF!</definedName>
    <definedName name="GCInputs2">#REF!</definedName>
    <definedName name="GCInputsRow1">#REF!</definedName>
    <definedName name="GCInputsRow2">#REF!</definedName>
    <definedName name="GCOutputs1">#REF!</definedName>
    <definedName name="GCOutputs2">#REF!</definedName>
    <definedName name="GCOutputsRow1">#REF!</definedName>
    <definedName name="GCOutputsRow2">#REF!</definedName>
    <definedName name="GENERAL_INSTRUCTIONS_AND_RECOMMENDED_WORK_STEPS">#REF!</definedName>
    <definedName name="GenLedger">#REF!</definedName>
    <definedName name="GenStepUpXfmr">#REF!</definedName>
    <definedName name="ggg" localSheetId="14" hidden="1">{#N/A,#N/A,FALSE,"T COST";#N/A,#N/A,FALSE,"COST_FH"}</definedName>
    <definedName name="ggg" hidden="1">{#N/A,#N/A,FALSE,"T COST";#N/A,#N/A,FALSE,"COST_FH"}</definedName>
    <definedName name="gggggggggg" localSheetId="14" hidden="1">{#N/A,#N/A,FALSE,"Aging Summary";#N/A,#N/A,FALSE,"Ratio Analysis";#N/A,#N/A,FALSE,"Test 120 Day Accts";#N/A,#N/A,FALSE,"Tickmarks"}</definedName>
    <definedName name="gggggggggg" hidden="1">{#N/A,#N/A,FALSE,"Aging Summary";#N/A,#N/A,FALSE,"Ratio Analysis";#N/A,#N/A,FALSE,"Test 120 Day Accts";#N/A,#N/A,FALSE,"Tickmarks"}</definedName>
    <definedName name="gita" localSheetId="14"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hidden="1">{#N/A,#N/A,FALSE,"O&amp;M by processes";#N/A,#N/A,FALSE,"Elec Act vs Bud";#N/A,#N/A,FALSE,"G&amp;A";#N/A,#N/A,FALSE,"BGS";#N/A,#N/A,FALSE,"Res Cost"}</definedName>
    <definedName name="GOD" localSheetId="14" hidden="1">{#N/A,#N/A,TRUE,"Facility-Input";#N/A,#N/A,TRUE,"Graphs";#N/A,#N/A,TRUE,"TOTAL"}</definedName>
    <definedName name="GOD" hidden="1">{#N/A,#N/A,TRUE,"Facility-Input";#N/A,#N/A,TRUE,"Graphs";#N/A,#N/A,TRUE,"TOTAL"}</definedName>
    <definedName name="golly" localSheetId="14" hidden="1">{#N/A,#N/A,TRUE,"Facility-Input";#N/A,#N/A,TRUE,"Graphs";#N/A,#N/A,TRUE,"TOTAL"}</definedName>
    <definedName name="golly" hidden="1">{#N/A,#N/A,TRUE,"Facility-Input";#N/A,#N/A,TRUE,"Graphs";#N/A,#N/A,TRUE,"TOTAL"}</definedName>
    <definedName name="GOODBYE" localSheetId="14" hidden="1">{#N/A,#N/A,TRUE,"Facility-Input";#N/A,#N/A,TRUE,"Graphs";#N/A,#N/A,TRUE,"TOTAL"}</definedName>
    <definedName name="GOODBYE" hidden="1">{#N/A,#N/A,TRUE,"Facility-Input";#N/A,#N/A,TRUE,"Graphs";#N/A,#N/A,TRUE,"TOTAL"}</definedName>
    <definedName name="goodwill" localSheetId="14">'[7]VEA Inputs'!$E$30</definedName>
    <definedName name="goodwill">#REF!</definedName>
    <definedName name="Gravel" localSheetId="14">[10]Lookups!$M$18:$R$28</definedName>
    <definedName name="Gravel">#REF!</definedName>
    <definedName name="GRC_Cost" localSheetId="14">'[7]VEA Inputs'!$E$89</definedName>
    <definedName name="GRC_Cost">#REF!</definedName>
    <definedName name="GRF_Table" localSheetId="14">[9]Picklist_TeeLine!$BQ$784:$CB$784</definedName>
    <definedName name="GRF_Table">#REF!</definedName>
    <definedName name="Grid" localSheetId="14">[9]Picklist_Substations!$K$280:$K$283</definedName>
    <definedName name="Grid">#REF!</definedName>
    <definedName name="Ground_Grid" localSheetId="14">[9]Picklist_Substations!$K$280:$N$283</definedName>
    <definedName name="Ground_Grid">#REF!</definedName>
    <definedName name="Ground_Points" localSheetId="14">[10]Lookups!$AP$61:$AQ$67</definedName>
    <definedName name="Ground_Points">#REF!</definedName>
    <definedName name="Grubbing_Costs" localSheetId="14">[9]Picklist_TeeLine!$F$47:$I$52</definedName>
    <definedName name="Grubbing_Costs">#REF!</definedName>
    <definedName name="H" localSheetId="14">[11]말뚝물량!$D$12</definedName>
    <definedName name="H">#REF!</definedName>
    <definedName name="hd" localSheetId="14" hidden="1">{#N/A,#N/A,FALSE,"Aging Summary";#N/A,#N/A,FALSE,"Ratio Analysis";#N/A,#N/A,FALSE,"Test 120 Day Accts";#N/A,#N/A,FALSE,"Tickmarks"}</definedName>
    <definedName name="hd" hidden="1">{#N/A,#N/A,FALSE,"Aging Summary";#N/A,#N/A,FALSE,"Ratio Analysis";#N/A,#N/A,FALSE,"Test 120 Day Accts";#N/A,#N/A,FALSE,"Tickmarks"}</definedName>
    <definedName name="HDD" localSheetId="14">[9]Picklist_TeeLine!$P$170:$U$180</definedName>
    <definedName name="HDD">#REF!</definedName>
    <definedName name="HDD_Dia" localSheetId="14">[9]Picklist_TeeLine!$P$170:$P$180</definedName>
    <definedName name="HDD_Dia">#REF!</definedName>
    <definedName name="hello" localSheetId="14" hidden="1">{#N/A,#N/A,TRUE,"Facility-Input";#N/A,#N/A,TRUE,"Graphs";#N/A,#N/A,TRUE,"TOTAL"}</definedName>
    <definedName name="hello" hidden="1">{#N/A,#N/A,TRUE,"Facility-Input";#N/A,#N/A,TRUE,"Graphs";#N/A,#N/A,TRUE,"TOTAL"}</definedName>
    <definedName name="hhh" localSheetId="14" hidden="1">{"detail305",#N/A,FALSE,"BI-305"}</definedName>
    <definedName name="hhh" hidden="1">{"detail305",#N/A,FALSE,"BI-305"}</definedName>
    <definedName name="hi" localSheetId="14" hidden="1">{#N/A,#N/A,FALSE,"Aging Summary";#N/A,#N/A,FALSE,"Ratio Analysis";#N/A,#N/A,FALSE,"Test 120 Day Accts";#N/A,#N/A,FALSE,"Tickmarks"}</definedName>
    <definedName name="hi" hidden="1">{#N/A,#N/A,FALSE,"Aging Summary";#N/A,#N/A,FALSE,"Ratio Analysis";#N/A,#N/A,FALSE,"Test 120 Day Accts";#N/A,#N/A,FALSE,"Tickmarks"}</definedName>
    <definedName name="high" localSheetId="14" hidden="1">{#N/A,#N/A,TRUE,"TOTAL DSBN";#N/A,#N/A,TRUE,"WEST";#N/A,#N/A,TRUE,"SOUTH";#N/A,#N/A,TRUE,"NORTHEAST"}</definedName>
    <definedName name="high" hidden="1">{#N/A,#N/A,TRUE,"TOTAL DSBN";#N/A,#N/A,TRUE,"WEST";#N/A,#N/A,TRUE,"SOUTH";#N/A,#N/A,TRUE,"NORTHEAST"}</definedName>
    <definedName name="HighSum" localSheetId="14" hidden="1">{#N/A,#N/A,TRUE,"TOTAL DISTRIBUTION";#N/A,#N/A,TRUE,"SOUTH";#N/A,#N/A,TRUE,"NORTHEAST";#N/A,#N/A,TRUE,"WEST"}</definedName>
    <definedName name="HighSum" hidden="1">{#N/A,#N/A,TRUE,"TOTAL DISTRIBUTION";#N/A,#N/A,TRUE,"SOUTH";#N/A,#N/A,TRUE,"NORTHEAST";#N/A,#N/A,TRUE,"WEST"}</definedName>
    <definedName name="Historical_Dashboard">#REF!</definedName>
    <definedName name="History">#REF!</definedName>
    <definedName name="HV_Bus" localSheetId="14">[10]Lookups!$D$365:$L$372</definedName>
    <definedName name="HV_Bus">#REF!</definedName>
    <definedName name="Hv_Column" localSheetId="14">[10]Lookups!$AC$188:$AE$195</definedName>
    <definedName name="Hv_Column">#REF!</definedName>
    <definedName name="HV_Column_GenTie" localSheetId="14">[10]Lookups!$DI$13:$DJ$20</definedName>
    <definedName name="HV_Column_GenTie">#REF!</definedName>
    <definedName name="HV_Configeration" localSheetId="14">[10]Lookups!$P$359:$Q$366</definedName>
    <definedName name="HV_Configeration">#REF!</definedName>
    <definedName name="HV_Sizing" localSheetId="14">[10]Lookups!$D$354:$L$361</definedName>
    <definedName name="HV_Sizing">#REF!</definedName>
    <definedName name="I" localSheetId="14">#REF!</definedName>
    <definedName name="I">#REF!</definedName>
    <definedName name="Include" localSheetId="14">#REF!</definedName>
    <definedName name="Include">#REF!</definedName>
    <definedName name="Income_Tax_Fed" localSheetId="14">'[7]VEA Inputs'!$E$104</definedName>
    <definedName name="Income_Tax_Fed">#REF!</definedName>
    <definedName name="Income_Tax_State" localSheetId="14">'[7]VEA Inputs'!$E$105</definedName>
    <definedName name="Income_Tax_State">#REF!</definedName>
    <definedName name="inflation" localSheetId="14">'[7]VEA Inputs'!$E$72</definedName>
    <definedName name="inflation">#REF!</definedName>
    <definedName name="INSERT1" localSheetId="14">#REF!</definedName>
    <definedName name="INSERT1">#REF!</definedName>
    <definedName name="INSERT2" localSheetId="14">#REF!</definedName>
    <definedName name="INSERT2">#REF!</definedName>
    <definedName name="Insulator" localSheetId="14">#REF!</definedName>
    <definedName name="Insulator">#REF!</definedName>
    <definedName name="Insulator_Assembly_Costs" localSheetId="14">[10]Lookups!$BE$279:$BN$282</definedName>
    <definedName name="Insulator_Assembly_Costs">#REF!</definedName>
    <definedName name="Insulator_Assembly_Labor" localSheetId="14">[10]Lookups!$BE$284:$BN$287</definedName>
    <definedName name="Insulator_Assembly_Labor">#REF!</definedName>
    <definedName name="Insulator_Base_Type" localSheetId="14">[9]Picklist_TeeLine!$R$27:$S$37</definedName>
    <definedName name="Insulator_Base_Type">#REF!</definedName>
    <definedName name="Insulator_Column" localSheetId="14">[9]Picklist_TeeLine!$O$26:$P$34</definedName>
    <definedName name="Insulator_Column">#REF!</definedName>
    <definedName name="Insulator_Costs" localSheetId="14">[9]Picklist_TeeLine!$B$71:$L$90</definedName>
    <definedName name="Insulator_Costs">#REF!</definedName>
    <definedName name="Insulator_Labor" localSheetId="14">[9]Picklist_TeeLine!$B$93:$L$112</definedName>
    <definedName name="Insulator_Labor">#REF!</definedName>
    <definedName name="Insulator_Material_Factors" localSheetId="14">[9]Picklist_TeeLine!$O$5:$S$7</definedName>
    <definedName name="Insulator_Material_Factors">#REF!</definedName>
    <definedName name="Insulator_Rating_Voltage" localSheetId="14">[9]Picklist_TeeLine!$P$11:$S$21</definedName>
    <definedName name="Insulator_Rating_Voltage">#REF!</definedName>
    <definedName name="Insulator_Type" localSheetId="14">[9]Picklist_TeeLine!$B$71:$B$90</definedName>
    <definedName name="Insulator_Type">#REF!</definedName>
    <definedName name="Insulator_Utility" localSheetId="14">[9]Picklist_TeeLine!$P$9:$S$9</definedName>
    <definedName name="Insulator_Utility">#REF!</definedName>
    <definedName name="Insulator_Voltage" localSheetId="14">[9]Picklist_TeeLine!$O$11:$O$21</definedName>
    <definedName name="Insulator_Voltage">#REF!</definedName>
    <definedName name="intang_afudc910" localSheetId="14">#REF!</definedName>
    <definedName name="intang_afudc910">#REF!</definedName>
    <definedName name="INTQ" localSheetId="14">#REF!</definedName>
    <definedName name="INTQ">#REF!</definedName>
    <definedName name="INTY" localSheetId="14">#REF!</definedName>
    <definedName name="INTY">#REF!</definedName>
    <definedName name="InverterInitalSP" localSheetId="14">'[19]Data Tables'!$E$24:$G$24</definedName>
    <definedName name="InverterInitalSP">#REF!</definedName>
    <definedName name="Invertersize" localSheetId="14">'[19]Data Tables'!$E$20:$G$20</definedName>
    <definedName name="Invertersize">#REF!</definedName>
    <definedName name="ipo" localSheetId="14" hidden="1">{#N/A,#N/A,FALSE,"Aging Summary";#N/A,#N/A,FALSE,"Ratio Analysis";#N/A,#N/A,FALSE,"Test 120 Day Accts";#N/A,#N/A,FALSE,"Tickmarks"}</definedName>
    <definedName name="ipo" hidden="1">{#N/A,#N/A,FALSE,"Aging Summary";#N/A,#N/A,FALSE,"Ratio Analysis";#N/A,#N/A,FALSE,"Test 120 Day Accts";#N/A,#N/A,FALSE,"Tickmarks"}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42691.5412615741</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39483.7502777778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D40" hidden="1">"$D$41:$D$2543"</definedName>
    <definedName name="IQRD41" hidden="1">"$D$42:$D$2544"</definedName>
    <definedName name="IQRE41" hidden="1">"$E$42:$E$2544"</definedName>
    <definedName name="Iron">#REF!</definedName>
    <definedName name="itc">#REF!</definedName>
    <definedName name="JESUS" localSheetId="14" hidden="1">{#N/A,#N/A,TRUE,"Facility-Input";#N/A,#N/A,TRUE,"Graphs";#N/A,#N/A,TRUE,"TOTAL"}</definedName>
    <definedName name="JESUS" hidden="1">{#N/A,#N/A,TRUE,"Facility-Input";#N/A,#N/A,TRUE,"Graphs";#N/A,#N/A,TRUE,"TOTAL"}</definedName>
    <definedName name="jh" localSheetId="14" hidden="1">{#N/A,#N/A,FALSE,"Aging Summary";#N/A,#N/A,FALSE,"Ratio Analysis";#N/A,#N/A,FALSE,"Test 120 Day Accts";#N/A,#N/A,FALSE,"Tickmarks"}</definedName>
    <definedName name="jh" hidden="1">{#N/A,#N/A,FALSE,"Aging Summary";#N/A,#N/A,FALSE,"Ratio Analysis";#N/A,#N/A,FALSE,"Test 120 Day Accts";#N/A,#N/A,FALSE,"Tickmarks"}</definedName>
    <definedName name="jjj" localSheetId="14" hidden="1">{#N/A,#N/A,FALSE,"INPUTDATA";#N/A,#N/A,FALSE,"SUMMARY";#N/A,#N/A,FALSE,"CTAREP";#N/A,#N/A,FALSE,"CTBREP";#N/A,#N/A,FALSE,"PMG4ST86";#N/A,#N/A,FALSE,"TURBEFF";#N/A,#N/A,FALSE,"Condenser Performance"}</definedName>
    <definedName name="jjj" hidden="1">{#N/A,#N/A,FALSE,"INPUTDATA";#N/A,#N/A,FALSE,"SUMMARY";#N/A,#N/A,FALSE,"CTAREP";#N/A,#N/A,FALSE,"CTBREP";#N/A,#N/A,FALSE,"PMG4ST86";#N/A,#N/A,FALSE,"TURBEFF";#N/A,#N/A,FALSE,"Condenser Performance"}</definedName>
    <definedName name="K1_">#REF!</definedName>
    <definedName name="K1P">#REF!</definedName>
    <definedName name="K2_">#REF!</definedName>
    <definedName name="K2P">#REF!</definedName>
    <definedName name="Kd" localSheetId="14">'[7]VEA Inputs'!$E$81</definedName>
    <definedName name="Kd">#REF!</definedName>
    <definedName name="KeyCon_Close_Date" localSheetId="14">#REF!</definedName>
    <definedName name="KeyCon_Close_Date">#REF!</definedName>
    <definedName name="kk">#REF!</definedName>
    <definedName name="kkk" localSheetId="14" hidden="1">{#N/A,#N/A,FALSE,"INPUTDATA";#N/A,#N/A,FALSE,"SUMMARY";#N/A,#N/A,FALSE,"CTAREP";#N/A,#N/A,FALSE,"CTBREP";#N/A,#N/A,FALSE,"TURBEFF";#N/A,#N/A,FALSE,"Condenser Performance"}</definedName>
    <definedName name="kkk" hidden="1">{#N/A,#N/A,FALSE,"INPUTDATA";#N/A,#N/A,FALSE,"SUMMARY";#N/A,#N/A,FALSE,"CTAREP";#N/A,#N/A,FALSE,"CTBREP";#N/A,#N/A,FALSE,"TURBEFF";#N/A,#N/A,FALSE,"Condenser Performance"}</definedName>
    <definedName name="ko" localSheetId="14" hidden="1">{#N/A,#N/A,FALSE,"Aging Summary";#N/A,#N/A,FALSE,"Ratio Analysis";#N/A,#N/A,FALSE,"Test 120 Day Accts";#N/A,#N/A,FALSE,"Tickmarks"}</definedName>
    <definedName name="ko" hidden="1">{#N/A,#N/A,FALSE,"Aging Summary";#N/A,#N/A,FALSE,"Ratio Analysis";#N/A,#N/A,FALSE,"Test 120 Day Accts";#N/A,#N/A,FALSE,"Tickmarks"}</definedName>
    <definedName name="KS">#REF!</definedName>
    <definedName name="KSP">#REF!</definedName>
    <definedName name="Kva_Column" localSheetId="14">[9]Picklist_Substations!$B$4:$C$14</definedName>
    <definedName name="Kva_Column">#REF!</definedName>
    <definedName name="KW" localSheetId="14">#REF!</definedName>
    <definedName name="KW">#REF!</definedName>
    <definedName name="KWP" localSheetId="14">#REF!</definedName>
    <definedName name="KWP">#REF!</definedName>
    <definedName name="Kz_Table" localSheetId="14">[9]Picklist_TeeLine!$BK$802:$BM$808</definedName>
    <definedName name="Kz_Table">#REF!</definedName>
    <definedName name="l" localSheetId="14">#REF!</definedName>
    <definedName name="l">#REF!</definedName>
    <definedName name="Labor" localSheetId="14">#REF!</definedName>
    <definedName name="Labor">#REF!</definedName>
    <definedName name="Labor_Impact" localSheetId="14">[9]Labor!$B$47:$BT$67</definedName>
    <definedName name="Labor_Impact">#REF!</definedName>
    <definedName name="LaborPole" localSheetId="14">[9]Picklist_TeeLine!$DE$140:$HH$174</definedName>
    <definedName name="LaborPole">#REF!</definedName>
    <definedName name="LastRow1" localSheetId="14">#REF!</definedName>
    <definedName name="LastRow1">#REF!</definedName>
    <definedName name="LastRow2" localSheetId="14">#REF!</definedName>
    <definedName name="LastRow2">#REF!</definedName>
    <definedName name="lew" localSheetId="14" hidden="1">{#N/A,#N/A,FALSE,"INPUTDATA";#N/A,#N/A,FALSE,"SUMMARY"}</definedName>
    <definedName name="lew" hidden="1">{#N/A,#N/A,FALSE,"INPUTDATA";#N/A,#N/A,FALSE,"SUMMARY"}</definedName>
    <definedName name="Library" hidden="1">"a1"</definedName>
    <definedName name="limcount" hidden="1">1</definedName>
    <definedName name="Line_Loss90" localSheetId="14">[10]Lookups!$Z$308:$AA$318</definedName>
    <definedName name="Line_Loss90">#REF!</definedName>
    <definedName name="LiqProps" localSheetId="14">[15]Settings!$C$30:$C$81</definedName>
    <definedName name="LiqProps">#REF!</definedName>
    <definedName name="Liquids" localSheetId="14" hidden="1">{#N/A,#N/A,FALSE,"Earnings release"}</definedName>
    <definedName name="Liquids" hidden="1">{#N/A,#N/A,FALSE,"Earnings release"}</definedName>
    <definedName name="lll" localSheetId="14" hidden="1">{#N/A,#N/A,FALSE,"INPUTDATA";#N/A,#N/A,FALSE,"SUMMARY";#N/A,#N/A,FALSE,"CTAREP";#N/A,#N/A,FALSE,"CTBREP";#N/A,#N/A,FALSE,"TURBEFF";#N/A,#N/A,FALSE,"Condenser Performance"}</definedName>
    <definedName name="lll" hidden="1">{#N/A,#N/A,FALSE,"INPUTDATA";#N/A,#N/A,FALSE,"SUMMARY";#N/A,#N/A,FALSE,"CTAREP";#N/A,#N/A,FALSE,"CTBREP";#N/A,#N/A,FALSE,"TURBEFF";#N/A,#N/A,FALSE,"Condenser Performance"}</definedName>
    <definedName name="Load_Factors" localSheetId="14">[9]Picklist_TeeLine!$BK$783:$BN$792</definedName>
    <definedName name="Load_Factors">#REF!</definedName>
    <definedName name="Load_Growth" localSheetId="14">'[7]VEA Inputs'!$E$126</definedName>
    <definedName name="Load_Growth">#REF!</definedName>
    <definedName name="Loading_Districts" localSheetId="14">[9]Picklist_TeeLine!$BL$762:$BV$771</definedName>
    <definedName name="Loading_Districts">#REF!</definedName>
    <definedName name="Location" localSheetId="14">'[19]Data Tables'!$D$44:$BI$44</definedName>
    <definedName name="Location">#REF!</definedName>
    <definedName name="Location_Factors_2" localSheetId="14">[9]Picklist_TeeLine!$L$738:$AJ$1099</definedName>
    <definedName name="Location_Factors_2">#REF!</definedName>
    <definedName name="Location_Table" localSheetId="14">[9]Picklist_TeeLine!$J$733:$AI$1099</definedName>
    <definedName name="Location_Table">#REF!</definedName>
    <definedName name="LocationColumn1" localSheetId="14">#REF!</definedName>
    <definedName name="LocationColumn1">#REF!</definedName>
    <definedName name="LocationColumn2" localSheetId="14">#REF!</definedName>
    <definedName name="LocationColumn2">#REF!</definedName>
    <definedName name="lpo" localSheetId="14" hidden="1">{#N/A,#N/A,FALSE,"Aging Summary";#N/A,#N/A,FALSE,"Ratio Analysis";#N/A,#N/A,FALSE,"Test 120 Day Accts";#N/A,#N/A,FALSE,"Tickmarks"}</definedName>
    <definedName name="lpo" hidden="1">{#N/A,#N/A,FALSE,"Aging Summary";#N/A,#N/A,FALSE,"Ratio Analysis";#N/A,#N/A,FALSE,"Test 120 Day Accts";#N/A,#N/A,FALSE,"Tickmarks"}</definedName>
    <definedName name="lslkjd" localSheetId="14" hidden="1">'[20]Expense Escalation-Old-dk'!#REF!</definedName>
    <definedName name="lslkjd" hidden="1">#REF!</definedName>
    <definedName name="Main_auto_1ph_xfmr_price" localSheetId="14">[9]Picklist_Substations!$AG$11:$AR$44</definedName>
    <definedName name="Main_auto_1ph_xfmr_price">#REF!</definedName>
    <definedName name="Main_auto_xfmr_price" localSheetId="14">[9]Picklist_Substations!$S$11:$AD$44</definedName>
    <definedName name="Main_auto_xfmr_price">#REF!</definedName>
    <definedName name="Main_xfmr_concrete" localSheetId="14">[9]Picklist_Substations!$AU$11:$BF$44</definedName>
    <definedName name="Main_xfmr_concrete">#REF!</definedName>
    <definedName name="Main_xfmr_phase" localSheetId="14">#REF!</definedName>
    <definedName name="Main_xfmr_phase">#REF!</definedName>
    <definedName name="Main_xfmr_rock" localSheetId="14">[9]Picklist_Substations!$BW$11:$CH$44</definedName>
    <definedName name="Main_xfmr_rock">#REF!</definedName>
    <definedName name="Main_xfmr_steel" localSheetId="14">[9]Picklist_Substations!$BI$11:$BT$44</definedName>
    <definedName name="Main_xfmr_steel">#REF!</definedName>
    <definedName name="Main_xfmr_Type" localSheetId="14">#REF!</definedName>
    <definedName name="Main_xfmr_Type">#REF!</definedName>
    <definedName name="Major_Minor" localSheetId="14">[10]Lookups!$E$7:$E$8</definedName>
    <definedName name="Major_Minor">#REF!</definedName>
    <definedName name="MARL" localSheetId="14" hidden="1">{"summary",#N/A,FALSE,"PCR DIRECTORY"}</definedName>
    <definedName name="MARL" hidden="1">{"summary",#N/A,FALSE,"PCR DIRECTORY"}</definedName>
    <definedName name="MARY" localSheetId="14" hidden="1">{#N/A,#N/A,TRUE,"TOTAL DISTRIBUTION";#N/A,#N/A,TRUE,"SOUTH";#N/A,#N/A,TRUE,"NORTHEAST";#N/A,#N/A,TRUE,"WEST"}</definedName>
    <definedName name="MARY" hidden="1">{#N/A,#N/A,TRUE,"TOTAL DISTRIBUTION";#N/A,#N/A,TRUE,"SOUTH";#N/A,#N/A,TRUE,"NORTHEAST";#N/A,#N/A,TRUE,"WEST"}</definedName>
    <definedName name="Materials_Percent" localSheetId="14">'[7]VEA Inputs'!$E$74</definedName>
    <definedName name="Materials_Percent">#REF!</definedName>
    <definedName name="Maturity_Index" localSheetId="14">#REF!</definedName>
    <definedName name="Maturity_Index">#REF!</definedName>
    <definedName name="Meter_Type" localSheetId="14">[9]Picklist_Substations!$B$31:$B$35</definedName>
    <definedName name="Meter_Type">#REF!</definedName>
    <definedName name="Metering" localSheetId="14">[9]Picklist_Substations!$E$198:$P$217</definedName>
    <definedName name="Metering">#REF!</definedName>
    <definedName name="Metering_Concrete" localSheetId="14">[9]Picklist_Substations!$S$198:$AD$217</definedName>
    <definedName name="Metering_Concrete">#REF!</definedName>
    <definedName name="Metering_Labor" localSheetId="14">[9]Picklist_Substations!$AU$198:$BF$217</definedName>
    <definedName name="Metering_Labor">#REF!</definedName>
    <definedName name="Metering_Steel" localSheetId="14">[9]Picklist_Substations!$AG$198:$AR$217</definedName>
    <definedName name="Metering_Steel">#REF!</definedName>
    <definedName name="Mgmt" localSheetId="3">#REF!</definedName>
    <definedName name="Mgmt">#REF!</definedName>
    <definedName name="Miles_Per_Week_Base" localSheetId="14">[9]Picklist_TeeLine!$B$30:$C$40</definedName>
    <definedName name="Miles_Per_Week_Base">#REF!</definedName>
    <definedName name="million">1000000</definedName>
    <definedName name="mmm" localSheetId="14" hidden="1">{"summary",#N/A,FALSE,"PCR DIRECTORY"}</definedName>
    <definedName name="mmm" hidden="1">{"summary",#N/A,FALSE,"PCR DIRECTORY"}</definedName>
    <definedName name="mmmmm" localSheetId="14" hidden="1">{#N/A,#N/A,FALSE,"SUMMARY";#N/A,#N/A,FALSE,"INPUTDATA";#N/A,#N/A,FALSE,"Condenser Performance"}</definedName>
    <definedName name="mmmmm" hidden="1">{#N/A,#N/A,FALSE,"SUMMARY";#N/A,#N/A,FALSE,"INPUTDATA";#N/A,#N/A,FALSE,"Condenser Performance"}</definedName>
    <definedName name="Model_Rackup_Data">#REF!</definedName>
    <definedName name="ModelID1">#REF!</definedName>
    <definedName name="ModelID2">#REF!</definedName>
    <definedName name="MonoPoleColumn" localSheetId="14">[9]Picklist_TeeLine!$BX$6:$CB$110</definedName>
    <definedName name="MonoPoleColumn">#REF!</definedName>
    <definedName name="MonoPoleColumn_FPL" localSheetId="14">[9]Picklist_TeeLine!$CE$6:$CI$110</definedName>
    <definedName name="MonoPoleColumn_FPL">#REF!</definedName>
    <definedName name="MonoPoleCost" localSheetId="14">[9]Picklist_TeeLine!$DE$16:$HH$50</definedName>
    <definedName name="MonoPoleCost">#REF!</definedName>
    <definedName name="month" localSheetId="14">#REF!</definedName>
    <definedName name="month">#REF!</definedName>
    <definedName name="months" localSheetId="14">#REF!</definedName>
    <definedName name="months">#REF!</definedName>
    <definedName name="MTC_Amortization" localSheetId="14">#REF!</definedName>
    <definedName name="MTC_Amortization">#REF!</definedName>
    <definedName name="Mtlconc">#REF!</definedName>
    <definedName name="n" localSheetId="1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A" localSheetId="14" hidden="1">{#N/A,#N/A,FALSE,"Expenses";#N/A,#N/A,FALSE,"Revenue"}</definedName>
    <definedName name="NA" hidden="1">{#N/A,#N/A,FALSE,"Expenses";#N/A,#N/A,FALSE,"Revenue"}</definedName>
    <definedName name="nada" localSheetId="14" hidden="1">{2;#N/A;"R13C16:R17C16";#N/A;"R13C14:R17C15";FALSE;FALSE;FALSE;95;#N/A;#N/A;"R13C19";#N/A;FALSE;FALSE;FALSE;FALSE;#N/A;"";#N/A;FALSE;"";"";#N/A;#N/A;#N/A}</definedName>
    <definedName name="nada" hidden="1">{2;#N/A;"R13C16:R17C16";#N/A;"R13C14:R17C15";FALSE;FALSE;FALSE;95;#N/A;#N/A;"R13C19";#N/A;FALSE;FALSE;FALSE;FALSE;#N/A;"";#N/A;FALSE;"";"";#N/A;#N/A;#N/A}</definedName>
    <definedName name="NamesColumn1">#REF!</definedName>
    <definedName name="NamesColumn2">#REF!</definedName>
    <definedName name="NESC">#REF!</definedName>
    <definedName name="NESC_Code_Adopted" localSheetId="14">[10]Lookups!$AS$60:$AW$122</definedName>
    <definedName name="NESC_Code_Adopted">#REF!</definedName>
    <definedName name="new" localSheetId="3">#REF!</definedName>
    <definedName name="new">#REF!</definedName>
    <definedName name="newname" localSheetId="14"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nnn" localSheetId="14" hidden="1">{#N/A,#N/A,FALSE,"T COST";#N/A,#N/A,FALSE,"COST_FH"}</definedName>
    <definedName name="nnnn" hidden="1">{#N/A,#N/A,FALSE,"T COST";#N/A,#N/A,FALSE,"COST_FH"}</definedName>
    <definedName name="No.Cassion" localSheetId="14">[9]Picklist_TeeLine!$AH$63:$AI$67</definedName>
    <definedName name="No.Cassion">#REF!</definedName>
    <definedName name="No_Circuits" localSheetId="14">#REF!</definedName>
    <definedName name="No_Circuits">#REF!</definedName>
    <definedName name="non_cap_int" localSheetId="14">#REF!</definedName>
    <definedName name="non_cap_int">#REF!</definedName>
    <definedName name="none" localSheetId="14" hidden="1">{#N/A,#N/A,TRUE,"TOTAL DISTRIBUTION";#N/A,#N/A,TRUE,"SOUTH";#N/A,#N/A,TRUE,"NORTHEAST";#N/A,#N/A,TRUE,"WEST"}</definedName>
    <definedName name="none" hidden="1">{#N/A,#N/A,TRUE,"TOTAL DISTRIBUTION";#N/A,#N/A,TRUE,"SOUTH";#N/A,#N/A,TRUE,"NORTHEAST";#N/A,#N/A,TRUE,"WEST"}</definedName>
    <definedName name="NonWood" localSheetId="14">[10]Lookups!$G$16:$G$26</definedName>
    <definedName name="NonWood">#REF!</definedName>
    <definedName name="NSP_COS" localSheetId="2">#REF!</definedName>
    <definedName name="NSP_COS">#REF!</definedName>
    <definedName name="Nuclear_Secur_Date">#REF!</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AFFILIATE">"AFFILIATE_VW"</definedName>
    <definedName name="NvsValTbl.BUSINESS_UNIT">"BUS_UNIT_TBL_FS"</definedName>
    <definedName name="NvsValTbl.CHARTFIELD1">"CF1_ALL_VW"</definedName>
    <definedName name="NvsValTbl.DEPTID">"DEPTID_NB_VW"</definedName>
    <definedName name="O_M_Size" localSheetId="14">[10]Lookups!$O$55:$P$66</definedName>
    <definedName name="O_M_Size">#REF!</definedName>
    <definedName name="OASDI" localSheetId="14">#REF!</definedName>
    <definedName name="OASDI">#REF!</definedName>
    <definedName name="OCT" localSheetId="14">#REF!</definedName>
    <definedName name="OCT">#REF!</definedName>
    <definedName name="oct18_spendToDate" localSheetId="14">#REF!</definedName>
    <definedName name="oct18_spendToDate">#REF!</definedName>
    <definedName name="OH_Conductor" localSheetId="14">[10]Lookups!$BZ$223:$CA$227</definedName>
    <definedName name="OH_Conductor">#REF!</definedName>
    <definedName name="OH_Pole_Select" localSheetId="14">[10]Lookups!$CC$223:$CC$228</definedName>
    <definedName name="OH_Pole_Select">#REF!</definedName>
    <definedName name="OH_Poles" localSheetId="14">[10]Lookups!$CC$223:$CF$228</definedName>
    <definedName name="OH_Poles">#REF!</definedName>
    <definedName name="ok" localSheetId="14" hidden="1">{#N/A,#N/A,FALSE,"Aging Summary";#N/A,#N/A,FALSE,"Ratio Analysis";#N/A,#N/A,FALSE,"Test 120 Day Accts";#N/A,#N/A,FALSE,"Tickmarks"}</definedName>
    <definedName name="ok" hidden="1">{#N/A,#N/A,FALSE,"Aging Summary";#N/A,#N/A,FALSE,"Ratio Analysis";#N/A,#N/A,FALSE,"Test 120 Day Accts";#N/A,#N/A,FALSE,"Tickmarks"}</definedName>
    <definedName name="Oklahoma">#REF!</definedName>
    <definedName name="oldname" localSheetId="14" hidden="1">{#N/A,#N/A,FALSE,"CAP 1998";#N/A,#N/A,FALSE,"CAP 1999";#N/A,#N/A,FALSE,"CAP 2000";#N/A,#N/A,FALSE,"CAP_2001";#N/A,#N/A,FALSE,"CAP_2002";#N/A,#N/A,FALSE,"MAINT_1998";#N/A,#N/A,FALSE,"MAINT_1999";#N/A,#N/A,FALSE,"MAINT_2000";#N/A,#N/A,FALSE,"MAINT_2001";#N/A,#N/A,FALSE,"MAINT_2002"}</definedName>
    <definedName name="oldname" hidden="1">{#N/A,#N/A,FALSE,"CAP 1998";#N/A,#N/A,FALSE,"CAP 1999";#N/A,#N/A,FALSE,"CAP 2000";#N/A,#N/A,FALSE,"CAP_2001";#N/A,#N/A,FALSE,"CAP_2002";#N/A,#N/A,FALSE,"MAINT_1998";#N/A,#N/A,FALSE,"MAINT_1999";#N/A,#N/A,FALSE,"MAINT_2000";#N/A,#N/A,FALSE,"MAINT_2001";#N/A,#N/A,FALSE,"MAINT_2002"}</definedName>
    <definedName name="olg" localSheetId="14" hidden="1">{#N/A,#N/A,FALSE,"Results";#N/A,#N/A,FALSE,"Input Data";#N/A,#N/A,FALSE,"Generation Calculation";#N/A,#N/A,FALSE,"Unit Heat Rate Calculation";#N/A,#N/A,FALSE,"BEFF.XLS";#N/A,#N/A,FALSE,"TURBEFF.XLS";#N/A,#N/A,FALSE,"Final FWH Extraction Flow";#N/A,#N/A,FALSE,"Condenser Performance";#N/A,#N/A,FALSE,"Stage Pressure Correction"}</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M_Rate" localSheetId="14">'[7]VEA Inputs'!$E$93</definedName>
    <definedName name="OM_Rate">#REF!</definedName>
    <definedName name="one">1</definedName>
    <definedName name="OnePager" localSheetId="14">[21]List!$F$3:$F$10</definedName>
    <definedName name="OnePager">#REF!</definedName>
    <definedName name="Operations" localSheetId="14">#REF!</definedName>
    <definedName name="Operations">#REF!</definedName>
    <definedName name="OPGW_Table" localSheetId="14">[9]Picklist_TeeLine!$BL$818:$BY$837</definedName>
    <definedName name="OPGW_Table">#REF!</definedName>
    <definedName name="opiu" localSheetId="14" hidden="1">{2;#N/A;"R13C16:R17C16";#N/A;"R13C14:R17C15";FALSE;FALSE;FALSE;95;#N/A;#N/A;"R13C19";#N/A;FALSE;FALSE;FALSE;FALSE;#N/A;"";#N/A;FALSE;"";"";#N/A;#N/A;#N/A}</definedName>
    <definedName name="opiu" hidden="1">{2;#N/A;"R13C16:R17C16";#N/A;"R13C14:R17C15";FALSE;FALSE;FALSE;95;#N/A;#N/A;"R13C19";#N/A;FALSE;FALSE;FALSE;FALSE;#N/A;"";#N/A;FALSE;"";"";#N/A;#N/A;#N/A}</definedName>
    <definedName name="Organization">#REF!</definedName>
    <definedName name="Other_Tax" localSheetId="14">'[7]VEA Inputs'!$E$99</definedName>
    <definedName name="Other_Tax">#REF!</definedName>
    <definedName name="OverallProps" localSheetId="14">[15]Settings!$A$30:$A$150</definedName>
    <definedName name="OverallProps">#REF!</definedName>
    <definedName name="P" localSheetId="14" hidden="1">{#N/A,#N/A,FALSE,"Proforma Five Yr";#N/A,#N/A,FALSE,"Capital Input";#N/A,#N/A,FALSE,"Calculations";#N/A,#N/A,FALSE,"Transaction Summary-DTW"}</definedName>
    <definedName name="P" hidden="1">{#N/A,#N/A,FALSE,"Proforma Five Yr";#N/A,#N/A,FALSE,"Capital Input";#N/A,#N/A,FALSE,"Calculations";#N/A,#N/A,FALSE,"Transaction Summary-DTW"}</definedName>
    <definedName name="p_Fe">#REF!</definedName>
    <definedName name="p_Fe_OH_3">#REF!</definedName>
    <definedName name="p_FeOH">#REF!</definedName>
    <definedName name="Padmount" localSheetId="14">[10]Lookups!$C$39:$O$52</definedName>
    <definedName name="Padmount">#REF!</definedName>
    <definedName name="PCap" localSheetId="14" hidden="1">#REF!</definedName>
    <definedName name="PCap" hidden="1">#REF!</definedName>
    <definedName name="pctHW" localSheetId="14">#REF!</definedName>
    <definedName name="pctHW">#REF!</definedName>
    <definedName name="pctSWExp" localSheetId="14">#REF!</definedName>
    <definedName name="pctSWExp">#REF!</definedName>
    <definedName name="pctTraining">#REF!</definedName>
    <definedName name="pHF" localSheetId="14">'[6]Lime Soda Softener'!#REF!</definedName>
    <definedName name="pHF">#REF!</definedName>
    <definedName name="PHILOSOPHY" localSheetId="14">#REF!</definedName>
    <definedName name="PHILOSOPHY">#REF!</definedName>
    <definedName name="PHS" localSheetId="14">#REF!</definedName>
    <definedName name="PHS">#REF!</definedName>
    <definedName name="pig_dig5" localSheetId="14" hidden="1">{#N/A,#N/A,FALSE,"T COST";#N/A,#N/A,FALSE,"COST_FH"}</definedName>
    <definedName name="pig_dig5" hidden="1">{#N/A,#N/A,FALSE,"T COST";#N/A,#N/A,FALSE,"COST_FH"}</definedName>
    <definedName name="pig_dog" localSheetId="14"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4" hidden="1">{"EXCELHLP.HLP!1802";5;10;5;10;13;13;13;8;5;5;10;14;13;13;13;13;5;10;14;13;5;10;1;2;24}</definedName>
    <definedName name="pig_dog\" hidden="1">{"EXCELHLP.HLP!1802";5;10;5;10;13;13;13;8;5;5;10;14;13;13;13;13;5;10;14;13;5;10;1;2;24}</definedName>
    <definedName name="pig_dog2" localSheetId="1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4"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4" hidden="1">{#N/A,#N/A,FALSE,"SUMMARY";#N/A,#N/A,FALSE,"INPUTDATA";#N/A,#N/A,FALSE,"Condenser Performance"}</definedName>
    <definedName name="pig_dog4" hidden="1">{#N/A,#N/A,FALSE,"SUMMARY";#N/A,#N/A,FALSE,"INPUTDATA";#N/A,#N/A,FALSE,"Condenser Performance"}</definedName>
    <definedName name="pig_dog6" localSheetId="14"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4" hidden="1">{#N/A,#N/A,FALSE,"INPUTDATA";#N/A,#N/A,FALSE,"SUMMARY"}</definedName>
    <definedName name="pig_dog7" hidden="1">{#N/A,#N/A,FALSE,"INPUTDATA";#N/A,#N/A,FALSE,"SUMMARY"}</definedName>
    <definedName name="pig_dog8" localSheetId="14"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ka" localSheetId="14" hidden="1">{#N/A,#N/A,FALSE,"INPUTDATA";#N/A,#N/A,FALSE,"SUMMARY";#N/A,#N/A,FALSE,"CTAREP";#N/A,#N/A,FALSE,"CTBREP";#N/A,#N/A,FALSE,"PMG4ST86";#N/A,#N/A,FALSE,"TURBEFF";#N/A,#N/A,FALSE,"Condenser Performance"}</definedName>
    <definedName name="pka" hidden="1">{#N/A,#N/A,FALSE,"INPUTDATA";#N/A,#N/A,FALSE,"SUMMARY";#N/A,#N/A,FALSE,"CTAREP";#N/A,#N/A,FALSE,"CTBREP";#N/A,#N/A,FALSE,"PMG4ST86";#N/A,#N/A,FALSE,"TURBEFF";#N/A,#N/A,FALSE,"Condenser Performance"}</definedName>
    <definedName name="Plant_Original_Cost" localSheetId="14">'[7]VEA Inputs'!$E$23</definedName>
    <definedName name="Plant_Original_Cost">#REF!</definedName>
    <definedName name="Plant_Tax" localSheetId="14">'[7]VEA Inputs'!$E$97</definedName>
    <definedName name="Plant_Tax">#REF!</definedName>
    <definedName name="pms" localSheetId="14" hidden="1">{"detail305",#N/A,FALSE,"BI-305"}</definedName>
    <definedName name="pms" hidden="1">{"detail305",#N/A,FALSE,"BI-305"}</definedName>
    <definedName name="pnc" localSheetId="14" hidden="1">{#N/A,#N/A,FALSE,"T COST";#N/A,#N/A,FALSE,"COST_FH"}</definedName>
    <definedName name="pnc" hidden="1">{#N/A,#N/A,FALSE,"T COST";#N/A,#N/A,FALSE,"COST_FH"}</definedName>
    <definedName name="poiuy" localSheetId="14" hidden="1">{#N/A,#N/A,FALSE,"Aging Summary";#N/A,#N/A,FALSE,"Ratio Analysis";#N/A,#N/A,FALSE,"Test 120 Day Accts";#N/A,#N/A,FALSE,"Tickmarks"}</definedName>
    <definedName name="poiuy" hidden="1">{#N/A,#N/A,FALSE,"Aging Summary";#N/A,#N/A,FALSE,"Ratio Analysis";#N/A,#N/A,FALSE,"Test 120 Day Accts";#N/A,#N/A,FALSE,"Tickmarks"}</definedName>
    <definedName name="Pole_Class" localSheetId="14">[9]Picklist_TeeLine!$BK$66:$BT$98</definedName>
    <definedName name="Pole_Class">#REF!</definedName>
    <definedName name="Pole_Column" localSheetId="14">[10]Lookups!$DE$10:$DG$48</definedName>
    <definedName name="Pole_Column">#REF!</definedName>
    <definedName name="Pole_List" localSheetId="14">#REF!</definedName>
    <definedName name="Pole_List">#REF!</definedName>
    <definedName name="Pole_Materials" localSheetId="14">[10]Lookups!$D$16:$D$19</definedName>
    <definedName name="Pole_Materials">#REF!</definedName>
    <definedName name="Pole_Selection" localSheetId="14">[10]Lookups!$DE$10:$DE$48</definedName>
    <definedName name="Pole_Selection">#REF!</definedName>
    <definedName name="Pole_Weight" localSheetId="14">[9]Picklist_TeeLine!$DE$263:$HH$297</definedName>
    <definedName name="Pole_Weight">#REF!</definedName>
    <definedName name="PosPhases" localSheetId="14">[15]Settings!$H$4:$H$14</definedName>
    <definedName name="PosPhases">#REF!</definedName>
    <definedName name="post_fossil" localSheetId="14">#REF!</definedName>
    <definedName name="post_fossil">#REF!</definedName>
    <definedName name="PPA" localSheetId="14">#REF!</definedName>
    <definedName name="PPA">#REF!</definedName>
    <definedName name="ppp" localSheetId="14" hidden="1">{"summary",#N/A,FALSE,"PCR DIRECTORY"}</definedName>
    <definedName name="ppp" hidden="1">{"summary",#N/A,FALSE,"PCR DIRECTORY"}</definedName>
    <definedName name="prb" localSheetId="14" hidden="1">{"summary",#N/A,FALSE,"PCR DIRECTORY"}</definedName>
    <definedName name="prb" hidden="1">{"summary",#N/A,FALSE,"PCR DIRECTORY"}</definedName>
    <definedName name="PreTaxDebt">#REF!</definedName>
    <definedName name="Pricing_Steel_Pole_BasePlate" localSheetId="14">[9]Picklist_TeeLine!$BJ$16:$BK$23</definedName>
    <definedName name="Pricing_Steel_Pole_BasePlate">#REF!</definedName>
    <definedName name="Pricing_Steel_Pole_Embed" localSheetId="14">[9]Picklist_TeeLine!$BJ$5:$BK$12</definedName>
    <definedName name="Pricing_Steel_Pole_Embed">#REF!</definedName>
    <definedName name="print_all" localSheetId="14">#REF!</definedName>
    <definedName name="print_all">#REF!</definedName>
    <definedName name="print_all_D_1" localSheetId="14">#REF!</definedName>
    <definedName name="print_all_D_1">#REF!</definedName>
    <definedName name="_xlnm.Print_Area" localSheetId="2">'1-Project Rev Req'!$A$1:$S$108</definedName>
    <definedName name="_xlnm.Print_Area" localSheetId="3">'2-Incentive ROE'!$A$1:$K$48</definedName>
    <definedName name="_xlnm.Print_Area" localSheetId="5">'4- Rate Base'!$A$1:$J$73</definedName>
    <definedName name="_xlnm.Print_Area" localSheetId="6">'4a-Projection ADIT'!$A$1:$K$126</definedName>
    <definedName name="_xlnm.Print_Area" localSheetId="7">'5-P3 Support'!$A$1:$M$95</definedName>
    <definedName name="_xlnm.Print_Area" localSheetId="9">'7 - PBOP'!$A$1:$F$22</definedName>
    <definedName name="_xlnm.Print_Area" localSheetId="10">'8-Dep Rates'!$A$1:$D$47</definedName>
    <definedName name="_xlnm.Print_Area" localSheetId="1">'Attachment H'!$A$1:$K$274</definedName>
    <definedName name="Print_Area_MI" localSheetId="14">#REF!</definedName>
    <definedName name="Print_Area_MI">#REF!</definedName>
    <definedName name="_xlnm.Print_Titles" localSheetId="14">[22]내역서!#REF!</definedName>
    <definedName name="_xlnm.Print_Titles">#REF!</definedName>
    <definedName name="Print_Titles_MI" localSheetId="14">#REF!,#REF!</definedName>
    <definedName name="Print_Titles_MI">#REF!,#REF!</definedName>
    <definedName name="Print1" localSheetId="2">#REF!</definedName>
    <definedName name="Print1" localSheetId="3">#REF!</definedName>
    <definedName name="Print1">#REF!</definedName>
    <definedName name="Print3" localSheetId="2">#REF!</definedName>
    <definedName name="Print3">#REF!</definedName>
    <definedName name="Print4" localSheetId="2">#REF!</definedName>
    <definedName name="Print4">#REF!</definedName>
    <definedName name="Print5">#REF!</definedName>
    <definedName name="PrintareaDec">#REF!,#REF!,#REF!</definedName>
    <definedName name="Project_Dashboard_Code">#REF!</definedName>
    <definedName name="Project_Data_Tline">#REF!</definedName>
    <definedName name="Project_Name">#REF!</definedName>
    <definedName name="Project_Name_Model">#REF!</definedName>
    <definedName name="Project_Rackup_List" localSheetId="14">[9]SOV_Transmission_RackUp!$H$5:$XFD$5</definedName>
    <definedName name="Project_Rackup_List">#REF!</definedName>
    <definedName name="ProjectDefaults" localSheetId="14">#REF!</definedName>
    <definedName name="ProjectDefaults">#REF!</definedName>
    <definedName name="ProjIDList">#REF!</definedName>
    <definedName name="PropertyGroupName">#REF!</definedName>
    <definedName name="PropertyUnitName">#REF!</definedName>
    <definedName name="Proposed" localSheetId="14" hidden="1">{#N/A,#N/A,TRUE,"TOTAL DISTRIBUTION";#N/A,#N/A,TRUE,"SOUTH";#N/A,#N/A,TRUE,"NORTHEAST";#N/A,#N/A,TRUE,"WEST"}</definedName>
    <definedName name="Proposed" hidden="1">{#N/A,#N/A,TRUE,"TOTAL DISTRIBUTION";#N/A,#N/A,TRUE,"SOUTH";#N/A,#N/A,TRUE,"NORTHEAST";#N/A,#N/A,TRUE,"WEST"}</definedName>
    <definedName name="protected_sheet_password">#REF!</definedName>
    <definedName name="prys" localSheetId="14" hidden="1">table_inspection</definedName>
    <definedName name="prys" hidden="1">table_inspection</definedName>
    <definedName name="PSCo_COS">#REF!</definedName>
    <definedName name="Purchase_Price_Plant" localSheetId="14">'[7]VEA Inputs'!$E$28</definedName>
    <definedName name="Purchase_Price_Plant">#REF!</definedName>
    <definedName name="py_clint" localSheetId="14">#REF!</definedName>
    <definedName name="py_clint">#REF!</definedName>
    <definedName name="py_eec" localSheetId="14">#REF!</definedName>
    <definedName name="py_eec">#REF!</definedName>
    <definedName name="py_ei" localSheetId="14">#REF!</definedName>
    <definedName name="py_ei">#REF!</definedName>
    <definedName name="py_engl">#REF!</definedName>
    <definedName name="py_epc">#REF!</definedName>
    <definedName name="py_esc">#REF!</definedName>
    <definedName name="q_MTEP06_App_AB_Facility">#REF!</definedName>
    <definedName name="q_MTEP06_App_AB_Projects">#REF!</definedName>
    <definedName name="Quantity_Source">#REF!</definedName>
    <definedName name="query">#REF!</definedName>
    <definedName name="Rate_Case_Years" localSheetId="14">'[7]VEA Inputs'!$E$90</definedName>
    <definedName name="Rate_Case_Years">#REF!</definedName>
    <definedName name="Rating_All" localSheetId="14">[9]Picklist_TeeLine!$AN$105:$AN$136</definedName>
    <definedName name="Rating_All">#REF!</definedName>
    <definedName name="Rebar" localSheetId="14">[9]Picklist_TeeLine!$R$49</definedName>
    <definedName name="Rebar">#REF!</definedName>
    <definedName name="Rebar_Ratio" localSheetId="14">[9]Picklist_TeeLine!$Q$49</definedName>
    <definedName name="Rebar_Ratio">#REF!</definedName>
    <definedName name="Regulatory_RoR" localSheetId="14">'[7]VEA Inputs'!$E$84</definedName>
    <definedName name="Regulatory_RoR">#REF!</definedName>
    <definedName name="RemAnnual" localSheetId="14">'[18]Analysis Summary'!$D$26</definedName>
    <definedName name="RemAnnual">#REF!</definedName>
    <definedName name="rename" localSheetId="14" hidden="1">{#N/A,#N/A,FALSE,"Aging Summary";#N/A,#N/A,FALSE,"Ratio Analysis";#N/A,#N/A,FALSE,"Test 120 Day Accts";#N/A,#N/A,FALSE,"Tickmarks"}</definedName>
    <definedName name="rename" hidden="1">{#N/A,#N/A,FALSE,"Aging Summary";#N/A,#N/A,FALSE,"Ratio Analysis";#N/A,#N/A,FALSE,"Test 120 Day Accts";#N/A,#N/A,FALSE,"Tickmarks"}</definedName>
    <definedName name="Replacement_Rate" localSheetId="14">'[7]VEA Inputs'!$E$69</definedName>
    <definedName name="Replacement_Rate">#REF!</definedName>
    <definedName name="Request" localSheetId="14">#REF!</definedName>
    <definedName name="Request">#REF!</definedName>
    <definedName name="Rev_Tax" localSheetId="14">'[7]VEA Inputs'!$E$98</definedName>
    <definedName name="Rev_Tax">#REF!</definedName>
    <definedName name="revreq">#REF!</definedName>
    <definedName name="RevTracker_Column" localSheetId="14">[9]TemplateRev_Assump_Tline!$G$1:$XFD$1</definedName>
    <definedName name="RevTracker_Column">#REF!</definedName>
    <definedName name="RevTrackerCode" localSheetId="14">[9]TemplateRev_Assump_Tline!$B$2:$B$1625</definedName>
    <definedName name="RevTrackerCode">#REF!</definedName>
    <definedName name="RiskAfterRecalcMacro">"Maximize_Cap_Structure"</definedName>
    <definedName name="RiskCollectDistributionSamples">2</definedName>
    <definedName name="RiskFixedSeed">1</definedName>
    <definedName name="RiskHasSettings">TRUE</definedName>
    <definedName name="RiskMinimizeOnStart">FALSE</definedName>
    <definedName name="RiskMonitorConvergence">TRUE</definedName>
    <definedName name="RiskNumIterations">1000</definedName>
    <definedName name="RiskNumSimulations">7</definedName>
    <definedName name="RiskPauseOnError">FALSE</definedName>
    <definedName name="RiskRealTimeResults">TRUE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10</definedName>
    <definedName name="RiskUpdateDisplay">TRUE</definedName>
    <definedName name="RiskUpdateStatFunctions">TRUE</definedName>
    <definedName name="RiskUseDifferentSeedForEachSim">FALSE</definedName>
    <definedName name="RiskUseFixedSeed">FALSE</definedName>
    <definedName name="rita" localSheetId="14" hidden="1">{#N/A,#N/A,TRUE,"TOTAL DISTRIBUTION";#N/A,#N/A,TRUE,"SOUTH";#N/A,#N/A,TRUE,"NORTHEAST";#N/A,#N/A,TRUE,"WEST"}</definedName>
    <definedName name="rita" hidden="1">{#N/A,#N/A,TRUE,"TOTAL DISTRIBUTION";#N/A,#N/A,TRUE,"SOUTH";#N/A,#N/A,TRUE,"NORTHEAST";#N/A,#N/A,TRUE,"WEST"}</definedName>
    <definedName name="rngEscalation">#REF!</definedName>
    <definedName name="Road_Soil" localSheetId="14">[10]Lookups!$W$4:$AF$12</definedName>
    <definedName name="Road_Soil">#REF!</definedName>
    <definedName name="RodDia" localSheetId="14">#REF!</definedName>
    <definedName name="RodDia">#REF!</definedName>
    <definedName name="ROE" localSheetId="14">#REF!</definedName>
    <definedName name="ROE">#REF!</definedName>
    <definedName name="Route_Complexity" localSheetId="14">#REF!</definedName>
    <definedName name="Route_Complexity">#REF!</definedName>
    <definedName name="ROW" localSheetId="14">[9]Picklist_TeeLine!$AB$77:$AJ$88</definedName>
    <definedName name="ROW">#REF!</definedName>
    <definedName name="ROW_Column" localSheetId="14">[9]Picklist_TeeLine!$AB$76:$AJ$76</definedName>
    <definedName name="ROW_Column">#REF!</definedName>
    <definedName name="ROW_row" localSheetId="14">[9]Picklist_TeeLine!$AA$77:$AA$88</definedName>
    <definedName name="ROW_row">#REF!</definedName>
    <definedName name="ROW_Width_Factors" localSheetId="14">[9]Picklist_TeeLine!$X$48:$AB$57</definedName>
    <definedName name="ROW_Width_Factors">#REF!</definedName>
    <definedName name="rrr" localSheetId="14" hidden="1">{#N/A,#N/A,FALSE,"INPUTDATA";#N/A,#N/A,FALSE,"SUMMARY"}</definedName>
    <definedName name="rrr" hidden="1">{#N/A,#N/A,FALSE,"INPUTDATA";#N/A,#N/A,FALSE,"SUMMARY"}</definedName>
    <definedName name="rrrr" localSheetId="14" hidden="1">{#N/A,#N/A,FALSE,"O&amp;M by processes";#N/A,#N/A,FALSE,"Elec Act vs Bud";#N/A,#N/A,FALSE,"G&amp;A";#N/A,#N/A,FALSE,"BGS";#N/A,#N/A,FALSE,"Res Cost"}</definedName>
    <definedName name="rrrr" hidden="1">{#N/A,#N/A,FALSE,"O&amp;M by processes";#N/A,#N/A,FALSE,"Elec Act vs Bud";#N/A,#N/A,FALSE,"G&amp;A";#N/A,#N/A,FALSE,"BGS";#N/A,#N/A,FALSE,"Res Cost"}</definedName>
    <definedName name="SAPBEXdnldView" hidden="1">"4ACQ1TUIXACRYGL0BZ7F6HS6R"</definedName>
    <definedName name="SAPBEXhrIndnt" hidden="1">"Wide"</definedName>
    <definedName name="SAPBEXrevision" hidden="1">2</definedName>
    <definedName name="SAPBEXsysID" hidden="1">"GP1"</definedName>
    <definedName name="SAPBEXwbID" hidden="1">"0QPV4RF636ZQNL5RK8PWSJVGT"</definedName>
    <definedName name="SAPCrosstab1">#REF!</definedName>
    <definedName name="SAPCrosstab10" localSheetId="14">#REF!</definedName>
    <definedName name="SAPCrosstab10">#REF!</definedName>
    <definedName name="SAPCrosstab2">#REF!</definedName>
    <definedName name="SAPCrosstab23">#REF!</definedName>
    <definedName name="SAPCrosstab3">#REF!</definedName>
    <definedName name="SAPCrosstab4">#REF!</definedName>
    <definedName name="SAPCrosstab5">#REF!</definedName>
    <definedName name="SAPCrosstab6">#REF!</definedName>
    <definedName name="SAPCrosstab7" localSheetId="14">#REF!</definedName>
    <definedName name="SAPCrosstab7">#REF!</definedName>
    <definedName name="SAPCrosstab8">#REF!</definedName>
    <definedName name="SAPCrosstab9">#REF!</definedName>
    <definedName name="SAPsysID" hidden="1">"708C5W7SBKP804JT78WJ0JNKI"</definedName>
    <definedName name="SAPwbID" hidden="1">"ARS"</definedName>
    <definedName name="sdf_qww" localSheetId="14" hidden="1">table_demob</definedName>
    <definedName name="sdf_qww" hidden="1">table_demob</definedName>
    <definedName name="Seismic" localSheetId="14">#REF!</definedName>
    <definedName name="Seismic">#REF!</definedName>
    <definedName name="sencount" hidden="1">1</definedName>
    <definedName name="Sheet1Remark0">#REF!</definedName>
    <definedName name="Sheet1Remark1">#REF!</definedName>
    <definedName name="Sheet1Remark10">#REF!</definedName>
    <definedName name="Sheet1Remark11">#REF!</definedName>
    <definedName name="Sheet1Remark12">#REF!</definedName>
    <definedName name="Sheet1Remark13">#REF!</definedName>
    <definedName name="Sheet1Remark14">#REF!</definedName>
    <definedName name="Sheet1Remark15">#REF!</definedName>
    <definedName name="Sheet1Remark16">#REF!</definedName>
    <definedName name="Sheet1Remark17">#REF!</definedName>
    <definedName name="Sheet1Remark18">#REF!</definedName>
    <definedName name="Sheet1Remark19">#REF!</definedName>
    <definedName name="Sheet1Remark2">#REF!</definedName>
    <definedName name="Sheet1Remark20">#REF!</definedName>
    <definedName name="Sheet1Remark21">#REF!</definedName>
    <definedName name="Sheet1Remark22">#REF!</definedName>
    <definedName name="Sheet1Remark3">#REF!</definedName>
    <definedName name="Sheet1Remark4">#REF!</definedName>
    <definedName name="Sheet1Remark5">#REF!</definedName>
    <definedName name="Sheet1Remark6">#REF!</definedName>
    <definedName name="Sheet1Remark7">#REF!</definedName>
    <definedName name="Sheet1Remark8">#REF!</definedName>
    <definedName name="Sheet1Remark9">#REF!</definedName>
    <definedName name="Sheet1Unit0">#REF!</definedName>
    <definedName name="Sheet1Unit1">#REF!</definedName>
    <definedName name="Sheet1Unit10">#REF!</definedName>
    <definedName name="Sheet1Unit11">#REF!</definedName>
    <definedName name="Sheet1Unit12">#REF!</definedName>
    <definedName name="Sheet1Unit13">#REF!</definedName>
    <definedName name="Sheet1Unit14">#REF!</definedName>
    <definedName name="Sheet1Unit15">#REF!</definedName>
    <definedName name="Sheet1Unit16">#REF!</definedName>
    <definedName name="Sheet1Unit17">#REF!</definedName>
    <definedName name="Sheet1Unit18">#REF!</definedName>
    <definedName name="Sheet1Unit19">#REF!</definedName>
    <definedName name="Sheet1Unit2">#REF!</definedName>
    <definedName name="Sheet1Unit20">#REF!</definedName>
    <definedName name="Sheet1Unit21">#REF!</definedName>
    <definedName name="Sheet1Unit22">#REF!</definedName>
    <definedName name="Sheet1Unit23">#REF!</definedName>
    <definedName name="Sheet1Unit24">#REF!</definedName>
    <definedName name="Sheet1Unit25">#REF!</definedName>
    <definedName name="Sheet1Unit26">#REF!</definedName>
    <definedName name="Sheet1Unit3">#REF!</definedName>
    <definedName name="Sheet1Unit4">#REF!</definedName>
    <definedName name="Sheet1Unit5">#REF!</definedName>
    <definedName name="Sheet1Unit6">#REF!</definedName>
    <definedName name="Sheet1Unit7">#REF!</definedName>
    <definedName name="Sheet1Unit8">#REF!</definedName>
    <definedName name="Sheet1Unit9">#REF!</definedName>
    <definedName name="Sheet1Value0">#REF!</definedName>
    <definedName name="Sheet1Value1">#REF!</definedName>
    <definedName name="Sheet1Value10">#REF!</definedName>
    <definedName name="Sheet1Value100">#REF!</definedName>
    <definedName name="Sheet1Value101">#REF!</definedName>
    <definedName name="Sheet1Value102">#REF!</definedName>
    <definedName name="Sheet1Value103">#REF!</definedName>
    <definedName name="Sheet1Value104">#REF!</definedName>
    <definedName name="Sheet1Value11">#REF!</definedName>
    <definedName name="Sheet1Value12">#REF!</definedName>
    <definedName name="Sheet1Value13">#REF!</definedName>
    <definedName name="Sheet1Value14">#REF!</definedName>
    <definedName name="Sheet1Value15">#REF!</definedName>
    <definedName name="Sheet1Value16">#REF!</definedName>
    <definedName name="Sheet1Value17">#REF!</definedName>
    <definedName name="Sheet1Value18">#REF!</definedName>
    <definedName name="Sheet1Value19">#REF!</definedName>
    <definedName name="Sheet1Value2">#REF!</definedName>
    <definedName name="Sheet1Value20">#REF!</definedName>
    <definedName name="Sheet1Value21">#REF!</definedName>
    <definedName name="Sheet1Value22">#REF!</definedName>
    <definedName name="Sheet1Value23">#REF!</definedName>
    <definedName name="Sheet1Value24">#REF!</definedName>
    <definedName name="Sheet1Value25">#REF!</definedName>
    <definedName name="Sheet1Value26">#REF!</definedName>
    <definedName name="Sheet1Value27">#REF!</definedName>
    <definedName name="Sheet1Value28">#REF!</definedName>
    <definedName name="Sheet1Value29">#REF!</definedName>
    <definedName name="Sheet1Value3">#REF!</definedName>
    <definedName name="Sheet1Value30">#REF!</definedName>
    <definedName name="Sheet1Value31">#REF!</definedName>
    <definedName name="Sheet1Value32">#REF!</definedName>
    <definedName name="Sheet1Value33">#REF!</definedName>
    <definedName name="Sheet1Value34">#REF!</definedName>
    <definedName name="Sheet1Value35">#REF!</definedName>
    <definedName name="Sheet1Value36">#REF!</definedName>
    <definedName name="Sheet1Value37">#REF!</definedName>
    <definedName name="Sheet1Value38">#REF!</definedName>
    <definedName name="Sheet1Value39">#REF!</definedName>
    <definedName name="Sheet1Value4">#REF!</definedName>
    <definedName name="Sheet1Value40">#REF!</definedName>
    <definedName name="Sheet1Value41">#REF!</definedName>
    <definedName name="Sheet1Value42">#REF!</definedName>
    <definedName name="Sheet1Value43">#REF!</definedName>
    <definedName name="Sheet1Value44">#REF!</definedName>
    <definedName name="Sheet1Value45">#REF!</definedName>
    <definedName name="Sheet1Value46">#REF!</definedName>
    <definedName name="Sheet1Value47">#REF!</definedName>
    <definedName name="Sheet1Value48">#REF!</definedName>
    <definedName name="Sheet1Value49">#REF!</definedName>
    <definedName name="Sheet1Value5">#REF!</definedName>
    <definedName name="Sheet1Value50">#REF!</definedName>
    <definedName name="Sheet1Value51">#REF!</definedName>
    <definedName name="Sheet1Value52">#REF!</definedName>
    <definedName name="Sheet1Value53">#REF!</definedName>
    <definedName name="Sheet1Value54">#REF!</definedName>
    <definedName name="Sheet1Value55">#REF!</definedName>
    <definedName name="Sheet1Value56">#REF!</definedName>
    <definedName name="Sheet1Value57">#REF!</definedName>
    <definedName name="Sheet1Value58">#REF!</definedName>
    <definedName name="Sheet1Value59">#REF!</definedName>
    <definedName name="Sheet1Value6">#REF!</definedName>
    <definedName name="Sheet1Value60">#REF!</definedName>
    <definedName name="Sheet1Value61">#REF!</definedName>
    <definedName name="Sheet1Value62">#REF!</definedName>
    <definedName name="Sheet1Value63">#REF!</definedName>
    <definedName name="Sheet1Value64">#REF!</definedName>
    <definedName name="Sheet1Value65">#REF!</definedName>
    <definedName name="Sheet1Value66">#REF!</definedName>
    <definedName name="Sheet1Value67">#REF!</definedName>
    <definedName name="Sheet1Value68">#REF!</definedName>
    <definedName name="Sheet1Value69">#REF!</definedName>
    <definedName name="Sheet1Value7">#REF!</definedName>
    <definedName name="Sheet1Value70">#REF!</definedName>
    <definedName name="Sheet1Value71">#REF!</definedName>
    <definedName name="Sheet1Value72">#REF!</definedName>
    <definedName name="Sheet1Value73">#REF!</definedName>
    <definedName name="Sheet1Value74">#REF!</definedName>
    <definedName name="Sheet1Value75">#REF!</definedName>
    <definedName name="Sheet1Value76">#REF!</definedName>
    <definedName name="Sheet1Value77">#REF!</definedName>
    <definedName name="Sheet1Value78">#REF!</definedName>
    <definedName name="Sheet1Value79">#REF!</definedName>
    <definedName name="Sheet1Value8">#REF!</definedName>
    <definedName name="Sheet1Value80">#REF!</definedName>
    <definedName name="Sheet1Value81">#REF!</definedName>
    <definedName name="Sheet1Value82">#REF!</definedName>
    <definedName name="Sheet1Value83">#REF!</definedName>
    <definedName name="Sheet1Value84">#REF!</definedName>
    <definedName name="Sheet1Value85">#REF!</definedName>
    <definedName name="Sheet1Value86">#REF!</definedName>
    <definedName name="Sheet1Value87">#REF!</definedName>
    <definedName name="Sheet1Value88">#REF!</definedName>
    <definedName name="Sheet1Value89">#REF!</definedName>
    <definedName name="Sheet1Value9">#REF!</definedName>
    <definedName name="Sheet1Value90">#REF!</definedName>
    <definedName name="Sheet1Value91">#REF!</definedName>
    <definedName name="Sheet1Value92">#REF!</definedName>
    <definedName name="Sheet1Value93">#REF!</definedName>
    <definedName name="Sheet1Value94">#REF!</definedName>
    <definedName name="Sheet1Value95">#REF!</definedName>
    <definedName name="Sheet1Value96">#REF!</definedName>
    <definedName name="Sheet1Value97">#REF!</definedName>
    <definedName name="Sheet1Value98">#REF!</definedName>
    <definedName name="Sheet1Value99">#REF!</definedName>
    <definedName name="shiva" localSheetId="14" hidden="1">{#N/A,#N/A,FALSE,"O&amp;M by processes";#N/A,#N/A,FALSE,"Elec Act vs Bud";#N/A,#N/A,FALSE,"G&amp;A";#N/A,#N/A,FALSE,"BGS";#N/A,#N/A,FALSE,"Res Cost"}</definedName>
    <definedName name="shiva" hidden="1">{#N/A,#N/A,FALSE,"O&amp;M by processes";#N/A,#N/A,FALSE,"Elec Act vs Bud";#N/A,#N/A,FALSE,"G&amp;A";#N/A,#N/A,FALSE,"BGS";#N/A,#N/A,FALSE,"Res Cost"}</definedName>
    <definedName name="Shunt_Reactors" localSheetId="14">[9]Picklist_Substations!$E$99:$P$111</definedName>
    <definedName name="Shunt_Reactors">#REF!</definedName>
    <definedName name="Shunt_Reactors_Concrete" localSheetId="14">[9]Picklist_Substations!$S$99:$AD$111</definedName>
    <definedName name="Shunt_Reactors_Concrete">#REF!</definedName>
    <definedName name="Shunt_Reactors_Labor" localSheetId="14">[9]Picklist_Substations!$AG$99:$AR$111</definedName>
    <definedName name="Shunt_Reactors_Labor">#REF!</definedName>
    <definedName name="Sites" localSheetId="14" hidden="1">{#N/A,#N/A,TRUE,"TOTAL DISTRIBUTION";#N/A,#N/A,TRUE,"SOUTH";#N/A,#N/A,TRUE,"NORTHEAST";#N/A,#N/A,TRUE,"WEST"}</definedName>
    <definedName name="Sites" hidden="1">{#N/A,#N/A,TRUE,"TOTAL DISTRIBUTION";#N/A,#N/A,TRUE,"SOUTH";#N/A,#N/A,TRUE,"NORTHEAST";#N/A,#N/A,TRUE,"WEST"}</definedName>
    <definedName name="Sitesdate" localSheetId="14" hidden="1">{#N/A,#N/A,TRUE,"TOTAL DSBN";#N/A,#N/A,TRUE,"WEST";#N/A,#N/A,TRUE,"SOUTH";#N/A,#N/A,TRUE,"NORTHEAST"}</definedName>
    <definedName name="Sitesdate" hidden="1">{#N/A,#N/A,TRUE,"TOTAL DSBN";#N/A,#N/A,TRUE,"WEST";#N/A,#N/A,TRUE,"SOUTH";#N/A,#N/A,TRUE,"NORTHEAST"}</definedName>
    <definedName name="Small_Large" localSheetId="14">[9]Picklist_TeeLine!$K$37:$K$38</definedName>
    <definedName name="Small_Large">#REF!</definedName>
    <definedName name="SO4ADD" localSheetId="14">#REF!</definedName>
    <definedName name="SO4ADD">#REF!</definedName>
    <definedName name="Soil" localSheetId="14">[9]Picklist_TeeLine!$AA$149:$AM$157</definedName>
    <definedName name="Soil">#REF!</definedName>
    <definedName name="SoilType" localSheetId="14">#REF!</definedName>
    <definedName name="SoilType">#REF!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V_Column_LookUp">#REF!</definedName>
    <definedName name="Space_Requirement_Span_Row" localSheetId="14">[9]Picklist_TeeLine!$B$44:$C$53</definedName>
    <definedName name="Space_Requirement_Span_Row">#REF!</definedName>
    <definedName name="Spacing_Requirements" localSheetId="14">[9]Picklist_TeeLine!$D$55:$L$63</definedName>
    <definedName name="Spacing_Requirements">#REF!</definedName>
    <definedName name="Spanner_Auto_File">"C:\Documents and Settings\linda\My Documents\Process .x2a"</definedName>
    <definedName name="Special_Equipment_Type">#REF!</definedName>
    <definedName name="Spool_Length" localSheetId="14">[9]Picklist_TeeLine!$B$266:$J$275</definedName>
    <definedName name="Spool_Length">#REF!</definedName>
    <definedName name="Spread_Count" localSheetId="14">#REF!</definedName>
    <definedName name="Spread_Count">#REF!</definedName>
    <definedName name="Spread_Table" localSheetId="14">[9]Picklist_TeeLine!$B$23:$D$26</definedName>
    <definedName name="Spread_Table">#REF!</definedName>
    <definedName name="SPS_COS" localSheetId="3">#REF!</definedName>
    <definedName name="SPS_COS">#REF!</definedName>
    <definedName name="sss" localSheetId="1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ss"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tate">#REF!</definedName>
    <definedName name="State_Coordinates" localSheetId="14">[9]Picklist_TeeLine!$AM$6:$BG$68</definedName>
    <definedName name="State_Coordinates">#REF!</definedName>
    <definedName name="State_Impacts" localSheetId="14">[9]Picklist_TeeLine!$AM$6:$BC$68</definedName>
    <definedName name="State_Impacts">#REF!</definedName>
    <definedName name="State_Impacts_GenTie" localSheetId="14">[10]Lookups!$CU$10:$DC$72</definedName>
    <definedName name="State_Impacts_GenTie">#REF!</definedName>
    <definedName name="statsrevised" localSheetId="14" hidden="1">{#N/A,#N/A,FALSE,"O&amp;M by processes";#N/A,#N/A,FALSE,"Elec Act vs Bud";#N/A,#N/A,FALSE,"G&amp;A";#N/A,#N/A,FALSE,"BGS";#N/A,#N/A,FALSE,"Res Cost"}</definedName>
    <definedName name="statsrevised" hidden="1">{#N/A,#N/A,FALSE,"O&amp;M by processes";#N/A,#N/A,FALSE,"Elec Act vs Bud";#N/A,#N/A,FALSE,"G&amp;A";#N/A,#N/A,FALSE,"BGS";#N/A,#N/A,FALSE,"Res Cost"}</definedName>
    <definedName name="Status">#REF!</definedName>
    <definedName name="Steel_Bulks_HV" localSheetId="14">[10]Lookups!$D$422:$N$432</definedName>
    <definedName name="Steel_Bulks_HV">#REF!</definedName>
    <definedName name="Steel_Bulks_LV" localSheetId="14">[10]Lookups!$B$287:$O$300</definedName>
    <definedName name="Steel_Bulks_LV">#REF!</definedName>
    <definedName name="Steel_Wood_Arm" localSheetId="14">[9]Picklist_TeeLine!$K$42:$K$43</definedName>
    <definedName name="Steel_Wood_Arm">#REF!</definedName>
    <definedName name="STILL1040" localSheetId="14">#REF!</definedName>
    <definedName name="STILL1040">#REF!</definedName>
    <definedName name="Structure_BaseCase" localSheetId="14">[9]Picklist_TeeLine!$BK$102:$BL$112</definedName>
    <definedName name="Structure_BaseCase">#REF!</definedName>
    <definedName name="Structure_GRF" localSheetId="14">[9]Picklist_TeeLine!$BQ$784:$BR$791</definedName>
    <definedName name="Structure_GRF">#REF!</definedName>
    <definedName name="Structures" localSheetId="14">#REF!</definedName>
    <definedName name="Structures">#REF!</definedName>
    <definedName name="Structures_pick" localSheetId="14">[9]Picklist_TeeLine!$AA$5:$AC$14</definedName>
    <definedName name="Structures_pick">#REF!</definedName>
    <definedName name="SUB_SOV_Column_Lookup" localSheetId="14">[9]Picklist_Substations!$B$429:$C$448</definedName>
    <definedName name="SUB_SOV_Column_Lookup">#REF!</definedName>
    <definedName name="SUE" localSheetId="14" hidden="1">{#N/A,#N/A,TRUE,"TOTAL DISTRIBUTION";#N/A,#N/A,TRUE,"SOUTH";#N/A,#N/A,TRUE,"NORTHEAST";#N/A,#N/A,TRUE,"WEST"}</definedName>
    <definedName name="SUE" hidden="1">{#N/A,#N/A,TRUE,"TOTAL DISTRIBUTION";#N/A,#N/A,TRUE,"SOUTH";#N/A,#N/A,TRUE,"NORTHEAST";#N/A,#N/A,TRUE,"WEST"}</definedName>
    <definedName name="support" localSheetId="14"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hidden="1">{#N/A,#N/A,FALSE,"O&amp;M by processes";#N/A,#N/A,FALSE,"Elec Act vs Bud";#N/A,#N/A,FALSE,"G&amp;A";#N/A,#N/A,FALSE,"BGS";#N/A,#N/A,FALSE,"Res Cost"}</definedName>
    <definedName name="Swap_Amort">#REF!</definedName>
    <definedName name="Switch_Type" localSheetId="14">[9]Picklist_Substations!$B$18:$B$22</definedName>
    <definedName name="Switch_Type">#REF!</definedName>
    <definedName name="Switchgear_Type" localSheetId="14">#REF!</definedName>
    <definedName name="Switchgear_Type">#REF!</definedName>
    <definedName name="SwitchYard" localSheetId="14">#REF!</definedName>
    <definedName name="SwitchYard">#REF!</definedName>
    <definedName name="t" localSheetId="14">[11]말뚝물량!$D$14</definedName>
    <definedName name="t">#REF!</definedName>
    <definedName name="Tacx_Factor" localSheetId="14">#REF!</definedName>
    <definedName name="Tacx_Factor">#REF!</definedName>
    <definedName name="Takeoff_Concrete" localSheetId="14">[9]Picklist_Substations!$S$291:$AD$304</definedName>
    <definedName name="Takeoff_Concrete">#REF!</definedName>
    <definedName name="Takeoff_steel" localSheetId="14">[9]Picklist_Substations!$E$291:$P$304</definedName>
    <definedName name="Takeoff_steel">#REF!</definedName>
    <definedName name="Tangent_Arm_Labor" localSheetId="14">[9]Picklist_TeeLine!$Q$89:$S$97</definedName>
    <definedName name="Tangent_Arm_Labor">#REF!</definedName>
    <definedName name="Tangent_Arm_Mat" localSheetId="14">[9]Picklist_TeeLine!$Q$89:$R$97</definedName>
    <definedName name="Tangent_Arm_Mat">#REF!</definedName>
    <definedName name="Tangent_Arm_Weight" localSheetId="14">[9]Picklist_TeeLine!$Q$89:$T$97</definedName>
    <definedName name="Tangent_Arm_Weight">#REF!</definedName>
    <definedName name="Tangent_Dist" localSheetId="14">[9]Picklist_TeeLine!$AF$48:$AI$58</definedName>
    <definedName name="Tangent_Dist">#REF!</definedName>
    <definedName name="Tangent_Height" localSheetId="14">[9]Picklist_TeeLine!$X$35:$AB$44</definedName>
    <definedName name="Tangent_Height">#REF!</definedName>
    <definedName name="Tangent_Type" localSheetId="14">[10]Lookups!$E$16:$E$19</definedName>
    <definedName name="Tangent_Type">#REF!</definedName>
    <definedName name="Target_List" localSheetId="14">#REF!</definedName>
    <definedName name="Target_List">#REF!</definedName>
    <definedName name="Tax_Adjustment" localSheetId="14">'[7]VEA Inputs'!$E$107</definedName>
    <definedName name="Tax_Adjustment">#REF!</definedName>
    <definedName name="tax_base_on_inc" localSheetId="14">#REF!</definedName>
    <definedName name="tax_base_on_inc">#REF!</definedName>
    <definedName name="tax_basis" localSheetId="14">#REF!</definedName>
    <definedName name="tax_basis">#REF!</definedName>
    <definedName name="Tax_Effective" localSheetId="14">'[7]VEA Inputs'!$E$106</definedName>
    <definedName name="Tax_Effective">#REF!</definedName>
    <definedName name="taxcalc">#REF!</definedName>
    <definedName name="tblLegacy_Org_to_WBS_Suffix" localSheetId="14">[23]!Table2[#All]</definedName>
    <definedName name="tblLegacy_Org_to_WBS_Suffix">#REF!</definedName>
    <definedName name="tblLegacy_to_NEET" localSheetId="14">[23]!Table1[#All]</definedName>
    <definedName name="tblLegacy_to_NEET">#REF!</definedName>
    <definedName name="TC" localSheetId="14">#REF!</definedName>
    <definedName name="TC">#REF!</definedName>
    <definedName name="TCOS_Year" localSheetId="14">'[7]VEA Inputs'!#REF!</definedName>
    <definedName name="TCOS_Year">#REF!</definedName>
    <definedName name="TDS" localSheetId="14">#REF!</definedName>
    <definedName name="TDS">#REF!</definedName>
    <definedName name="teast" localSheetId="14" hidden="1">{#N/A,#N/A,TRUE,"TOTAL DSBN";#N/A,#N/A,TRUE,"WEST";#N/A,#N/A,TRUE,"SOUTH";#N/A,#N/A,TRUE,"NORTHEAST"}</definedName>
    <definedName name="teast" hidden="1">{#N/A,#N/A,TRUE,"TOTAL DSBN";#N/A,#N/A,TRUE,"WEST";#N/A,#N/A,TRUE,"SOUTH";#N/A,#N/A,TRUE,"NORTHEAST"}</definedName>
    <definedName name="Technology" localSheetId="14">'[19]Data Tables'!$E$3:$H$3</definedName>
    <definedName name="Technology">#REF!</definedName>
    <definedName name="Temp4" localSheetId="14">#REF!</definedName>
    <definedName name="Temp4">#REF!</definedName>
    <definedName name="TEMPCELL" localSheetId="14">#REF!</definedName>
    <definedName name="TEMPCELL">#REF!</definedName>
    <definedName name="Template_Rev_Tracker" localSheetId="14">[9]TemplateRev_Assump_Tline!$G$2:$XFD$1625</definedName>
    <definedName name="Template_Rev_Tracker">#REF!</definedName>
    <definedName name="TemplateID1" localSheetId="14">#REF!</definedName>
    <definedName name="TemplateID1">#REF!</definedName>
    <definedName name="TemplateID2" localSheetId="14">#REF!</definedName>
    <definedName name="TemplateID2">#REF!</definedName>
    <definedName name="Terrain_Type" localSheetId="14">#REF!</definedName>
    <definedName name="Terrain_Type">#REF!</definedName>
    <definedName name="Terrain_Use">#REF!</definedName>
    <definedName name="test" localSheetId="14" hidden="1">{#N/A,#N/A,TRUE,"Facility-Input";#N/A,#N/A,TRUE,"Graphs";#N/A,#N/A,TRUE,"TOTAL"}</definedName>
    <definedName name="test" hidden="1">{#N/A,#N/A,TRUE,"Facility-Input";#N/A,#N/A,TRUE,"Graphs";#N/A,#N/A,TRUE,"TOTAL"}</definedName>
    <definedName name="test." localSheetId="14" hidden="1">{#N/A,#N/A,TRUE,"TOTAL DISTRIBUTION";#N/A,#N/A,TRUE,"SOUTH";#N/A,#N/A,TRUE,"NORTHEAST";#N/A,#N/A,TRUE,"WEST"}</definedName>
    <definedName name="test." hidden="1">{#N/A,#N/A,TRUE,"TOTAL DISTRIBUTION";#N/A,#N/A,TRUE,"SOUTH";#N/A,#N/A,TRUE,"NORTHEAST";#N/A,#N/A,TRUE,"WEST"}</definedName>
    <definedName name="TEST0">#REF!</definedName>
    <definedName name="TEST1">#REF!</definedName>
    <definedName name="test12" localSheetId="14" hidden="1">{"assumptions",#N/A,FALSE,"Scenario 1";"valuation",#N/A,FALSE,"Scenario 1"}</definedName>
    <definedName name="test12" hidden="1">{"assumptions",#N/A,FALSE,"Scenario 1";"valuation",#N/A,FALSE,"Scenario 1"}</definedName>
    <definedName name="test13" localSheetId="14" hidden="1">{"LBO Summary",#N/A,FALSE,"Summary"}</definedName>
    <definedName name="test13" hidden="1">{"LBO Summary",#N/A,FALSE,"Summary"}</definedName>
    <definedName name="test14" localSheetId="14"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4"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4" hidden="1">{#N/A,#N/A,TRUE,"TOTAL DISTRIBUTION";#N/A,#N/A,TRUE,"SOUTH";#N/A,#N/A,TRUE,"NORTHEAST";#N/A,#N/A,TRUE,"WEST"}</definedName>
    <definedName name="test2" hidden="1">{#N/A,#N/A,TRUE,"TOTAL DISTRIBUTION";#N/A,#N/A,TRUE,"SOUTH";#N/A,#N/A,TRUE,"NORTHEAST";#N/A,#N/A,TRUE,"WEST"}</definedName>
    <definedName name="test21" localSheetId="14" hidden="1">{#N/A,#N/A,TRUE,"TOTAL DISTRIBUTION";#N/A,#N/A,TRUE,"SOUTH";#N/A,#N/A,TRUE,"NORTHEAST";#N/A,#N/A,TRUE,"WEST"}</definedName>
    <definedName name="test21" hidden="1">{#N/A,#N/A,TRUE,"TOTAL DISTRIBUTION";#N/A,#N/A,TRUE,"SOUTH";#N/A,#N/A,TRUE,"NORTHEAST";#N/A,#N/A,TRUE,"WEST"}</definedName>
    <definedName name="test23" localSheetId="14" hidden="1">{#N/A,#N/A,TRUE,"TOTAL DISTRIBUTION";#N/A,#N/A,TRUE,"SOUTH";#N/A,#N/A,TRUE,"NORTHEAST";#N/A,#N/A,TRUE,"WEST"}</definedName>
    <definedName name="test23" hidden="1">{#N/A,#N/A,TRUE,"TOTAL DISTRIBUTION";#N/A,#N/A,TRUE,"SOUTH";#N/A,#N/A,TRUE,"NORTHEAST";#N/A,#N/A,TRUE,"WEST"}</definedName>
    <definedName name="TESTHKEY">#REF!</definedName>
    <definedName name="testing" localSheetId="14" hidden="1">{"detail305",#N/A,FALSE,"BI-305"}</definedName>
    <definedName name="testing" hidden="1">{"detail305",#N/A,FALSE,"BI-305"}</definedName>
    <definedName name="TESTKEYS">#REF!</definedName>
    <definedName name="TESTVKEY">#REF!</definedName>
    <definedName name="testwe" localSheetId="14" hidden="1">{#N/A,#N/A,TRUE,"TOTAL DSBN";#N/A,#N/A,TRUE,"WEST";#N/A,#N/A,TRUE,"SOUTH";#N/A,#N/A,TRUE,"NORTHEAST"}</definedName>
    <definedName name="testwe" hidden="1">{#N/A,#N/A,TRUE,"TOTAL DSBN";#N/A,#N/A,TRUE,"WEST";#N/A,#N/A,TRUE,"SOUTH";#N/A,#N/A,TRUE,"NORTHEAST"}</definedName>
    <definedName name="TextRefCopyRangeCount" hidden="1">99</definedName>
    <definedName name="thjty" localSheetId="14" hidden="1">{#N/A,#N/A,TRUE,"TOTAL DSBN";#N/A,#N/A,TRUE,"WEST";#N/A,#N/A,TRUE,"SOUTH";#N/A,#N/A,TRUE,"NORTHEAST"}</definedName>
    <definedName name="thjty" hidden="1">{#N/A,#N/A,TRUE,"TOTAL DSBN";#N/A,#N/A,TRUE,"WEST";#N/A,#N/A,TRUE,"SOUTH";#N/A,#N/A,TRUE,"NORTHEAST"}</definedName>
    <definedName name="thousand">1000</definedName>
    <definedName name="Time" hidden="1">"b1"</definedName>
    <definedName name="title" localSheetId="14">[24]input!$A$2</definedName>
    <definedName name="title">#REF!</definedName>
    <definedName name="TK" localSheetId="14">#REF!</definedName>
    <definedName name="TK">#REF!</definedName>
    <definedName name="TLINE_BID_DATA" localSheetId="14">#REF!</definedName>
    <definedName name="TLINE_BID_DATA">#REF!</definedName>
    <definedName name="TO" localSheetId="14">[9]Picklist_Substations!$W$327:$W$328</definedName>
    <definedName name="TO">#REF!</definedName>
    <definedName name="toma" localSheetId="14"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hidden="1">{#N/A,#N/A,FALSE,"O&amp;M by processes";#N/A,#N/A,FALSE,"Elec Act vs Bud";#N/A,#N/A,FALSE,"G&amp;A";#N/A,#N/A,FALSE,"BGS";#N/A,#N/A,FALSE,"Res Cost"}</definedName>
    <definedName name="tot_ded">#REF!</definedName>
    <definedName name="Tota_Deferred">#REF!</definedName>
    <definedName name="total_spend">#REF!</definedName>
    <definedName name="totalcost">#REF!</definedName>
    <definedName name="TPower_Data" localSheetId="14">[9]Assump!$T$10:$U$335</definedName>
    <definedName name="TPower_Data">#REF!</definedName>
    <definedName name="TPower_Data_Output" localSheetId="14">#REF!</definedName>
    <definedName name="TPower_Data_Output">#REF!</definedName>
    <definedName name="TPower_Rows" localSheetId="14">[9]Assump!$I$10:$I$335</definedName>
    <definedName name="TPower_Rows">#REF!</definedName>
    <definedName name="TPower_Sleeves" localSheetId="14">[9]Assump!$T$9:$U$9</definedName>
    <definedName name="TPower_Sleeves">#REF!</definedName>
    <definedName name="Transition" localSheetId="14">[9]Picklist_TeeLine!$B$230:$J$230</definedName>
    <definedName name="Transition">#REF!</definedName>
    <definedName name="Transition_Labor" localSheetId="14">[9]Picklist_TeeLine!$B$234:$J$234</definedName>
    <definedName name="Transition_Labor">#REF!</definedName>
    <definedName name="Tree_Clearing" localSheetId="14">[10]Lookups!$X$18:$Y$25</definedName>
    <definedName name="Tree_Clearing">#REF!</definedName>
    <definedName name="Trench_Hard" localSheetId="14">[10]Lookups!$AH$4:$AI$10</definedName>
    <definedName name="Trench_Hard">#REF!</definedName>
    <definedName name="ttt" localSheetId="14" hidden="1">{#N/A,#N/A,FALSE,"INPUTDATA";#N/A,#N/A,FALSE,"SUMMARY";#N/A,#N/A,FALSE,"CTAREP";#N/A,#N/A,FALSE,"CTBREP";#N/A,#N/A,FALSE,"PMG4ST86";#N/A,#N/A,FALSE,"TURBEFF";#N/A,#N/A,FALSE,"Condenser Performance"}</definedName>
    <definedName name="ttt" hidden="1">{#N/A,#N/A,FALSE,"INPUTDATA";#N/A,#N/A,FALSE,"SUMMARY";#N/A,#N/A,FALSE,"CTAREP";#N/A,#N/A,FALSE,"CTBREP";#N/A,#N/A,FALSE,"PMG4ST86";#N/A,#N/A,FALSE,"TURBEFF";#N/A,#N/A,FALSE,"Condenser Performance"}</definedName>
    <definedName name="Turns">#REF!</definedName>
    <definedName name="Type">#REF!</definedName>
    <definedName name="Type_Of_Foundation" localSheetId="14">[10]Lookups!$T$73:$X$77</definedName>
    <definedName name="Type_Of_Foundation">#REF!</definedName>
    <definedName name="Type_Tangent_Foundation" localSheetId="14">[9]Picklist_TeeLine!$AG$63:$AI$67</definedName>
    <definedName name="Type_Tangent_Foundation">#REF!</definedName>
    <definedName name="Type_Tangents" localSheetId="14">[9]Picklist_TeeLine!$AG$63:$AG$67</definedName>
    <definedName name="Type_Tangents">#REF!</definedName>
    <definedName name="Typist" hidden="1">"b1"</definedName>
    <definedName name="u" localSheetId="14" hidden="1">{#N/A,#N/A,FALSE,"Expenses";#N/A,#N/A,FALSE,"Revenue"}</definedName>
    <definedName name="u" hidden="1">{#N/A,#N/A,FALSE,"Expenses";#N/A,#N/A,FALSE,"Revenue"}</definedName>
    <definedName name="UG_Amps" localSheetId="14">[9]Picklist_TeeLine!$X$203:$Y$212</definedName>
    <definedName name="UG_Amps">#REF!</definedName>
    <definedName name="UG_DB" localSheetId="14">[9]Picklist_TeeLine!$X$216:$Y$224</definedName>
    <definedName name="UG_DB">#REF!</definedName>
    <definedName name="UG_Material" localSheetId="14">[9]Picklist_TeeLine!$N$229:$N$230</definedName>
    <definedName name="UG_Material">#REF!</definedName>
    <definedName name="UG_Material_Selection" localSheetId="14">[9]Picklist_TeeLine!$N$229:$S$230</definedName>
    <definedName name="UG_Material_Selection">#REF!</definedName>
    <definedName name="UG_Spacing" localSheetId="14">[9]Picklist_TeeLine!$Y$203:$AB$212</definedName>
    <definedName name="UG_Spacing">#REF!</definedName>
    <definedName name="UG_Type" localSheetId="14">#REF!</definedName>
    <definedName name="UG_Type">#REF!</definedName>
    <definedName name="underbuildkV" localSheetId="14">#REF!</definedName>
    <definedName name="underbuildkV">#REF!</definedName>
    <definedName name="Underground_Cable" localSheetId="14">[9]Picklist_TeeLine!$B$189:$J$198</definedName>
    <definedName name="Underground_Cable">#REF!</definedName>
    <definedName name="Underground_Cable_Cu" localSheetId="14">[9]Picklist_TeeLine!$B$239:$J$248</definedName>
    <definedName name="Underground_Cable_Cu">#REF!</definedName>
    <definedName name="Underground_Cable_Labor" localSheetId="14">[9]Picklist_TeeLine!$N$189:$V$198</definedName>
    <definedName name="Underground_Cable_Labor">#REF!</definedName>
    <definedName name="Underground_Cable_Labor_Cu" localSheetId="14">[9]Picklist_TeeLine!$N$239:$V$248</definedName>
    <definedName name="Underground_Cable_Labor_Cu">#REF!</definedName>
    <definedName name="Underground_Columns" localSheetId="14">[9]Picklist_TeeLine!$X$189:$Y$196</definedName>
    <definedName name="Underground_Columns">#REF!</definedName>
    <definedName name="Underground_Splice" localSheetId="14">[9]Picklist_TeeLine!$B$203:$J$212</definedName>
    <definedName name="Underground_Splice">#REF!</definedName>
    <definedName name="Underground_Splice_Cu" localSheetId="14">[9]Picklist_TeeLine!$B$253:$J$262</definedName>
    <definedName name="Underground_Splice_Cu">#REF!</definedName>
    <definedName name="Underground_Splice_Labor" localSheetId="14">[9]Picklist_TeeLine!$N$203:$V$212</definedName>
    <definedName name="Underground_Splice_Labor">#REF!</definedName>
    <definedName name="Underground_Splice_Labor_Cu" localSheetId="14">[9]Picklist_TeeLine!$N$253:$V$262</definedName>
    <definedName name="Underground_Splice_Labor_Cu">#REF!</definedName>
    <definedName name="Underground_Vaults" localSheetId="14">[9]Picklist_TeeLine!$B$216:$J$225</definedName>
    <definedName name="Underground_Vaults">#REF!</definedName>
    <definedName name="Underground_Vaults_Labor" localSheetId="14">[9]Picklist_TeeLine!$N$216:$V$225</definedName>
    <definedName name="Underground_Vaults_Labor">#REF!</definedName>
    <definedName name="Union" localSheetId="14">[9]Labor!$B$71:$BU$73</definedName>
    <definedName name="Union">#REF!</definedName>
    <definedName name="uod" localSheetId="14" hidden="1">{"detail305",#N/A,FALSE,"BI-305"}</definedName>
    <definedName name="uod" hidden="1">{"detail305",#N/A,FALSE,"BI-305"}</definedName>
    <definedName name="UOMColumn1">#REF!</definedName>
    <definedName name="UOMColumn2">#REF!</definedName>
    <definedName name="Upload_End" localSheetId="14">[25]Inputs!$C$6</definedName>
    <definedName name="Upload_End">#REF!</definedName>
    <definedName name="v" localSheetId="1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Date">#REF!</definedName>
    <definedName name="Value" localSheetId="14" hidden="1">{"assumptions",#N/A,FALSE,"Scenario 1";"valuation",#N/A,FALSE,"Scenario 1"}</definedName>
    <definedName name="Value" hidden="1">{"assumptions",#N/A,FALSE,"Scenario 1";"valuation",#N/A,FALSE,"Scenario 1"}</definedName>
    <definedName name="value1" localSheetId="14" hidden="1">{#N/A,#N/A,FALSE,"Cashflow Analysis";#N/A,#N/A,FALSE,"Sensitivity Analysis";#N/A,#N/A,FALSE,"PV";#N/A,#N/A,FALSE,"Pro Forma"}</definedName>
    <definedName name="value1" hidden="1">{#N/A,#N/A,FALSE,"Cashflow Analysis";#N/A,#N/A,FALSE,"Sensitivity Analysis";#N/A,#N/A,FALSE,"PV";#N/A,#N/A,FALSE,"Pro Forma"}</definedName>
    <definedName name="ValueColumn1">#REF!</definedName>
    <definedName name="ValueColumn2">#REF!</definedName>
    <definedName name="VapourProps" localSheetId="14">[15]Settings!$B$30:$B$80</definedName>
    <definedName name="VapourProps">#REF!</definedName>
    <definedName name="VAR_Equip_Type" localSheetId="14">#REF!</definedName>
    <definedName name="VAR_Equip_Type">#REF!</definedName>
    <definedName name="Version" hidden="1">"a1"</definedName>
    <definedName name="vgtl" localSheetId="14" hidden="1">{#N/A,#N/A,FALSE,"INPUTDATA";#N/A,#N/A,FALSE,"SUMMARY"}</definedName>
    <definedName name="vgtl" hidden="1">{#N/A,#N/A,FALSE,"INPUTDATA";#N/A,#N/A,FALSE,"SUMMARY"}</definedName>
    <definedName name="Voltage">#REF!</definedName>
    <definedName name="Voltage_Regulator_kVA" localSheetId="14">[9]Picklist_Substations!$S$340:$S$342</definedName>
    <definedName name="Voltage_Regulator_kVA">#REF!</definedName>
    <definedName name="Voltage_Regulator_Voltage" localSheetId="14">[9]Picklist_Substations!$T$339:$V$339</definedName>
    <definedName name="Voltage_Regulator_Voltage">#REF!</definedName>
    <definedName name="Voltage_Regulators" localSheetId="14">[9]Picklist_Substations!$S$340:$V$342</definedName>
    <definedName name="Voltage_Regulators">#REF!</definedName>
    <definedName name="vvv" localSheetId="14" hidden="1">{"EXCELHLP.HLP!1802";5;10;5;10;13;13;13;8;5;5;10;14;13;13;13;13;5;10;14;13;5;10;1;2;24}</definedName>
    <definedName name="vvv" hidden="1">{"EXCELHLP.HLP!1802";5;10;5;10;13;13;13;8;5;5;10;14;13;13;13;13;5;10;14;13;5;10;1;2;24}</definedName>
    <definedName name="WACC_Pre_Tax" localSheetId="14">'[7]VEA Inputs'!$E$82</definedName>
    <definedName name="WACC_Pre_Tax">#REF!</definedName>
    <definedName name="WACC_Pre_TaxExempt" localSheetId="14">'[7]VEA Inputs'!$E$83</definedName>
    <definedName name="WACC_Pre_TaxExempt">#REF!</definedName>
    <definedName name="Wage_Rate_LookUp" localSheetId="14">[9]Labor!$J$3:$BT$17</definedName>
    <definedName name="Wage_Rate_LookUp">#REF!</definedName>
    <definedName name="Wages" localSheetId="14">[9]Wage_Rates!$C$5:$NJ$19</definedName>
    <definedName name="Wages">#REF!</definedName>
    <definedName name="WCCGCR2" localSheetId="14">#REF!</definedName>
    <definedName name="WCCGCR2">#REF!</definedName>
    <definedName name="WFC" localSheetId="14" hidden="1">#REF!</definedName>
    <definedName name="WFC" hidden="1">#REF!</definedName>
    <definedName name="wfe" localSheetId="1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h" localSheetId="14"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hidden="1">{#N/A,#N/A,FALSE,"O&amp;M by processes";#N/A,#N/A,FALSE,"Elec Act vs Bud";#N/A,#N/A,FALSE,"G&amp;A";#N/A,#N/A,FALSE,"BGS";#N/A,#N/A,FALSE,"Res Cost"}</definedName>
    <definedName name="whnos" localSheetId="14" hidden="1">{#N/A,#N/A,TRUE,"TOTAL DSBN";#N/A,#N/A,TRUE,"WEST";#N/A,#N/A,TRUE,"SOUTH";#N/A,#N/A,TRUE,"NORTHEAST"}</definedName>
    <definedName name="whnos" hidden="1">{#N/A,#N/A,TRUE,"TOTAL DSBN";#N/A,#N/A,TRUE,"WEST";#N/A,#N/A,TRUE,"SOUTH";#N/A,#N/A,TRUE,"NORTHEAST"}</definedName>
    <definedName name="who" localSheetId="14"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hidden="1">{#N/A,#N/A,FALSE,"O&amp;M by processes";#N/A,#N/A,FALSE,"Elec Act vs Bud";#N/A,#N/A,FALSE,"G&amp;A";#N/A,#N/A,FALSE,"BGS";#N/A,#N/A,FALSE,"Res Cost"}</definedName>
    <definedName name="why?" localSheetId="14" hidden="1">{#N/A,#N/A,TRUE,"TOTAL DSBN";#N/A,#N/A,TRUE,"WEST";#N/A,#N/A,TRUE,"SOUTH";#N/A,#N/A,TRUE,"NORTHEAST"}</definedName>
    <definedName name="why?" hidden="1">{#N/A,#N/A,TRUE,"TOTAL DSBN";#N/A,#N/A,TRUE,"WEST";#N/A,#N/A,TRUE,"SOUTH";#N/A,#N/A,TRUE,"NORTHEAST"}</definedName>
    <definedName name="Wire" localSheetId="14">[10]Lookups!$AD$287:$AD$296</definedName>
    <definedName name="Wire">#REF!</definedName>
    <definedName name="Wire_GRF" localSheetId="14">[9]Picklist_TeeLine!$BQ$784:$CB$791</definedName>
    <definedName name="Wire_GRF">#REF!</definedName>
    <definedName name="Wire_Size90" localSheetId="14">[10]Lookups!$Y$308:$AA$318</definedName>
    <definedName name="Wire_Size90">#REF!</definedName>
    <definedName name="WO_Description" localSheetId="14">#REF!</definedName>
    <definedName name="WO_Description">#REF!</definedName>
    <definedName name="Wood_Class" localSheetId="14">[10]Lookups!$F$16:$F$27</definedName>
    <definedName name="Wood_Class">#REF!</definedName>
    <definedName name="Work_Rule" localSheetId="14">#REF!</definedName>
    <definedName name="Work_Rule">#REF!</definedName>
    <definedName name="Work_Rule_Table" localSheetId="14">[9]Picklist_TeeLine!$B$5:$L$19</definedName>
    <definedName name="Work_Rule_Table">#REF!</definedName>
    <definedName name="WORK_SHEET_CODING_CONVENTIONS" localSheetId="14">#REF!</definedName>
    <definedName name="WORK_SHEET_CODING_CONVENTIONS">#REF!</definedName>
    <definedName name="wpk" localSheetId="14" hidden="1">{#N/A,#N/A,FALSE,"INPUTDATA";#N/A,#N/A,FALSE,"SUMMARY"}</definedName>
    <definedName name="wpk" hidden="1">{#N/A,#N/A,FALSE,"INPUTDATA";#N/A,#N/A,FALSE,"SUMMARY"}</definedName>
    <definedName name="wrn" localSheetId="14" hidden="1">{#N/A,#N/A,FALSE,"O&amp;M by processes";#N/A,#N/A,FALSE,"Elec Act vs Bud";#N/A,#N/A,FALSE,"G&amp;A";#N/A,#N/A,FALSE,"BGS";#N/A,#N/A,FALSE,"Res Cost"}</definedName>
    <definedName name="wrn" hidden="1">{#N/A,#N/A,FALSE,"O&amp;M by processes";#N/A,#N/A,FALSE,"Elec Act vs Bud";#N/A,#N/A,FALSE,"G&amp;A";#N/A,#N/A,FALSE,"BGS";#N/A,#N/A,FALSE,"Res Cost"}</definedName>
    <definedName name="wrn.1999._.Cash._.Report." localSheetId="14" hidden="1">{"1999 Cash Budget",#N/A,FALSE,"99 Cash";"1999 Cash Budget YTD",#N/A,FALSE,"99 Cash";"1999 Cash Actual/Forcast",#N/A,FALSE,"99 Cash";"1999 Cash Actual/Forcast YTD",#N/A,FALSE,"99 Cash"}</definedName>
    <definedName name="wrn.1999._.Cash._.Report." hidden="1">{"1999 Cash Budget",#N/A,FALSE,"99 Cash";"1999 Cash Budget YTD",#N/A,FALSE,"99 Cash";"1999 Cash Actual/Forcast",#N/A,FALSE,"99 Cash";"1999 Cash Actual/Forcast YTD",#N/A,FALSE,"99 Cash"}</definedName>
    <definedName name="wrn.3cases." localSheetId="14" hidden="1">{#N/A,"Base",FALSE,"Dividend";#N/A,"Conservative",FALSE,"Dividend";#N/A,"Downside",FALSE,"Dividend"}</definedName>
    <definedName name="wrn.3cases." hidden="1">{#N/A,"Base",FALSE,"Dividend";#N/A,"Conservative",FALSE,"Dividend";#N/A,"Downside",FALSE,"Dividend"}</definedName>
    <definedName name="wrn.722." localSheetId="14" hidden="1">{#N/A,#N/A,FALSE,"CURRENT"}</definedName>
    <definedName name="wrn.722." hidden="1">{#N/A,#N/A,FALSE,"CURRENT"}</definedName>
    <definedName name="wrn.95cap." localSheetId="14" hidden="1">{#N/A,#N/A,FALSE,"95CAPGRY"}</definedName>
    <definedName name="wrn.95cap." hidden="1">{#N/A,#N/A,FALSE,"95CAPGRY"}</definedName>
    <definedName name="wrn.96._.ju._.forecat." localSheetId="14" hidden="1">{#N/A,#N/A,FALSE,"Expenses";#N/A,#N/A,FALSE,"Revenue"}</definedName>
    <definedName name="wrn.96._.ju._.forecat." hidden="1">{#N/A,#N/A,FALSE,"Expenses";#N/A,#N/A,FALSE,"Revenue"}</definedName>
    <definedName name="wrn.97maint.xls." localSheetId="14" hidden="1">{#N/A,#N/A,TRUE,"TOTAL DISTRIBUTION";#N/A,#N/A,TRUE,"SOUTH";#N/A,#N/A,TRUE,"NORTHEAST";#N/A,#N/A,TRUE,"WEST"}</definedName>
    <definedName name="wrn.97maint.xls." hidden="1">{#N/A,#N/A,TRUE,"TOTAL DISTRIBUTION";#N/A,#N/A,TRUE,"SOUTH";#N/A,#N/A,TRUE,"NORTHEAST";#N/A,#N/A,TRUE,"WEST"}</definedName>
    <definedName name="wrn.97OR.XLs." localSheetId="14" hidden="1">{#N/A,#N/A,TRUE,"TOTAL DSBN";#N/A,#N/A,TRUE,"WEST";#N/A,#N/A,TRUE,"SOUTH";#N/A,#N/A,TRUE,"NORTHEAST"}</definedName>
    <definedName name="wrn.97OR.XLs." hidden="1">{#N/A,#N/A,TRUE,"TOTAL DSBN";#N/A,#N/A,TRUE,"WEST";#N/A,#N/A,TRUE,"SOUTH";#N/A,#N/A,TRUE,"NORTHEAST"}</definedName>
    <definedName name="wrn.Accretion." localSheetId="14" hidden="1">{"Accretion",#N/A,FALSE,"Assum"}</definedName>
    <definedName name="wrn.Accretion." hidden="1">{"Accretion",#N/A,FALSE,"Assum"}</definedName>
    <definedName name="wrn.ACTUAL._.ALL._.PAGES." localSheetId="14" hidden="1">{"ACTUAL",#N/A,FALSE,"OVER_UND"}</definedName>
    <definedName name="wrn.ACTUAL._.ALL._.PAGES." hidden="1">{"ACTUAL",#N/A,FALSE,"OVER_UND"}</definedName>
    <definedName name="wrn.AFUDC." localSheetId="14" hidden="1">{#N/A,#N/A,FALSE,"AFDC"}</definedName>
    <definedName name="wrn.AFUDC." hidden="1">{#N/A,#N/A,FALSE,"AFDC"}</definedName>
    <definedName name="wrn.Aging._.and._.Trend._.Analysis." localSheetId="1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14" hidden="1">{"AGT",#N/A,FALSE,"Revenue"}</definedName>
    <definedName name="wrn.AGT." hidden="1">{"AGT",#N/A,FALSE,"Revenue"}</definedName>
    <definedName name="wrn.ALL." localSheetId="1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Periods." localSheetId="14" hidden="1">{"Martin Oct93_Mar94",#N/A,FALSE,"Martin Oct93 - Mar94";"Martin Apr94_Sep94",#N/A,FALSE,"Martin Apr94 - Sep94";"Martin Oct94_Mar95",#N/A,FALSE,"Martin Oct94 - Mar95";"Martin Apr95_Sep95",#N/A,FALSE,"Martin Apr95 - Sep95";"Martin Oct95_Mar96",#N/A,FALSE,"Martin Oct95 - Mar96"}</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14" hidden="1">{"Oct93_Mar94",#N/A,TRUE,"Actuals (Oct 93 - Mar 94)";"Apr94_Sep94",#N/A,TRUE,"Actuals (Apr 94 - Sep 94)";"Oct94_Mar95",#N/A,TRUE,"Actuals (Oct 94 - Mar 95)";"Apr95_Sep95",#N/A,TRUE,"Actual Estimt (Apr 95 - Sep 95)";"Oct95_Mar96",#N/A,TRUE,"Estimates (Oct 95 - Mar 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nnualRentRoll." localSheetId="14" hidden="1">{"AnnualRentRollPg1",#N/A,FALSE,"RentRoll";"AnnualRentRollPg2",#N/A,FALSE,"RentRoll"}</definedName>
    <definedName name="wrn.AnnualRentRoll." hidden="1">{"AnnualRentRollPg1",#N/A,FALSE,"RentRoll";"AnnualRentRollPg2",#N/A,FALSE,"RentRoll"}</definedName>
    <definedName name="wrn.APAGE1." localSheetId="14" hidden="1">{"APAGE1",#N/A,FALSE,"JAN95_OU"}</definedName>
    <definedName name="wrn.APAGE1." hidden="1">{"APAGE1",#N/A,FALSE,"JAN95_OU"}</definedName>
    <definedName name="wrn.APAGE2." localSheetId="14" hidden="1">{"APAGE2",#N/A,FALSE,"JAN95_OU"}</definedName>
    <definedName name="wrn.APAGE2." hidden="1">{"APAGE2",#N/A,FALSE,"JAN95_OU"}</definedName>
    <definedName name="wrn.APAGE3." localSheetId="14" hidden="1">{"APAGE3",#N/A,FALSE,"JAN95_OU"}</definedName>
    <definedName name="wrn.APAGE3." hidden="1">{"APAGE3",#N/A,FALSE,"JAN95_OU"}</definedName>
    <definedName name="wrn.Apr94_Sep95." localSheetId="14" hidden="1">{"Apr95_Sep95",#N/A,FALSE,"Actual Estimt (Apr 95 - Sep 95)"}</definedName>
    <definedName name="wrn.Apr94_Sep95." hidden="1">{"Apr95_Sep95",#N/A,FALSE,"Actual Estimt (Apr 95 - Sep 95)"}</definedName>
    <definedName name="wrn.Apr95_Sep95." localSheetId="14" hidden="1">{"Apr95_Sep95",#N/A,FALSE,"Actual~Estimt (Apr 95 - Sep 95)";"Apr95_Sep95",#N/A,FALSE,#N/A;"Apr95_Sep95",#N/A,FALSE,#N/A;"Apr95_Sep95",#N/A,FALSE,#N/A;"Apr95_Sep95",#N/A,FALSE,#N/A}</definedName>
    <definedName name="wrn.Apr95_Sep95." hidden="1">{"Apr95_Sep95",#N/A,FALSE,"Actual~Estimt (Apr 95 - Sep 95)";"Apr95_Sep95",#N/A,FALSE,#N/A;"Apr95_Sep95",#N/A,FALSE,#N/A;"Apr95_Sep95",#N/A,FALSE,#N/A;"Apr95_Sep95",#N/A,FALSE,#N/A}</definedName>
    <definedName name="wrn.Assumptions." localSheetId="14" hidden="1">{"Assumptions",#N/A,FALSE,"Assum"}</definedName>
    <definedName name="wrn.Assumptions." hidden="1">{"Assumptions",#N/A,FALSE,"Assum"}</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4" hidden="1">{#N/A,#N/A,FALSE,"O&amp;M by processes";#N/A,#N/A,FALSE,"Elec Act vs Bud";#N/A,#N/A,FALSE,"G&amp;A";#N/A,#N/A,FALSE,"BGS";#N/A,#N/A,FALSE,"Res Cost"}</definedName>
    <definedName name="wrn.Basic." hidden="1">{#N/A,#N/A,FALSE,"O&amp;M by processes";#N/A,#N/A,FALSE,"Elec Act vs Bud";#N/A,#N/A,FALSE,"G&amp;A";#N/A,#N/A,FALSE,"BGS";#N/A,#N/A,FALSE,"Res Cost"}</definedName>
    <definedName name="wrn.CAAP._.Report.JPG" localSheetId="14" hidden="1">{"Income Budget",#N/A,FALSE,"98 Income";"Running GAAP Budget Income",#N/A,FALSE,"98 Income";"GAAP Actual",#N/A,FALSE,"98 Income";"GAAP Varinance",#N/A,FALSE,"98 Income"}</definedName>
    <definedName name="wrn.CAAP._.Report.JPG" hidden="1">{"Income Budget",#N/A,FALSE,"98 Income";"Running GAAP Budget Income",#N/A,FALSE,"98 Income";"GAAP Actual",#N/A,FALSE,"98 Income";"GAAP Varinance",#N/A,FALSE,"98 Income"}</definedName>
    <definedName name="wrn.Cash._.Report." localSheetId="14" hidden="1">{"Cash Budget",#N/A,FALSE,"98 Cash";"Running Cash Budget",#N/A,FALSE,"98 Cash";"Actual Cash",#N/A,FALSE,"98 Cash";"Update Cash Budget",#N/A,FALSE,"98 Cash"}</definedName>
    <definedName name="wrn.Cash._.Report." hidden="1">{"Cash Budget",#N/A,FALSE,"98 Cash";"Running Cash Budget",#N/A,FALSE,"98 Cash";"Actual Cash",#N/A,FALSE,"98 Cash";"Update Cash Budget",#N/A,FALSE,"98 Cash"}</definedName>
    <definedName name="wrn.Cash._.Report.JPG" localSheetId="14"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hartSet." localSheetId="14"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mplete._.Review." localSheetId="14"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mponent._.Analy." localSheetId="1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4" hidden="1">{#N/A,#N/A,FALSE,"SUMMARY";#N/A,#N/A,FALSE,"INPUTDATA";#N/A,#N/A,FALSE,"Condenser Performance"}</definedName>
    <definedName name="wrn.Condenser._.Summary." hidden="1">{#N/A,#N/A,FALSE,"SUMMARY";#N/A,#N/A,FALSE,"INPUTDATA";#N/A,#N/A,FALSE,"Condenser Performance"}</definedName>
    <definedName name="wrn.COST." localSheetId="14" hidden="1">{#N/A,#N/A,FALSE,"T COST";#N/A,#N/A,FALSE,"COST_FH"}</definedName>
    <definedName name="wrn.COST." hidden="1">{#N/A,#N/A,FALSE,"T COST";#N/A,#N/A,FALSE,"COST_FH"}</definedName>
    <definedName name="wrn.Data._.dump." localSheetId="14" hidden="1">{"Input Data",#N/A,FALSE,"Input";"Income and Cash Flow",#N/A,FALSE,"Calculations"}</definedName>
    <definedName name="wrn.Data._.dump." hidden="1">{"Input Data",#N/A,FALSE,"Input";"Income and Cash Flow",#N/A,FALSE,"Calculations"}</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_.Support._.and._.Summary." localSheetId="14"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INGS._.RELEASE." localSheetId="14" hidden="1">{#N/A,#N/A,FALSE,"Earnings release"}</definedName>
    <definedName name="wrn.EARNINGS._.RELEASE." hidden="1">{#N/A,#N/A,FALSE,"Earnings release"}</definedName>
    <definedName name="wrn.EFRT." localSheetId="14" hidden="1">{"EFRT Pg 1",#N/A,FALSE,"EFRT (2)";"EFRT Pg 2",#N/A,FALSE,"EFRT (2)"}</definedName>
    <definedName name="wrn.EFRT." hidden="1">{"EFRT Pg 1",#N/A,FALSE,"EFRT (2)";"EFRT Pg 2",#N/A,FALSE,"EFRT (2)"}</definedName>
    <definedName name="wrn.Engr._.Summary." localSheetId="14"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RI2._.AIMR." localSheetId="14" hidden="1">{#N/A,#N/A,FALSE,"NA_Roll";#N/A,#N/A,FALSE,"NAV_recon";#N/A,#N/A,FALSE,"NII";#N/A,#N/A,FALSE,"Contrbtns";#N/A,#N/A,FALSE,"Distrbtns";#N/A,#N/A,FALSE,"QWAE";#N/A,#N/A,FALSE,"AWAE";#N/A,#N/A,FALSE,"Rtrns_bf_fees";#N/A,#N/A,FALSE,"Rtrns_aft_fees";#N/A,#N/A,FALSE,"Inc_bfr_fees";#N/A,#N/A,FALSE,"ERI-II Summary";#N/A,#N/A,FALSE,"ERI-II Fees"}</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localSheetId="14" hidden="1">{#N/A,#N/A,FALSE,"INPUTDATA";#N/A,#N/A,FALSE,"SUMMARY"}</definedName>
    <definedName name="wrn.Exec._.Summary." hidden="1">{#N/A,#N/A,FALSE,"INPUTDATA";#N/A,#N/A,FALSE,"SUMMARY"}</definedName>
    <definedName name="wrn.Exec1._.Summary" localSheetId="14" hidden="1">{#N/A,#N/A,FALSE,"INPUTDATA";#N/A,#N/A,FALSE,"SUMMARY"}</definedName>
    <definedName name="wrn.Exec1._.Summary" hidden="1">{#N/A,#N/A,FALSE,"INPUTDATA";#N/A,#N/A,FALSE,"SUMMARY"}</definedName>
    <definedName name="wrn.ExitAndSalesAssumptions." localSheetId="14" hidden="1">{#N/A,#N/A,FALSE,"ExitStrategy"}</definedName>
    <definedName name="wrn.ExitAndSalesAssumptions." hidden="1">{#N/A,#N/A,FALSE,"ExitStrategy"}</definedName>
    <definedName name="wrn.FCB." localSheetId="14" hidden="1">{"FCB_ALL",#N/A,FALSE,"FCB"}</definedName>
    <definedName name="wrn.FCB." hidden="1">{"FCB_ALL",#N/A,FALSE,"FCB"}</definedName>
    <definedName name="wrn.fcb2" localSheetId="14" hidden="1">{"FCB_ALL",#N/A,FALSE,"FCB"}</definedName>
    <definedName name="wrn.fcb2" hidden="1">{"FCB_ALL",#N/A,FALSE,"FCB"}</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4" hidden="1">{"Print Empty Template",#N/A,FALSE,"Input"}</definedName>
    <definedName name="wrn.For._.filling._.out._.assessments." hidden="1">{"Print Empty Template",#N/A,FALSE,"Input"}</definedName>
    <definedName name="wrn.FPL._.Cnsl._.Inc._.State._.Pg._.3A." localSheetId="14" hidden="1">{"FPL Consol Inc State Pg 3A",#N/A,FALSE,"ISFPLSUB"}</definedName>
    <definedName name="wrn.FPL._.Cnsl._.Inc._.State._.Pg._.3A." hidden="1">{"FPL Consol Inc State Pg 3A",#N/A,FALSE,"ISFPLSUB"}</definedName>
    <definedName name="wrn.FPL._.Cnsl._.Inc._.State._.Pg._.3M." localSheetId="14" hidden="1">{"FPL Consol Inc State Pg 3M",#N/A,FALSE,"ISFPLSUB"}</definedName>
    <definedName name="wrn.FPL._.Cnsl._.Inc._.State._.Pg._.3M." hidden="1">{"FPL Consol Inc State Pg 3M",#N/A,FALSE,"ISFPLSUB"}</definedName>
    <definedName name="wrn.FPL._.Cnsl._.Inc._.State._.Pg._.3Y." localSheetId="14" hidden="1">{"FPL Consol Inc State Pg 3Y",#N/A,FALSE,"ISFPLSUB"}</definedName>
    <definedName name="wrn.FPL._.Cnsl._.Inc._.State._.Pg._.3Y." hidden="1">{"FPL Consol Inc State Pg 3Y",#N/A,FALSE,"ISFPLSUB"}</definedName>
    <definedName name="wrn.FPL._.Consolidated." localSheetId="14" hidden="1">{"Fpl Consol Pg 1",#N/A,FALSE,"FPL Consolidated";"FPL Consol Pg 2",#N/A,FALSE,"FPL Consolidated"}</definedName>
    <definedName name="wrn.FPL._.Consolidated." hidden="1">{"Fpl Consol Pg 1",#N/A,FALSE,"FPL Consolidated";"FPL Consol Pg 2",#N/A,FALSE,"FPL Consolidated"}</definedName>
    <definedName name="wrn.Full._.Budget." localSheetId="1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localSheetId="14" hidden="1">{"Income Budget",#N/A,FALSE,"98 Income";"Running GAAP Budget Income",#N/A,FALSE,"98 Income";"GAAP Actual",#N/A,FALSE,"98 Income";"GAAP Varinance",#N/A,FALSE,"98 Income"}</definedName>
    <definedName name="wrn.GAAP._.Report." hidden="1">{"Income Budget",#N/A,FALSE,"98 Income";"Running GAAP Budget Income",#N/A,FALSE,"98 Income";"GAAP Actual",#N/A,FALSE,"98 Income";"GAAP Varinance",#N/A,FALSE,"98 Income"}</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stment._.Review." localSheetId="14"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PO._.Valuation." localSheetId="14" hidden="1">{"assumptions",#N/A,FALSE,"Scenario 1";"valuation",#N/A,FALSE,"Scenario 1"}</definedName>
    <definedName name="wrn.IPO._.Valuation." hidden="1">{"assumptions",#N/A,FALSE,"Scenario 1";"valuation",#N/A,FALSE,"Scenario 1"}</definedName>
    <definedName name="wrn.LANDMGMT." localSheetId="14"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aud._.Apr94._.Sep94." localSheetId="14" hidden="1">{"Apr94_Sep94",#N/A,FALSE,"Apr 94 - Sep 94"}</definedName>
    <definedName name="wrn.Laud._.Apr94._.Sep94." hidden="1">{"Apr94_Sep94",#N/A,FALSE,"Apr 94 - Sep 94"}</definedName>
    <definedName name="wrn.Laud._.Apr95._.Sep95." localSheetId="14" hidden="1">{"Apr95_Sep95",#N/A,FALSE,"Apr 95 - Sep 95"}</definedName>
    <definedName name="wrn.Laud._.Apr95._.Sep95." hidden="1">{"Apr95_Sep95",#N/A,FALSE,"Apr 95 - Sep 95"}</definedName>
    <definedName name="wrn.Laud._.Oct93._.Mar94." localSheetId="14" hidden="1">{"Oct93_Mar94",#N/A,FALSE,"Oct 93 - Mar 94"}</definedName>
    <definedName name="wrn.Laud._.Oct93._.Mar94." hidden="1">{"Oct93_Mar94",#N/A,FALSE,"Oct 93 - Mar 94"}</definedName>
    <definedName name="wrn.Laud._.Oct94._.Mar95." localSheetId="14" hidden="1">{"Oct94_Mar95",#N/A,FALSE,"Oct 94 - Mar 95"}</definedName>
    <definedName name="wrn.Laud._.Oct94._.Mar95." hidden="1">{"Oct94_Mar95",#N/A,FALSE,"Oct 94 - Mar 95"}</definedName>
    <definedName name="wrn.Laud._.Oct95._.Mar96." localSheetId="14" hidden="1">{"Oct95_Mar96",#N/A,FALSE,"Oct 95 - Mar 96"}</definedName>
    <definedName name="wrn.Laud._.Oct95._.Mar96." hidden="1">{"Oct95_Mar96",#N/A,FALSE,"Oct 95 - Mar 96"}</definedName>
    <definedName name="wrn.LBO._.Summary." localSheetId="14" hidden="1">{"LBO Summary",#N/A,FALSE,"Summary"}</definedName>
    <definedName name="wrn.LBO._.Summary." hidden="1">{"LBO Summary",#N/A,FALSE,"Summary"}</definedName>
    <definedName name="wrn.LITIGATION." localSheetId="14" hidden="1">{"LI AFUDC DEBT 10282",#N/A,FALSE,"TXFORCST.XLS";"LIT AFUDC 10280",#N/A,FALSE,"TXFORCST.XLS";"LIT DEPR EXP 10281",#N/A,FALSE,"TXFORCST.XLS"}</definedName>
    <definedName name="wrn.LITIGATION." hidden="1">{"LI AFUDC DEBT 10282",#N/A,FALSE,"TXFORCST.XLS";"LIT AFUDC 10280",#N/A,FALSE,"TXFORCST.XLS";"LIT DEPR EXP 10281",#N/A,FALSE,"TXFORCST.XLS"}</definedName>
    <definedName name="wrn.LoanInformation." localSheetId="14" hidden="1">{"LoanSchedule",#N/A,FALSE,"LoanAssumptions";"LoanAssumptions",#N/A,FALSE,"LoanAssumptions"}</definedName>
    <definedName name="wrn.LoanInformation." hidden="1">{"LoanSchedule",#N/A,FALSE,"LoanAssumptions";"LoanAssumptions",#N/A,FALSE,"LoanAssumptions"}</definedName>
    <definedName name="wrn.Martin._.Apr94_Sep94." localSheetId="14" hidden="1">{"Martin Apr94_Sep94",#N/A,FALSE,"Martin Apr94 - Sep94"}</definedName>
    <definedName name="wrn.Martin._.Apr94_Sep94." hidden="1">{"Martin Apr94_Sep94",#N/A,FALSE,"Martin Apr94 - Sep94"}</definedName>
    <definedName name="wrn.Martin._.Apr95_Sep95." localSheetId="14" hidden="1">{"Martin Apr95_Sep95",#N/A,FALSE,"Martin Apr95 - Sep95"}</definedName>
    <definedName name="wrn.Martin._.Apr95_Sep95." hidden="1">{"Martin Apr95_Sep95",#N/A,FALSE,"Martin Apr95 - Sep95"}</definedName>
    <definedName name="wrn.Martin._.Oct93_Mar94." localSheetId="14" hidden="1">{"Martin Oct93_Mar94",#N/A,FALSE,"Martin Oct93 - Mar94"}</definedName>
    <definedName name="wrn.Martin._.Oct93_Mar94." hidden="1">{"Martin Oct93_Mar94",#N/A,FALSE,"Martin Oct93 - Mar94"}</definedName>
    <definedName name="wrn.Martin._.Oct94_Mar95." localSheetId="14" hidden="1">{"Martin Oct94_Mar95",#N/A,FALSE,"Martin Oct94 - Mar95"}</definedName>
    <definedName name="wrn.Martin._.Oct94_Mar95." hidden="1">{"Martin Oct94_Mar95",#N/A,FALSE,"Martin Oct94 - Mar95"}</definedName>
    <definedName name="wrn.Martin._.Oct95_Mar96." localSheetId="14" hidden="1">{"Martin Oct95_Mar96",#N/A,FALSE,"Martin Oct95 - Mar96"}</definedName>
    <definedName name="wrn.Martin._.Oct95_Mar96." hidden="1">{"Martin Oct95_Mar96",#N/A,FALSE,"Martin Oct95 - Mar96"}</definedName>
    <definedName name="wrn.MiniSum." localSheetId="14" hidden="1">{#N/A,#N/A,TRUE,"Facility-Input";#N/A,#N/A,TRUE,"Graphs";#N/A,#N/A,TRUE,"TOTAL"}</definedName>
    <definedName name="wrn.MiniSum." hidden="1">{#N/A,#N/A,TRUE,"Facility-Input";#N/A,#N/A,TRUE,"Graphs";#N/A,#N/A,TRUE,"TOTAL"}</definedName>
    <definedName name="wrn.MonthlyRentRoll." localSheetId="14" hidden="1">{"MonthlyRentRoll",#N/A,FALSE,"RentRoll"}</definedName>
    <definedName name="wrn.MonthlyRentRoll." hidden="1">{"MonthlyRentRoll",#N/A,FALSE,"RentRoll"}</definedName>
    <definedName name="wrn.OBO._.12._.MO._.ENDED." localSheetId="14" hidden="1">{"OBO 12 Month Ended",#N/A,FALSE,"OBO 12 Months"}</definedName>
    <definedName name="wrn.OBO._.12._.MO._.ENDED." hidden="1">{"OBO 12 Month Ended",#N/A,FALSE,"OBO 12 Months"}</definedName>
    <definedName name="wrn.OBO._.MONTHLY." localSheetId="14" hidden="1">{"obo monthly",#N/A,FALSE,"OBO Monthly"}</definedName>
    <definedName name="wrn.OBO._.MONTHLY." hidden="1">{"obo monthly",#N/A,FALSE,"OBO Monthly"}</definedName>
    <definedName name="wrn.OBO._.Summary." localSheetId="14" hidden="1">{"OBO Deferred Tax Sum",#N/A,FALSE,"OBO DEF TAX"}</definedName>
    <definedName name="wrn.OBO._.Summary." hidden="1">{"OBO Deferred Tax Sum",#N/A,FALSE,"OBO DEF TAX"}</definedName>
    <definedName name="wrn.Oct93_Mar94." localSheetId="14" hidden="1">{"Oct93_Mar94",#N/A,FALSE,"Actuals (Oct 93 - Mar 94)"}</definedName>
    <definedName name="wrn.Oct93_Mar94." hidden="1">{"Oct93_Mar94",#N/A,FALSE,"Actuals (Oct 93 - Mar 94)"}</definedName>
    <definedName name="wrn.Oct94_Mar95." localSheetId="14" hidden="1">{"Oct94_Mar95",#N/A,FALSE,"Actuals (Oct 94 - Mar 95)"}</definedName>
    <definedName name="wrn.Oct94_Mar95." hidden="1">{"Oct94_Mar95",#N/A,FALSE,"Actuals (Oct 94 - Mar 95)"}</definedName>
    <definedName name="wrn.Oct95_Mar96." localSheetId="14" hidden="1">{"Oct95_Mar96",#N/A,FALSE,"Estimates (Oct 95 - Mar 96)"}</definedName>
    <definedName name="wrn.Oct95_Mar96." hidden="1">{"Oct95_Mar96",#N/A,FALSE,"Estimates (Oct 95 - Mar 96)"}</definedName>
    <definedName name="wrn.OperatingAssumtions." localSheetId="14" hidden="1">{#N/A,#N/A,FALSE,"OperatingAssumptions"}</definedName>
    <definedName name="wrn.OperatingAssumtions." hidden="1">{#N/A,#N/A,FALSE,"OperatingAssumptions"}</definedName>
    <definedName name="wrn.Operations._.Review." localSheetId="14" hidden="1">{#N/A,#N/A,FALSE,"Proforma Five Yr";#N/A,#N/A,FALSE,"Occ and Rate";#N/A,#N/A,FALSE,"PF Input";#N/A,#N/A,FALSE,"Hotcomps"}</definedName>
    <definedName name="wrn.Operations._.Review." hidden="1">{#N/A,#N/A,FALSE,"Proforma Five Yr";#N/A,#N/A,FALSE,"Occ and Rate";#N/A,#N/A,FALSE,"PF Input";#N/A,#N/A,FALSE,"Hotcomps"}</definedName>
    <definedName name="wrn.OR09._.Budget._.Stuff." localSheetId="14" hidden="1">{#N/A,#N/A,FALSE,"8-14-03 Detail";#N/A,#N/A,FALSE,"FLA Comparisons";#N/A,#N/A,FALSE,"Budget Changes Summary ";#N/A,#N/A,FALSE,"Exec Summary"}</definedName>
    <definedName name="wrn.OR09._.Budget._.Stuff." hidden="1">{#N/A,#N/A,FALSE,"8-14-03 Detail";#N/A,#N/A,FALSE,"FLA Comparisons";#N/A,#N/A,FALSE,"Budget Changes Summary ";#N/A,#N/A,FALSE,"Exec Summary"}</definedName>
    <definedName name="wrn.Out._.of._.Period." localSheetId="14" hidden="1">{"Out of Period",#N/A,FALSE,"Out of Period"}</definedName>
    <definedName name="wrn.Out._.of._.Period." hidden="1">{"Out of Period",#N/A,FALSE,"Out of Period"}</definedName>
    <definedName name="wrn.Phase._.I." localSheetId="14" hidden="1">{#N/A,#N/A,FALSE,"Transaction Summary-DTW";#N/A,#N/A,FALSE,"Proforma Five Yr";#N/A,#N/A,FALSE,"Occ and Rate"}</definedName>
    <definedName name="wrn.Phase._.I." hidden="1">{#N/A,#N/A,FALSE,"Transaction Summary-DTW";#N/A,#N/A,FALSE,"Proforma Five Yr";#N/A,#N/A,FALSE,"Occ and Rate"}</definedName>
    <definedName name="wrn.PPAGE2." localSheetId="14" hidden="1">{"PPAGE2",#N/A,FALSE,"JAN95_OU"}</definedName>
    <definedName name="wrn.PPAGE2." hidden="1">{"PPAGE2",#N/A,FALSE,"JAN95_OU"}</definedName>
    <definedName name="wrn.PPAGE3." localSheetId="14" hidden="1">{"PPAGE3",#N/A,FALSE,"JAN95_OU"}</definedName>
    <definedName name="wrn.PPAGE3." hidden="1">{"PPAGE3",#N/A,FALSE,"JAN95_OU"}</definedName>
    <definedName name="wrn.PRELIMINARY._.ALL._.PAGES." localSheetId="14" hidden="1">{"PRELIMINARY",#N/A,FALSE,"MAR95_OU"}</definedName>
    <definedName name="wrn.PRELIMINARY._.ALL._.PAGES." hidden="1">{"PRELIMINARY",#N/A,FALSE,"MAR95_OU"}</definedName>
    <definedName name="wrn.Presentation." localSheetId="14" hidden="1">{#N/A,#N/A,TRUE,"Summary";#N/A,#N/A,TRUE,"ExitStrategy";"SalesAndConstruction",#N/A,TRUE,"cs";#N/A,#N/A,TRUE,"OperatingAssumptions";"PresentationRentRoll",#N/A,TRUE,"RentRoll"}</definedName>
    <definedName name="wrn.Presentation." hidden="1">{#N/A,#N/A,TRUE,"Summary";#N/A,#N/A,TRUE,"ExitStrategy";"SalesAndConstruction",#N/A,TRUE,"cs";#N/A,#N/A,TRUE,"OperatingAssumptions";"PresentationRentRoll",#N/A,TRUE,"RentRoll"}</definedName>
    <definedName name="wrn.Print." localSheetId="14" hidden="1">{#N/A,#N/A,TRUE,"Inputs";#N/A,#N/A,TRUE,"Cashflow Statement";#N/A,#N/A,TRUE,"Summary";#N/A,#N/A,TRUE,"Construction";#N/A,#N/A,TRUE,"RevAss";#N/A,#N/A,TRUE,"Debt";#N/A,#N/A,TRUE,"Inc";#N/A,#N/A,TRUE,"Depr"}</definedName>
    <definedName name="wrn.Print." hidden="1">{#N/A,#N/A,TRUE,"Inputs";#N/A,#N/A,TRUE,"Cashflow Statement";#N/A,#N/A,TRUE,"Summary";#N/A,#N/A,TRUE,"Construction";#N/A,#N/A,TRUE,"RevAss";#N/A,#N/A,TRUE,"Debt";#N/A,#N/A,TRUE,"Inc";#N/A,#N/A,TRUE,"Depr"}</definedName>
    <definedName name="wrn.Print._.All._.Pages." localSheetId="14"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localSheetId="14"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4" hidden="1">{"inputs raw data",#N/A,TRUE,"INPUT"}</definedName>
    <definedName name="wrn.print._.raw._.data._.entry." hidden="1">{"inputs raw data",#N/A,TRUE,"INPUT"}</definedName>
    <definedName name="wrn.print._.summary._.sheets." localSheetId="14" hidden="1">{"summary1",#N/A,TRUE,"Comps";"summary2",#N/A,TRUE,"Comps";"summary3",#N/A,TRUE,"Comps"}</definedName>
    <definedName name="wrn.print._.summary._.sheets." hidden="1">{"summary1",#N/A,TRUE,"Comps";"summary2",#N/A,TRUE,"Comps";"summary3",#N/A,TRUE,"Comps"}</definedName>
    <definedName name="wrn.print._.summary._.sheets.2" localSheetId="14" hidden="1">{"summary1",#N/A,TRUE,"Comps";"summary2",#N/A,TRUE,"Comps";"summary3",#N/A,TRUE,"Comps"}</definedName>
    <definedName name="wrn.print._.summary._.sheets.2" hidden="1">{"summary1",#N/A,TRUE,"Comps";"summary2",#N/A,TRUE,"Comps";"summary3",#N/A,TRUE,"Comps"}</definedName>
    <definedName name="wrn.Print_Buyer." localSheetId="14"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1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orma._.Review." localSheetId="14" hidden="1">{#N/A,#N/A,FALSE,"Occ and Rate";#N/A,#N/A,FALSE,"PF Input";#N/A,#N/A,FALSE,"Proforma Five Yr";#N/A,#N/A,FALSE,"Hotcomps"}</definedName>
    <definedName name="wrn.Proforma._.Review." hidden="1">{#N/A,#N/A,FALSE,"Occ and Rate";#N/A,#N/A,FALSE,"PF Input";#N/A,#N/A,FALSE,"Proforma Five Yr";#N/A,#N/A,FALSE,"Hotcomps"}</definedName>
    <definedName name="wrn.Project._.A." localSheetId="14"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14" hidden="1">{"Summary",#N/A,FALSE,"MICMULT";"Income Statement",#N/A,FALSE,"MICMULT";"Cash Flows",#N/A,FALSE,"MICMULT"}</definedName>
    <definedName name="wrn.Project._.Summary." hidden="1">{"Summary",#N/A,FALSE,"MICMULT";"Income Statement",#N/A,FALSE,"MICMULT";"Cash Flows",#N/A,FALSE,"MICMULT"}</definedName>
    <definedName name="wrn.PropertyInformation." localSheetId="14" hidden="1">{#N/A,#N/A,FALSE,"PropertyInfo"}</definedName>
    <definedName name="wrn.PropertyInformation." hidden="1">{#N/A,#N/A,FALSE,"PropertyInfo"}</definedName>
    <definedName name="wrn.Reconcil._.Bk._.Depr._.to._.47G." localSheetId="14" hidden="1">{"By Account",#N/A,FALSE,"Reconcil Deprec Book to Tax   ";"Correction of JV 47G",#N/A,FALSE,"Reconcil Deprec Book to Tax   ";"Recalculation of JV 47G",#N/A,FALSE,"Reconcil Deprec Book to Tax   "}</definedName>
    <definedName name="wrn.Reconcil._.Bk._.Depr._.to._.47G." hidden="1">{"By Account",#N/A,FALSE,"Reconcil Deprec Book to Tax   ";"Correction of JV 47G",#N/A,FALSE,"Reconcil Deprec Book to Tax   ";"Recalculation of JV 47G",#N/A,FALSE,"Reconcil Deprec Book to Tax   "}</definedName>
    <definedName name="wrn.Report." localSheetId="14" hidden="1">{#N/A,#N/A,FALSE,"Work performed";#N/A,#N/A,FALSE,"Resources"}</definedName>
    <definedName name="wrn.Report." hidden="1">{#N/A,#N/A,FALSE,"Work performed";#N/A,#N/A,FALSE,"Resources"}</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isk._.Reserves." localSheetId="14" hidden="1">{#N/A,#N/A,TRUE,"Reserves";#N/A,#N/A,TRUE,"Graphs"}</definedName>
    <definedName name="wrn.Risk._.Reserves." hidden="1">{#N/A,#N/A,TRUE,"Reserves";#N/A,#N/A,TRUE,"Graphs"}</definedName>
    <definedName name="wrn.Scherer._.Apr95_Sep95." localSheetId="14" hidden="1">{"Schr Apr95_Oct95",#N/A,FALSE,"Scherer Apr95-Sep95"}</definedName>
    <definedName name="wrn.Scherer._.Apr95_Sep95." hidden="1">{"Schr Apr95_Oct95",#N/A,FALSE,"Scherer Apr95-Sep95"}</definedName>
    <definedName name="wrn.Scherer._.Oct94_Mar95." localSheetId="14" hidden="1">{"Schr Oct94_Mar95",#N/A,FALSE,"Scherer Oct94-Mar95"}</definedName>
    <definedName name="wrn.Scherer._.Oct94_Mar95." hidden="1">{"Schr Oct94_Mar95",#N/A,FALSE,"Scherer Oct94-Mar95"}</definedName>
    <definedName name="wrn.Scherer._.Oct95_Mar96." localSheetId="14" hidden="1">{"Schr Oct95_Mar96",#N/A,FALSE,"Scherer Oct95-Mar96"}</definedName>
    <definedName name="wrn.Scherer._.Oct95_Mar96." hidden="1">{"Schr Oct95_Mar96",#N/A,FALSE,"Scherer Oct95-Mar96"}</definedName>
    <definedName name="wrn.Segment._.1." localSheetId="14" hidden="1">{#N/A,#N/A,TRUE,"Segment 1"}</definedName>
    <definedName name="wrn.Segment._.1." hidden="1">{#N/A,#N/A,TRUE,"Segment 1"}</definedName>
    <definedName name="wrn.Segment._.2." localSheetId="14" hidden="1">{#N/A,#N/A,TRUE,"Segment 2"}</definedName>
    <definedName name="wrn.Segment._.2." hidden="1">{#N/A,#N/A,TRUE,"Segment 2"}</definedName>
    <definedName name="wrn.Segment._.3." localSheetId="14" hidden="1">{#N/A,#N/A,TRUE,"Segment 3"}</definedName>
    <definedName name="wrn.Segment._.3." hidden="1">{#N/A,#N/A,TRUE,"Segment 3"}</definedName>
    <definedName name="wrn.Segment._.4." localSheetId="14" hidden="1">{#N/A,#N/A,TRUE,"Segment 4"}</definedName>
    <definedName name="wrn.Segment._.4." hidden="1">{#N/A,#N/A,TRUE,"Segment 4"}</definedName>
    <definedName name="wrn.Segment._.5." localSheetId="14" hidden="1">{#N/A,#N/A,TRUE,"Segment 5"}</definedName>
    <definedName name="wrn.Segment._.5." hidden="1">{#N/A,#N/A,TRUE,"Segment 5"}</definedName>
    <definedName name="wrn.Snapshot." localSheetId="14" hidden="1">{#N/A,#N/A,TRUE,"Facility-Input";#N/A,#N/A,TRUE,"Graphs"}</definedName>
    <definedName name="wrn.Snapshot." hidden="1">{#N/A,#N/A,TRUE,"Facility-Input";#N/A,#N/A,TRUE,"Graphs"}</definedName>
    <definedName name="wrn.SRU._.CONDENSER." localSheetId="14" hidden="1">{#N/A,#N/A,FALSE,"HXSheet1";#N/A,#N/A,FALSE,"Sheet2";#N/A,#N/A,FALSE,"Sheet3";#N/A,#N/A,FALSE,"Sheet4"}</definedName>
    <definedName name="wrn.SRU._.CONDENSER." hidden="1">{#N/A,#N/A,FALSE,"HXSheet1";#N/A,#N/A,FALSE,"Sheet2";#N/A,#N/A,FALSE,"Sheet3";#N/A,#N/A,FALSE,"Sheet4"}</definedName>
    <definedName name="wrn.STAND_ALONE_BOTH." localSheetId="14" hidden="1">{"FCB_ALL",#N/A,FALSE,"FCB";"GREY_ALL",#N/A,FALSE,"GREY"}</definedName>
    <definedName name="wrn.STAND_ALONE_BOTH." hidden="1">{"FCB_ALL",#N/A,FALSE,"FCB";"GREY_ALL",#N/A,FALSE,"GREY"}</definedName>
    <definedName name="wrn.Statement._.of._.Income._.Taxes." localSheetId="14" hidden="1">{"Consolidated",#N/A,FALSE,"SITRP";"FPL Pure",#N/A,FALSE,"SITRP";"FPL Subsidiaries Consol",#N/A,FALSE,"SITRP"}</definedName>
    <definedName name="wrn.Statement._.of._.Income._.Taxes." hidden="1">{"Consolidated",#N/A,FALSE,"SITRP";"FPL Pure",#N/A,FALSE,"SITRP";"FPL Subsidiaries Consol",#N/A,FALSE,"SITRP"}</definedName>
    <definedName name="wrn.SUM._.OF._.UNIT._.3." localSheetId="14"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4" hidden="1">{#N/A,#N/A,FALSE,"Summary"}</definedName>
    <definedName name="wrn.Summary." hidden="1">{#N/A,#N/A,FALSE,"Summary"}</definedName>
    <definedName name="wrn.Supporting._.Calculations." localSheetId="14" hidden="1">{#N/A,#N/A,FALSE,"Work performed";#N/A,#N/A,FALSE,"Resources"}</definedName>
    <definedName name="wrn.Supporting._.Calculations." hidden="1">{#N/A,#N/A,FALSE,"Work performed";#N/A,#N/A,FALSE,"Resources"}</definedName>
    <definedName name="wrn.Tax._.Accrual." localSheetId="14" hidden="1">{#N/A,#N/A,TRUE,"TAXPROV";#N/A,#N/A,TRUE,"FLOWTHRU";#N/A,#N/A,TRUE,"SCHEDULE M'S";#N/A,#N/A,TRUE,"PLANT M'S";#N/A,#N/A,TRUE,"TAXJE"}</definedName>
    <definedName name="wrn.Tax._.Accrual." hidden="1">{#N/A,#N/A,TRUE,"TAXPROV";#N/A,#N/A,TRUE,"FLOWTHRU";#N/A,#N/A,TRUE,"SCHEDULE M'S";#N/A,#N/A,TRUE,"PLANT M'S";#N/A,#N/A,TRUE,"TAXJE"}</definedName>
    <definedName name="wrn.Template." localSheetId="14"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localSheetId="14" hidden="1">{#N/A,#N/A,TRUE,"TOTAL";#N/A,#N/A,TRUE,"Total Pipes"}</definedName>
    <definedName name="wrn.Totals." hidden="1">{#N/A,#N/A,TRUE,"TOTAL";#N/A,#N/A,TRUE,"Total Pipes"}</definedName>
    <definedName name="wrn.UTIL." localSheetId="14" hidden="1">{"Twelve Mo Ended Pg 2",#N/A,TRUE,"Utility";"YTD Adj _ Pg 1",#N/A,TRUE,"Utility"}</definedName>
    <definedName name="wrn.UTIL." hidden="1">{"Twelve Mo Ended Pg 2",#N/A,TRUE,"Utility";"YTD Adj _ Pg 1",#N/A,TRUE,"Utility"}</definedName>
    <definedName name="wrn.Value." localSheetId="14" hidden="1">{#N/A,#N/A,FALSE,"Cashflow Analysis";#N/A,#N/A,FALSE,"Sensitivity Analysis";#N/A,#N/A,FALSE,"PV";#N/A,#N/A,FALSE,"Pro Forma"}</definedName>
    <definedName name="wrn.Value." hidden="1">{#N/A,#N/A,FALSE,"Cashflow Analysis";#N/A,#N/A,FALSE,"Sensitivity Analysis";#N/A,#N/A,FALSE,"PV";#N/A,#N/A,FALSE,"Pro Forma"}</definedName>
    <definedName name="wrn.Western._.District._.1997._.Capital._.Budget." localSheetId="14" hidden="1">{#N/A,#N/A,FALSE,"EXP97"}</definedName>
    <definedName name="wrn.Western._.District._.1997._.Capital._.Budget." hidden="1">{#N/A,#N/A,FALSE,"EXP97"}</definedName>
    <definedName name="wvi" localSheetId="14" hidden="1">{#N/A,#N/A,FALSE,"SUMMARY";#N/A,#N/A,FALSE,"INPUTDATA";#N/A,#N/A,FALSE,"Condenser Performance"}</definedName>
    <definedName name="wvi" hidden="1">{#N/A,#N/A,FALSE,"SUMMARY";#N/A,#N/A,FALSE,"INPUTDATA";#N/A,#N/A,FALSE,"Condenser Performance"}</definedName>
    <definedName name="wvo" localSheetId="14" hidden="1">{"EXCELHLP.HLP!1802";5;10;5;10;13;13;13;8;5;5;10;14;13;13;13;13;5;10;14;13;5;10;1;2;24}</definedName>
    <definedName name="wvo" hidden="1">{"EXCELHLP.HLP!1802";5;10;5;10;13;13;13;8;5;5;10;14;13;13;13;13;5;10;14;13;5;10;1;2;24}</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localSheetId="14" hidden="1">{#N/A,#N/A,FALSE,"Earnings release"}</definedName>
    <definedName name="x" hidden="1">{#N/A,#N/A,FALSE,"Earnings release"}</definedName>
    <definedName name="Xbracing" localSheetId="14">[9]Picklist_TeeLine!$Y$109:$AI$110</definedName>
    <definedName name="Xbracing">#REF!</definedName>
    <definedName name="Xbracing_labor" localSheetId="14">[9]Picklist_TeeLine!$Y$117:$AI$118</definedName>
    <definedName name="Xbracing_labor">#REF!</definedName>
    <definedName name="Xcel" localSheetId="2">#REF!</definedName>
    <definedName name="Xcel" localSheetId="14">#REF!</definedName>
    <definedName name="Xcel">#REF!</definedName>
    <definedName name="Xcel_COS" localSheetId="2">#REF!</definedName>
    <definedName name="Xcel_COS" localSheetId="3">#REF!</definedName>
    <definedName name="Xcel_COS">#REF!</definedName>
    <definedName name="Xfmr_pit" localSheetId="14">[9]Picklist_Substations!$BH$7:$BH$11</definedName>
    <definedName name="Xfmr_pit">#REF!</definedName>
    <definedName name="xx" localSheetId="14" hidden="1">{2;#N/A;"R13C16:R17C16";#N/A;"R13C14:R17C15";FALSE;FALSE;FALSE;95;#N/A;#N/A;"R13C19";#N/A;FALSE;FALSE;FALSE;FALSE;#N/A;"";#N/A;FALSE;"";"";#N/A;#N/A;#N/A}</definedName>
    <definedName name="xx" hidden="1">{2;#N/A;"R13C16:R17C16";#N/A;"R13C14:R17C15";FALSE;FALSE;FALSE;95;#N/A;#N/A;"R13C19";#N/A;FALSE;FALSE;FALSE;FALSE;#N/A;"";#N/A;FALSE;"";"";#N/A;#N/A;#N/A}</definedName>
    <definedName name="xxx" localSheetId="14"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14" hidden="1">{"detail305",#N/A,FALSE,"BI-305"}</definedName>
    <definedName name="xxx.detail" hidden="1">{"detail305",#N/A,FALSE,"BI-305"}</definedName>
    <definedName name="xxx.directory" localSheetId="14" hidden="1">{"summary",#N/A,FALSE,"PCR DIRECTORY"}</definedName>
    <definedName name="xxx.directory" hidden="1">{"summary",#N/A,FALSE,"PCR DIRECTORY"}</definedName>
    <definedName name="xxxx" localSheetId="14" hidden="1">{#N/A,#N/A,FALSE,"O&amp;M by processes";#N/A,#N/A,FALSE,"Elec Act vs Bud";#N/A,#N/A,FALSE,"G&amp;A";#N/A,#N/A,FALSE,"BGS";#N/A,#N/A,FALSE,"Res Cost"}</definedName>
    <definedName name="xxxx" hidden="1">{#N/A,#N/A,FALSE,"O&amp;M by processes";#N/A,#N/A,FALSE,"Elec Act vs Bud";#N/A,#N/A,FALSE,"G&amp;A";#N/A,#N/A,FALSE,"BGS";#N/A,#N/A,FALSE,"Res Cost"}</definedName>
    <definedName name="xxxxx" localSheetId="14" hidden="1">{#N/A,#N/A,TRUE,"TOTAL DISTRIBUTION";#N/A,#N/A,TRUE,"SOUTH";#N/A,#N/A,TRUE,"NORTHEAST";#N/A,#N/A,TRUE,"WEST"}</definedName>
    <definedName name="xxxxx" hidden="1">{#N/A,#N/A,TRUE,"TOTAL DISTRIBUTION";#N/A,#N/A,TRUE,"SOUTH";#N/A,#N/A,TRUE,"NORTHEAST";#N/A,#N/A,TRUE,"WEST"}</definedName>
    <definedName name="xxxxxx" localSheetId="14" hidden="1">{#N/A,#N/A,TRUE,"TOTAL DSBN";#N/A,#N/A,TRUE,"WEST";#N/A,#N/A,TRUE,"SOUTH";#N/A,#N/A,TRUE,"NORTHEAST"}</definedName>
    <definedName name="xxxxxx" hidden="1">{#N/A,#N/A,TRUE,"TOTAL DSBN";#N/A,#N/A,TRUE,"WEST";#N/A,#N/A,TRUE,"SOUTH";#N/A,#N/A,TRUE,"NORTHEAST"}</definedName>
    <definedName name="Yard_Spacing" localSheetId="14">[9]Picklist_Substations!$E$327:$P$336</definedName>
    <definedName name="Yard_Spacing">#REF!</definedName>
    <definedName name="YEAR1" localSheetId="14">#REF!</definedName>
    <definedName name="YEAR1">#REF!</definedName>
    <definedName name="yeartodate" localSheetId="14">#REF!</definedName>
    <definedName name="yeartodate">#REF!</definedName>
    <definedName name="YesNo" localSheetId="14">#REF!</definedName>
    <definedName name="YesNo">#REF!</definedName>
    <definedName name="yyy" localSheetId="14" hidden="1">{"detail305",#N/A,FALSE,"BI-305"}</definedName>
    <definedName name="yyy" hidden="1">{"detail305",#N/A,FALSE,"BI-305"}</definedName>
    <definedName name="Z_F04A2B9A_C6FE_4FEB_AD1E_2CF9AC309BE4_.wvu.PrintArea" localSheetId="2" hidden="1">'1-Project Rev Req'!$A$1:$Q$105</definedName>
    <definedName name="Z_F04A2B9A_C6FE_4FEB_AD1E_2CF9AC309BE4_.wvu.PrintArea" localSheetId="4" hidden="1">'3-Project True-up'!$A$1:$L$24</definedName>
    <definedName name="Z_F04A2B9A_C6FE_4FEB_AD1E_2CF9AC309BE4_.wvu.PrintArea" localSheetId="5" hidden="1">'4- Rate Base'!$A$1:$L$49</definedName>
    <definedName name="Z_F04A2B9A_C6FE_4FEB_AD1E_2CF9AC309BE4_.wvu.PrintArea" localSheetId="1" hidden="1">'Attachment H'!$A$1:$K$267</definedName>
    <definedName name="zero">0</definedName>
    <definedName name="zzz" localSheetId="1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가설공사" localSheetId="14">[26]별표집계!#REF!</definedName>
    <definedName name="가설공사">#REF!</definedName>
    <definedName name="공종산출서" localSheetId="14">[27]공종단가!$A$1:$F$83</definedName>
    <definedName name="공종산출서">#REF!</definedName>
    <definedName name="단가" localSheetId="14">[27]공종단가!$A$1:$F$83</definedName>
    <definedName name="단가">#REF!</definedName>
    <definedName name="대" localSheetId="14">[28]부총!#REF!</definedName>
    <definedName name="대">#REF!</definedName>
    <definedName name="포" localSheetId="14">[29]수량산출서!$E$5</definedName>
    <definedName name="포">#REF!</definedName>
  </definedNames>
  <calcPr calcId="191028" concurrentManualCount="8"/>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72" l="1"/>
  <c r="G25" i="74"/>
  <c r="H25" i="74"/>
  <c r="I25" i="74"/>
  <c r="J25" i="74"/>
  <c r="K25" i="74"/>
  <c r="L25" i="74"/>
  <c r="M25" i="74"/>
  <c r="F25" i="74"/>
  <c r="C6" i="74"/>
  <c r="D6" i="74"/>
  <c r="E6" i="74"/>
  <c r="F6" i="74"/>
  <c r="G6" i="74"/>
  <c r="H6" i="74"/>
  <c r="I6" i="74"/>
  <c r="J6" i="74"/>
  <c r="K6" i="74"/>
  <c r="L6" i="74"/>
  <c r="M6" i="74"/>
  <c r="B6" i="74"/>
  <c r="F20" i="74"/>
  <c r="G20" i="74"/>
  <c r="H20" i="74"/>
  <c r="I20" i="74"/>
  <c r="J20" i="74"/>
  <c r="K20" i="74"/>
  <c r="L20" i="74"/>
  <c r="M20" i="74"/>
  <c r="E20" i="74"/>
  <c r="C35" i="74"/>
  <c r="D35" i="74"/>
  <c r="E35" i="74"/>
  <c r="F35" i="74"/>
  <c r="G35" i="74"/>
  <c r="H35" i="74"/>
  <c r="I35" i="74"/>
  <c r="J35" i="74"/>
  <c r="K35" i="74"/>
  <c r="L35" i="74"/>
  <c r="M35" i="74"/>
  <c r="C30" i="74"/>
  <c r="D30" i="74"/>
  <c r="E30" i="74"/>
  <c r="F30" i="74"/>
  <c r="G30" i="74"/>
  <c r="H30" i="74"/>
  <c r="I30" i="74"/>
  <c r="J30" i="74"/>
  <c r="K30" i="74"/>
  <c r="L30" i="74"/>
  <c r="M30" i="74"/>
  <c r="B30" i="74"/>
  <c r="B35" i="74"/>
  <c r="C15" i="74"/>
  <c r="D15" i="74"/>
  <c r="E15" i="74"/>
  <c r="F15" i="74"/>
  <c r="G15" i="74"/>
  <c r="H15" i="74"/>
  <c r="I15" i="74"/>
  <c r="J15" i="74"/>
  <c r="K15" i="74"/>
  <c r="L15" i="74"/>
  <c r="M15" i="74"/>
  <c r="B15" i="74"/>
  <c r="B38" i="72"/>
  <c r="M38" i="74" l="1"/>
  <c r="N14" i="69" s="1"/>
  <c r="H38" i="74"/>
  <c r="I14" i="69" s="1"/>
  <c r="D38" i="74"/>
  <c r="E14" i="69" s="1"/>
  <c r="C38" i="74"/>
  <c r="D14" i="69" s="1"/>
  <c r="E38" i="74"/>
  <c r="F14" i="69" s="1"/>
  <c r="L38" i="74"/>
  <c r="M14" i="69" s="1"/>
  <c r="G38" i="74"/>
  <c r="H14" i="69" s="1"/>
  <c r="I38" i="74"/>
  <c r="J14" i="69" s="1"/>
  <c r="F38" i="74"/>
  <c r="G14" i="69" s="1"/>
  <c r="B38" i="74"/>
  <c r="C14" i="69" s="1"/>
  <c r="J38" i="74"/>
  <c r="K14" i="69" s="1"/>
  <c r="K38" i="74"/>
  <c r="L14" i="69" s="1"/>
  <c r="B36" i="72"/>
  <c r="O14" i="69" l="1"/>
  <c r="D17" i="69"/>
  <c r="E17" i="69"/>
  <c r="F17" i="69"/>
  <c r="G17" i="69"/>
  <c r="H17" i="69"/>
  <c r="I17" i="69"/>
  <c r="J17" i="69"/>
  <c r="K17" i="69"/>
  <c r="L17" i="69"/>
  <c r="M17" i="69"/>
  <c r="N17" i="69"/>
  <c r="C17" i="69"/>
  <c r="O8" i="69"/>
  <c r="O9" i="69"/>
  <c r="O10" i="69"/>
  <c r="O11" i="69"/>
  <c r="O3" i="69"/>
  <c r="O4" i="69"/>
  <c r="O5" i="69"/>
  <c r="O6" i="69"/>
  <c r="M44" i="6"/>
  <c r="M43" i="6"/>
  <c r="M42" i="6"/>
  <c r="M41" i="6"/>
  <c r="M40" i="6"/>
  <c r="M39" i="6"/>
  <c r="M38" i="6"/>
  <c r="M37" i="6"/>
  <c r="M36" i="6"/>
  <c r="M35" i="6"/>
  <c r="M34" i="6"/>
  <c r="M33" i="6"/>
  <c r="J72" i="26"/>
  <c r="J25" i="26"/>
  <c r="E29" i="72"/>
  <c r="D29" i="72"/>
  <c r="I15" i="5"/>
  <c r="I23" i="5"/>
  <c r="I22" i="5"/>
  <c r="I21" i="5"/>
  <c r="I20" i="5"/>
  <c r="I19" i="5"/>
  <c r="I18" i="5"/>
  <c r="I17" i="5"/>
  <c r="I16" i="5"/>
  <c r="C23" i="5"/>
  <c r="C22" i="5"/>
  <c r="C21" i="5"/>
  <c r="C20" i="5"/>
  <c r="C19" i="5"/>
  <c r="C18" i="5"/>
  <c r="C17" i="5"/>
  <c r="C16" i="5"/>
  <c r="C15" i="5"/>
  <c r="C14" i="5"/>
  <c r="C13" i="5"/>
  <c r="C12" i="5"/>
  <c r="C11" i="5"/>
  <c r="E11" i="5"/>
  <c r="O4" i="68"/>
  <c r="C5" i="68"/>
  <c r="E12" i="5" s="1"/>
  <c r="O12" i="69"/>
  <c r="O13" i="69"/>
  <c r="O7" i="69"/>
  <c r="M23" i="6"/>
  <c r="M22" i="6"/>
  <c r="M21" i="6"/>
  <c r="M20" i="6"/>
  <c r="M19" i="6"/>
  <c r="M18" i="6"/>
  <c r="M17" i="6"/>
  <c r="M16" i="6"/>
  <c r="M15" i="6"/>
  <c r="M14" i="6"/>
  <c r="M13" i="6"/>
  <c r="M12" i="6"/>
  <c r="G44" i="6"/>
  <c r="G43" i="6"/>
  <c r="G42" i="6"/>
  <c r="G41" i="6"/>
  <c r="G40" i="6"/>
  <c r="G39" i="6"/>
  <c r="G38" i="6"/>
  <c r="G37" i="6"/>
  <c r="G36" i="6"/>
  <c r="G35" i="6"/>
  <c r="G34" i="6"/>
  <c r="G33" i="6"/>
  <c r="F23" i="6"/>
  <c r="F22" i="6"/>
  <c r="F21" i="6"/>
  <c r="F20" i="6"/>
  <c r="F19" i="6"/>
  <c r="F18" i="6"/>
  <c r="F17" i="6"/>
  <c r="F16" i="6"/>
  <c r="F15" i="6"/>
  <c r="F14" i="6"/>
  <c r="F13" i="6"/>
  <c r="F12" i="6"/>
  <c r="C12" i="6"/>
  <c r="C23" i="6"/>
  <c r="C22" i="6"/>
  <c r="C21" i="6"/>
  <c r="C20" i="6"/>
  <c r="C19" i="6"/>
  <c r="C18" i="6"/>
  <c r="C17" i="6"/>
  <c r="C16" i="6"/>
  <c r="C15" i="6"/>
  <c r="C14" i="6"/>
  <c r="C13" i="6"/>
  <c r="J23" i="5"/>
  <c r="J22" i="5"/>
  <c r="J21" i="5"/>
  <c r="J20" i="5"/>
  <c r="J19" i="5"/>
  <c r="J18" i="5"/>
  <c r="J17" i="5"/>
  <c r="J16" i="5"/>
  <c r="J15" i="5"/>
  <c r="J14" i="5"/>
  <c r="J13" i="5"/>
  <c r="J12" i="5"/>
  <c r="J11" i="5"/>
  <c r="I14" i="5"/>
  <c r="I13" i="5"/>
  <c r="I12" i="5"/>
  <c r="I11" i="5"/>
  <c r="H21" i="21"/>
  <c r="H18" i="21"/>
  <c r="H19" i="21"/>
  <c r="H20" i="21"/>
  <c r="O17" i="69" l="1"/>
  <c r="D5" i="68"/>
  <c r="E5" i="68" s="1"/>
  <c r="F5" i="68" s="1"/>
  <c r="G5" i="68" s="1"/>
  <c r="H5" i="68" s="1"/>
  <c r="I5" i="68" s="1"/>
  <c r="J5" i="68" s="1"/>
  <c r="K5" i="68" s="1"/>
  <c r="L5" i="68" s="1"/>
  <c r="M5" i="68" s="1"/>
  <c r="N5" i="68" s="1"/>
  <c r="E23" i="5" s="1"/>
  <c r="E14" i="5"/>
  <c r="E20" i="5"/>
  <c r="J87" i="26"/>
  <c r="J89" i="26" s="1"/>
  <c r="J88" i="26" s="1"/>
  <c r="J10" i="26"/>
  <c r="J11" i="26" s="1"/>
  <c r="J12" i="26" s="1"/>
  <c r="J13" i="26" s="1"/>
  <c r="J14" i="26" s="1"/>
  <c r="J15" i="26" s="1"/>
  <c r="J16" i="26" s="1"/>
  <c r="J17" i="26" s="1"/>
  <c r="J18" i="26" s="1"/>
  <c r="J19" i="26" s="1"/>
  <c r="J20" i="26" s="1"/>
  <c r="J21" i="26" s="1"/>
  <c r="J22" i="26" s="1"/>
  <c r="F29" i="72"/>
  <c r="J28" i="26"/>
  <c r="J90" i="26"/>
  <c r="M24" i="6"/>
  <c r="K66" i="2" s="1"/>
  <c r="E19" i="16"/>
  <c r="E23" i="16" s="1"/>
  <c r="C24" i="5"/>
  <c r="D64" i="1" s="1"/>
  <c r="I24" i="5"/>
  <c r="D72" i="1" s="1"/>
  <c r="J24" i="5"/>
  <c r="D74" i="1" s="1"/>
  <c r="I74" i="1" s="1"/>
  <c r="H10" i="7"/>
  <c r="G11" i="7"/>
  <c r="G12" i="7"/>
  <c r="G13" i="7"/>
  <c r="G14" i="7"/>
  <c r="G8" i="7"/>
  <c r="H24" i="5"/>
  <c r="D103" i="1"/>
  <c r="H14" i="7"/>
  <c r="I104" i="26"/>
  <c r="H8" i="7"/>
  <c r="G24" i="6"/>
  <c r="D123" i="1"/>
  <c r="H24" i="6"/>
  <c r="D124" i="1"/>
  <c r="I24" i="6"/>
  <c r="D126" i="1"/>
  <c r="J24" i="6"/>
  <c r="D129" i="1"/>
  <c r="I129" i="1"/>
  <c r="K24" i="6"/>
  <c r="D131" i="1"/>
  <c r="I131" i="1" s="1"/>
  <c r="L24" i="6"/>
  <c r="D132" i="1" s="1"/>
  <c r="G195" i="1"/>
  <c r="A4" i="13"/>
  <c r="C3" i="17"/>
  <c r="I3" i="7"/>
  <c r="G48" i="6"/>
  <c r="G3" i="6"/>
  <c r="B1" i="26"/>
  <c r="F49" i="5"/>
  <c r="G3" i="5"/>
  <c r="E7" i="21"/>
  <c r="F5" i="16"/>
  <c r="G57" i="2"/>
  <c r="G7" i="2"/>
  <c r="D238" i="1"/>
  <c r="D179" i="1"/>
  <c r="D113" i="1"/>
  <c r="D56" i="1"/>
  <c r="D115" i="26"/>
  <c r="D114" i="26"/>
  <c r="D113" i="26"/>
  <c r="D112" i="26"/>
  <c r="D111" i="26"/>
  <c r="D110" i="26"/>
  <c r="D109" i="26"/>
  <c r="D108" i="26"/>
  <c r="D107" i="26"/>
  <c r="D106" i="26"/>
  <c r="D105" i="26"/>
  <c r="D104" i="26"/>
  <c r="D84" i="26"/>
  <c r="D83" i="26"/>
  <c r="D82" i="26"/>
  <c r="D81" i="26"/>
  <c r="D80" i="26"/>
  <c r="D79" i="26"/>
  <c r="D78" i="26"/>
  <c r="D77" i="26"/>
  <c r="D76" i="26"/>
  <c r="D75" i="26"/>
  <c r="D73" i="26"/>
  <c r="C74" i="26"/>
  <c r="D74" i="26"/>
  <c r="D53" i="26"/>
  <c r="D52" i="26"/>
  <c r="D51" i="26"/>
  <c r="D50" i="26"/>
  <c r="D49" i="26"/>
  <c r="D48" i="26"/>
  <c r="D47" i="26"/>
  <c r="D46" i="26"/>
  <c r="D45" i="26"/>
  <c r="D44" i="26"/>
  <c r="D42" i="26"/>
  <c r="D54" i="26"/>
  <c r="E42" i="26"/>
  <c r="F42" i="26"/>
  <c r="I42" i="26"/>
  <c r="J42" i="26"/>
  <c r="C43" i="26"/>
  <c r="D43" i="26"/>
  <c r="D22" i="26"/>
  <c r="D21" i="26"/>
  <c r="D20" i="26"/>
  <c r="D19" i="26"/>
  <c r="D18" i="26"/>
  <c r="D17" i="26"/>
  <c r="D16" i="26"/>
  <c r="D15" i="26"/>
  <c r="D14" i="26"/>
  <c r="D13" i="26"/>
  <c r="D12" i="26"/>
  <c r="D11" i="26"/>
  <c r="G212" i="1"/>
  <c r="H14" i="16" s="1"/>
  <c r="J14" i="16" s="1"/>
  <c r="J15" i="16" s="1"/>
  <c r="D11" i="17"/>
  <c r="D13" i="17"/>
  <c r="I44" i="5"/>
  <c r="D91" i="1"/>
  <c r="E44" i="5"/>
  <c r="D87" i="1"/>
  <c r="D44" i="5"/>
  <c r="L45" i="6"/>
  <c r="D161" i="1"/>
  <c r="K45" i="6"/>
  <c r="J45" i="6"/>
  <c r="I45" i="6"/>
  <c r="D150" i="1"/>
  <c r="H45" i="6"/>
  <c r="D149" i="1"/>
  <c r="E45" i="6"/>
  <c r="D145" i="1"/>
  <c r="D45" i="6"/>
  <c r="C45" i="6"/>
  <c r="D138" i="1"/>
  <c r="F45" i="6"/>
  <c r="D146" i="1"/>
  <c r="C44" i="5"/>
  <c r="D94" i="1"/>
  <c r="I94" i="1"/>
  <c r="A56" i="6"/>
  <c r="A57" i="6"/>
  <c r="A58" i="6"/>
  <c r="A59" i="6"/>
  <c r="A60" i="6"/>
  <c r="A61" i="6"/>
  <c r="A62" i="6"/>
  <c r="A63" i="6"/>
  <c r="A64" i="6"/>
  <c r="A65" i="6"/>
  <c r="A66" i="6"/>
  <c r="A67" i="6"/>
  <c r="A68" i="6"/>
  <c r="A69" i="6"/>
  <c r="A70" i="6"/>
  <c r="A73" i="6"/>
  <c r="A75" i="6"/>
  <c r="A77" i="6"/>
  <c r="A78" i="6"/>
  <c r="A79" i="6"/>
  <c r="A80" i="6"/>
  <c r="A85" i="6"/>
  <c r="A86" i="6"/>
  <c r="A87" i="6"/>
  <c r="A88" i="6"/>
  <c r="G10" i="7"/>
  <c r="G9" i="7"/>
  <c r="H13" i="7"/>
  <c r="H12" i="7"/>
  <c r="H11" i="7"/>
  <c r="H17" i="7"/>
  <c r="H9" i="7"/>
  <c r="D34" i="13"/>
  <c r="D33" i="13"/>
  <c r="A31" i="13"/>
  <c r="A32" i="13"/>
  <c r="A33" i="13"/>
  <c r="A34" i="13"/>
  <c r="A35" i="13"/>
  <c r="A36" i="13"/>
  <c r="A10" i="13"/>
  <c r="A11" i="13"/>
  <c r="A12" i="13"/>
  <c r="A13" i="13"/>
  <c r="A14" i="13"/>
  <c r="A15" i="13"/>
  <c r="A16" i="13"/>
  <c r="A17" i="13"/>
  <c r="A20" i="13"/>
  <c r="A21" i="13"/>
  <c r="A22" i="13"/>
  <c r="A23" i="13"/>
  <c r="A24" i="13"/>
  <c r="A25" i="13"/>
  <c r="A26" i="13"/>
  <c r="A27" i="13"/>
  <c r="A9" i="13"/>
  <c r="H43" i="26"/>
  <c r="B60" i="26"/>
  <c r="J58" i="26"/>
  <c r="J57" i="26"/>
  <c r="B122" i="26"/>
  <c r="B91" i="26"/>
  <c r="B29" i="26"/>
  <c r="A6" i="26"/>
  <c r="A8" i="26"/>
  <c r="A9" i="26"/>
  <c r="A10" i="26"/>
  <c r="G211" i="1"/>
  <c r="D211" i="1"/>
  <c r="J80" i="6"/>
  <c r="G68" i="6"/>
  <c r="F68" i="6"/>
  <c r="I226" i="1"/>
  <c r="E68" i="6"/>
  <c r="I225" i="1"/>
  <c r="I227" i="1"/>
  <c r="D15" i="1"/>
  <c r="D68" i="6"/>
  <c r="I222" i="1"/>
  <c r="D14" i="1"/>
  <c r="C68" i="6"/>
  <c r="I219" i="1"/>
  <c r="I220" i="1"/>
  <c r="F54" i="6"/>
  <c r="F30" i="6"/>
  <c r="G30" i="6"/>
  <c r="H30" i="6"/>
  <c r="I30" i="6"/>
  <c r="J30" i="6"/>
  <c r="H9" i="6"/>
  <c r="I9" i="6"/>
  <c r="E59" i="21"/>
  <c r="B57" i="21"/>
  <c r="G39" i="21"/>
  <c r="D39" i="21"/>
  <c r="E36" i="21" s="1"/>
  <c r="H37" i="21"/>
  <c r="H36" i="21"/>
  <c r="H35" i="21"/>
  <c r="H34" i="21"/>
  <c r="H33" i="21"/>
  <c r="H32" i="21"/>
  <c r="H31" i="21"/>
  <c r="H30" i="21"/>
  <c r="H29" i="21"/>
  <c r="H28" i="21"/>
  <c r="H27" i="21"/>
  <c r="H26" i="21"/>
  <c r="H25" i="21"/>
  <c r="H24" i="21"/>
  <c r="H23" i="21"/>
  <c r="H22" i="21"/>
  <c r="I79" i="1"/>
  <c r="D59" i="5"/>
  <c r="I58" i="5"/>
  <c r="I54" i="5"/>
  <c r="I53" i="5"/>
  <c r="I59" i="5"/>
  <c r="D92" i="1"/>
  <c r="G92" i="1"/>
  <c r="I92" i="1"/>
  <c r="G56" i="2"/>
  <c r="G55" i="2"/>
  <c r="J12" i="16"/>
  <c r="E15" i="16"/>
  <c r="J13" i="16"/>
  <c r="A9" i="16"/>
  <c r="A12" i="16"/>
  <c r="A13" i="16"/>
  <c r="A14" i="16"/>
  <c r="A15" i="16"/>
  <c r="A16" i="16"/>
  <c r="A18" i="16"/>
  <c r="A19" i="16"/>
  <c r="D125" i="1"/>
  <c r="S85" i="2"/>
  <c r="P86" i="2"/>
  <c r="D16" i="1"/>
  <c r="I34" i="2"/>
  <c r="L34" i="2" s="1"/>
  <c r="D140" i="1"/>
  <c r="I140" i="1"/>
  <c r="E24" i="6"/>
  <c r="D121" i="1"/>
  <c r="D24" i="6"/>
  <c r="D120" i="1"/>
  <c r="D160" i="1"/>
  <c r="E24" i="16"/>
  <c r="D151" i="1"/>
  <c r="F129" i="1"/>
  <c r="G209" i="1"/>
  <c r="D95" i="1"/>
  <c r="I95" i="1"/>
  <c r="G24" i="5"/>
  <c r="D102" i="1" s="1"/>
  <c r="F24" i="5"/>
  <c r="D98" i="1" s="1"/>
  <c r="D24" i="5"/>
  <c r="D66" i="1"/>
  <c r="I66" i="1"/>
  <c r="C154" i="1"/>
  <c r="F120" i="1"/>
  <c r="F121" i="1"/>
  <c r="D199" i="1"/>
  <c r="A187" i="1"/>
  <c r="A188" i="1"/>
  <c r="A189" i="1"/>
  <c r="A191" i="1"/>
  <c r="A193" i="1"/>
  <c r="A195" i="1"/>
  <c r="A196" i="1"/>
  <c r="A197" i="1"/>
  <c r="A198" i="1"/>
  <c r="A199" i="1"/>
  <c r="A201" i="1"/>
  <c r="A202" i="1"/>
  <c r="A203" i="1"/>
  <c r="A204" i="1"/>
  <c r="A205" i="1"/>
  <c r="A207" i="1"/>
  <c r="A208" i="1"/>
  <c r="A209" i="1"/>
  <c r="A210" i="1"/>
  <c r="A211" i="1"/>
  <c r="A212" i="1"/>
  <c r="A213" i="1"/>
  <c r="A215" i="1"/>
  <c r="A217" i="1"/>
  <c r="A218" i="1"/>
  <c r="A219" i="1"/>
  <c r="A220" i="1"/>
  <c r="A222" i="1"/>
  <c r="A120" i="1"/>
  <c r="A121" i="1"/>
  <c r="A122" i="1"/>
  <c r="A123" i="1"/>
  <c r="A124" i="1"/>
  <c r="A126" i="1"/>
  <c r="A128" i="1"/>
  <c r="A129" i="1"/>
  <c r="A130" i="1"/>
  <c r="A131" i="1"/>
  <c r="A132" i="1"/>
  <c r="A133" i="1"/>
  <c r="A134" i="1"/>
  <c r="A136" i="1"/>
  <c r="A137" i="1"/>
  <c r="A138" i="1"/>
  <c r="A139" i="1"/>
  <c r="A140" i="1"/>
  <c r="A141" i="1"/>
  <c r="A143" i="1"/>
  <c r="A144" i="1"/>
  <c r="A145" i="1"/>
  <c r="A146" i="1"/>
  <c r="A147" i="1"/>
  <c r="A148" i="1"/>
  <c r="A149" i="1"/>
  <c r="A150" i="1"/>
  <c r="A151" i="1"/>
  <c r="A152" i="1"/>
  <c r="A154" i="1"/>
  <c r="A155" i="1"/>
  <c r="A14" i="1"/>
  <c r="A15" i="1"/>
  <c r="A16" i="1"/>
  <c r="A17" i="1"/>
  <c r="A18" i="1"/>
  <c r="A19" i="1"/>
  <c r="A21" i="1"/>
  <c r="A23" i="1"/>
  <c r="A25" i="1"/>
  <c r="A64" i="1"/>
  <c r="A65" i="1"/>
  <c r="A66" i="1"/>
  <c r="A67" i="1"/>
  <c r="A68" i="1"/>
  <c r="A70" i="1"/>
  <c r="A71" i="1"/>
  <c r="F94" i="1"/>
  <c r="F93" i="1"/>
  <c r="G198" i="1"/>
  <c r="G197" i="1"/>
  <c r="D83" i="1"/>
  <c r="D81" i="1"/>
  <c r="D79" i="1"/>
  <c r="G73" i="1"/>
  <c r="I73" i="1"/>
  <c r="I81" i="1"/>
  <c r="K111" i="1"/>
  <c r="K177" i="1"/>
  <c r="K236" i="1"/>
  <c r="K54" i="1"/>
  <c r="D127" i="1"/>
  <c r="I203" i="1"/>
  <c r="G66" i="1"/>
  <c r="G74" i="1"/>
  <c r="G122" i="1"/>
  <c r="H44" i="26"/>
  <c r="H45" i="26"/>
  <c r="D85" i="26"/>
  <c r="E73" i="26"/>
  <c r="F73" i="26"/>
  <c r="D116" i="26"/>
  <c r="E104" i="26"/>
  <c r="F104" i="26"/>
  <c r="D23" i="26"/>
  <c r="E12" i="26"/>
  <c r="F12" i="26"/>
  <c r="E19" i="26"/>
  <c r="F19" i="26"/>
  <c r="E106" i="26"/>
  <c r="F106" i="26"/>
  <c r="E16" i="26"/>
  <c r="F16" i="26"/>
  <c r="E108" i="26"/>
  <c r="F108" i="26"/>
  <c r="E79" i="26"/>
  <c r="F79" i="26"/>
  <c r="E80" i="26"/>
  <c r="F80" i="26"/>
  <c r="E13" i="26"/>
  <c r="F13" i="26"/>
  <c r="E50" i="26"/>
  <c r="F50" i="26"/>
  <c r="E49" i="26"/>
  <c r="F49" i="26"/>
  <c r="E114" i="26"/>
  <c r="F114" i="26"/>
  <c r="E22" i="26"/>
  <c r="F22" i="26"/>
  <c r="E105" i="26"/>
  <c r="F105" i="26"/>
  <c r="E17" i="26"/>
  <c r="F17" i="26"/>
  <c r="E43" i="26"/>
  <c r="F43" i="26"/>
  <c r="I43" i="26"/>
  <c r="J43" i="26"/>
  <c r="E53" i="26"/>
  <c r="E52" i="26"/>
  <c r="F52" i="26"/>
  <c r="E21" i="26"/>
  <c r="F21" i="26"/>
  <c r="E46" i="26"/>
  <c r="F46" i="26"/>
  <c r="E82" i="26"/>
  <c r="F82" i="26"/>
  <c r="E78" i="26"/>
  <c r="F78" i="26"/>
  <c r="E84" i="26"/>
  <c r="F84" i="26"/>
  <c r="E11" i="26"/>
  <c r="F11" i="26"/>
  <c r="E112" i="26"/>
  <c r="F112" i="26"/>
  <c r="E107" i="26"/>
  <c r="F107" i="26"/>
  <c r="E111" i="26"/>
  <c r="F111" i="26"/>
  <c r="E115" i="26"/>
  <c r="F115" i="26"/>
  <c r="E18" i="26"/>
  <c r="F18" i="26"/>
  <c r="E75" i="26"/>
  <c r="F75" i="26"/>
  <c r="H23" i="26"/>
  <c r="I23" i="26"/>
  <c r="H46" i="26"/>
  <c r="F53" i="26"/>
  <c r="A20" i="16"/>
  <c r="B23" i="16"/>
  <c r="F27" i="26"/>
  <c r="A11" i="26"/>
  <c r="A12" i="26"/>
  <c r="A13" i="26"/>
  <c r="A14" i="26"/>
  <c r="A15" i="26"/>
  <c r="A16" i="26"/>
  <c r="A17" i="26"/>
  <c r="A18" i="26"/>
  <c r="A19" i="26"/>
  <c r="A20" i="26"/>
  <c r="A21" i="26"/>
  <c r="A22" i="26"/>
  <c r="E51" i="26"/>
  <c r="F51" i="26"/>
  <c r="E47" i="26"/>
  <c r="F47" i="26"/>
  <c r="E109" i="26"/>
  <c r="F109" i="26"/>
  <c r="E110" i="26"/>
  <c r="F110" i="26"/>
  <c r="E81" i="26"/>
  <c r="F81" i="26"/>
  <c r="E83" i="26"/>
  <c r="F83" i="26"/>
  <c r="E44" i="26"/>
  <c r="F44" i="26"/>
  <c r="I44" i="26"/>
  <c r="J44" i="26"/>
  <c r="E48" i="26"/>
  <c r="F48" i="26"/>
  <c r="E15" i="26"/>
  <c r="F15" i="26"/>
  <c r="E20" i="26"/>
  <c r="F20" i="26"/>
  <c r="E45" i="26"/>
  <c r="F45" i="26"/>
  <c r="I45" i="26"/>
  <c r="J45" i="26"/>
  <c r="E113" i="26"/>
  <c r="F113" i="26"/>
  <c r="E74" i="26"/>
  <c r="F74" i="26"/>
  <c r="E76" i="26"/>
  <c r="F76" i="26"/>
  <c r="E14" i="26"/>
  <c r="F14" i="26"/>
  <c r="E77" i="26"/>
  <c r="F77" i="26"/>
  <c r="H47" i="26"/>
  <c r="I46" i="26"/>
  <c r="J46" i="26"/>
  <c r="I114" i="26"/>
  <c r="I106" i="26"/>
  <c r="I113" i="26"/>
  <c r="I105" i="26"/>
  <c r="I110" i="26"/>
  <c r="I112" i="26"/>
  <c r="I111" i="26"/>
  <c r="I109" i="26"/>
  <c r="I115" i="26"/>
  <c r="I107" i="26"/>
  <c r="I108" i="26"/>
  <c r="A23" i="26"/>
  <c r="A25" i="26"/>
  <c r="F30" i="26"/>
  <c r="A21" i="16"/>
  <c r="A22" i="16"/>
  <c r="A23" i="16"/>
  <c r="B27" i="16"/>
  <c r="H48" i="26"/>
  <c r="I47" i="26"/>
  <c r="J47" i="26"/>
  <c r="A24" i="16"/>
  <c r="A25" i="16"/>
  <c r="A26" i="16"/>
  <c r="A27" i="16"/>
  <c r="B29" i="16"/>
  <c r="B30" i="16"/>
  <c r="B28" i="16"/>
  <c r="F26" i="26"/>
  <c r="A26" i="26"/>
  <c r="A27" i="26"/>
  <c r="A28" i="26"/>
  <c r="H116" i="26"/>
  <c r="H49" i="26"/>
  <c r="I48" i="26"/>
  <c r="A28" i="16"/>
  <c r="A29" i="16"/>
  <c r="A30" i="16"/>
  <c r="A31" i="16"/>
  <c r="A33" i="16"/>
  <c r="A35" i="16"/>
  <c r="A36" i="16"/>
  <c r="A37" i="16"/>
  <c r="A38" i="16"/>
  <c r="A39" i="16"/>
  <c r="A40" i="16"/>
  <c r="B31" i="16"/>
  <c r="A29" i="26"/>
  <c r="A30" i="26"/>
  <c r="A31" i="26"/>
  <c r="J48" i="26"/>
  <c r="A32" i="26"/>
  <c r="A33" i="26"/>
  <c r="A36" i="26"/>
  <c r="A37" i="26"/>
  <c r="A39" i="26"/>
  <c r="A40" i="26"/>
  <c r="A41" i="26"/>
  <c r="I49" i="26"/>
  <c r="J49" i="26"/>
  <c r="H50" i="26"/>
  <c r="F29" i="26"/>
  <c r="A42" i="26"/>
  <c r="A43" i="26"/>
  <c r="A44" i="26"/>
  <c r="A45" i="26"/>
  <c r="A46" i="26"/>
  <c r="A47" i="26"/>
  <c r="A48" i="26"/>
  <c r="A49" i="26"/>
  <c r="A50" i="26"/>
  <c r="A51" i="26"/>
  <c r="A52" i="26"/>
  <c r="A53" i="26"/>
  <c r="F58" i="26"/>
  <c r="F33" i="26"/>
  <c r="I50" i="26"/>
  <c r="J50" i="26"/>
  <c r="H51" i="26"/>
  <c r="I51" i="26"/>
  <c r="J51" i="26"/>
  <c r="H52" i="26"/>
  <c r="A54" i="26"/>
  <c r="A56" i="26"/>
  <c r="F61" i="26"/>
  <c r="H53" i="26"/>
  <c r="I52" i="26"/>
  <c r="J52" i="26"/>
  <c r="A57" i="26"/>
  <c r="A58" i="26"/>
  <c r="A59" i="26"/>
  <c r="F57" i="26"/>
  <c r="A60" i="26"/>
  <c r="A61" i="26"/>
  <c r="A62" i="26"/>
  <c r="F60" i="26"/>
  <c r="I53" i="26"/>
  <c r="H54" i="26"/>
  <c r="J53" i="26"/>
  <c r="I54" i="26"/>
  <c r="F64" i="26"/>
  <c r="A63" i="26"/>
  <c r="A64" i="26"/>
  <c r="A67" i="26"/>
  <c r="A68" i="26"/>
  <c r="A70" i="26"/>
  <c r="A71" i="26"/>
  <c r="A72" i="26"/>
  <c r="J61" i="26"/>
  <c r="J60" i="26"/>
  <c r="J62" i="26"/>
  <c r="J64" i="26"/>
  <c r="F89" i="26"/>
  <c r="A73" i="26"/>
  <c r="A74" i="26"/>
  <c r="A75" i="26"/>
  <c r="A76" i="26"/>
  <c r="A77" i="26"/>
  <c r="A78" i="26"/>
  <c r="A79" i="26"/>
  <c r="A80" i="26"/>
  <c r="A81" i="26"/>
  <c r="A82" i="26"/>
  <c r="A83" i="26"/>
  <c r="A84" i="26"/>
  <c r="A85" i="26"/>
  <c r="A87" i="26"/>
  <c r="F92" i="26"/>
  <c r="A88" i="26"/>
  <c r="A89" i="26"/>
  <c r="A90" i="26"/>
  <c r="F88" i="26"/>
  <c r="A91" i="26"/>
  <c r="A92" i="26"/>
  <c r="A93" i="26"/>
  <c r="F91" i="26"/>
  <c r="A94" i="26"/>
  <c r="A95" i="26"/>
  <c r="A98" i="26"/>
  <c r="A99" i="26"/>
  <c r="A101" i="26"/>
  <c r="A102" i="26"/>
  <c r="A103" i="26"/>
  <c r="F95" i="26"/>
  <c r="A104" i="26"/>
  <c r="A105" i="26"/>
  <c r="A106" i="26"/>
  <c r="A107" i="26"/>
  <c r="A108" i="26"/>
  <c r="A109" i="26"/>
  <c r="A110" i="26"/>
  <c r="A111" i="26"/>
  <c r="A112" i="26"/>
  <c r="A113" i="26"/>
  <c r="A114" i="26"/>
  <c r="A115" i="26"/>
  <c r="F120" i="26"/>
  <c r="A116" i="26"/>
  <c r="A118" i="26"/>
  <c r="F123" i="26"/>
  <c r="A119" i="26"/>
  <c r="A120" i="26"/>
  <c r="A121" i="26"/>
  <c r="F119" i="26"/>
  <c r="A122" i="26"/>
  <c r="A123" i="26"/>
  <c r="A124" i="26"/>
  <c r="A125" i="26"/>
  <c r="A126" i="26"/>
  <c r="F126" i="26"/>
  <c r="F122" i="26"/>
  <c r="I116" i="26"/>
  <c r="G17" i="7"/>
  <c r="E35" i="21"/>
  <c r="G123" i="1"/>
  <c r="I123" i="1"/>
  <c r="G138" i="1"/>
  <c r="D19" i="1"/>
  <c r="C14" i="1"/>
  <c r="A224" i="1"/>
  <c r="A225" i="1"/>
  <c r="A226" i="1"/>
  <c r="A227" i="1"/>
  <c r="C15" i="1"/>
  <c r="A156" i="1"/>
  <c r="A157" i="1"/>
  <c r="A158" i="1"/>
  <c r="A159" i="1"/>
  <c r="A160" i="1"/>
  <c r="A161" i="1"/>
  <c r="A162" i="1"/>
  <c r="A163" i="1"/>
  <c r="A164" i="1"/>
  <c r="A165" i="1"/>
  <c r="A166" i="1"/>
  <c r="A167" i="1"/>
  <c r="A169" i="1"/>
  <c r="A172" i="1"/>
  <c r="B159" i="1"/>
  <c r="C79" i="1"/>
  <c r="A72" i="1"/>
  <c r="A73" i="1"/>
  <c r="E25" i="16"/>
  <c r="J104" i="26"/>
  <c r="J105" i="26" s="1"/>
  <c r="J106" i="26" s="1"/>
  <c r="J107" i="26" s="1"/>
  <c r="J108" i="26" s="1"/>
  <c r="J109" i="26" s="1"/>
  <c r="J110" i="26" s="1"/>
  <c r="J111" i="26" s="1"/>
  <c r="J112" i="26" s="1"/>
  <c r="J113" i="26" s="1"/>
  <c r="J114" i="26" s="1"/>
  <c r="J115" i="26" s="1"/>
  <c r="J120" i="26"/>
  <c r="J119" i="26" s="1"/>
  <c r="J41" i="21"/>
  <c r="P33" i="7"/>
  <c r="G124" i="1"/>
  <c r="I138" i="1"/>
  <c r="G145" i="1"/>
  <c r="A74" i="1"/>
  <c r="A75" i="1"/>
  <c r="C81" i="1"/>
  <c r="I124" i="1"/>
  <c r="G125" i="1"/>
  <c r="Q33" i="7"/>
  <c r="P34" i="7"/>
  <c r="J28" i="21"/>
  <c r="K28" i="21"/>
  <c r="J22" i="21"/>
  <c r="K22" i="21"/>
  <c r="J31" i="21"/>
  <c r="K31" i="21"/>
  <c r="J29" i="21"/>
  <c r="K29" i="21"/>
  <c r="J33" i="21"/>
  <c r="K33" i="21"/>
  <c r="J37" i="21"/>
  <c r="K37" i="21"/>
  <c r="J20" i="21"/>
  <c r="K20" i="21" s="1"/>
  <c r="R68" i="2" s="1"/>
  <c r="J35" i="21"/>
  <c r="K35" i="21"/>
  <c r="J23" i="21"/>
  <c r="K23" i="21"/>
  <c r="J30" i="21"/>
  <c r="K30" i="21"/>
  <c r="J26" i="21"/>
  <c r="K26" i="21"/>
  <c r="J19" i="21"/>
  <c r="K19" i="21" s="1"/>
  <c r="R67" i="2" s="1"/>
  <c r="J27" i="21"/>
  <c r="K27" i="21"/>
  <c r="J32" i="21"/>
  <c r="K32" i="21"/>
  <c r="J34" i="21"/>
  <c r="K34" i="21"/>
  <c r="J24" i="21"/>
  <c r="K24" i="21"/>
  <c r="J25" i="21"/>
  <c r="K25" i="21"/>
  <c r="J36" i="21"/>
  <c r="K36" i="21"/>
  <c r="I145" i="1"/>
  <c r="G146" i="1"/>
  <c r="I146" i="1"/>
  <c r="G127" i="1"/>
  <c r="I127" i="1"/>
  <c r="I125" i="1"/>
  <c r="A76" i="1"/>
  <c r="A78" i="1"/>
  <c r="A79" i="1"/>
  <c r="A80" i="1"/>
  <c r="A81" i="1"/>
  <c r="A82" i="1"/>
  <c r="A83" i="1"/>
  <c r="A84" i="1"/>
  <c r="A86" i="1"/>
  <c r="A87" i="1"/>
  <c r="A88" i="1"/>
  <c r="A89" i="1"/>
  <c r="A90" i="1"/>
  <c r="A91" i="1"/>
  <c r="A93" i="1"/>
  <c r="A94" i="1"/>
  <c r="A95" i="1"/>
  <c r="A96" i="1"/>
  <c r="A98" i="1"/>
  <c r="A100" i="1"/>
  <c r="A101" i="1"/>
  <c r="A102" i="1"/>
  <c r="A103" i="1"/>
  <c r="A104" i="1"/>
  <c r="A106" i="1"/>
  <c r="C83" i="1"/>
  <c r="Q34" i="7"/>
  <c r="P35" i="7"/>
  <c r="P36" i="7"/>
  <c r="Q35" i="7"/>
  <c r="P37" i="7"/>
  <c r="Q36" i="7"/>
  <c r="Q37" i="7"/>
  <c r="P38" i="7"/>
  <c r="Q38" i="7"/>
  <c r="P39" i="7"/>
  <c r="Q39" i="7"/>
  <c r="P40" i="7"/>
  <c r="Q40" i="7"/>
  <c r="P41" i="7"/>
  <c r="P42" i="7"/>
  <c r="Q41" i="7"/>
  <c r="P43" i="7"/>
  <c r="Q42" i="7"/>
  <c r="P44" i="7"/>
  <c r="Q43" i="7"/>
  <c r="Q44" i="7"/>
  <c r="P45" i="7"/>
  <c r="P46" i="7"/>
  <c r="Q45" i="7"/>
  <c r="P47" i="7"/>
  <c r="Q46" i="7"/>
  <c r="Q47" i="7"/>
  <c r="P48" i="7"/>
  <c r="P49" i="7"/>
  <c r="Q48" i="7"/>
  <c r="Q49" i="7"/>
  <c r="P50" i="7"/>
  <c r="Q50" i="7"/>
  <c r="P51" i="7"/>
  <c r="Q51" i="7"/>
  <c r="G45" i="6"/>
  <c r="D148" i="1" s="1"/>
  <c r="D152" i="1" s="1"/>
  <c r="C24" i="6"/>
  <c r="D119" i="1" s="1"/>
  <c r="F24" i="6"/>
  <c r="D122" i="1" s="1"/>
  <c r="I122" i="1" s="1"/>
  <c r="J21" i="21"/>
  <c r="K21" i="21"/>
  <c r="R69" i="2" s="1"/>
  <c r="D212" i="1"/>
  <c r="D210" i="1"/>
  <c r="F88" i="6"/>
  <c r="D213" i="1" s="1"/>
  <c r="E23" i="21"/>
  <c r="G210" i="1"/>
  <c r="J27" i="26" l="1"/>
  <c r="E19" i="5"/>
  <c r="E18" i="5"/>
  <c r="E17" i="5"/>
  <c r="E16" i="5"/>
  <c r="E15" i="5"/>
  <c r="E21" i="5"/>
  <c r="E13" i="5"/>
  <c r="E22" i="5"/>
  <c r="D137" i="1"/>
  <c r="D141" i="1" s="1"/>
  <c r="J26" i="26"/>
  <c r="M45" i="6"/>
  <c r="D162" i="1" s="1"/>
  <c r="E26" i="16" s="1"/>
  <c r="E30" i="16" s="1"/>
  <c r="D82" i="1"/>
  <c r="I82" i="1"/>
  <c r="H67" i="2"/>
  <c r="E67" i="2"/>
  <c r="E66" i="2"/>
  <c r="J123" i="26"/>
  <c r="J122" i="26" s="1"/>
  <c r="J124" i="26" s="1"/>
  <c r="J126" i="26" s="1"/>
  <c r="G44" i="5" s="1"/>
  <c r="D89" i="1" s="1"/>
  <c r="J30" i="26"/>
  <c r="D155" i="1"/>
  <c r="D159" i="1" s="1"/>
  <c r="E28" i="16"/>
  <c r="E29" i="16"/>
  <c r="G86" i="6"/>
  <c r="G85" i="6"/>
  <c r="G87" i="6"/>
  <c r="K85" i="6"/>
  <c r="I77" i="26"/>
  <c r="I81" i="26"/>
  <c r="I74" i="26"/>
  <c r="I78" i="26"/>
  <c r="I82" i="26"/>
  <c r="I75" i="26"/>
  <c r="I79" i="26"/>
  <c r="I83" i="26"/>
  <c r="I76" i="26"/>
  <c r="I80" i="26"/>
  <c r="I84" i="26"/>
  <c r="D133" i="1"/>
  <c r="D134" i="1" s="1"/>
  <c r="D101" i="1" s="1"/>
  <c r="D104" i="1" s="1"/>
  <c r="K67" i="2"/>
  <c r="D76" i="1"/>
  <c r="I186" i="1"/>
  <c r="D80" i="1"/>
  <c r="D68" i="1"/>
  <c r="H66" i="2"/>
  <c r="E33" i="21"/>
  <c r="E37" i="21"/>
  <c r="E34" i="21"/>
  <c r="E20" i="21"/>
  <c r="E18" i="21"/>
  <c r="E27" i="21"/>
  <c r="E24" i="21"/>
  <c r="E25" i="21"/>
  <c r="E31" i="21"/>
  <c r="E21" i="21"/>
  <c r="E28" i="21"/>
  <c r="E30" i="21"/>
  <c r="E26" i="21"/>
  <c r="E22" i="21"/>
  <c r="E32" i="21"/>
  <c r="E29" i="21"/>
  <c r="E19" i="21"/>
  <c r="E20" i="16"/>
  <c r="J29" i="26" l="1"/>
  <c r="J31" i="26" s="1"/>
  <c r="J33" i="26" s="1"/>
  <c r="H44" i="5" s="1"/>
  <c r="D90" i="1" s="1"/>
  <c r="D166" i="1"/>
  <c r="E24" i="5"/>
  <c r="D93" i="1" s="1"/>
  <c r="I93" i="1" s="1"/>
  <c r="D165" i="1"/>
  <c r="D164" i="1"/>
  <c r="K86" i="6"/>
  <c r="I211" i="1" s="1"/>
  <c r="E211" i="1"/>
  <c r="K87" i="6"/>
  <c r="I212" i="1" s="1"/>
  <c r="E212" i="1"/>
  <c r="E210" i="1"/>
  <c r="K88" i="6"/>
  <c r="I213" i="1" s="1"/>
  <c r="I210" i="1"/>
  <c r="D156" i="1" s="1"/>
  <c r="I73" i="26"/>
  <c r="H85" i="26"/>
  <c r="D84" i="1"/>
  <c r="D202" i="1"/>
  <c r="D205" i="1" s="1"/>
  <c r="G203" i="1" s="1"/>
  <c r="K203" i="1" s="1"/>
  <c r="G67" i="1" s="1"/>
  <c r="I189" i="1"/>
  <c r="I191" i="1" s="1"/>
  <c r="E39" i="21"/>
  <c r="H69" i="2" l="1"/>
  <c r="H68" i="2"/>
  <c r="J73" i="26"/>
  <c r="J74" i="26" s="1"/>
  <c r="J75" i="26" s="1"/>
  <c r="J76" i="26" s="1"/>
  <c r="J77" i="26" s="1"/>
  <c r="J78" i="26" s="1"/>
  <c r="J79" i="26" s="1"/>
  <c r="J80" i="26" s="1"/>
  <c r="J81" i="26" s="1"/>
  <c r="J82" i="26" s="1"/>
  <c r="J83" i="26" s="1"/>
  <c r="J84" i="26" s="1"/>
  <c r="I85" i="26"/>
  <c r="G119" i="1"/>
  <c r="E196" i="1"/>
  <c r="G196" i="1" s="1"/>
  <c r="G199" i="1" s="1"/>
  <c r="G14" i="1"/>
  <c r="G64" i="1"/>
  <c r="I67" i="1"/>
  <c r="G75" i="1"/>
  <c r="F39" i="21"/>
  <c r="J92" i="26" l="1"/>
  <c r="J91" i="26" s="1"/>
  <c r="J93" i="26" s="1"/>
  <c r="J95" i="26" s="1"/>
  <c r="F44" i="5" s="1"/>
  <c r="D88" i="1" s="1"/>
  <c r="I75" i="1"/>
  <c r="I83" i="1" s="1"/>
  <c r="G128" i="1"/>
  <c r="I64" i="1"/>
  <c r="G72" i="1"/>
  <c r="I14" i="1"/>
  <c r="G15" i="1"/>
  <c r="G102" i="1"/>
  <c r="I102" i="1" s="1"/>
  <c r="G120" i="1"/>
  <c r="G126" i="1"/>
  <c r="I126" i="1" s="1"/>
  <c r="I119" i="1"/>
  <c r="G132" i="1"/>
  <c r="I132" i="1" s="1"/>
  <c r="H39" i="21"/>
  <c r="J18" i="21"/>
  <c r="J39" i="21" s="1"/>
  <c r="J42" i="21" s="1"/>
  <c r="D96" i="1" l="1"/>
  <c r="D106" i="1" s="1"/>
  <c r="D170" i="1" s="1"/>
  <c r="D163" i="1" s="1"/>
  <c r="D167" i="1" s="1"/>
  <c r="D172" i="1" s="1"/>
  <c r="I120" i="1"/>
  <c r="G121" i="1"/>
  <c r="I121" i="1" s="1"/>
  <c r="G98" i="1"/>
  <c r="I72" i="1"/>
  <c r="I76" i="1" s="1"/>
  <c r="I128" i="1"/>
  <c r="G139" i="1"/>
  <c r="I139" i="1" s="1"/>
  <c r="I26" i="2" s="1"/>
  <c r="I27" i="2" s="1"/>
  <c r="L27" i="2" s="1"/>
  <c r="I15" i="1"/>
  <c r="G16" i="1"/>
  <c r="I16" i="1" s="1"/>
  <c r="G17" i="1"/>
  <c r="I18" i="2"/>
  <c r="I68" i="1"/>
  <c r="G68" i="1" s="1"/>
  <c r="K18" i="21"/>
  <c r="R66" i="2" s="1"/>
  <c r="I134" i="1" l="1"/>
  <c r="I101" i="1" s="1"/>
  <c r="I17" i="1"/>
  <c r="G18" i="1"/>
  <c r="I18" i="1" s="1"/>
  <c r="I98" i="1"/>
  <c r="G137" i="1"/>
  <c r="I137" i="1" s="1"/>
  <c r="I141" i="1" s="1"/>
  <c r="I80" i="1"/>
  <c r="G103" i="1"/>
  <c r="I103" i="1" s="1"/>
  <c r="G148" i="1"/>
  <c r="K39" i="21"/>
  <c r="D23" i="1" s="1"/>
  <c r="I23" i="1" s="1"/>
  <c r="I22" i="2" l="1"/>
  <c r="I23" i="2" s="1"/>
  <c r="L23" i="2" s="1"/>
  <c r="I19" i="1"/>
  <c r="I33" i="2" s="1"/>
  <c r="I148" i="1"/>
  <c r="G150" i="1"/>
  <c r="I150" i="1" s="1"/>
  <c r="G151" i="1"/>
  <c r="I151" i="1" s="1"/>
  <c r="I84" i="1"/>
  <c r="G84" i="1" s="1"/>
  <c r="I19" i="2"/>
  <c r="I104" i="1"/>
  <c r="H28" i="16" l="1"/>
  <c r="G164" i="1"/>
  <c r="G88" i="1"/>
  <c r="I152" i="1"/>
  <c r="I30" i="2" s="1"/>
  <c r="I31" i="2" s="1"/>
  <c r="L31" i="2" s="1"/>
  <c r="L36" i="2" s="1"/>
  <c r="G165" i="1" l="1"/>
  <c r="I164" i="1"/>
  <c r="H29" i="16"/>
  <c r="J28" i="16"/>
  <c r="F68" i="2"/>
  <c r="G68" i="2" s="1"/>
  <c r="F75" i="2"/>
  <c r="G75" i="2" s="1"/>
  <c r="F82" i="2"/>
  <c r="G82" i="2" s="1"/>
  <c r="F74" i="2"/>
  <c r="G74" i="2" s="1"/>
  <c r="F73" i="2"/>
  <c r="G73" i="2" s="1"/>
  <c r="F76" i="2"/>
  <c r="G76" i="2" s="1"/>
  <c r="F79" i="2"/>
  <c r="G79" i="2" s="1"/>
  <c r="F67" i="2"/>
  <c r="G67" i="2" s="1"/>
  <c r="F81" i="2"/>
  <c r="G81" i="2" s="1"/>
  <c r="F71" i="2"/>
  <c r="G71" i="2" s="1"/>
  <c r="F72" i="2"/>
  <c r="G72" i="2" s="1"/>
  <c r="F78" i="2"/>
  <c r="G78" i="2" s="1"/>
  <c r="F66" i="2"/>
  <c r="G66" i="2" s="1"/>
  <c r="F84" i="2"/>
  <c r="G84" i="2" s="1"/>
  <c r="F83" i="2"/>
  <c r="G83" i="2" s="1"/>
  <c r="F69" i="2"/>
  <c r="G69" i="2" s="1"/>
  <c r="F77" i="2"/>
  <c r="G77" i="2" s="1"/>
  <c r="F70" i="2"/>
  <c r="G70" i="2" s="1"/>
  <c r="F80" i="2"/>
  <c r="G80" i="2" s="1"/>
  <c r="I88" i="1"/>
  <c r="G89" i="1"/>
  <c r="H30" i="16" l="1"/>
  <c r="J30" i="16" s="1"/>
  <c r="J29" i="16"/>
  <c r="G91" i="1"/>
  <c r="I91" i="1" s="1"/>
  <c r="I89" i="1"/>
  <c r="G90" i="1"/>
  <c r="I90" i="1" s="1"/>
  <c r="I165" i="1"/>
  <c r="G166" i="1"/>
  <c r="I166" i="1" s="1"/>
  <c r="I96" i="1" l="1"/>
  <c r="I106" i="1" s="1"/>
  <c r="K7" i="16" s="1"/>
  <c r="I170" i="1" l="1"/>
  <c r="I163" i="1" s="1"/>
  <c r="I167" i="1" s="1"/>
  <c r="I172" i="1" s="1"/>
  <c r="I11" i="1" s="1"/>
  <c r="I21" i="1" s="1"/>
  <c r="I25" i="1" s="1"/>
  <c r="K39" i="16"/>
  <c r="K16" i="16"/>
  <c r="J27" i="16" s="1"/>
  <c r="J31" i="16" s="1"/>
  <c r="K31" i="16" s="1"/>
  <c r="K33" i="16" s="1"/>
  <c r="E27" i="16" s="1"/>
  <c r="E31" i="16" s="1"/>
  <c r="I43" i="2" l="1"/>
  <c r="I44" i="2" s="1"/>
  <c r="L44" i="2" s="1"/>
  <c r="K35" i="16"/>
  <c r="I39" i="2"/>
  <c r="I40" i="2" s="1"/>
  <c r="L40" i="2" s="1"/>
  <c r="K36" i="16"/>
  <c r="K37" i="16" l="1"/>
  <c r="K38" i="16" s="1"/>
  <c r="K40" i="16" s="1"/>
  <c r="N82" i="2" s="1"/>
  <c r="I46" i="2"/>
  <c r="L46" i="2"/>
  <c r="I73" i="2" l="1"/>
  <c r="J73" i="2" s="1"/>
  <c r="L73" i="2" s="1"/>
  <c r="I81" i="2"/>
  <c r="J81" i="2" s="1"/>
  <c r="L81" i="2" s="1"/>
  <c r="I80" i="2"/>
  <c r="J80" i="2" s="1"/>
  <c r="L80" i="2" s="1"/>
  <c r="I74" i="2"/>
  <c r="J74" i="2" s="1"/>
  <c r="L74" i="2" s="1"/>
  <c r="I82" i="2"/>
  <c r="J82" i="2" s="1"/>
  <c r="L82" i="2" s="1"/>
  <c r="I67" i="2"/>
  <c r="J67" i="2" s="1"/>
  <c r="L67" i="2" s="1"/>
  <c r="I75" i="2"/>
  <c r="J75" i="2" s="1"/>
  <c r="L75" i="2" s="1"/>
  <c r="I83" i="2"/>
  <c r="J83" i="2" s="1"/>
  <c r="L83" i="2" s="1"/>
  <c r="I66" i="2"/>
  <c r="J66" i="2" s="1"/>
  <c r="L66" i="2" s="1"/>
  <c r="I68" i="2"/>
  <c r="J68" i="2" s="1"/>
  <c r="L68" i="2" s="1"/>
  <c r="I76" i="2"/>
  <c r="J76" i="2" s="1"/>
  <c r="L76" i="2" s="1"/>
  <c r="I84" i="2"/>
  <c r="J84" i="2" s="1"/>
  <c r="L84" i="2" s="1"/>
  <c r="I77" i="2"/>
  <c r="J77" i="2" s="1"/>
  <c r="L77" i="2" s="1"/>
  <c r="I69" i="2"/>
  <c r="J69" i="2" s="1"/>
  <c r="L69" i="2" s="1"/>
  <c r="I70" i="2"/>
  <c r="J70" i="2" s="1"/>
  <c r="L70" i="2" s="1"/>
  <c r="I78" i="2"/>
  <c r="J78" i="2" s="1"/>
  <c r="L78" i="2" s="1"/>
  <c r="I71" i="2"/>
  <c r="J71" i="2" s="1"/>
  <c r="L71" i="2" s="1"/>
  <c r="I79" i="2"/>
  <c r="J79" i="2" s="1"/>
  <c r="L79" i="2" s="1"/>
  <c r="I72" i="2"/>
  <c r="J72" i="2" s="1"/>
  <c r="L72" i="2" s="1"/>
  <c r="N73" i="2"/>
  <c r="N72" i="2"/>
  <c r="N66" i="2"/>
  <c r="N68" i="2"/>
  <c r="N78" i="2"/>
  <c r="N69" i="2"/>
  <c r="N77" i="2"/>
  <c r="N84" i="2"/>
  <c r="N79" i="2"/>
  <c r="N81" i="2"/>
  <c r="N74" i="2"/>
  <c r="N67" i="2"/>
  <c r="N76" i="2"/>
  <c r="N70" i="2"/>
  <c r="N71" i="2"/>
  <c r="N83" i="2"/>
  <c r="N75" i="2"/>
  <c r="N80" i="2"/>
  <c r="O73" i="2" l="1"/>
  <c r="Q73" i="2"/>
  <c r="S73" i="2"/>
  <c r="O68" i="2"/>
  <c r="Q68" i="2"/>
  <c r="S68" i="2" s="1"/>
  <c r="Q70" i="2"/>
  <c r="S70" i="2" s="1"/>
  <c r="O70" i="2"/>
  <c r="O75" i="2"/>
  <c r="S75" i="2"/>
  <c r="Q75" i="2"/>
  <c r="S84" i="2"/>
  <c r="Q84" i="2"/>
  <c r="O84" i="2"/>
  <c r="O78" i="2"/>
  <c r="S78" i="2"/>
  <c r="Q78" i="2"/>
  <c r="Q77" i="2"/>
  <c r="S77" i="2"/>
  <c r="O77" i="2"/>
  <c r="O83" i="2"/>
  <c r="Q83" i="2"/>
  <c r="S83" i="2"/>
  <c r="O66" i="2"/>
  <c r="Q66" i="2"/>
  <c r="S66" i="2" s="1"/>
  <c r="S72" i="2"/>
  <c r="Q72" i="2"/>
  <c r="O72" i="2"/>
  <c r="Q76" i="2"/>
  <c r="O76" i="2"/>
  <c r="S76" i="2"/>
  <c r="O79" i="2"/>
  <c r="Q79" i="2"/>
  <c r="S79" i="2"/>
  <c r="O69" i="2"/>
  <c r="Q69" i="2"/>
  <c r="S69" i="2" s="1"/>
  <c r="Q81" i="2"/>
  <c r="S81" i="2"/>
  <c r="O81" i="2"/>
  <c r="O71" i="2"/>
  <c r="Q71" i="2"/>
  <c r="S71" i="2"/>
  <c r="S80" i="2"/>
  <c r="O80" i="2"/>
  <c r="Q80" i="2"/>
  <c r="O74" i="2"/>
  <c r="Q74" i="2"/>
  <c r="S74" i="2"/>
  <c r="Q67" i="2"/>
  <c r="S67" i="2" s="1"/>
  <c r="O67" i="2"/>
  <c r="O82" i="2"/>
  <c r="S82" i="2"/>
  <c r="Q82" i="2"/>
  <c r="S86" i="2" l="1"/>
</calcChain>
</file>

<file path=xl/sharedStrings.xml><?xml version="1.0" encoding="utf-8"?>
<sst xmlns="http://schemas.openxmlformats.org/spreadsheetml/2006/main" count="1684" uniqueCount="984">
  <si>
    <t>page 1 of 5</t>
  </si>
  <si>
    <t>Attachment H</t>
  </si>
  <si>
    <t xml:space="preserve">Formula Rate - Non-Levelized </t>
  </si>
  <si>
    <r>
      <t>NextEra Energy Transmission MidAtlantic, Inc</t>
    </r>
    <r>
      <rPr>
        <sz val="10"/>
        <color rgb="FFFF0000"/>
        <rFont val="Times New Roman"/>
        <family val="1"/>
      </rPr>
      <t>.</t>
    </r>
  </si>
  <si>
    <t>Rate Formula Template</t>
  </si>
  <si>
    <t>For  the 12 months ended 12/31/2025</t>
  </si>
  <si>
    <t>Utilizing FERC Form 1 Data</t>
  </si>
  <si>
    <t>NextEra Energy Transmission MidAtlantic, Inc.</t>
  </si>
  <si>
    <t>(1)</t>
  </si>
  <si>
    <t>(2)</t>
  </si>
  <si>
    <t>(3)</t>
  </si>
  <si>
    <t xml:space="preserve"> </t>
  </si>
  <si>
    <t>(4)</t>
  </si>
  <si>
    <t>(5)</t>
  </si>
  <si>
    <t>Line</t>
  </si>
  <si>
    <t>Allocated</t>
  </si>
  <si>
    <t>No.</t>
  </si>
  <si>
    <t>Amount</t>
  </si>
  <si>
    <t>GROSS REVENUE REQUIREMENT</t>
  </si>
  <si>
    <t>(page 3, line 47)</t>
  </si>
  <si>
    <t xml:space="preserve">REVENUE CREDITS </t>
  </si>
  <si>
    <t>(Note O)</t>
  </si>
  <si>
    <t>Total</t>
  </si>
  <si>
    <t>Allocator</t>
  </si>
  <si>
    <t xml:space="preserve">  Account No. 454</t>
  </si>
  <si>
    <t>TP</t>
  </si>
  <si>
    <t xml:space="preserve">  Account No. 456.1</t>
  </si>
  <si>
    <t xml:space="preserve">  Account No. 457.1 Scheduling</t>
  </si>
  <si>
    <t>Attachment 5, line 39, col e</t>
  </si>
  <si>
    <t xml:space="preserve">  Revenues from Grandfathered Interzonal Transactions </t>
  </si>
  <si>
    <t>(Note N)</t>
  </si>
  <si>
    <t xml:space="preserve">  Revenues from service provided by the ISO at a discount</t>
  </si>
  <si>
    <t xml:space="preserve">TOTAL REVENUE CREDITS </t>
  </si>
  <si>
    <t>(Sum of Lines 2 through 6)</t>
  </si>
  <si>
    <t>NET REVENUE REQUIREMENT</t>
  </si>
  <si>
    <t>(line 1 minus line 7)</t>
  </si>
  <si>
    <t>True-up Adjustment with Interest</t>
  </si>
  <si>
    <t>Attachment 3, line 4, Col. J</t>
  </si>
  <si>
    <t>DA</t>
  </si>
  <si>
    <t>(line 8 plus line 9)</t>
  </si>
  <si>
    <t>page 2 of 5</t>
  </si>
  <si>
    <t>Transmission</t>
  </si>
  <si>
    <t>Source</t>
  </si>
  <si>
    <t>Company Total</t>
  </si>
  <si>
    <t xml:space="preserve">                  Allocator</t>
  </si>
  <si>
    <t>(Col 3 times Col 4)</t>
  </si>
  <si>
    <t xml:space="preserve">RATE BASE: </t>
  </si>
  <si>
    <t>GROSS PLANT IN SERVICE   (Notes U and R)</t>
  </si>
  <si>
    <t xml:space="preserve">  Production </t>
  </si>
  <si>
    <t>205.46.g for end of year, records for other months</t>
  </si>
  <si>
    <t>NA</t>
  </si>
  <si>
    <t xml:space="preserve">  Transmission</t>
  </si>
  <si>
    <t>Attachment 4, Line 14, Col. (b)</t>
  </si>
  <si>
    <t xml:space="preserve">  Distribution </t>
  </si>
  <si>
    <t>207.75.g for end of year, records for other months</t>
  </si>
  <si>
    <t xml:space="preserve">  General &amp; Intangible</t>
  </si>
  <si>
    <t>Attachment 4, Line 14, Col. (c)</t>
  </si>
  <si>
    <t>W/S</t>
  </si>
  <si>
    <t xml:space="preserve">  Common </t>
  </si>
  <si>
    <t>356.1 for end of year, records for other months</t>
  </si>
  <si>
    <t>CE</t>
  </si>
  <si>
    <t>TOTAL GROSS PLANT</t>
  </si>
  <si>
    <t>(Sum of Lines 1 through 5)</t>
  </si>
  <si>
    <t>GP=</t>
  </si>
  <si>
    <t>ACCUMULATED DEPRECIATION  (Notes U and R)</t>
  </si>
  <si>
    <t>219.20-24.c for end of year, records for other months</t>
  </si>
  <si>
    <t>Attachment 4, Line 14, Col. (h)</t>
  </si>
  <si>
    <t>219.26.c for end of year, records for other months</t>
  </si>
  <si>
    <t>Attachment 4, Line 14, Col. (i)</t>
  </si>
  <si>
    <t xml:space="preserve">TOTAL ACCUM. DEPRECIATION </t>
  </si>
  <si>
    <t>(Sum of Lines 8 through 12)</t>
  </si>
  <si>
    <t>NET PLANT IN SERVICE</t>
  </si>
  <si>
    <t>(Line 2 minus line 9)</t>
  </si>
  <si>
    <t>(Line 4 minus line 11)</t>
  </si>
  <si>
    <t>TOTAL NET PLANT</t>
  </si>
  <si>
    <t>(Sum of Lines 15 through 19)</t>
  </si>
  <si>
    <t>NP=</t>
  </si>
  <si>
    <t>ADJUSTMENTS TO RATE BASE  (Note R)</t>
  </si>
  <si>
    <t xml:space="preserve">  Account No. 281 (enter negative)</t>
  </si>
  <si>
    <t>Attach 4, Line 28, Col. (d)/Attach 4a, Line 54, Col. H (Notes B and X)</t>
  </si>
  <si>
    <t>zero</t>
  </si>
  <si>
    <t xml:space="preserve">  Account No. 282 (enter negative)</t>
  </si>
  <si>
    <t>Attach 4, Line 28, Col. (e)/Attach 4a, Line 81, Col. H (Notes B and X)</t>
  </si>
  <si>
    <t>NP</t>
  </si>
  <si>
    <t xml:space="preserve">  Account No. 283 (enter negative)</t>
  </si>
  <si>
    <t>Attach 4, Line 28, Col. (f)/Attach 4a, Line 108, Col. H (Notes B and X)</t>
  </si>
  <si>
    <t xml:space="preserve">  Account No. 190 </t>
  </si>
  <si>
    <t>Attach 4, Line 28, Col. (g)/Attach 4a, Line 27, Col. H (Notes B and X)</t>
  </si>
  <si>
    <t xml:space="preserve">  Account No. 255 (enter negative)</t>
  </si>
  <si>
    <t>Attachment 4, Line 28, Col. (h) (Notes B and X)</t>
  </si>
  <si>
    <t>26a</t>
  </si>
  <si>
    <t xml:space="preserve">  Unfunded Reserves (enter negative)</t>
  </si>
  <si>
    <t>Attachment 4, Line 31, Col. (h)  (Note Y)</t>
  </si>
  <si>
    <t xml:space="preserve">  CWIP</t>
  </si>
  <si>
    <t>Attachment 4, Line 14, Col. (d)</t>
  </si>
  <si>
    <t xml:space="preserve">  Unamortized Regulatory Asset </t>
  </si>
  <si>
    <t>Attachment 4, Line 28, Col. (b) (Note T)</t>
  </si>
  <si>
    <t xml:space="preserve">  Unamortized Abandoned Plant  </t>
  </si>
  <si>
    <t>Attachment 4, Line 28, Col. (c) (Note S)</t>
  </si>
  <si>
    <t xml:space="preserve">TOTAL ADJUSTMENTS </t>
  </si>
  <si>
    <t>(Sum of Lines 22 through 29)</t>
  </si>
  <si>
    <t xml:space="preserve">LAND HELD FOR FUTURE USE  </t>
  </si>
  <si>
    <t>Attachment 4, Line 14, Col. (e) (Note C)</t>
  </si>
  <si>
    <t xml:space="preserve">WORKING CAPITAL </t>
  </si>
  <si>
    <t>(Note D)</t>
  </si>
  <si>
    <t xml:space="preserve">  CWC </t>
  </si>
  <si>
    <t>1/8*(Page 3, Line 14 minus Page 3, Line 11)</t>
  </si>
  <si>
    <t xml:space="preserve">  Materials &amp; Supplies</t>
  </si>
  <si>
    <t>Attachment 4, Line 14, Col. (f) (Note C)</t>
  </si>
  <si>
    <t xml:space="preserve">  Prepayments (Account 165)</t>
  </si>
  <si>
    <t>Attachment 4, Line 14, Col. (g)</t>
  </si>
  <si>
    <t>GP</t>
  </si>
  <si>
    <t xml:space="preserve">TOTAL WORKING CAPITAL  </t>
  </si>
  <si>
    <t>(Sum of Lines 33 through 35)</t>
  </si>
  <si>
    <t xml:space="preserve">RATE BASE </t>
  </si>
  <si>
    <t>(Sum of Lines 20, 30, 31 &amp; 36)</t>
  </si>
  <si>
    <t>page 3 of 5</t>
  </si>
  <si>
    <t>O&amp;M</t>
  </si>
  <si>
    <t xml:space="preserve">  Transmission </t>
  </si>
  <si>
    <t>321.112.b Attach. 5, Line 13, Col. (a)</t>
  </si>
  <si>
    <t xml:space="preserve">     Less Account 566 (Misc Trans Expense)</t>
  </si>
  <si>
    <t xml:space="preserve">321.97.b Attach. 5, Line 13, Col. (b) </t>
  </si>
  <si>
    <t xml:space="preserve">     Less Account 565</t>
  </si>
  <si>
    <t>321.96.b Attach. 5, Line 13, Col. (c)</t>
  </si>
  <si>
    <t xml:space="preserve">  A&amp;G</t>
  </si>
  <si>
    <t>323.197.b Attach. 5, Line 13, Col. (d)</t>
  </si>
  <si>
    <t xml:space="preserve">     Less FERC Annual Fees</t>
  </si>
  <si>
    <t>Attach. 5, Line 13, Col. (e)</t>
  </si>
  <si>
    <t xml:space="preserve">     Less EPRI &amp; Reg. Comm. Exp. &amp; Non-safety Ad.  </t>
  </si>
  <si>
    <t>(Note E) Attach. 5, Line 13, Col. (f)</t>
  </si>
  <si>
    <t>6a</t>
  </si>
  <si>
    <t xml:space="preserve">     Less PBOP Expense in Year</t>
  </si>
  <si>
    <t>Attachment 7, Line 8, Col. (g)</t>
  </si>
  <si>
    <t xml:space="preserve">     Plus Transmission Related Reg. Comm. Exp.  </t>
  </si>
  <si>
    <t>(Note E) Attach. 5, Line 13, Col. (g)</t>
  </si>
  <si>
    <t>7a</t>
  </si>
  <si>
    <t xml:space="preserve">     Plus PBOP Expense Allowed Amount</t>
  </si>
  <si>
    <t>Attachment 7, Line 6, Col. (g)</t>
  </si>
  <si>
    <t>356.1</t>
  </si>
  <si>
    <t xml:space="preserve">  Transmission Lease Payments</t>
  </si>
  <si>
    <t>Attach. 5, Line 13, Col (h)</t>
  </si>
  <si>
    <t>Account 566</t>
  </si>
  <si>
    <t xml:space="preserve">   Amortization of Regulatory Asset</t>
  </si>
  <si>
    <t>(Note T) Attach. 5, Line 13, Col. (i)</t>
  </si>
  <si>
    <t xml:space="preserve">   Miscellaneous Transmission Expense (less amortization of regulatory asset)</t>
  </si>
  <si>
    <t>Attach. 5, Line 13, Col .(j)</t>
  </si>
  <si>
    <t>Total Account 566</t>
  </si>
  <si>
    <t>(Line 11 plus Line 12) Ties to 321.97.b</t>
  </si>
  <si>
    <t>TOTAL O&amp;M</t>
  </si>
  <si>
    <t>(Sum of Lines 1, 4, 7, 7a, 8, 9, 13 less Lines 2, 3, 5, 6, 6a)</t>
  </si>
  <si>
    <t>DEPRECIATION EXPENSE  (Note U)</t>
  </si>
  <si>
    <t>336.7.b, d &amp;e Attach. 5, Line 13, Col. (k)</t>
  </si>
  <si>
    <t>336.10.b, d &amp;e, 336.1.b, d &amp;e Attach. 5, Line 26, Col. (a)</t>
  </si>
  <si>
    <t>336.11.b, d &amp;e</t>
  </si>
  <si>
    <t xml:space="preserve">  Amortization of Abandoned Plant</t>
  </si>
  <si>
    <t>(Note S) Attach. 5, Line 26, Col. (b)</t>
  </si>
  <si>
    <t xml:space="preserve">TOTAL DEPRECIATION </t>
  </si>
  <si>
    <t>(Sum of Lines 16 through 19)</t>
  </si>
  <si>
    <t xml:space="preserve">TAXES OTHER THAN INCOME TAXES </t>
  </si>
  <si>
    <t>(Note F)</t>
  </si>
  <si>
    <t xml:space="preserve">  LABOR RELATED</t>
  </si>
  <si>
    <t xml:space="preserve">          Payroll</t>
  </si>
  <si>
    <t>263.i Attach. 5, Line 26, Col. (c)</t>
  </si>
  <si>
    <t xml:space="preserve">          Highway and vehicle</t>
  </si>
  <si>
    <t>263.i Attach. 5, Line 26, Col. (d)</t>
  </si>
  <si>
    <t xml:space="preserve">  PLANT RELATED</t>
  </si>
  <si>
    <t xml:space="preserve">         Property</t>
  </si>
  <si>
    <t>263.i Attach. 5, Line 26, Co.l (e)</t>
  </si>
  <si>
    <t xml:space="preserve">         Gross Receipts</t>
  </si>
  <si>
    <t>263.i Attach. 5, Line 26, Col. (f)</t>
  </si>
  <si>
    <t xml:space="preserve">         Other</t>
  </si>
  <si>
    <t>263.i Attach. 5, Line 26, Col. (g)</t>
  </si>
  <si>
    <t xml:space="preserve">         Payments in lieu of taxes</t>
  </si>
  <si>
    <t>263.i Attach. 5, Line 26, Col. (h)</t>
  </si>
  <si>
    <t>TOTAL OTHER TAXES</t>
  </si>
  <si>
    <t>(Sum of Lines 23 through 29)</t>
  </si>
  <si>
    <t xml:space="preserve">INCOME TAXES          </t>
  </si>
  <si>
    <t xml:space="preserve">     T=1 - {[(1 - SIT) * (1 - FIT)] / (1 - SIT * FIT * p)}</t>
  </si>
  <si>
    <t xml:space="preserve">WCLTD = Page 4, Line 20 </t>
  </si>
  <si>
    <t xml:space="preserve">     CIT=(T/1-T) * (1-(WCLTD/R)) =</t>
  </si>
  <si>
    <t>R = Page 4, Line 23</t>
  </si>
  <si>
    <t xml:space="preserve">     FIT &amp; SIT &amp; P</t>
  </si>
  <si>
    <t>(Note G)</t>
  </si>
  <si>
    <t>Amortized Investment Tax Credit</t>
  </si>
  <si>
    <t>266.8f (enter negative) Attach. 5, Line 26, Col. (i)</t>
  </si>
  <si>
    <t xml:space="preserve">Excess Deferred Income Taxes </t>
  </si>
  <si>
    <t>(enter negative) Attach. 5, Line 26, Col. (j)</t>
  </si>
  <si>
    <t>Tax Effect of Permanent Differences</t>
  </si>
  <si>
    <t>Attach. 5, Line 26, Col. (k) (Note W)</t>
  </si>
  <si>
    <t xml:space="preserve">Income Tax Calculation </t>
  </si>
  <si>
    <t>(Line 33 times Line 46)</t>
  </si>
  <si>
    <t xml:space="preserve">ITC adjustment </t>
  </si>
  <si>
    <t>(Line 36 times Line 37)</t>
  </si>
  <si>
    <t xml:space="preserve">Excess Deferred Income Tax Adjustment </t>
  </si>
  <si>
    <t>(Line 36 times Line 38)</t>
  </si>
  <si>
    <t>Permanent Differences Tax Adjustment</t>
  </si>
  <si>
    <t>(Line 36 times Line 39)</t>
  </si>
  <si>
    <t xml:space="preserve">Total Income Taxes </t>
  </si>
  <si>
    <t>(Sum of Lines 40 through 43)</t>
  </si>
  <si>
    <t xml:space="preserve">RETURN </t>
  </si>
  <si>
    <t>Rate Base times Return</t>
  </si>
  <si>
    <t>(Page 2, Line 37 times Page 4, Line 23)</t>
  </si>
  <si>
    <t>REV. REQUIREMENT</t>
  </si>
  <si>
    <t>(Sum of Lines 14, 20, 30, 44 &amp; 46)</t>
  </si>
  <si>
    <t>page 4 of 5</t>
  </si>
  <si>
    <t xml:space="preserve">                SUPPORTING CALCULATIONS AND NOTES</t>
  </si>
  <si>
    <t>TRANSMISSION PLANT INCLUDED IN ISO RATES</t>
  </si>
  <si>
    <t xml:space="preserve">Total Transmission plant  </t>
  </si>
  <si>
    <t>(Page 2, Line 2, Column 3)</t>
  </si>
  <si>
    <t xml:space="preserve">Less Transmission plant excluded from ISO rates  </t>
  </si>
  <si>
    <t>(Note H)</t>
  </si>
  <si>
    <t xml:space="preserve">Less Transmission plant included in OATT Ancillary Services  </t>
  </si>
  <si>
    <t>(Note I)</t>
  </si>
  <si>
    <t>Transmission plant included in ISO rates</t>
  </si>
  <si>
    <t>(Line 1 minus Lines 2 &amp; 3)</t>
  </si>
  <si>
    <t xml:space="preserve">Percentage of Transmission plant included in ISO Rates  </t>
  </si>
  <si>
    <t>(Line 4 divided by Line 1)</t>
  </si>
  <si>
    <t>TP=</t>
  </si>
  <si>
    <t>WAGES &amp; SALARY ALLOCATOR  (W&amp;S)</t>
  </si>
  <si>
    <t>Form 1 Reference</t>
  </si>
  <si>
    <t>$</t>
  </si>
  <si>
    <t>Allocation</t>
  </si>
  <si>
    <t>354.20.b</t>
  </si>
  <si>
    <t>354.21.b</t>
  </si>
  <si>
    <t>354.23.b</t>
  </si>
  <si>
    <t>W&amp;S Allocator</t>
  </si>
  <si>
    <t xml:space="preserve">  Other</t>
  </si>
  <si>
    <t>354.24,25,26.b</t>
  </si>
  <si>
    <t>($ / Allocation)</t>
  </si>
  <si>
    <t xml:space="preserve"> Total  (W&amp; S Allocator is 1 if lines 7-10 are zero)</t>
  </si>
  <si>
    <t>(Sum of Lines 7 through 10)</t>
  </si>
  <si>
    <t>=</t>
  </si>
  <si>
    <t>WS</t>
  </si>
  <si>
    <t xml:space="preserve">COMMON PLANT ALLOCATOR  (CE)  (Note J and X) </t>
  </si>
  <si>
    <t>% Electric</t>
  </si>
  <si>
    <t xml:space="preserve">  Electric </t>
  </si>
  <si>
    <t>200.3.c</t>
  </si>
  <si>
    <t>(line 13 / line 16)</t>
  </si>
  <si>
    <t>(line 11)</t>
  </si>
  <si>
    <t xml:space="preserve">  Gas</t>
  </si>
  <si>
    <t>201.3.d</t>
  </si>
  <si>
    <t>*</t>
  </si>
  <si>
    <t xml:space="preserve">  Water </t>
  </si>
  <si>
    <t>201.3.e</t>
  </si>
  <si>
    <t xml:space="preserve">  Total</t>
  </si>
  <si>
    <t>(Sum of Lines 13 through 15)</t>
  </si>
  <si>
    <t>RETURN (R)</t>
  </si>
  <si>
    <t>(Note V)</t>
  </si>
  <si>
    <t>Cost</t>
  </si>
  <si>
    <t>%</t>
  </si>
  <si>
    <t>Weighted</t>
  </si>
  <si>
    <t xml:space="preserve">  Long Term Debt </t>
  </si>
  <si>
    <t>(Attachment 5, line 48    Notes Q &amp; R)</t>
  </si>
  <si>
    <t>=WCLTD</t>
  </si>
  <si>
    <t xml:space="preserve">  Preferred Stock  (112.3.c)</t>
  </si>
  <si>
    <t>(Attachment 5, line 49   Notes Q &amp; R)</t>
  </si>
  <si>
    <t xml:space="preserve">  Common Stock</t>
  </si>
  <si>
    <t>(Attachment 5, line 50  Notes K, Q &amp; R)</t>
  </si>
  <si>
    <t xml:space="preserve">Total </t>
  </si>
  <si>
    <t>(Attachment 5, line 51)</t>
  </si>
  <si>
    <t>=R</t>
  </si>
  <si>
    <t>REVENUE CREDITS</t>
  </si>
  <si>
    <t>ACCOUNT 447 (SALES FOR RESALE) (Note L)</t>
  </si>
  <si>
    <r>
      <t>310 -</t>
    </r>
    <r>
      <rPr>
        <sz val="10"/>
        <rFont val="Times New Roman"/>
        <family val="1"/>
      </rPr>
      <t>311</t>
    </r>
  </si>
  <si>
    <t xml:space="preserve">a. Bundled Non-RQ Sales for Resale </t>
  </si>
  <si>
    <t>311.x.h</t>
  </si>
  <si>
    <t xml:space="preserve">b. Bundled Sales for Resale </t>
  </si>
  <si>
    <t xml:space="preserve">Attach 5, line 39, col (a) </t>
  </si>
  <si>
    <t xml:space="preserve">  Total of (a)-(b)</t>
  </si>
  <si>
    <t xml:space="preserve">ACCOUNT 454 (RENT FROM ELECTRIC PROPERTY) </t>
  </si>
  <si>
    <t xml:space="preserve">(Note M) Attach 5, line 39, col (b) </t>
  </si>
  <si>
    <t>ACCOUNT 456.1 (OTHER ELECTRIC REVENUES)</t>
  </si>
  <si>
    <t xml:space="preserve">330.x.n </t>
  </si>
  <si>
    <t xml:space="preserve">a. Transmission charges for all transmission transactions </t>
  </si>
  <si>
    <t xml:space="preserve">Attach 5, line 39, col (c) </t>
  </si>
  <si>
    <t>b. Transmission charges associated with Project detailed on the Project Rev Req Schedule Col. 10.</t>
  </si>
  <si>
    <t xml:space="preserve">Attach 5, line 39, col (d) </t>
  </si>
  <si>
    <t>page 5 of 5</t>
  </si>
  <si>
    <t>General Note:  References to pages in this formulary rate are indicated as:  (page#, line#, col.#)</t>
  </si>
  <si>
    <t>References to data from FERC Form 1 are indicated as:  #.y.x  (page, line, column)</t>
  </si>
  <si>
    <t>Note</t>
  </si>
  <si>
    <t>Letter</t>
  </si>
  <si>
    <t xml:space="preserve">A </t>
  </si>
  <si>
    <t>Reserved</t>
  </si>
  <si>
    <t xml:space="preserve">B </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</si>
  <si>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</si>
  <si>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C</t>
  </si>
  <si>
    <t>Identified in Form 1 as being only transmission related.</t>
  </si>
  <si>
    <t>D</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</si>
  <si>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</si>
  <si>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</si>
  <si>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</si>
  <si>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F</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</si>
  <si>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</si>
  <si>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G</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</si>
  <si>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</si>
  <si>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 xml:space="preserve">         Inputs Required:</t>
  </si>
  <si>
    <t>FIT =</t>
  </si>
  <si>
    <t>SIT=</t>
  </si>
  <si>
    <t>(State Income Tax Rate or Composite SIT)</t>
  </si>
  <si>
    <t>p =</t>
  </si>
  <si>
    <t>(percent of federal income tax deductible for state purposes)</t>
  </si>
  <si>
    <t>H</t>
  </si>
  <si>
    <t>Removes transmission plant determined by Commission order to be state-jurisdictional according to the seven-factor test (until Form 1 balances are adjusted to reflect application of seven-factor test).</t>
  </si>
  <si>
    <t>I</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</si>
  <si>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</si>
  <si>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J</t>
  </si>
  <si>
    <t>Enter dollar amounts</t>
  </si>
  <si>
    <t>K</t>
  </si>
  <si>
    <t>ROE will be supported in the original filing and no change in ROE may be made absent a filing with FERC.</t>
  </si>
  <si>
    <t xml:space="preserve">L </t>
  </si>
  <si>
    <t>Page 4, Line 28 must equal zero since all short-term power sales must be unbundled and the transmission component reflected in Account No. 456.1.</t>
  </si>
  <si>
    <t>M</t>
  </si>
  <si>
    <t>Includes income related only to transmission facilities, such as pole attachments, rentals and special use.</t>
  </si>
  <si>
    <t xml:space="preserve">N </t>
  </si>
  <si>
    <t xml:space="preserve">Company will not have any grandfathered agreements.  Therefore, this line shall remain zero. </t>
  </si>
  <si>
    <t>O</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</si>
  <si>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</si>
  <si>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P</t>
  </si>
  <si>
    <t>Q</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</si>
  <si>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</si>
  <si>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t>R</t>
  </si>
  <si>
    <t>Calculate using 13 month average balance, except ADIT.</t>
  </si>
  <si>
    <t>S</t>
  </si>
  <si>
    <t>Unamortized Abandoned Plant and Amortization of Abandoned Plant will be zero until the Commission accepts or approves recovery of the cost of abandoned plant.  Utility must receive FERC authorization before recovering the cost of abandoned plant.</t>
  </si>
  <si>
    <t>T</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</si>
  <si>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</si>
  <si>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U</t>
  </si>
  <si>
    <t>Excludes Asset Retirement Obligation balances</t>
  </si>
  <si>
    <t>V</t>
  </si>
  <si>
    <t>Company shall be allowed recovery of costs related to interest rate locks.  Absent a Section 205 filing, Company shall not include in the Formula Rate, the gains, losses, or costs related to other hedges.</t>
  </si>
  <si>
    <t>W</t>
  </si>
  <si>
    <t>The Tax Effect of Permanent Differences captures the differences in the income taxes due under the Federal and State calculations and the income taxes calculated in Attachment H that are not the result of a timing difference</t>
  </si>
  <si>
    <t>X</t>
  </si>
  <si>
    <t>Calculated on Attachment 4 for the true up and on Attachment 4a for the projection</t>
  </si>
  <si>
    <t>Y</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</si>
  <si>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</si>
  <si>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</si>
  <si>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Attachment 1</t>
  </si>
  <si>
    <t>Page 1 of 2</t>
  </si>
  <si>
    <t>Project Revenue Requirement Worksheet</t>
  </si>
  <si>
    <t>To be completed in conjunction with Attachment H.</t>
  </si>
  <si>
    <t>Page, Line, Col.</t>
  </si>
  <si>
    <t>Gross Transmission Plant - Total</t>
  </si>
  <si>
    <t>Attach H, p 2, line 2 col 5  (Note A)</t>
  </si>
  <si>
    <t>Net Transmission Plant - Total</t>
  </si>
  <si>
    <t>Attach H, p 2, line 16 col 5 plus line 27 &amp; 29 col 5 (Note B)</t>
  </si>
  <si>
    <t>O&amp;M EXPENSE</t>
  </si>
  <si>
    <t>Total O&amp;M Allocated to Transmission</t>
  </si>
  <si>
    <t>Attach H, p 3, line 14 col 5</t>
  </si>
  <si>
    <t>Annual Allocation Factor for O&amp;M</t>
  </si>
  <si>
    <t>(line 3 divided by line 1 col 3)</t>
  </si>
  <si>
    <t>GENERAL, INTANGIBLE AND COMMON (G&amp;C) DEPRECIATION EXPENSE</t>
  </si>
  <si>
    <t>5</t>
  </si>
  <si>
    <t>Total G, I &amp; C Depreciation Expense</t>
  </si>
  <si>
    <t>Attach H, p 3, lines 17 &amp; 18, col 5 (Note H)</t>
  </si>
  <si>
    <t>6</t>
  </si>
  <si>
    <t>Annual Allocation Factor for G, I &amp; C Depreciation Expense</t>
  </si>
  <si>
    <t>(line 5 divided by line 1 col 3)</t>
  </si>
  <si>
    <t>TAXES OTHER THAN INCOME TAXES</t>
  </si>
  <si>
    <t>7</t>
  </si>
  <si>
    <t>Total Other Taxes</t>
  </si>
  <si>
    <t>Attach H, p 3, line 30 col 5</t>
  </si>
  <si>
    <t>8</t>
  </si>
  <si>
    <t>Annual Allocation Factor for Other Taxes</t>
  </si>
  <si>
    <t>(line 7 divided by line 1 col 3)</t>
  </si>
  <si>
    <t>9</t>
  </si>
  <si>
    <t>Less Revenue Credits</t>
  </si>
  <si>
    <t>Attach H, p 1, line 7 col 5</t>
  </si>
  <si>
    <t>10</t>
  </si>
  <si>
    <t>Annual Allocation Factor Revenue Credits</t>
  </si>
  <si>
    <t>(line 9 divided by line 1 col 3)</t>
  </si>
  <si>
    <t>11</t>
  </si>
  <si>
    <t>Annual Allocation Factor for Expense</t>
  </si>
  <si>
    <t>Sum of line 4, 6, 8, and 10</t>
  </si>
  <si>
    <t>INCOME TAXES</t>
  </si>
  <si>
    <t>12</t>
  </si>
  <si>
    <t>Total Income Taxes</t>
  </si>
  <si>
    <t>Attach H, p 3, line 44 col 5</t>
  </si>
  <si>
    <t>13</t>
  </si>
  <si>
    <t>Annual Allocation Factor for Income Taxes</t>
  </si>
  <si>
    <t>(line 12 divided by line 2 col 3)</t>
  </si>
  <si>
    <t>14</t>
  </si>
  <si>
    <t>Return on Rate Base</t>
  </si>
  <si>
    <t>Attach H, p 3, line 46 col 5</t>
  </si>
  <si>
    <t>15</t>
  </si>
  <si>
    <t>Annual Allocation Factor for Return on Rate Base</t>
  </si>
  <si>
    <t>(line 14 divided by line 2 col 3)</t>
  </si>
  <si>
    <t>16</t>
  </si>
  <si>
    <t>Annual Allocation Factor for Return</t>
  </si>
  <si>
    <t>Sum of line 13 and 15</t>
  </si>
  <si>
    <t>Page 2 of 2</t>
  </si>
  <si>
    <t xml:space="preserve"> (12a)</t>
  </si>
  <si>
    <t>(14)</t>
  </si>
  <si>
    <t>(15)</t>
  </si>
  <si>
    <t>(16)</t>
  </si>
  <si>
    <t>Line No.</t>
  </si>
  <si>
    <t xml:space="preserve">Project Name </t>
  </si>
  <si>
    <t>RTO Project Number</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</si>
  <si>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</si>
  <si>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</si>
  <si>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</si>
  <si>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</si>
  <si>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</si>
  <si>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</si>
  <si>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</si>
  <si>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</si>
  <si>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Ceiling Rate</t>
  </si>
  <si>
    <t>Competitive Bid Concession</t>
  </si>
  <si>
    <t>Total Annual Revenue Requirement</t>
  </si>
  <si>
    <t>True-Up Adjustment</t>
  </si>
  <si>
    <t>Net Rev Req</t>
  </si>
  <si>
    <t>(Note C)</t>
  </si>
  <si>
    <t>(Page 1 line 11)</t>
  </si>
  <si>
    <t>(Col. 3 * Col. 4)</t>
  </si>
  <si>
    <t>(Notes D &amp; I)</t>
  </si>
  <si>
    <t>(Page 1 line 16)</t>
  </si>
  <si>
    <t>(Col. 6 * Col. 7)</t>
  </si>
  <si>
    <t>(Notes E &amp; I)</t>
  </si>
  <si>
    <t>(Sum Col. 5, 8 &amp; 9)</t>
  </si>
  <si>
    <t>(Note K)</t>
  </si>
  <si>
    <t>(Attachment 2, Line 28 /100 * Col. 11)</t>
  </si>
  <si>
    <t>(Sum Col. 10 &amp; 12)</t>
  </si>
  <si>
    <t>(Note J)</t>
  </si>
  <si>
    <t>(Sum Col. 10 &amp; 12 Less Col. 13)</t>
  </si>
  <si>
    <t>Sum Col. 14 &amp; 15 
(Note G)</t>
  </si>
  <si>
    <t>15a</t>
  </si>
  <si>
    <t>Green Acres</t>
  </si>
  <si>
    <t>s2509/s2631</t>
  </si>
  <si>
    <t>15b</t>
  </si>
  <si>
    <t xml:space="preserve">St. John Substation </t>
  </si>
  <si>
    <t>b3775.2</t>
  </si>
  <si>
    <t>15c</t>
  </si>
  <si>
    <t>MidAtlantic Resiliency Link</t>
  </si>
  <si>
    <t>b3800.102</t>
  </si>
  <si>
    <t>15d</t>
  </si>
  <si>
    <t>b3800.106</t>
  </si>
  <si>
    <t>15e</t>
  </si>
  <si>
    <t>b3800.107</t>
  </si>
  <si>
    <t>15f</t>
  </si>
  <si>
    <t>b3800.108</t>
  </si>
  <si>
    <t>15g</t>
  </si>
  <si>
    <t>b3800.109</t>
  </si>
  <si>
    <t>15h</t>
  </si>
  <si>
    <t>b3800.110</t>
  </si>
  <si>
    <t>15i</t>
  </si>
  <si>
    <t>b3800.113</t>
  </si>
  <si>
    <t>15j</t>
  </si>
  <si>
    <t>b3800.115</t>
  </si>
  <si>
    <t>15k</t>
  </si>
  <si>
    <t>b3800.117</t>
  </si>
  <si>
    <t>Annual Totals</t>
  </si>
  <si>
    <t>A</t>
  </si>
  <si>
    <t>Gross Transmission Plant is that identified on page 2 line 2 of Attachment H</t>
  </si>
  <si>
    <t>B</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</si>
  <si>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</si>
  <si>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</si>
  <si>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</si>
  <si>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</si>
  <si>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16.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</si>
  <si>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</si>
  <si>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</si>
  <si>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</si>
  <si>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</si>
  <si>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</si>
  <si>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</si>
  <si>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All facilities other than those being recovered under Schedules 7, 8, 9 are to be included in Attachment 1.</t>
  </si>
  <si>
    <t>N</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</si>
  <si>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</si>
  <si>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</si>
  <si>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</si>
  <si>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Attachment 2</t>
  </si>
  <si>
    <t>Page 1 of 1</t>
  </si>
  <si>
    <t>Incentive ROE</t>
  </si>
  <si>
    <t>Rate Base</t>
  </si>
  <si>
    <t xml:space="preserve">Attachment H, Page 2 line 37, Col.5 </t>
  </si>
  <si>
    <t>100 Basis Point Incentive Return</t>
  </si>
  <si>
    <t>(Attachment H, Notes Q and R)</t>
  </si>
  <si>
    <t xml:space="preserve">  Preferred Stock  </t>
  </si>
  <si>
    <t>(Attachment H, Notes K, Q and R)</t>
  </si>
  <si>
    <t>Cost = Attachment H, Page 4 Line 22, Cost plus .01</t>
  </si>
  <si>
    <t>Total  (sum lines 3-5)</t>
  </si>
  <si>
    <t>100 Basis Point Incentive Return multiplied by Rate Base (line 1 * line 6)</t>
  </si>
  <si>
    <t xml:space="preserve">     T=1 - {[(1 - SIT) * (1 - FIT)] / (1 - SIT * FIT * p)} =</t>
  </si>
  <si>
    <t xml:space="preserve">      WCLTD = Line 3</t>
  </si>
  <si>
    <t xml:space="preserve">       and FIT, SIT &amp; p are as given in footnote K.</t>
  </si>
  <si>
    <t>Amortized Investment Tax Credit (266.8f) (enter negative)</t>
  </si>
  <si>
    <t>Attachment H, Page 3, Line 37</t>
  </si>
  <si>
    <t>Excess Deferred Income Taxes (enter negative)</t>
  </si>
  <si>
    <t>Attachment H, Page 3, Line 38</t>
  </si>
  <si>
    <t>Tax Effect of Permanent Differences  (Note B)</t>
  </si>
  <si>
    <t>Attachment H, Page 3, Line 39</t>
  </si>
  <si>
    <t>Return and Income Taxes with 100 basis point increase in ROE</t>
  </si>
  <si>
    <t>(Sum lines 7 &amp; 21)</t>
  </si>
  <si>
    <t>Return    (Attach. H, page 3 line 46 col 5)</t>
  </si>
  <si>
    <t>Income Tax    (Attach. H, page 3 line 44 col 5)</t>
  </si>
  <si>
    <t>Return and Income Taxes without 100 basis point increase in ROE</t>
  </si>
  <si>
    <t>(Sum lines 23 &amp; 24)</t>
  </si>
  <si>
    <t>Incremental Return and Income Taxes for 100 basis point increase in ROE</t>
  </si>
  <si>
    <t>(Line 22 - line 25)</t>
  </si>
  <si>
    <t>Rate Base (line 1)</t>
  </si>
  <si>
    <t>Incremental Return and Income Taxes for 100 basis point increase in ROE divided by Rate Base</t>
  </si>
  <si>
    <t>(Line 26 / line 27)</t>
  </si>
  <si>
    <t xml:space="preserve">Notes: </t>
  </si>
  <si>
    <t>Line 5 includes a 100 basis point increase in ROE that is used only to determine the increase in return and income taxes associated with</t>
  </si>
  <si>
    <t>a 100 basis point increase in ROE.  Any actual ROE incentive must be approved by the Commission.</t>
  </si>
  <si>
    <t>For example, if the Commission were to grant a 137 basis point ROE incentive, the increase in return and taxes for a 100 basis point</t>
  </si>
  <si>
    <t>increase in ROE would be multiplied by 1.37 on Attachment 1 column 12.</t>
  </si>
  <si>
    <t>The Tax Effect of Permanent Differences captures the differences in the income taxes due under the Federal and State calculations and the income taxes calculated</t>
  </si>
  <si>
    <t xml:space="preserve"> in Attachment H that are not the result of a timing difference</t>
  </si>
  <si>
    <t>Attachment 3</t>
  </si>
  <si>
    <t>Project True-Up</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</si>
  <si>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</si>
  <si>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</si>
  <si>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</si>
  <si>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</si>
  <si>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</si>
  <si>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</si>
  <si>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</si>
  <si>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</si>
  <si>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</si>
  <si>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</si>
  <si>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</si>
  <si>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</si>
  <si>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Interest</t>
  </si>
  <si>
    <t xml:space="preserve"> Project #</t>
  </si>
  <si>
    <t>Net Revenue</t>
  </si>
  <si>
    <t>Revenue</t>
  </si>
  <si>
    <t>Received</t>
  </si>
  <si>
    <t>Under/(Over)</t>
  </si>
  <si>
    <t>Prior Period</t>
  </si>
  <si>
    <t>Income</t>
  </si>
  <si>
    <t>Total True-Up</t>
  </si>
  <si>
    <t>Or Other Identifier</t>
  </si>
  <si>
    <t>Project Name</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</si>
  <si>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</si>
  <si>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</si>
  <si>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</si>
  <si>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</si>
  <si>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</si>
  <si>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</si>
  <si>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</si>
  <si>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L6617/L6615/L97008 Rebuild/Reconductor</t>
  </si>
  <si>
    <t>3a</t>
  </si>
  <si>
    <t>L94507 Reconductor</t>
  </si>
  <si>
    <t>3b</t>
  </si>
  <si>
    <t>3c</t>
  </si>
  <si>
    <t>3d</t>
  </si>
  <si>
    <t>3e</t>
  </si>
  <si>
    <t>3f</t>
  </si>
  <si>
    <t>3g</t>
  </si>
  <si>
    <t>3h</t>
  </si>
  <si>
    <t>3i</t>
  </si>
  <si>
    <t>3j</t>
  </si>
  <si>
    <t>Total Annual Revenue Requirements (Note A)</t>
  </si>
  <si>
    <t>Monthly Interest Rate</t>
  </si>
  <si>
    <t>Interest Income (Expense)</t>
  </si>
  <si>
    <t>Notes:</t>
  </si>
  <si>
    <t>1) From Attachment 1, line 15, col. 14 for the projection for the Rate Year.</t>
  </si>
  <si>
    <t>2) From Attachment 1, line 15, col. 14 for that project based on the actual costs for the Rate Year.</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</si>
  <si>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</si>
  <si>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</si>
  <si>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</si>
  <si>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</si>
  <si>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</si>
  <si>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t>
  </si>
  <si>
    <t>(a)</t>
  </si>
  <si>
    <t>(b)</t>
  </si>
  <si>
    <t>(c)</t>
  </si>
  <si>
    <t>(d)</t>
  </si>
  <si>
    <t>(Note B)</t>
  </si>
  <si>
    <t>In Dollars</t>
  </si>
  <si>
    <t>Note B</t>
  </si>
  <si>
    <t>Col. (b) + Col. (c)</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</si>
  <si>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</si>
  <si>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Prior Period Adjustment is the amount of an adjustment to correct an error in a prior period.  The FERC Refund interest rate specified in CFR 35.19(a) for the period up to the date the projected rates that are subject to True Up here went into effect.</t>
  </si>
  <si>
    <t>Attachment 4</t>
  </si>
  <si>
    <t xml:space="preserve">Rate Base Worksheet </t>
  </si>
  <si>
    <t>Gross Plant In Service</t>
  </si>
  <si>
    <t>CWIP</t>
  </si>
  <si>
    <t>LHFFU</t>
  </si>
  <si>
    <t>Working Capital</t>
  </si>
  <si>
    <t>Accumulated Depreciation</t>
  </si>
  <si>
    <t>Line No</t>
  </si>
  <si>
    <t>Month</t>
  </si>
  <si>
    <t>General &amp; Intangible</t>
  </si>
  <si>
    <t xml:space="preserve">CWIP in Rate Base </t>
  </si>
  <si>
    <t>Held for Future Use</t>
  </si>
  <si>
    <t xml:space="preserve">  Prepayments</t>
  </si>
  <si>
    <t>(e)</t>
  </si>
  <si>
    <t>(f)</t>
  </si>
  <si>
    <t>(g)</t>
  </si>
  <si>
    <t>(h)</t>
  </si>
  <si>
    <t>(i)</t>
  </si>
  <si>
    <t>Attachment H, Page 2, Line No:</t>
  </si>
  <si>
    <t>207.58.g for end of year, records for other months</t>
  </si>
  <si>
    <t>205.5.g &amp; 207.99.g for end of year, records for other months</t>
  </si>
  <si>
    <t>214.x.d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</si>
  <si>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</si>
  <si>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</si>
  <si>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</si>
  <si>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</si>
  <si>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December Prior Year</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</si>
  <si>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</si>
  <si>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</si>
  <si>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</si>
  <si>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</si>
  <si>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</si>
  <si>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</si>
  <si>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</si>
  <si>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</si>
  <si>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</si>
  <si>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</si>
  <si>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</si>
  <si>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</si>
  <si>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</si>
  <si>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</si>
  <si>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</si>
  <si>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</si>
  <si>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281
Accumulated Deferred Income Taxes (Note D)</t>
  </si>
  <si>
    <t>Account No. 282
Accumulated Deferred Income Taxes (Note D)</t>
  </si>
  <si>
    <t>Account No. 283
Accumulated Deferred Income Taxes (Note D)</t>
  </si>
  <si>
    <t>Account No. 190
Accumulated Deferred Income Taxes (Note D)</t>
  </si>
  <si>
    <t>Account No. 255
Accumulated Deferred Investment Credit</t>
  </si>
  <si>
    <t>Notes A &amp; E</t>
  </si>
  <si>
    <t>Notes B &amp; F</t>
  </si>
  <si>
    <t>272.8.b &amp; 273.8.k</t>
  </si>
  <si>
    <t>274.2.b &amp; 275.2.k</t>
  </si>
  <si>
    <t>276.9.b &amp; 277.9.k</t>
  </si>
  <si>
    <t>234.8.b &amp; c</t>
  </si>
  <si>
    <t>Consistent with 266.8.b &amp; 267.8.h</t>
  </si>
  <si>
    <t>Average of the 13 Monthly Balances</t>
  </si>
  <si>
    <t>Unfunded Reserves    (Notes G &amp; H)</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</si>
  <si>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</si>
  <si>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</si>
  <si>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</si>
  <si>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Enter the percentage paid for by the transmission formula customers</t>
  </si>
  <si>
    <t xml:space="preserve">Allocation (Plant or Labor Allocator) </t>
  </si>
  <si>
    <t>Amount Allocated, col. c x col. d x col. e x col. f x col. g</t>
  </si>
  <si>
    <t>30a</t>
  </si>
  <si>
    <t>Reserve 1</t>
  </si>
  <si>
    <t>30b</t>
  </si>
  <si>
    <t>Reserve 2</t>
  </si>
  <si>
    <t>30c</t>
  </si>
  <si>
    <t>Reserve 3</t>
  </si>
  <si>
    <t>30d</t>
  </si>
  <si>
    <t>Reserve 4</t>
  </si>
  <si>
    <t>30e</t>
  </si>
  <si>
    <t>…</t>
  </si>
  <si>
    <t>30f</t>
  </si>
  <si>
    <t>Recovery of regulatory asset is limited to any regulatory assets authorized by FERC.</t>
  </si>
  <si>
    <t>Recovery of abandoned plant is limited to any abandoned plant recovery authorized by FERC.</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</si>
  <si>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</si>
  <si>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</si>
  <si>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</si>
  <si>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ADIT and Accumulated Deferred Income Tax Credits are computed using the average of the beginning of the year and the end of the year balances. The projection will use line 108 of Attachment 4a to populate the average ADIT balance on line 28 above.</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</si>
  <si>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</si>
  <si>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</si>
  <si>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</si>
  <si>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4a - Accumulated Deferred Income Taxes</t>
  </si>
  <si>
    <t>Year Ended December 31, 2024</t>
  </si>
  <si>
    <t>Rate Year =</t>
  </si>
  <si>
    <t>Projected 2025</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</si>
  <si>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</si>
  <si>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</si>
  <si>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</si>
  <si>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</si>
  <si>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</si>
  <si>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</si>
  <si>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</si>
  <si>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</si>
  <si>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</si>
  <si>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</si>
  <si>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</si>
  <si>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March</t>
  </si>
  <si>
    <t>August</t>
  </si>
  <si>
    <t>December</t>
  </si>
  <si>
    <t>Beginning Balance</t>
  </si>
  <si>
    <t>234.8.b</t>
  </si>
  <si>
    <t>Less non Prorated Items</t>
  </si>
  <si>
    <t>Beginning Balance of Prorated items</t>
  </si>
  <si>
    <t>Ending Balance</t>
  </si>
  <si>
    <t>234.8.c</t>
  </si>
  <si>
    <t>Ending Balance of Prorated items</t>
  </si>
  <si>
    <t>Average Balance</t>
  </si>
  <si>
    <t>Line 17, Col H + (Lines 20 + 23)/2</t>
  </si>
  <si>
    <t>Less FASB 106 &amp; 109 Items</t>
  </si>
  <si>
    <t>Attachment H, Footnote B</t>
  </si>
  <si>
    <t>Amount for Attachment 4</t>
  </si>
  <si>
    <t>Account 281</t>
  </si>
  <si>
    <t>274.b</t>
  </si>
  <si>
    <t>275.k</t>
  </si>
  <si>
    <t xml:space="preserve"> Line 44, Col H + (Lines 47 + 50)/2</t>
  </si>
  <si>
    <t>Account 282</t>
  </si>
  <si>
    <t xml:space="preserve">Less non Prorated Items </t>
  </si>
  <si>
    <t>Line 71, Col H + (Lines 74 + 77)/2</t>
  </si>
  <si>
    <t>Account 283</t>
  </si>
  <si>
    <t>276.b</t>
  </si>
  <si>
    <t>277.k</t>
  </si>
  <si>
    <t>Line 98, Col H + (Lines 101 + 104)/2</t>
  </si>
  <si>
    <t>Attachment 5</t>
  </si>
  <si>
    <t>Attachment H, Pages 3 and 4, Worksheet</t>
  </si>
  <si>
    <t>Transmission O&amp;M Expenses</t>
  </si>
  <si>
    <t>Account No. 566 (Misc. Trans. Expense)</t>
  </si>
  <si>
    <t>Account No. 565</t>
  </si>
  <si>
    <t>A&amp;G Expenses</t>
  </si>
  <si>
    <t>FERC Annual Fees</t>
  </si>
  <si>
    <t>EPRI &amp; Reg. Comm. Exp. &amp; Non-safety  Ad.</t>
  </si>
  <si>
    <t>Transmission Related Reg. Comm. Exp.</t>
  </si>
  <si>
    <t>Transmission Lease Payments</t>
  </si>
  <si>
    <t>Amortization of Regulatory Asset</t>
  </si>
  <si>
    <t>Depreciation Expense - Transmission</t>
  </si>
  <si>
    <t>(j)</t>
  </si>
  <si>
    <t>(k)</t>
  </si>
  <si>
    <t>Attachment H, Page 3, Line No.:</t>
  </si>
  <si>
    <t>Form No. 1</t>
  </si>
  <si>
    <t>321.112.b</t>
  </si>
  <si>
    <t>321.97.b</t>
  </si>
  <si>
    <t>321.96.b</t>
  </si>
  <si>
    <t>323.197.b</t>
  </si>
  <si>
    <t>(Note E)</t>
  </si>
  <si>
    <t>Portion of Transmission O&amp;M</t>
  </si>
  <si>
    <t>Portion of Account 566</t>
  </si>
  <si>
    <t>Balance of Account 566</t>
  </si>
  <si>
    <t>336.7.b, d &amp; e</t>
  </si>
  <si>
    <t>1</t>
  </si>
  <si>
    <t>2</t>
  </si>
  <si>
    <t>3</t>
  </si>
  <si>
    <t>4</t>
  </si>
  <si>
    <t>Depreciation Expense - General &amp; Intangible</t>
  </si>
  <si>
    <t>Amortization of Abandoned Plant</t>
  </si>
  <si>
    <t>Payroll Taxes</t>
  </si>
  <si>
    <t>Highway &amp; Vehicle Taxes</t>
  </si>
  <si>
    <t>Property Taxes</t>
  </si>
  <si>
    <t>Gross Receipts Taxes</t>
  </si>
  <si>
    <t>Other Taxes</t>
  </si>
  <si>
    <t>Payments in lieu of Taxes</t>
  </si>
  <si>
    <t>Amortized Investment Tax Credit (266.8f)</t>
  </si>
  <si>
    <t>Excess Deferred Income Taxes</t>
  </si>
  <si>
    <t>Attachment H, Page 3, Line Number</t>
  </si>
  <si>
    <t>336.10.b, d &amp; e, 336.1.b, d &amp; e</t>
  </si>
  <si>
    <t>(Note S)</t>
  </si>
  <si>
    <t>263.i</t>
  </si>
  <si>
    <t>266.8.f</t>
  </si>
  <si>
    <t>(Note W)</t>
  </si>
  <si>
    <t>17</t>
  </si>
  <si>
    <t>18</t>
  </si>
  <si>
    <t>19</t>
  </si>
  <si>
    <t>20</t>
  </si>
  <si>
    <t>21</t>
  </si>
  <si>
    <t>22</t>
  </si>
  <si>
    <t>23</t>
  </si>
  <si>
    <t>24</t>
  </si>
  <si>
    <t>25</t>
  </si>
  <si>
    <t>26</t>
  </si>
  <si>
    <t>Bundled Sales for Resale  included on page 4 of Attachment H</t>
  </si>
  <si>
    <t xml:space="preserve">Transmission charges for all transmission transactions </t>
  </si>
  <si>
    <t>Transmission charges associated with Project detailed on the Project Rev Req Schedule Col. 10.</t>
  </si>
  <si>
    <t>Attachment H, Page 4, Line No:</t>
  </si>
  <si>
    <t>29</t>
  </si>
  <si>
    <t>Attach H, p 1 line 4</t>
  </si>
  <si>
    <t>(Note L)</t>
  </si>
  <si>
    <t>(Note M)</t>
  </si>
  <si>
    <t>Portion of Account 456.1</t>
  </si>
  <si>
    <t>Notes K, Q &amp; R from Attachment H</t>
  </si>
  <si>
    <t>Long Term Interest (117, sum of 62.c through 67.c, Note A)</t>
  </si>
  <si>
    <t>Preferred Dividends (118.29c) (positive number)</t>
  </si>
  <si>
    <t>Proprietary Capital (112.16.c)</t>
  </si>
  <si>
    <t xml:space="preserve">Less Preferred Stock (line 49) </t>
  </si>
  <si>
    <t>Less Account 216.1 (112.12.c)  (enter negative)</t>
  </si>
  <si>
    <t>Common Stock</t>
  </si>
  <si>
    <t>(sum lines 41-43)</t>
  </si>
  <si>
    <t>Note A</t>
  </si>
  <si>
    <t xml:space="preserve">Note C  </t>
  </si>
  <si>
    <t>(Sum of Lines 48-50)</t>
  </si>
  <si>
    <t>Note:</t>
  </si>
  <si>
    <t>Long Term Debt balance will reflect the 13 month average of the balances, of which the 1st and 13th are found on page 112 lines 18.c &amp; d to 21.c &amp; d in the Form No. 1.  The cost is calculated by dividing line 42 by the Long Term Debt balance in line 48.</t>
  </si>
  <si>
    <t>In the event there is a construction loan, line 42 will also include the interest and line 48 will also include the outstanding amounts associated with any short term construction financing, prior to the issuance of long term debt.</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</si>
  <si>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</si>
  <si>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</si>
  <si>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Attachment 6</t>
  </si>
  <si>
    <t>True-Up Interest Rate</t>
  </si>
  <si>
    <t>[A]</t>
  </si>
  <si>
    <t>[B]</t>
  </si>
  <si>
    <t>[C]</t>
  </si>
  <si>
    <t>[D]</t>
  </si>
  <si>
    <t>Quarter (Note A)</t>
  </si>
  <si>
    <t>FERC Quarterly Interest Rate</t>
  </si>
  <si>
    <t>Short Term Debt Rate</t>
  </si>
  <si>
    <t>Rate for Surcharges (Note A (3))</t>
  </si>
  <si>
    <t>Rate for Refunds (column A)</t>
  </si>
  <si>
    <t xml:space="preserve">1st Qtr </t>
  </si>
  <si>
    <t xml:space="preserve">2nd Qtr </t>
  </si>
  <si>
    <t xml:space="preserve">3rd Qtr </t>
  </si>
  <si>
    <t>4th Qtr.</t>
  </si>
  <si>
    <t xml:space="preserve">Average of lines 1-7 above </t>
  </si>
  <si>
    <t>Note A:</t>
  </si>
  <si>
    <t>(1) The FERC Quarterly Interest Rate in column [A] is the interest applicable to the quarter indicated.</t>
  </si>
  <si>
    <t>(2) The Short Term Debt Rate in column [B] is the weighted average Short Term Debt cost applicable to the quarter indicated.</t>
  </si>
  <si>
    <t>(3) The Rate for Surcharges is the lesser of Column A or B if short term debt is issued in the quarter and Column A if there is no short term debt issued in a quarter</t>
  </si>
  <si>
    <t>Year</t>
  </si>
  <si>
    <t>L</t>
  </si>
  <si>
    <t>Date Payments Received</t>
  </si>
  <si>
    <t>Rate (line 8)</t>
  </si>
  <si>
    <t>11a</t>
  </si>
  <si>
    <t>11b</t>
  </si>
  <si>
    <t>11c</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</si>
  <si>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</si>
  <si>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</si>
  <si>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Attachment 7</t>
  </si>
  <si>
    <t>PBOPs</t>
  </si>
  <si>
    <t>Calculation of PBOP Expenses</t>
  </si>
  <si>
    <t>NextEra</t>
  </si>
  <si>
    <t>Total PBOP expenses (Note A)</t>
  </si>
  <si>
    <t>Labor dollars (total labor under PBOP Plan, Note A)</t>
  </si>
  <si>
    <t>Cost per labor dollar (line2 / line3)</t>
  </si>
  <si>
    <t>labor expensed (labor not capitalized) in current year, 354.28.b.</t>
  </si>
  <si>
    <t>PBOP Expense for current year</t>
  </si>
  <si>
    <t>(line 4 * line 5)</t>
  </si>
  <si>
    <t xml:space="preserve">Lines 2-3 cannot change absent approval or acceptance by FERC in a separate proceeding. </t>
  </si>
  <si>
    <t>PBOP amount included in Company's O&amp;M and A&amp;G expenses included in FERC Account Nos. 500-935</t>
  </si>
  <si>
    <t>The source of the amounts from the Actuary Study supporting the numbers in Line 2 and 3 is -</t>
  </si>
  <si>
    <t>Attachment 8</t>
  </si>
  <si>
    <t>Depreciation Rates</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</si>
  <si>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</si>
  <si>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</si>
  <si>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</si>
  <si>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</si>
  <si>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</si>
  <si>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</si>
  <si>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</si>
  <si>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</si>
  <si>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</si>
  <si>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</si>
  <si>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</si>
  <si>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</si>
  <si>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</si>
  <si>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</si>
  <si>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</si>
  <si>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</si>
  <si>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</si>
  <si>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</si>
  <si>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</si>
  <si>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</si>
  <si>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</si>
  <si>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</si>
  <si>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</si>
  <si>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</si>
  <si>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</si>
  <si>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</si>
  <si>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</si>
  <si>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</si>
  <si>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</si>
  <si>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</si>
  <si>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</si>
  <si>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</si>
  <si>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</si>
  <si>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</si>
  <si>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</si>
  <si>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</si>
  <si>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</si>
  <si>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</si>
  <si>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</si>
  <si>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</si>
  <si>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</si>
  <si>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</si>
  <si>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</si>
  <si>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</si>
  <si>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</si>
  <si>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</si>
  <si>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</si>
  <si>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</si>
  <si>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</si>
  <si>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</si>
  <si>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</si>
  <si>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</si>
  <si>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</si>
  <si>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</si>
  <si>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</si>
  <si>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</si>
  <si>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</si>
  <si>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4"/>
        <color indexed="8"/>
        <rFont val="Arial Narrow"/>
        <family val="2"/>
      </rPr>
      <t>These depreciation rates will not change absent the appropriate filing at FERC.</t>
    </r>
    <r>
      <rPr>
        <sz val="14"/>
        <rFont val="Arial Narrow"/>
        <family val="2"/>
      </rPr>
      <t xml:space="preserve"> </t>
    </r>
  </si>
  <si>
    <t>G&amp;A</t>
  </si>
  <si>
    <t/>
  </si>
  <si>
    <t>FERC Account</t>
  </si>
  <si>
    <t>Tax Depreciation</t>
  </si>
  <si>
    <t>DEP101</t>
  </si>
  <si>
    <t>DEP103</t>
  </si>
  <si>
    <t>Reversal of Book Depreciation</t>
  </si>
  <si>
    <t>Date</t>
  </si>
  <si>
    <t xml:space="preserve">Balance Sheet </t>
  </si>
  <si>
    <t>Dec 2024- Dec 2025</t>
  </si>
  <si>
    <t>Actual/ Forecast</t>
  </si>
  <si>
    <t>Forecast</t>
  </si>
  <si>
    <t>*Account</t>
  </si>
  <si>
    <t>*Time</t>
  </si>
  <si>
    <t>012/2024</t>
  </si>
  <si>
    <t>001/2025</t>
  </si>
  <si>
    <t>002/2025</t>
  </si>
  <si>
    <t>003/2025</t>
  </si>
  <si>
    <t>004/2025</t>
  </si>
  <si>
    <t>005/2025</t>
  </si>
  <si>
    <t>006/2025</t>
  </si>
  <si>
    <t>007/2025</t>
  </si>
  <si>
    <t>008/2025</t>
  </si>
  <si>
    <t>009/2025</t>
  </si>
  <si>
    <t>010/2025</t>
  </si>
  <si>
    <t>011/2025</t>
  </si>
  <si>
    <t>012/2025</t>
  </si>
  <si>
    <t>GROSS PLANT IN SERVICE</t>
  </si>
  <si>
    <t>ACC. DEPRECIATION: Plant In Svc - Power Plant and Machinery Equipment</t>
  </si>
  <si>
    <t>ACC. AMORTIZATION</t>
  </si>
  <si>
    <t>Actual/Forecast</t>
  </si>
  <si>
    <t>ExpenseType</t>
  </si>
  <si>
    <t>2025 Total</t>
  </si>
  <si>
    <t>Overall Spend</t>
  </si>
  <si>
    <t>CWIP Balance</t>
  </si>
  <si>
    <t>Code</t>
  </si>
  <si>
    <t>Name</t>
  </si>
  <si>
    <t>2025 Projected</t>
  </si>
  <si>
    <t>9190110/9190210</t>
  </si>
  <si>
    <t>DTA - Non Current</t>
  </si>
  <si>
    <t>DEP157</t>
  </si>
  <si>
    <t>Amortization of Book Goodwill</t>
  </si>
  <si>
    <t>RES136</t>
  </si>
  <si>
    <t>Other Accrued Liabilities</t>
  </si>
  <si>
    <t>S_NOL_SYS_2023(post)</t>
  </si>
  <si>
    <t>Post-Apportioned NOL - 2023</t>
  </si>
  <si>
    <t>S_NOL_SYS_2024(post)</t>
  </si>
  <si>
    <t>Post-Apportioned NOL - 2024</t>
  </si>
  <si>
    <t>Total 9190110/9190210</t>
  </si>
  <si>
    <t>9282110/9282210</t>
  </si>
  <si>
    <t>DTL - Property</t>
  </si>
  <si>
    <t>AFD101</t>
  </si>
  <si>
    <t>AFUDC Debt</t>
  </si>
  <si>
    <t>DEP144</t>
  </si>
  <si>
    <t>Tax/Book Depr Diff</t>
  </si>
  <si>
    <t>EMP803</t>
  </si>
  <si>
    <t>REM101</t>
  </si>
  <si>
    <t>Cost of Removal</t>
  </si>
  <si>
    <t>SAL101</t>
  </si>
  <si>
    <t>Tax Gain/Loss</t>
  </si>
  <si>
    <t>Total 9282110/9282210</t>
  </si>
  <si>
    <t>TOTAL</t>
  </si>
  <si>
    <t>NEET MidAtlantic</t>
  </si>
  <si>
    <t>Annualized</t>
  </si>
  <si>
    <t>Tax Rate</t>
  </si>
  <si>
    <t>Tax impact</t>
  </si>
  <si>
    <t>Permanent Differences:</t>
  </si>
  <si>
    <t>Property Tax</t>
  </si>
  <si>
    <t>Depreciation Exp</t>
  </si>
  <si>
    <t>Property Tax Forecast</t>
  </si>
  <si>
    <t>Estimated Assessed Value</t>
  </si>
  <si>
    <t>Indiana T-Line assets</t>
  </si>
  <si>
    <t>May - 2025</t>
  </si>
  <si>
    <t>Jun - 2025</t>
  </si>
  <si>
    <t>Jul - 2025</t>
  </si>
  <si>
    <t>Aug - 2025</t>
  </si>
  <si>
    <t>Sep - 2025</t>
  </si>
  <si>
    <t>Oct - 2025</t>
  </si>
  <si>
    <t>Nov - 2025</t>
  </si>
  <si>
    <t>Dec - 2025</t>
  </si>
  <si>
    <t>Depreciation Rate</t>
  </si>
  <si>
    <t>Depreciation Expense</t>
  </si>
  <si>
    <t>Actual-Jan - 2025</t>
  </si>
  <si>
    <t>Actual-Feb - 2025</t>
  </si>
  <si>
    <t>Depreciable Base</t>
  </si>
  <si>
    <t>Total Depreciation Expense</t>
  </si>
  <si>
    <t>Actual-Mar - 2025</t>
  </si>
  <si>
    <t>Actual-Apr - 2025</t>
  </si>
  <si>
    <t xml:space="preserve">350.2 - Land Rights </t>
  </si>
  <si>
    <t xml:space="preserve">352 - Structures and Improvements </t>
  </si>
  <si>
    <t xml:space="preserve">353 - Station Equipment </t>
  </si>
  <si>
    <t xml:space="preserve">354  - Towers and Fixtures </t>
  </si>
  <si>
    <t>355  - Poles and Fixtures</t>
  </si>
  <si>
    <t xml:space="preserve">356  - Overhead Conductor and Devices </t>
  </si>
  <si>
    <t>Amount to accrue monthly</t>
  </si>
  <si>
    <t>Adjusted 2025 Property tax Accrual</t>
  </si>
  <si>
    <t>Est. Adj for overaccrual of 2024 &amp; 2025 decrease</t>
  </si>
  <si>
    <t>Estimated Property Tax</t>
  </si>
  <si>
    <t>351 - Computer Hardware</t>
  </si>
  <si>
    <t>MARL Capital</t>
  </si>
  <si>
    <t>Other</t>
  </si>
  <si>
    <t>Other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</si>
</sst>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_(* #,##0.0_);_(* \(#,##0.0\);_(* &quot;-&quot;??_);_(@_)"/>
    <numFmt numFmtId="180" formatCode="#,##0.0_);\(#,##0.0\)"/>
    <numFmt numFmtId="181" formatCode="&quot;$&quot;#,##0.000_);\(&quot;$&quot;#,##0.000\)"/>
    <numFmt numFmtId="182" formatCode="&quot;$&quot;#,##0.0_);\(&quot;$&quot;#,##0.0\)"/>
    <numFmt numFmtId="183" formatCode="#,##0.000_);\(#,##0.000\)"/>
    <numFmt numFmtId="184" formatCode="_(* #,##0.0000_);_(* \(#,##0.0000\);_(* &quot;-&quot;??_);_(@_)"/>
    <numFmt numFmtId="185" formatCode="_(* #,##0.00000_);_(* \(#,##0.00000\);_(* &quot;-&quot;??_);_(@_)"/>
    <numFmt numFmtId="186" formatCode="_(* #,##0.0\¢_m;[Red]_(* \-#,##0.0\¢_m;[Green]_(* 0.0\¢_m;_(@_)_%"/>
    <numFmt numFmtId="187" formatCode="_(* #,##0.00\¢_m;[Red]_(* \-#,##0.00\¢_m;[Green]_(* 0.00\¢_m;_(@_)_%"/>
    <numFmt numFmtId="188" formatCode="_(* #,##0.000\¢_m;[Red]_(* \-#,##0.000\¢_m;[Green]_(* 0.000\¢_m;_(@_)_%"/>
    <numFmt numFmtId="189" formatCode="_(_(\£* #,##0_)_%;[Red]_(\(\£* #,##0\)_%;[Green]_(_(\£* #,##0_)_%;_(@_)_%"/>
    <numFmt numFmtId="190" formatCode="_(_(\£* #,##0.0_)_%;[Red]_(\(\£* #,##0.0\)_%;[Green]_(_(\£* #,##0.0_)_%;_(@_)_%"/>
    <numFmt numFmtId="191" formatCode="_(_(\£* #,##0.00_)_%;[Red]_(\(\£* #,##0.00\)_%;[Green]_(_(\£* #,##0.00_)_%;_(@_)_%"/>
    <numFmt numFmtId="192" formatCode="0.0%_);\(0.0%\)"/>
    <numFmt numFmtId="193" formatCode="\•\ \ @"/>
    <numFmt numFmtId="194" formatCode="_(_(\•_ #0_)_%;[Red]_(_(\•_ \-#0\)_%;[Green]_(_(\•_ #0_)_%;_(_(\•_ @_)_%"/>
    <numFmt numFmtId="195" formatCode="_(_(_•_ \•_ #0_)_%;[Red]_(_(_•_ \•_ \-#0\)_%;[Green]_(_(_•_ \•_ #0_)_%;_(_(_•_ \•_ @_)_%"/>
    <numFmt numFmtId="196" formatCode="_(_(_•_ _•_ \•_ #0_)_%;[Red]_(_(_•_ _•_ \•_ \-#0\)_%;[Green]_(_(_•_ _•_ \•_ #0_)_%;_(_(_•_ \•_ @_)_%"/>
    <numFmt numFmtId="197" formatCode="#,##0,_);\(#,##0,\)"/>
    <numFmt numFmtId="198" formatCode="0.0,_);\(0.0,\)"/>
    <numFmt numFmtId="199" formatCode="0.00,_);\(0.00,\)"/>
    <numFmt numFmtId="200" formatCode="_(_(_$* #,##0.0_)_%;[Red]_(\(_$* #,##0.0\)_%;[Green]_(_(_$* #,##0.0_)_%;_(@_)_%"/>
    <numFmt numFmtId="201" formatCode="_(_(_$* #,##0.00_)_%;[Red]_(\(_$* #,##0.00\)_%;[Green]_(_(_$* #,##0.00_)_%;_(@_)_%"/>
    <numFmt numFmtId="202" formatCode="_(_(_$* #,##0.000_)_%;[Red]_(\(_$* #,##0.000\)_%;[Green]_(_(_$* #,##0.000_)_%;_(@_)_%"/>
    <numFmt numFmtId="203" formatCode="_._.* #,##0.0_)_%;_._.* \(#,##0.0\)_%;_._.* \ ?_)_%"/>
    <numFmt numFmtId="204" formatCode="_._.* #,##0.00_)_%;_._.* \(#,##0.00\)_%;_._.* \ ?_)_%"/>
    <numFmt numFmtId="205" formatCode="_._.* #,##0.000_)_%;_._.* \(#,##0.000\)_%;_._.* \ ?_)_%"/>
    <numFmt numFmtId="206" formatCode="_._.* #,##0.0000_)_%;_._.* \(#,##0.0000\)_%;_._.* \ ?_)_%"/>
    <numFmt numFmtId="207" formatCode="_(_(&quot;$&quot;* #,##0.0_)_%;[Red]_(\(&quot;$&quot;* #,##0.0\)_%;[Green]_(_(&quot;$&quot;* #,##0.0_)_%;_(@_)_%"/>
    <numFmt numFmtId="208" formatCode="_(_(&quot;$&quot;* #,##0.00_)_%;[Red]_(\(&quot;$&quot;* #,##0.00\)_%;[Green]_(_(&quot;$&quot;* #,##0.00_)_%;_(@_)_%"/>
    <numFmt numFmtId="209" formatCode="_(_(&quot;$&quot;* #,##0.000_)_%;[Red]_(\(&quot;$&quot;* #,##0.000\)_%;[Green]_(_(&quot;$&quot;* #,##0.000_)_%;_(@_)_%"/>
    <numFmt numFmtId="210" formatCode="_._.&quot;$&quot;* #,##0.0_)_%;_._.&quot;$&quot;* \(#,##0.0\)_%;_._.&quot;$&quot;* \ ?_)_%"/>
    <numFmt numFmtId="211" formatCode="_._.&quot;$&quot;* #,##0.00_)_%;_._.&quot;$&quot;* \(#,##0.00\)_%;_._.&quot;$&quot;* \ ?_)_%"/>
    <numFmt numFmtId="212" formatCode="_._.&quot;$&quot;* #,##0.000_)_%;_._.&quot;$&quot;* \(#,##0.000\)_%;_._.&quot;$&quot;* \ ?_)_%"/>
    <numFmt numFmtId="213" formatCode="_._.&quot;$&quot;* #,##0.0000_)_%;_._.&quot;$&quot;* \(#,##0.0000\)_%;_._.&quot;$&quot;* \ ?_)_%"/>
    <numFmt numFmtId="214" formatCode="&quot;$&quot;#,##0,_);\(&quot;$&quot;#,##0,\)"/>
    <numFmt numFmtId="215" formatCode="&quot;$&quot;0.0,_);\(&quot;$&quot;0.0,\)"/>
    <numFmt numFmtId="216" formatCode="&quot;$&quot;0.00,_);\(&quot;$&quot;0.00,\)"/>
    <numFmt numFmtId="217" formatCode="_(* dd\-mmm\-yy_)_%"/>
    <numFmt numFmtId="218" formatCode="_(* dd\ mmmm\ yyyy_)_%"/>
    <numFmt numFmtId="219" formatCode="_(* mmmm\ dd\,\ yyyy_)_%"/>
    <numFmt numFmtId="220" formatCode="_(* dd\.mm\.yyyy_)_%"/>
    <numFmt numFmtId="221" formatCode="_(* mm/dd/yyyy_)_%"/>
    <numFmt numFmtId="222" formatCode="m/d/yy;@"/>
    <numFmt numFmtId="223" formatCode="#,##0.0\x_);\(#,##0.0\x\)"/>
    <numFmt numFmtId="224" formatCode="#,##0.00\x_);\(#,##0.00\x\)"/>
    <numFmt numFmtId="225" formatCode="[$€-2]\ #,##0_);\([$€-2]\ #,##0\)"/>
    <numFmt numFmtId="226" formatCode="[$€-2]\ #,##0.0_);\([$€-2]\ #,##0.0\)"/>
    <numFmt numFmtId="227" formatCode="_([$€-2]* #,##0.00_);_([$€-2]* \(#,##0.00\);_([$€-2]* &quot;-&quot;??_)"/>
    <numFmt numFmtId="228" formatCode="General_)_%"/>
    <numFmt numFmtId="229" formatCode="_(_(#0_)_%;[Red]_(_(\-#0\)_%;[Green]_(_(#0_)_%;_(_(@_)_%"/>
    <numFmt numFmtId="230" formatCode="_(_(_•_ #0_)_%;[Red]_(_(_•_ \-#0\)_%;[Green]_(_(_•_ #0_)_%;_(_(_•_ @_)_%"/>
    <numFmt numFmtId="231" formatCode="_(_(_•_ _•_ #0_)_%;[Red]_(_(_•_ _•_ \-#0\)_%;[Green]_(_(_•_ _•_ #0_)_%;_(_(_•_ _•_ @_)_%"/>
    <numFmt numFmtId="232" formatCode="_(_(_•_ _•_ _•_ #0_)_%;[Red]_(_(_•_ _•_ _•_ \-#0\)_%;[Green]_(_(_•_ _•_ _•_ #0_)_%;_(_(_•_ _•_ _•_ @_)_%"/>
    <numFmt numFmtId="233" formatCode="#,##0\x;\(#,##0\x\)"/>
    <numFmt numFmtId="234" formatCode="0.0\x;\(0.0\x\)"/>
    <numFmt numFmtId="235" formatCode="#,##0.00\x;\(#,##0.00\x\)"/>
    <numFmt numFmtId="236" formatCode="#,##0.000\x;\(#,##0.000\x\)"/>
    <numFmt numFmtId="237" formatCode="0.0_);\(0.0\)"/>
    <numFmt numFmtId="238" formatCode="0%;\(0%\)"/>
    <numFmt numFmtId="239" formatCode="0.00\ \x_);\(0.00\ \x\)"/>
    <numFmt numFmtId="240" formatCode="_(* #,##0_);_(* \(#,##0\);_(* &quot;-&quot;????_);_(@_)"/>
    <numFmt numFmtId="241" formatCode="0__"/>
    <numFmt numFmtId="242" formatCode="h:mmAM/PM"/>
    <numFmt numFmtId="243" formatCode="0&quot; E&quot;"/>
    <numFmt numFmtId="244" formatCode="yyyy"/>
    <numFmt numFmtId="245" formatCode="0.0%;\(0.0%\)"/>
    <numFmt numFmtId="246" formatCode="0.00%_);\(0.00%\)"/>
    <numFmt numFmtId="247" formatCode="0.000%_);\(0.000%\)"/>
    <numFmt numFmtId="248" formatCode="_(0_)%;\(0\)%;\ \ ?_)%"/>
    <numFmt numFmtId="249" formatCode="_._._(* 0_)%;_._.* \(0\)%;_._._(* \ ?_)%"/>
    <numFmt numFmtId="250" formatCode="0%_);\(0%\)"/>
    <numFmt numFmtId="251" formatCode="_(* #,##0_)_%;[Red]_(* \(#,##0\)_%;[Green]_(* 0_)_%;_(@_)_%"/>
    <numFmt numFmtId="252" formatCode="_(* #,##0.0%_);[Red]_(* \-#,##0.0%_);[Green]_(* 0.0%_);_(@_)_%"/>
    <numFmt numFmtId="253" formatCode="_(* #,##0.00%_);[Red]_(* \-#,##0.00%_);[Green]_(* 0.00%_);_(@_)_%"/>
    <numFmt numFmtId="254" formatCode="_(* #,##0.000%_);[Red]_(* \-#,##0.000%_);[Green]_(* 0.000%_);_(@_)_%"/>
    <numFmt numFmtId="255" formatCode="_(0.0_)%;\(0.0\)%;\ \ ?_)%"/>
    <numFmt numFmtId="256" formatCode="_._._(* 0.0_)%;_._.* \(0.0\)%;_._._(* \ ?_)%"/>
    <numFmt numFmtId="257" formatCode="_(0.00_)%;\(0.00\)%;\ \ ?_)%"/>
    <numFmt numFmtId="258" formatCode="_._._(* 0.00_)%;_._.* \(0.00\)%;_._._(* \ ?_)%"/>
    <numFmt numFmtId="259" formatCode="_(0.000_)%;\(0.000\)%;\ \ ?_)%"/>
    <numFmt numFmtId="260" formatCode="_._._(* 0.000_)%;_._.* \(0.000\)%;_._._(* \ ?_)%"/>
    <numFmt numFmtId="261" formatCode="_(0.0000_)%;\(0.0000\)%;\ \ ?_)%"/>
    <numFmt numFmtId="262" formatCode="_._._(* 0.0000_)%;_._.* \(0.0000\)%;_._._(* \ ?_)%"/>
    <numFmt numFmtId="263" formatCode="mmmm\ dd\,\ yy"/>
    <numFmt numFmtId="264" formatCode="0.0\x"/>
    <numFmt numFmtId="265" formatCode="_(* #,##0_);_(* \(#,##0\);_(* \ ?_)"/>
    <numFmt numFmtId="266" formatCode="_(* #,##0.0_);_(* \(#,##0.0\);_(* \ ?_)"/>
    <numFmt numFmtId="267" formatCode="_(* #,##0.00_);_(* \(#,##0.00\);_(* \ ?_)"/>
    <numFmt numFmtId="268" formatCode="_(* #,##0.000_);_(* \(#,##0.000\);_(* \ ?_)"/>
    <numFmt numFmtId="269" formatCode="_(&quot;$&quot;* #,##0_);_(&quot;$&quot;* \(#,##0\);_(&quot;$&quot;* \ ?_)"/>
    <numFmt numFmtId="270" formatCode="_(&quot;$&quot;* #,##0.0_);_(&quot;$&quot;* \(#,##0.0\);_(&quot;$&quot;* \ ?_)"/>
    <numFmt numFmtId="271" formatCode="_(&quot;$&quot;* #,##0.00_);_(&quot;$&quot;* \(#,##0.00\);_(&quot;$&quot;* \ ?_)"/>
    <numFmt numFmtId="272" formatCode="_(&quot;$&quot;* #,##0.000_);_(&quot;$&quot;* \(#,##0.000\);_(&quot;$&quot;* \ ?_)"/>
    <numFmt numFmtId="273" formatCode="0000&quot;A&quot;"/>
    <numFmt numFmtId="274" formatCode="0&quot;E&quot;"/>
    <numFmt numFmtId="275" formatCode="0000&quot;E&quot;"/>
    <numFmt numFmtId="276" formatCode="_(* #,##0.000000_);_(* \(#,##0.000000\);_(* &quot;-&quot;??_);_(@_)"/>
    <numFmt numFmtId="277" formatCode="_(* #,##0.0000000_);_(* \(#,##0.0000000\);_(* &quot;-&quot;??_);_(@_)"/>
    <numFmt numFmtId="278" formatCode="_(* #,##0.00000_);_(* \(#,##0.00000\);_(* &quot;-&quot;?????_);_(@_)"/>
    <numFmt numFmtId="279" formatCode="0.0000%"/>
    <numFmt numFmtId="280" formatCode="_(* #,##0.000_);_(* \(#,##0.000\);_(* &quot;-&quot;??_);_(@_)"/>
    <numFmt numFmtId="281" formatCode="[$-409]mmm\-yy;@"/>
    <numFmt numFmtId="282" formatCode="###,000"/>
    <numFmt numFmtId="283" formatCode="#,##0;\(#,##0\);#,##0"/>
    <numFmt numFmtId="284" formatCode="&quot;               &quot;@"/>
    <numFmt numFmtId="285" formatCode="_(&quot;$&quot;* #,##0.0000_);_(&quot;$&quot;* \(#,##0.0000\);_(&quot;$&quot;* &quot;-&quot;????_);_(@_)"/>
    <numFmt numFmtId="286" formatCode="[&gt;=0]#,##0;[&lt;0]\(#,##0\)"/>
    <numFmt numFmtId="287" formatCode="&quot;                 &quot;@"/>
    <numFmt numFmtId="288" formatCode="#,##0_);[Red]\(#,##0\);&quot; &quot;"/>
    <numFmt numFmtId="289" formatCode="[$$-1409]#,##0.00"/>
    <numFmt numFmtId="290" formatCode="#,##0.00%_);[Red]\(#,##0.00%\);&quot; &quot;"/>
  </numFmts>
  <fonts count="19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Narrow"/>
      <family val="2"/>
    </font>
    <font>
      <sz val="12"/>
      <color indexed="8"/>
      <name val="Arial Narrow"/>
      <family val="2"/>
    </font>
    <font>
      <b/>
      <sz val="12"/>
      <name val="Arial Narrow"/>
      <family val="2"/>
    </font>
    <font>
      <b/>
      <sz val="12"/>
      <color indexed="8"/>
      <name val="Arial Narrow"/>
      <family val="2"/>
    </font>
    <font>
      <b/>
      <sz val="12"/>
      <name val="Times New Roman"/>
      <family val="1"/>
    </font>
    <font>
      <sz val="11"/>
      <color indexed="8"/>
      <name val="Arial Narrow"/>
      <family val="2"/>
    </font>
    <font>
      <sz val="10"/>
      <color rgb="FF0000FF"/>
      <name val="Arial"/>
      <family val="2"/>
    </font>
    <font>
      <sz val="11"/>
      <color indexed="8"/>
      <name val="Arial"/>
      <family val="2"/>
    </font>
    <font>
      <sz val="14"/>
      <name val="Arial Narrow"/>
      <family val="2"/>
    </font>
    <font>
      <sz val="14"/>
      <color indexed="8"/>
      <name val="Arial Narrow"/>
      <family val="2"/>
    </font>
    <font>
      <sz val="14"/>
      <name val="Arial"/>
      <family val="2"/>
    </font>
    <font>
      <sz val="14"/>
      <name val="Times New Roman"/>
      <family val="1"/>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font>
    <font>
      <sz val="11"/>
      <color indexed="10"/>
      <name val="Calibri"/>
      <family val="2"/>
      <scheme val="minor"/>
    </font>
    <font>
      <sz val="10"/>
      <color rgb="FFFF0000"/>
      <name val="Times New Roman"/>
      <family val="1"/>
    </font>
    <font>
      <sz val="8"/>
      <name val="Arial MT"/>
    </font>
    <font>
      <sz val="12"/>
      <name val="Arial"/>
      <family val="2"/>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b/>
      <sz val="12"/>
      <color rgb="FFFF000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sz val="9"/>
      <color theme="1"/>
      <name val="Arial"/>
      <family val="2"/>
    </font>
    <font>
      <sz val="10"/>
      <color theme="1"/>
      <name val="Calibri"/>
      <family val="2"/>
    </font>
    <font>
      <b/>
      <sz val="10"/>
      <color theme="1"/>
      <name val="Calibri"/>
      <family val="2"/>
      <scheme val="minor"/>
    </font>
    <font>
      <sz val="9"/>
      <color theme="1"/>
      <name val="Calibri"/>
      <family val="2"/>
      <scheme val="minor"/>
    </font>
    <font>
      <sz val="10"/>
      <color theme="1"/>
      <name val="Calibri"/>
      <family val="2"/>
      <scheme val="minor"/>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b/>
      <sz val="10"/>
      <color rgb="FF33CC33"/>
      <name val="Arial"/>
      <family val="2"/>
    </font>
    <font>
      <b/>
      <sz val="10"/>
      <color rgb="FFFF9900"/>
      <name val="Arial"/>
      <family val="2"/>
    </font>
    <font>
      <b/>
      <sz val="10"/>
      <color rgb="FFFF0000"/>
      <name val="Arial"/>
      <family val="2"/>
    </font>
    <font>
      <sz val="8"/>
      <name val="Arial"/>
      <family val="2"/>
    </font>
    <font>
      <sz val="9"/>
      <name val="Calibri"/>
      <family val="2"/>
    </font>
    <font>
      <sz val="12"/>
      <name val="Arial MT"/>
      <family val="2"/>
    </font>
    <font>
      <b/>
      <sz val="10"/>
      <color rgb="FF0000FF"/>
      <name val="Times New Roman"/>
      <family val="1"/>
    </font>
    <font>
      <sz val="10"/>
      <color rgb="FF0000FF"/>
      <name val="Times New Roman"/>
      <family val="1"/>
    </font>
    <font>
      <b/>
      <sz val="10"/>
      <color rgb="FF7030A0"/>
      <name val="Times New Roman"/>
      <family val="1"/>
    </font>
    <font>
      <sz val="12"/>
      <color theme="0"/>
      <name val="Calibri"/>
      <family val="2"/>
      <scheme val="minor"/>
    </font>
    <font>
      <b/>
      <sz val="10"/>
      <color theme="0"/>
      <name val="Calibri"/>
      <family val="2"/>
      <scheme val="minor"/>
    </font>
    <font>
      <sz val="10"/>
      <color theme="1"/>
      <name val="Arial"/>
      <family val="2"/>
    </font>
    <font>
      <sz val="9"/>
      <name val="Calibri"/>
      <family val="2"/>
    </font>
  </fonts>
  <fills count="95">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CC"/>
      </patternFill>
    </fill>
    <fill>
      <patternFill patternType="solid">
        <fgColor theme="2"/>
        <bgColor indexed="64"/>
      </patternFill>
    </fill>
    <fill>
      <patternFill patternType="solid">
        <fgColor rgb="FFD5E3FF"/>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theme="4" tint="-0.24994659260841701"/>
        <bgColor indexed="64"/>
      </patternFill>
    </fill>
    <fill>
      <patternFill patternType="solid">
        <fgColor rgb="FF90ABDC"/>
        <bgColor rgb="FF8FB4FF"/>
      </patternFill>
    </fill>
  </fills>
  <borders count="78">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right style="thin">
        <color indexed="64"/>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theme="3"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auto="1"/>
      </top>
      <bottom style="medium">
        <color auto="1"/>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style="double">
        <color auto="1"/>
      </bottom>
      <diagonal/>
    </border>
    <border>
      <left/>
      <right/>
      <top/>
      <bottom style="medium">
        <color auto="1"/>
      </bottom>
      <diagonal/>
    </border>
    <border>
      <left style="thin">
        <color theme="3" tint="-0.24994659260841701"/>
      </left>
      <right style="thin">
        <color rgb="FF808080"/>
      </right>
      <top style="thin">
        <color rgb="FF808080"/>
      </top>
      <bottom style="thin">
        <color rgb="FF808080"/>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medium">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style="double">
        <color auto="1"/>
      </bottom>
      <diagonal/>
    </border>
    <border>
      <left style="thin">
        <color indexed="64"/>
      </left>
      <right style="thin">
        <color indexed="64"/>
      </right>
      <top style="thin">
        <color auto="1"/>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auto="1"/>
      </top>
      <bottom style="medium">
        <color auto="1"/>
      </bottom>
      <diagonal/>
    </border>
    <border>
      <left/>
      <right/>
      <top style="thin">
        <color auto="1"/>
      </top>
      <bottom style="double">
        <color auto="1"/>
      </bottom>
      <diagonal/>
    </border>
    <border>
      <left style="thin">
        <color indexed="64"/>
      </left>
      <right style="thin">
        <color indexed="64"/>
      </right>
      <top style="thin">
        <color auto="1"/>
      </top>
      <bottom style="thin">
        <color indexed="64"/>
      </bottom>
      <diagonal/>
    </border>
    <border>
      <left/>
      <right/>
      <top style="thin">
        <color indexed="64"/>
      </top>
      <bottom/>
      <diagonal/>
    </border>
    <border>
      <left/>
      <right/>
      <top style="thin">
        <color auto="1"/>
      </top>
      <bottom style="medium">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1024">
    <xf numFmtId="174" fontId="0" fillId="0" borderId="0" applyProtection="0"/>
    <xf numFmtId="0" fontId="24" fillId="0" borderId="0"/>
    <xf numFmtId="186" fontId="62" fillId="0" borderId="0" applyFont="0" applyFill="0" applyBorder="0" applyAlignment="0" applyProtection="0"/>
    <xf numFmtId="187" fontId="62" fillId="0" borderId="0" applyFont="0" applyFill="0" applyBorder="0" applyAlignment="0" applyProtection="0"/>
    <xf numFmtId="188" fontId="62" fillId="0" borderId="0" applyFont="0" applyFill="0" applyBorder="0" applyAlignment="0" applyProtection="0"/>
    <xf numFmtId="189" fontId="62" fillId="0" borderId="0" applyFont="0" applyFill="0" applyBorder="0" applyAlignment="0" applyProtection="0"/>
    <xf numFmtId="190" fontId="62" fillId="0" borderId="0" applyFont="0" applyFill="0" applyBorder="0" applyAlignment="0" applyProtection="0"/>
    <xf numFmtId="191" fontId="62" fillId="0" borderId="0" applyFont="0" applyFill="0" applyBorder="0" applyAlignment="0" applyProtection="0"/>
    <xf numFmtId="0" fontId="32" fillId="0" borderId="0"/>
    <xf numFmtId="192" fontId="24" fillId="2" borderId="0" applyNumberFormat="0" applyFill="0" applyBorder="0" applyAlignment="0" applyProtection="0">
      <alignment horizontal="right" vertical="center"/>
    </xf>
    <xf numFmtId="192" fontId="56" fillId="0" borderId="0" applyNumberFormat="0" applyFill="0" applyBorder="0" applyAlignment="0" applyProtection="0"/>
    <xf numFmtId="0" fontId="24" fillId="0" borderId="1" applyNumberFormat="0" applyFont="0" applyFill="0" applyAlignment="0" applyProtection="0"/>
    <xf numFmtId="193" fontId="54" fillId="0" borderId="0" applyFont="0" applyFill="0" applyBorder="0" applyAlignment="0" applyProtection="0"/>
    <xf numFmtId="194" fontId="62" fillId="0" borderId="0" applyFont="0" applyFill="0" applyBorder="0" applyProtection="0">
      <alignment horizontal="left"/>
    </xf>
    <xf numFmtId="195" fontId="62" fillId="0" borderId="0" applyFont="0" applyFill="0" applyBorder="0" applyProtection="0">
      <alignment horizontal="left"/>
    </xf>
    <xf numFmtId="196" fontId="62" fillId="0" borderId="0" applyFont="0" applyFill="0" applyBorder="0" applyProtection="0">
      <alignment horizontal="left"/>
    </xf>
    <xf numFmtId="37" fontId="63" fillId="0" borderId="0" applyFont="0" applyFill="0" applyBorder="0" applyAlignment="0" applyProtection="0">
      <alignment vertical="center"/>
      <protection locked="0"/>
    </xf>
    <xf numFmtId="197" fontId="64" fillId="0" borderId="0" applyFont="0" applyFill="0" applyBorder="0" applyAlignment="0" applyProtection="0"/>
    <xf numFmtId="0" fontId="65" fillId="0" borderId="0"/>
    <xf numFmtId="0" fontId="65" fillId="0" borderId="0"/>
    <xf numFmtId="174" fontId="22" fillId="0" borderId="0" applyFill="0"/>
    <xf numFmtId="174" fontId="22" fillId="0" borderId="0">
      <alignment horizontal="center"/>
    </xf>
    <xf numFmtId="0" fontId="22" fillId="0" borderId="0" applyFill="0">
      <alignment horizontal="center"/>
    </xf>
    <xf numFmtId="174" fontId="23" fillId="0" borderId="2" applyFill="0"/>
    <xf numFmtId="0" fontId="24" fillId="0" borderId="0" applyFont="0" applyAlignment="0"/>
    <xf numFmtId="0" fontId="25" fillId="0" borderId="0" applyFill="0">
      <alignment vertical="top"/>
    </xf>
    <xf numFmtId="0" fontId="23" fillId="0" borderId="0" applyFill="0">
      <alignment horizontal="left" vertical="top"/>
    </xf>
    <xf numFmtId="174" fontId="26" fillId="0" borderId="3" applyFill="0"/>
    <xf numFmtId="0" fontId="24" fillId="0" borderId="0" applyNumberFormat="0" applyFont="0" applyAlignment="0"/>
    <xf numFmtId="0" fontId="25" fillId="0" borderId="0" applyFill="0">
      <alignment wrapText="1"/>
    </xf>
    <xf numFmtId="0" fontId="23" fillId="0" borderId="0" applyFill="0">
      <alignment horizontal="left" vertical="top" wrapText="1"/>
    </xf>
    <xf numFmtId="174" fontId="27" fillId="0" borderId="0" applyFill="0"/>
    <xf numFmtId="0" fontId="28" fillId="0" borderId="0" applyNumberFormat="0" applyFont="0" applyAlignment="0">
      <alignment horizontal="center"/>
    </xf>
    <xf numFmtId="0" fontId="29" fillId="0" borderId="0" applyFill="0">
      <alignment vertical="top" wrapText="1"/>
    </xf>
    <xf numFmtId="0" fontId="26" fillId="0" borderId="0" applyFill="0">
      <alignment horizontal="left" vertical="top" wrapText="1"/>
    </xf>
    <xf numFmtId="174" fontId="24" fillId="0" borderId="0" applyFill="0"/>
    <xf numFmtId="0" fontId="28" fillId="0" borderId="0" applyNumberFormat="0" applyFont="0" applyAlignment="0">
      <alignment horizontal="center"/>
    </xf>
    <xf numFmtId="0" fontId="30" fillId="0" borderId="0" applyFill="0">
      <alignment vertical="center" wrapText="1"/>
    </xf>
    <xf numFmtId="0" fontId="31" fillId="0" borderId="0">
      <alignment horizontal="left" vertical="center" wrapText="1"/>
    </xf>
    <xf numFmtId="174" fontId="32" fillId="0" borderId="0" applyFill="0"/>
    <xf numFmtId="0" fontId="28" fillId="0" borderId="0" applyNumberFormat="0" applyFont="0" applyAlignment="0">
      <alignment horizontal="center"/>
    </xf>
    <xf numFmtId="0" fontId="33" fillId="0" borderId="0" applyFill="0">
      <alignment horizontal="center" vertical="center" wrapText="1"/>
    </xf>
    <xf numFmtId="0" fontId="34" fillId="0" borderId="0" applyFill="0">
      <alignment horizontal="center" vertical="center" wrapText="1"/>
    </xf>
    <xf numFmtId="0" fontId="24" fillId="0" borderId="0" applyFill="0">
      <alignment horizontal="center" vertical="center" wrapText="1"/>
    </xf>
    <xf numFmtId="174" fontId="35" fillId="0" borderId="0" applyFill="0"/>
    <xf numFmtId="0" fontId="28" fillId="0" borderId="0" applyNumberFormat="0" applyFont="0" applyAlignment="0">
      <alignment horizontal="center"/>
    </xf>
    <xf numFmtId="0" fontId="36" fillId="0" borderId="0" applyFill="0">
      <alignment horizontal="center" vertical="center" wrapText="1"/>
    </xf>
    <xf numFmtId="0" fontId="37" fillId="0" borderId="0" applyFill="0">
      <alignment horizontal="center" vertical="center" wrapText="1"/>
    </xf>
    <xf numFmtId="174" fontId="38" fillId="0" borderId="0" applyFill="0"/>
    <xf numFmtId="0" fontId="28" fillId="0" borderId="0" applyNumberFormat="0" applyFont="0" applyAlignment="0">
      <alignment horizontal="center"/>
    </xf>
    <xf numFmtId="0" fontId="39" fillId="0" borderId="0">
      <alignment horizontal="center" wrapText="1"/>
    </xf>
    <xf numFmtId="0" fontId="35" fillId="0" borderId="0" applyFill="0">
      <alignment horizontal="center" wrapText="1"/>
    </xf>
    <xf numFmtId="180" fontId="66" fillId="0" borderId="0" applyFont="0" applyFill="0" applyBorder="0" applyAlignment="0" applyProtection="0">
      <protection locked="0"/>
    </xf>
    <xf numFmtId="198" fontId="66" fillId="0" borderId="0" applyFont="0" applyFill="0" applyBorder="0" applyAlignment="0" applyProtection="0">
      <protection locked="0"/>
    </xf>
    <xf numFmtId="39" fontId="24" fillId="0" borderId="0" applyFont="0" applyFill="0" applyBorder="0" applyAlignment="0" applyProtection="0"/>
    <xf numFmtId="199" fontId="67" fillId="0" borderId="0" applyFont="0" applyFill="0" applyBorder="0" applyAlignment="0" applyProtection="0"/>
    <xf numFmtId="183" fontId="64" fillId="0" borderId="0" applyFont="0" applyFill="0" applyBorder="0" applyAlignment="0" applyProtection="0"/>
    <xf numFmtId="0" fontId="24" fillId="0" borderId="1" applyNumberFormat="0" applyFont="0" applyFill="0" applyBorder="0" applyProtection="0">
      <alignment horizontal="centerContinuous" vertical="center"/>
    </xf>
    <xf numFmtId="0" fontId="48" fillId="0" borderId="0" applyFill="0" applyBorder="0" applyProtection="0">
      <alignment horizontal="center"/>
      <protection locked="0"/>
    </xf>
    <xf numFmtId="43" fontId="24" fillId="0" borderId="0" applyFont="0" applyFill="0" applyBorder="0" applyAlignment="0" applyProtection="0"/>
    <xf numFmtId="0" fontId="2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1" fontId="24" fillId="0" borderId="0" applyFont="0" applyFill="0" applyBorder="0" applyAlignment="0" applyProtection="0"/>
    <xf numFmtId="200" fontId="62" fillId="0" borderId="0" applyFont="0" applyFill="0" applyBorder="0" applyAlignment="0" applyProtection="0"/>
    <xf numFmtId="201" fontId="62" fillId="0" borderId="0" applyFont="0" applyFill="0" applyBorder="0" applyAlignment="0" applyProtection="0"/>
    <xf numFmtId="202" fontId="62" fillId="0" borderId="0" applyFont="0" applyFill="0" applyBorder="0" applyAlignment="0" applyProtection="0"/>
    <xf numFmtId="203" fontId="60" fillId="0" borderId="0" applyFont="0" applyFill="0" applyBorder="0" applyAlignment="0" applyProtection="0"/>
    <xf numFmtId="204" fontId="69" fillId="0" borderId="0" applyFont="0" applyFill="0" applyBorder="0" applyAlignment="0" applyProtection="0"/>
    <xf numFmtId="205" fontId="69" fillId="0" borderId="0" applyFont="0" applyFill="0" applyBorder="0" applyAlignment="0" applyProtection="0"/>
    <xf numFmtId="206" fontId="27" fillId="0" borderId="0" applyFont="0" applyFill="0" applyBorder="0" applyAlignment="0" applyProtection="0">
      <protection locked="0"/>
    </xf>
    <xf numFmtId="43" fontId="20" fillId="0" borderId="0" applyFont="0" applyFill="0" applyBorder="0" applyAlignment="0" applyProtection="0"/>
    <xf numFmtId="43" fontId="4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106" fillId="0" borderId="0" applyFont="0" applyFill="0" applyBorder="0" applyAlignment="0" applyProtection="0"/>
    <xf numFmtId="37" fontId="70" fillId="0" borderId="0" applyFill="0" applyBorder="0" applyAlignment="0" applyProtection="0"/>
    <xf numFmtId="3" fontId="24" fillId="0" borderId="0" applyFont="0" applyFill="0" applyBorder="0" applyAlignment="0" applyProtection="0"/>
    <xf numFmtId="0" fontId="23" fillId="0" borderId="0" applyFill="0" applyBorder="0" applyAlignment="0" applyProtection="0">
      <protection locked="0"/>
    </xf>
    <xf numFmtId="0" fontId="24" fillId="0" borderId="4"/>
    <xf numFmtId="44" fontId="24" fillId="0" borderId="0" applyFont="0" applyFill="0" applyBorder="0" applyAlignment="0" applyProtection="0"/>
    <xf numFmtId="207" fontId="62" fillId="0" borderId="0" applyFont="0" applyFill="0" applyBorder="0" applyAlignment="0" applyProtection="0"/>
    <xf numFmtId="208" fontId="62" fillId="0" borderId="0" applyFont="0" applyFill="0" applyBorder="0" applyAlignment="0" applyProtection="0"/>
    <xf numFmtId="209" fontId="62" fillId="0" borderId="0" applyFont="0" applyFill="0" applyBorder="0" applyAlignment="0" applyProtection="0"/>
    <xf numFmtId="210" fontId="69" fillId="0" borderId="0" applyFont="0" applyFill="0" applyBorder="0" applyAlignment="0" applyProtection="0"/>
    <xf numFmtId="211" fontId="69" fillId="0" borderId="0" applyFont="0" applyFill="0" applyBorder="0" applyAlignment="0" applyProtection="0"/>
    <xf numFmtId="212" fontId="69" fillId="0" borderId="0" applyFont="0" applyFill="0" applyBorder="0" applyAlignment="0" applyProtection="0"/>
    <xf numFmtId="213" fontId="27" fillId="0" borderId="0" applyFont="0" applyFill="0" applyBorder="0" applyAlignment="0" applyProtection="0">
      <protection locked="0"/>
    </xf>
    <xf numFmtId="44" fontId="34" fillId="0" borderId="0" applyFont="0" applyFill="0" applyBorder="0" applyAlignment="0" applyProtection="0"/>
    <xf numFmtId="44" fontId="24" fillId="0" borderId="0" applyFont="0" applyFill="0" applyBorder="0" applyAlignment="0" applyProtection="0"/>
    <xf numFmtId="44" fontId="5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5" fontId="70" fillId="0" borderId="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214" fontId="64" fillId="0" borderId="0" applyFont="0" applyFill="0" applyBorder="0" applyAlignment="0" applyProtection="0"/>
    <xf numFmtId="182" fontId="24" fillId="0" borderId="0" applyFont="0" applyFill="0" applyBorder="0" applyAlignment="0" applyProtection="0"/>
    <xf numFmtId="215" fontId="66" fillId="0" borderId="0" applyFont="0" applyFill="0" applyBorder="0" applyAlignment="0" applyProtection="0">
      <protection locked="0"/>
    </xf>
    <xf numFmtId="7" fontId="22" fillId="0" borderId="0" applyFont="0" applyFill="0" applyBorder="0" applyAlignment="0" applyProtection="0"/>
    <xf numFmtId="216" fontId="67" fillId="0" borderId="0" applyFont="0" applyFill="0" applyBorder="0" applyAlignment="0" applyProtection="0"/>
    <xf numFmtId="181" fontId="71" fillId="0" borderId="0" applyFont="0" applyFill="0" applyBorder="0" applyAlignment="0" applyProtection="0"/>
    <xf numFmtId="0" fontId="72" fillId="3" borderId="5" applyNumberFormat="0" applyFont="0" applyFill="0" applyAlignment="0" applyProtection="0">
      <alignment horizontal="left" indent="1"/>
    </xf>
    <xf numFmtId="14" fontId="24" fillId="0" borderId="0" applyFont="0" applyFill="0" applyBorder="0" applyAlignment="0" applyProtection="0"/>
    <xf numFmtId="217" fontId="62" fillId="0" borderId="0" applyFont="0" applyFill="0" applyBorder="0" applyProtection="0"/>
    <xf numFmtId="218" fontId="62" fillId="0" borderId="0" applyFont="0" applyFill="0" applyBorder="0" applyProtection="0"/>
    <xf numFmtId="219" fontId="62" fillId="0" borderId="0" applyFont="0" applyFill="0" applyBorder="0" applyAlignment="0" applyProtection="0"/>
    <xf numFmtId="220" fontId="62" fillId="0" borderId="0" applyFont="0" applyFill="0" applyBorder="0" applyAlignment="0" applyProtection="0"/>
    <xf numFmtId="221" fontId="62" fillId="0" borderId="0" applyFont="0" applyFill="0" applyBorder="0" applyAlignment="0" applyProtection="0"/>
    <xf numFmtId="222" fontId="73" fillId="0" borderId="0" applyFont="0" applyFill="0" applyBorder="0" applyAlignment="0" applyProtection="0"/>
    <xf numFmtId="5" fontId="74" fillId="0" borderId="0" applyBorder="0"/>
    <xf numFmtId="182" fontId="74" fillId="0" borderId="0" applyBorder="0"/>
    <xf numFmtId="7" fontId="74" fillId="0" borderId="0" applyBorder="0"/>
    <xf numFmtId="37" fontId="74" fillId="0" borderId="0" applyBorder="0"/>
    <xf numFmtId="180" fontId="74" fillId="0" borderId="0" applyBorder="0"/>
    <xf numFmtId="223" fontId="74" fillId="0" borderId="0" applyBorder="0"/>
    <xf numFmtId="39" fontId="74" fillId="0" borderId="0" applyBorder="0"/>
    <xf numFmtId="224" fontId="74" fillId="0" borderId="0" applyBorder="0"/>
    <xf numFmtId="7" fontId="24" fillId="0" borderId="0" applyFont="0" applyFill="0" applyBorder="0" applyAlignment="0" applyProtection="0"/>
    <xf numFmtId="225" fontId="64" fillId="0" borderId="0" applyFont="0" applyFill="0" applyBorder="0" applyAlignment="0" applyProtection="0"/>
    <xf numFmtId="226" fontId="64" fillId="0" borderId="0" applyFont="0" applyFill="0" applyAlignment="0" applyProtection="0"/>
    <xf numFmtId="225" fontId="64" fillId="0" borderId="0" applyFont="0" applyFill="0" applyBorder="0" applyAlignment="0" applyProtection="0"/>
    <xf numFmtId="227" fontId="22" fillId="0" borderId="0" applyFont="0" applyFill="0" applyBorder="0" applyAlignment="0" applyProtection="0"/>
    <xf numFmtId="2" fontId="24" fillId="0" borderId="0" applyFont="0" applyFill="0" applyBorder="0" applyAlignment="0" applyProtection="0"/>
    <xf numFmtId="0" fontId="75" fillId="0" borderId="0"/>
    <xf numFmtId="180" fontId="76" fillId="0" borderId="0" applyNumberFormat="0" applyFill="0" applyBorder="0" applyAlignment="0" applyProtection="0"/>
    <xf numFmtId="0" fontId="22" fillId="0" borderId="0" applyFont="0" applyFill="0" applyBorder="0" applyAlignment="0" applyProtection="0"/>
    <xf numFmtId="0" fontId="62" fillId="0" borderId="0" applyFont="0" applyFill="0" applyBorder="0" applyProtection="0">
      <alignment horizontal="center" wrapText="1"/>
    </xf>
    <xf numFmtId="228" fontId="62" fillId="0" borderId="0" applyFont="0" applyFill="0" applyBorder="0" applyProtection="0">
      <alignment horizontal="right"/>
    </xf>
    <xf numFmtId="0" fontId="76" fillId="0" borderId="0" applyNumberFormat="0" applyFill="0" applyBorder="0" applyAlignment="0" applyProtection="0"/>
    <xf numFmtId="0" fontId="77" fillId="4" borderId="0" applyNumberFormat="0" applyFill="0" applyBorder="0" applyAlignment="0" applyProtection="0"/>
    <xf numFmtId="0" fontId="26" fillId="0" borderId="6" applyNumberFormat="0" applyAlignment="0" applyProtection="0">
      <alignment horizontal="left" vertical="center"/>
    </xf>
    <xf numFmtId="0" fontId="26" fillId="0" borderId="7">
      <alignment horizontal="left" vertical="center"/>
    </xf>
    <xf numFmtId="14" fontId="49" fillId="5" borderId="8">
      <alignment horizontal="center" vertical="center" wrapText="1"/>
    </xf>
    <xf numFmtId="0" fontId="40" fillId="0" borderId="0" applyFont="0" applyFill="0" applyBorder="0" applyAlignment="0" applyProtection="0"/>
    <xf numFmtId="0" fontId="41" fillId="0" borderId="0" applyFont="0" applyFill="0" applyBorder="0" applyAlignment="0" applyProtection="0"/>
    <xf numFmtId="0" fontId="26" fillId="0" borderId="0" applyFont="0" applyFill="0" applyBorder="0" applyAlignment="0" applyProtection="0"/>
    <xf numFmtId="0" fontId="48" fillId="0" borderId="0" applyFill="0" applyAlignment="0" applyProtection="0">
      <protection locked="0"/>
    </xf>
    <xf numFmtId="0" fontId="48" fillId="0" borderId="1" applyFill="0" applyAlignment="0" applyProtection="0">
      <protection locked="0"/>
    </xf>
    <xf numFmtId="0" fontId="42" fillId="0" borderId="8"/>
    <xf numFmtId="0" fontId="43" fillId="0" borderId="0"/>
    <xf numFmtId="0" fontId="78" fillId="0" borderId="1" applyNumberFormat="0" applyFill="0" applyAlignment="0" applyProtection="0"/>
    <xf numFmtId="0" fontId="73" fillId="6" borderId="0" applyNumberFormat="0" applyFont="0" applyBorder="0" applyAlignment="0" applyProtection="0"/>
    <xf numFmtId="0" fontId="79" fillId="0" borderId="0" applyNumberFormat="0" applyFill="0" applyBorder="0" applyAlignment="0" applyProtection="0">
      <alignment vertical="top"/>
      <protection locked="0"/>
    </xf>
    <xf numFmtId="0" fontId="59" fillId="7" borderId="9" applyNumberFormat="0" applyAlignment="0" applyProtection="0"/>
    <xf numFmtId="229" fontId="62" fillId="0" borderId="0" applyFont="0" applyFill="0" applyBorder="0" applyProtection="0">
      <alignment horizontal="left"/>
    </xf>
    <xf numFmtId="230" fontId="62" fillId="0" borderId="0" applyFont="0" applyFill="0" applyBorder="0" applyProtection="0">
      <alignment horizontal="left"/>
    </xf>
    <xf numFmtId="231" fontId="62" fillId="0" borderId="0" applyFont="0" applyFill="0" applyBorder="0" applyProtection="0">
      <alignment horizontal="left"/>
    </xf>
    <xf numFmtId="232" fontId="62" fillId="0" borderId="0" applyFont="0" applyFill="0" applyBorder="0" applyProtection="0">
      <alignment horizontal="left"/>
    </xf>
    <xf numFmtId="10" fontId="22" fillId="8" borderId="9" applyNumberFormat="0" applyBorder="0" applyAlignment="0" applyProtection="0"/>
    <xf numFmtId="5" fontId="80" fillId="0" borderId="0" applyBorder="0"/>
    <xf numFmtId="182" fontId="80" fillId="0" borderId="0" applyBorder="0"/>
    <xf numFmtId="7" fontId="80" fillId="0" borderId="0" applyBorder="0"/>
    <xf numFmtId="37" fontId="80" fillId="0" borderId="0" applyBorder="0"/>
    <xf numFmtId="180" fontId="80" fillId="0" borderId="0" applyBorder="0"/>
    <xf numFmtId="223" fontId="80" fillId="0" borderId="0" applyBorder="0"/>
    <xf numFmtId="39" fontId="80" fillId="0" borderId="0" applyBorder="0"/>
    <xf numFmtId="224" fontId="80" fillId="0" borderId="0" applyBorder="0"/>
    <xf numFmtId="0" fontId="73" fillId="0" borderId="10" applyNumberFormat="0" applyFont="0" applyFill="0" applyAlignment="0" applyProtection="0"/>
    <xf numFmtId="0" fontId="81" fillId="0" borderId="0"/>
    <xf numFmtId="0" fontId="22" fillId="9" borderId="0"/>
    <xf numFmtId="233" fontId="24" fillId="0" borderId="0" applyFont="0" applyFill="0" applyBorder="0" applyAlignment="0" applyProtection="0"/>
    <xf numFmtId="234" fontId="24" fillId="0" borderId="0" applyFont="0" applyFill="0" applyBorder="0" applyAlignment="0" applyProtection="0"/>
    <xf numFmtId="235" fontId="24" fillId="0" borderId="0" applyFont="0" applyFill="0" applyBorder="0" applyAlignment="0" applyProtection="0"/>
    <xf numFmtId="236" fontId="24" fillId="0" borderId="0" applyFont="0" applyFill="0" applyBorder="0" applyAlignment="0" applyProtection="0"/>
    <xf numFmtId="0" fontId="24" fillId="0" borderId="0" applyFont="0" applyFill="0" applyBorder="0" applyAlignment="0" applyProtection="0">
      <alignment horizontal="right"/>
    </xf>
    <xf numFmtId="237" fontId="24" fillId="0" borderId="0" applyFont="0" applyFill="0" applyBorder="0" applyAlignment="0" applyProtection="0"/>
    <xf numFmtId="37" fontId="82" fillId="0" borderId="0"/>
    <xf numFmtId="0" fontId="64" fillId="0" borderId="0"/>
    <xf numFmtId="0" fontId="109" fillId="0" borderId="0"/>
    <xf numFmtId="7" fontId="107" fillId="0" borderId="0"/>
    <xf numFmtId="0" fontId="24" fillId="0" borderId="0"/>
    <xf numFmtId="0" fontId="60" fillId="0" borderId="0"/>
    <xf numFmtId="0" fontId="34" fillId="0" borderId="0"/>
    <xf numFmtId="0" fontId="24" fillId="0" borderId="0"/>
    <xf numFmtId="0" fontId="24" fillId="0" borderId="0"/>
    <xf numFmtId="0" fontId="58" fillId="0" borderId="0"/>
    <xf numFmtId="0" fontId="24" fillId="0" borderId="0"/>
    <xf numFmtId="0" fontId="24" fillId="0" borderId="0"/>
    <xf numFmtId="0" fontId="24"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74" fontId="44" fillId="0" borderId="0" applyProtection="0"/>
    <xf numFmtId="0" fontId="109" fillId="0" borderId="0"/>
    <xf numFmtId="0" fontId="109" fillId="0" borderId="0"/>
    <xf numFmtId="0" fontId="109" fillId="0" borderId="0"/>
    <xf numFmtId="0" fontId="109" fillId="0" borderId="0"/>
    <xf numFmtId="0" fontId="44" fillId="0" borderId="0" applyProtection="0"/>
    <xf numFmtId="174" fontId="44" fillId="0" borderId="0" applyProtection="0"/>
    <xf numFmtId="174" fontId="44" fillId="0" borderId="0" applyProtection="0"/>
    <xf numFmtId="174" fontId="44" fillId="0" borderId="0" applyProtection="0"/>
    <xf numFmtId="0" fontId="24" fillId="0" borderId="0"/>
    <xf numFmtId="174" fontId="44" fillId="0" borderId="0" applyProtection="0"/>
    <xf numFmtId="0" fontId="24" fillId="0" borderId="0"/>
    <xf numFmtId="0" fontId="54" fillId="10" borderId="0" applyNumberFormat="0" applyFont="0" applyBorder="0" applyAlignment="0"/>
    <xf numFmtId="238" fontId="24" fillId="0" borderId="0" applyFont="0" applyFill="0" applyBorder="0" applyAlignment="0" applyProtection="0"/>
    <xf numFmtId="239" fontId="83" fillId="0" borderId="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40" fontId="24" fillId="0" borderId="0"/>
    <xf numFmtId="241" fontId="64" fillId="0" borderId="0"/>
    <xf numFmtId="241" fontId="64" fillId="0" borderId="0"/>
    <xf numFmtId="239" fontId="83" fillId="0" borderId="0"/>
    <xf numFmtId="0" fontId="64" fillId="0" borderId="0"/>
    <xf numFmtId="239" fontId="70" fillId="0" borderId="0"/>
    <xf numFmtId="240" fontId="24" fillId="0" borderId="0"/>
    <xf numFmtId="241" fontId="64" fillId="0" borderId="0"/>
    <xf numFmtId="241" fontId="64" fillId="0" borderId="0"/>
    <xf numFmtId="0" fontId="64" fillId="0" borderId="0"/>
    <xf numFmtId="0" fontId="64" fillId="0" borderId="0"/>
    <xf numFmtId="242" fontId="64" fillId="0" borderId="0"/>
    <xf numFmtId="170" fontId="64" fillId="0" borderId="0"/>
    <xf numFmtId="243" fontId="64" fillId="0" borderId="0"/>
    <xf numFmtId="242" fontId="64" fillId="0" borderId="0"/>
    <xf numFmtId="170" fontId="64" fillId="0" borderId="0"/>
    <xf numFmtId="244" fontId="64" fillId="0" borderId="0"/>
    <xf numFmtId="244" fontId="64" fillId="0" borderId="0"/>
    <xf numFmtId="178" fontId="64" fillId="0" borderId="0"/>
    <xf numFmtId="243" fontId="64" fillId="0" borderId="0"/>
    <xf numFmtId="169" fontId="64" fillId="0" borderId="0"/>
    <xf numFmtId="178" fontId="64" fillId="0" borderId="0"/>
    <xf numFmtId="178" fontId="64" fillId="0" borderId="0"/>
    <xf numFmtId="0" fontId="64" fillId="0" borderId="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9" fontId="83" fillId="0" borderId="0"/>
    <xf numFmtId="239" fontId="83" fillId="0" borderId="0"/>
    <xf numFmtId="238" fontId="24" fillId="0" borderId="0" applyFont="0" applyFill="0" applyBorder="0" applyAlignment="0" applyProtection="0"/>
    <xf numFmtId="239" fontId="83" fillId="0" borderId="0"/>
    <xf numFmtId="239" fontId="83" fillId="0" borderId="0"/>
    <xf numFmtId="242" fontId="64" fillId="0" borderId="0"/>
    <xf numFmtId="170" fontId="64" fillId="0" borderId="0"/>
    <xf numFmtId="243" fontId="64" fillId="0" borderId="0"/>
    <xf numFmtId="242" fontId="64" fillId="0" borderId="0"/>
    <xf numFmtId="170" fontId="64" fillId="0" borderId="0"/>
    <xf numFmtId="244" fontId="64" fillId="0" borderId="0"/>
    <xf numFmtId="244" fontId="64" fillId="0" borderId="0"/>
    <xf numFmtId="178" fontId="64" fillId="0" borderId="0"/>
    <xf numFmtId="243" fontId="64" fillId="0" borderId="0"/>
    <xf numFmtId="169" fontId="64" fillId="0" borderId="0"/>
    <xf numFmtId="178" fontId="64" fillId="0" borderId="0"/>
    <xf numFmtId="178" fontId="64" fillId="0" borderId="0"/>
    <xf numFmtId="245" fontId="32" fillId="11" borderId="0" applyFont="0" applyFill="0" applyBorder="0" applyAlignment="0" applyProtection="0"/>
    <xf numFmtId="246" fontId="32" fillId="11" borderId="0" applyFont="0" applyFill="0" applyBorder="0" applyAlignment="0" applyProtection="0"/>
    <xf numFmtId="247" fontId="24" fillId="0" borderId="0" applyFont="0" applyFill="0" applyBorder="0" applyAlignment="0" applyProtection="0"/>
    <xf numFmtId="9" fontId="24" fillId="0" borderId="0" applyFont="0" applyFill="0" applyBorder="0" applyAlignment="0" applyProtection="0"/>
    <xf numFmtId="248" fontId="69" fillId="0" borderId="0" applyFont="0" applyFill="0" applyBorder="0" applyAlignment="0" applyProtection="0"/>
    <xf numFmtId="249" fontId="60" fillId="0" borderId="0" applyFont="0" applyFill="0" applyBorder="0" applyAlignment="0" applyProtection="0"/>
    <xf numFmtId="250" fontId="24" fillId="0" borderId="0" applyFont="0" applyFill="0" applyBorder="0" applyAlignment="0" applyProtection="0"/>
    <xf numFmtId="251" fontId="62" fillId="0" borderId="0" applyFont="0" applyFill="0" applyBorder="0" applyAlignment="0" applyProtection="0"/>
    <xf numFmtId="252" fontId="62" fillId="0" borderId="0" applyFont="0" applyFill="0" applyBorder="0" applyAlignment="0" applyProtection="0"/>
    <xf numFmtId="253" fontId="62" fillId="0" borderId="0" applyFont="0" applyFill="0" applyBorder="0" applyAlignment="0" applyProtection="0"/>
    <xf numFmtId="254" fontId="62" fillId="0" borderId="0" applyFont="0" applyFill="0" applyBorder="0" applyAlignment="0" applyProtection="0"/>
    <xf numFmtId="255" fontId="69" fillId="0" borderId="0" applyFont="0" applyFill="0" applyBorder="0" applyAlignment="0" applyProtection="0"/>
    <xf numFmtId="256" fontId="60" fillId="0" borderId="0" applyFont="0" applyFill="0" applyBorder="0" applyAlignment="0" applyProtection="0"/>
    <xf numFmtId="257" fontId="69" fillId="0" borderId="0" applyFont="0" applyFill="0" applyBorder="0" applyAlignment="0" applyProtection="0"/>
    <xf numFmtId="258" fontId="60" fillId="0" borderId="0" applyFont="0" applyFill="0" applyBorder="0" applyAlignment="0" applyProtection="0"/>
    <xf numFmtId="259" fontId="69" fillId="0" borderId="0" applyFont="0" applyFill="0" applyBorder="0" applyAlignment="0" applyProtection="0"/>
    <xf numFmtId="260" fontId="60" fillId="0" borderId="0" applyFont="0" applyFill="0" applyBorder="0" applyAlignment="0" applyProtection="0"/>
    <xf numFmtId="261" fontId="27" fillId="0" borderId="0" applyFont="0" applyFill="0" applyBorder="0" applyAlignment="0" applyProtection="0">
      <protection locked="0"/>
    </xf>
    <xf numFmtId="262" fontId="60" fillId="0" borderId="0" applyFont="0" applyFill="0" applyBorder="0" applyAlignment="0" applyProtection="0"/>
    <xf numFmtId="9" fontId="34" fillId="0" borderId="0" applyFont="0" applyFill="0" applyBorder="0" applyAlignment="0" applyProtection="0"/>
    <xf numFmtId="9" fontId="24" fillId="0" borderId="0" applyFont="0" applyFill="0" applyBorder="0" applyAlignment="0" applyProtection="0"/>
    <xf numFmtId="9" fontId="5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192" fontId="70" fillId="0" borderId="0" applyFill="0" applyBorder="0" applyAlignment="0" applyProtection="0"/>
    <xf numFmtId="9" fontId="74" fillId="0" borderId="0" applyBorder="0"/>
    <xf numFmtId="171" fontId="74" fillId="0" borderId="0" applyBorder="0"/>
    <xf numFmtId="10" fontId="74" fillId="0" borderId="0" applyBorder="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3" fontId="24" fillId="0" borderId="0">
      <alignment horizontal="left" vertical="top"/>
    </xf>
    <xf numFmtId="0" fontId="46" fillId="0" borderId="8">
      <alignment horizontal="center"/>
    </xf>
    <xf numFmtId="3" fontId="45" fillId="0" borderId="0" applyFont="0" applyFill="0" applyBorder="0" applyAlignment="0" applyProtection="0"/>
    <xf numFmtId="0" fontId="45" fillId="12" borderId="0" applyNumberFormat="0" applyFont="0" applyBorder="0" applyAlignment="0" applyProtection="0"/>
    <xf numFmtId="3" fontId="24" fillId="0" borderId="0">
      <alignment horizontal="right" vertical="top"/>
    </xf>
    <xf numFmtId="41" fontId="31" fillId="9" borderId="11" applyFill="0"/>
    <xf numFmtId="0" fontId="47" fillId="0" borderId="0">
      <alignment horizontal="left" indent="7"/>
    </xf>
    <xf numFmtId="41" fontId="31" fillId="0" borderId="11" applyFill="0">
      <alignment horizontal="left" indent="2"/>
    </xf>
    <xf numFmtId="174" fontId="48" fillId="0" borderId="1" applyFill="0">
      <alignment horizontal="right"/>
    </xf>
    <xf numFmtId="0" fontId="49" fillId="0" borderId="9" applyNumberFormat="0" applyFont="0" applyBorder="0">
      <alignment horizontal="right"/>
    </xf>
    <xf numFmtId="0" fontId="50" fillId="0" borderId="0" applyFill="0"/>
    <xf numFmtId="0" fontId="26" fillId="0" borderId="0" applyFill="0"/>
    <xf numFmtId="4" fontId="48" fillId="0" borderId="1" applyFill="0"/>
    <xf numFmtId="0" fontId="24" fillId="0" borderId="0" applyNumberFormat="0" applyFont="0" applyBorder="0" applyAlignment="0"/>
    <xf numFmtId="0" fontId="29" fillId="0" borderId="0" applyFill="0">
      <alignment horizontal="left" indent="1"/>
    </xf>
    <xf numFmtId="0" fontId="51" fillId="0" borderId="0" applyFill="0">
      <alignment horizontal="left" indent="1"/>
    </xf>
    <xf numFmtId="4" fontId="32" fillId="0" borderId="0" applyFill="0"/>
    <xf numFmtId="0" fontId="24" fillId="0" borderId="0" applyNumberFormat="0" applyFont="0" applyFill="0" applyBorder="0" applyAlignment="0"/>
    <xf numFmtId="0" fontId="29" fillId="0" borderId="0" applyFill="0">
      <alignment horizontal="left" indent="2"/>
    </xf>
    <xf numFmtId="0" fontId="26" fillId="0" borderId="0" applyFill="0">
      <alignment horizontal="left" indent="2"/>
    </xf>
    <xf numFmtId="4" fontId="32" fillId="0" borderId="0" applyFill="0"/>
    <xf numFmtId="0" fontId="24" fillId="0" borderId="0" applyNumberFormat="0" applyFont="0" applyBorder="0" applyAlignment="0"/>
    <xf numFmtId="0" fontId="52" fillId="0" borderId="0">
      <alignment horizontal="left" indent="3"/>
    </xf>
    <xf numFmtId="0" fontId="53" fillId="0" borderId="0" applyFill="0">
      <alignment horizontal="left" indent="3"/>
    </xf>
    <xf numFmtId="4" fontId="32" fillId="0" borderId="0" applyFill="0"/>
    <xf numFmtId="0" fontId="24" fillId="0" borderId="0" applyNumberFormat="0" applyFont="0" applyBorder="0" applyAlignment="0"/>
    <xf numFmtId="0" fontId="33" fillId="0" borderId="0">
      <alignment horizontal="left" indent="4"/>
    </xf>
    <xf numFmtId="0" fontId="34" fillId="0" borderId="0" applyFill="0">
      <alignment horizontal="left" indent="4"/>
    </xf>
    <xf numFmtId="0" fontId="24" fillId="0" borderId="0" applyFill="0">
      <alignment horizontal="left" indent="4"/>
    </xf>
    <xf numFmtId="4" fontId="35" fillId="0" borderId="0" applyFill="0"/>
    <xf numFmtId="0" fontId="24" fillId="0" borderId="0" applyNumberFormat="0" applyFont="0" applyBorder="0" applyAlignment="0"/>
    <xf numFmtId="0" fontId="36" fillId="0" borderId="0">
      <alignment horizontal="left" indent="5"/>
    </xf>
    <xf numFmtId="0" fontId="37" fillId="0" borderId="0" applyFill="0">
      <alignment horizontal="left" indent="5"/>
    </xf>
    <xf numFmtId="4" fontId="38" fillId="0" borderId="0" applyFill="0"/>
    <xf numFmtId="0" fontId="24" fillId="0" borderId="0" applyNumberFormat="0" applyFont="0" applyFill="0" applyBorder="0" applyAlignment="0"/>
    <xf numFmtId="0" fontId="39" fillId="0" borderId="0" applyFill="0">
      <alignment horizontal="left" indent="6"/>
    </xf>
    <xf numFmtId="0" fontId="35" fillId="0" borderId="0" applyFill="0">
      <alignment horizontal="left" indent="6"/>
    </xf>
    <xf numFmtId="0" fontId="73" fillId="0" borderId="12" applyNumberFormat="0" applyFont="0" applyFill="0" applyAlignment="0" applyProtection="0"/>
    <xf numFmtId="0" fontId="84" fillId="0" borderId="0" applyNumberFormat="0" applyFill="0" applyBorder="0" applyAlignment="0" applyProtection="0"/>
    <xf numFmtId="0" fontId="85" fillId="0" borderId="0"/>
    <xf numFmtId="0" fontId="85" fillId="0" borderId="0"/>
    <xf numFmtId="0" fontId="61" fillId="0" borderId="8">
      <alignment horizontal="right"/>
    </xf>
    <xf numFmtId="0" fontId="23" fillId="13" borderId="0"/>
    <xf numFmtId="263" fontId="71" fillId="0" borderId="0">
      <alignment horizontal="center"/>
    </xf>
    <xf numFmtId="264" fontId="86" fillId="0" borderId="0">
      <alignment horizontal="center"/>
    </xf>
    <xf numFmtId="0" fontId="87" fillId="0" borderId="0" applyNumberFormat="0" applyFill="0" applyBorder="0" applyAlignment="0" applyProtection="0"/>
    <xf numFmtId="0" fontId="88" fillId="0" borderId="0" applyNumberFormat="0" applyBorder="0" applyAlignment="0"/>
    <xf numFmtId="0" fontId="57" fillId="0" borderId="0" applyNumberFormat="0" applyBorder="0" applyAlignment="0"/>
    <xf numFmtId="0" fontId="24" fillId="9" borderId="4" applyNumberFormat="0" applyFont="0" applyAlignment="0"/>
    <xf numFmtId="0" fontId="73" fillId="3" borderId="0" applyNumberFormat="0" applyFont="0" applyBorder="0" applyAlignment="0" applyProtection="0"/>
    <xf numFmtId="245" fontId="89" fillId="0" borderId="7" applyNumberFormat="0" applyFont="0" applyFill="0" applyAlignment="0" applyProtection="0"/>
    <xf numFmtId="0" fontId="55" fillId="0" borderId="0" applyFill="0" applyBorder="0" applyProtection="0">
      <alignment horizontal="left" vertical="top"/>
    </xf>
    <xf numFmtId="0" fontId="90" fillId="0" borderId="0" applyAlignment="0">
      <alignment horizontal="centerContinuous"/>
    </xf>
    <xf numFmtId="0" fontId="24" fillId="0" borderId="3" applyNumberFormat="0" applyFont="0" applyFill="0" applyAlignment="0" applyProtection="0"/>
    <xf numFmtId="0" fontId="24" fillId="0" borderId="0" applyFont="0" applyFill="0" applyBorder="0" applyAlignment="0" applyProtection="0"/>
    <xf numFmtId="0" fontId="91" fillId="0" borderId="0" applyNumberFormat="0" applyFill="0" applyBorder="0" applyAlignment="0" applyProtection="0"/>
    <xf numFmtId="265" fontId="60" fillId="0" borderId="0" applyFont="0" applyFill="0" applyBorder="0" applyAlignment="0" applyProtection="0"/>
    <xf numFmtId="266" fontId="60" fillId="0" borderId="0" applyFont="0" applyFill="0" applyBorder="0" applyAlignment="0" applyProtection="0"/>
    <xf numFmtId="267" fontId="60" fillId="0" borderId="0" applyFont="0" applyFill="0" applyBorder="0" applyAlignment="0" applyProtection="0"/>
    <xf numFmtId="268" fontId="60" fillId="0" borderId="0" applyFont="0" applyFill="0" applyBorder="0" applyAlignment="0" applyProtection="0"/>
    <xf numFmtId="269" fontId="60" fillId="0" borderId="0" applyFont="0" applyFill="0" applyBorder="0" applyAlignment="0" applyProtection="0"/>
    <xf numFmtId="270" fontId="60" fillId="0" borderId="0" applyFont="0" applyFill="0" applyBorder="0" applyAlignment="0" applyProtection="0"/>
    <xf numFmtId="271" fontId="60" fillId="0" borderId="0" applyFont="0" applyFill="0" applyBorder="0" applyAlignment="0" applyProtection="0"/>
    <xf numFmtId="272" fontId="60" fillId="0" borderId="0" applyFont="0" applyFill="0" applyBorder="0" applyAlignment="0" applyProtection="0"/>
    <xf numFmtId="273" fontId="92" fillId="3" borderId="13" applyFont="0" applyFill="0" applyBorder="0" applyAlignment="0" applyProtection="0"/>
    <xf numFmtId="273" fontId="64" fillId="0" borderId="0" applyFont="0" applyFill="0" applyBorder="0" applyAlignment="0" applyProtection="0"/>
    <xf numFmtId="274" fontId="67" fillId="0" borderId="0" applyFont="0" applyFill="0" applyBorder="0" applyAlignment="0" applyProtection="0"/>
    <xf numFmtId="275" fontId="71" fillId="0" borderId="7" applyFont="0" applyFill="0" applyBorder="0" applyAlignment="0" applyProtection="0">
      <alignment horizontal="right"/>
      <protection locked="0"/>
    </xf>
    <xf numFmtId="43" fontId="20" fillId="0" borderId="0" applyFont="0" applyFill="0" applyBorder="0" applyAlignment="0" applyProtection="0"/>
    <xf numFmtId="43" fontId="88"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16" fillId="0" borderId="0"/>
    <xf numFmtId="0" fontId="17" fillId="0" borderId="0"/>
    <xf numFmtId="43" fontId="17" fillId="0" borderId="0" applyFont="0" applyFill="0" applyBorder="0" applyAlignment="0" applyProtection="0"/>
    <xf numFmtId="0" fontId="24" fillId="0" borderId="0"/>
    <xf numFmtId="174" fontId="44" fillId="0" borderId="0" applyProtection="0"/>
    <xf numFmtId="0" fontId="16" fillId="0" borderId="0"/>
    <xf numFmtId="0" fontId="123" fillId="19"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2" borderId="0" applyNumberFormat="0" applyBorder="0" applyAlignment="0" applyProtection="0"/>
    <xf numFmtId="0" fontId="123" fillId="23"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6" borderId="0" applyNumberFormat="0" applyBorder="0" applyAlignment="0" applyProtection="0"/>
    <xf numFmtId="0" fontId="123" fillId="27"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0" borderId="0" applyNumberFormat="0" applyBorder="0" applyAlignment="0" applyProtection="0"/>
    <xf numFmtId="0" fontId="123" fillId="31"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3" fillId="34" borderId="0" applyNumberFormat="0" applyBorder="0" applyAlignment="0" applyProtection="0"/>
    <xf numFmtId="0" fontId="123" fillId="35" borderId="0" applyNumberFormat="0" applyBorder="0" applyAlignment="0" applyProtection="0"/>
    <xf numFmtId="0" fontId="123" fillId="36" borderId="0" applyNumberFormat="0" applyBorder="0" applyAlignment="0" applyProtection="0"/>
    <xf numFmtId="0" fontId="124" fillId="37" borderId="0" applyNumberFormat="0" applyBorder="0" applyAlignment="0" applyProtection="0"/>
    <xf numFmtId="0" fontId="124" fillId="38" borderId="0" applyNumberFormat="0" applyBorder="0" applyAlignment="0" applyProtection="0"/>
    <xf numFmtId="0" fontId="124" fillId="39" borderId="0" applyNumberFormat="0" applyBorder="0" applyAlignment="0" applyProtection="0"/>
    <xf numFmtId="0" fontId="124" fillId="40" borderId="0" applyNumberFormat="0" applyBorder="0" applyAlignment="0" applyProtection="0"/>
    <xf numFmtId="0" fontId="124" fillId="41" borderId="0" applyNumberFormat="0" applyBorder="0" applyAlignment="0" applyProtection="0"/>
    <xf numFmtId="0" fontId="124" fillId="42" borderId="0" applyNumberFormat="0" applyBorder="0" applyAlignment="0" applyProtection="0"/>
    <xf numFmtId="0" fontId="125" fillId="43" borderId="0" applyNumberFormat="0" applyBorder="0" applyAlignment="0" applyProtection="0"/>
    <xf numFmtId="0" fontId="126" fillId="44" borderId="21" applyNumberFormat="0" applyAlignment="0" applyProtection="0"/>
    <xf numFmtId="0" fontId="127" fillId="45" borderId="24" applyNumberFormat="0" applyAlignment="0" applyProtection="0"/>
    <xf numFmtId="43" fontId="123" fillId="0" borderId="0" applyFill="0" applyBorder="0" applyAlignment="0" applyProtection="0"/>
    <xf numFmtId="43" fontId="123" fillId="0" borderId="0" applyFill="0" applyBorder="0" applyAlignment="0" applyProtection="0"/>
    <xf numFmtId="0" fontId="128" fillId="0" borderId="0" applyNumberFormat="0" applyFill="0" applyBorder="0" applyAlignment="0" applyProtection="0"/>
    <xf numFmtId="0" fontId="129" fillId="46" borderId="0" applyNumberFormat="0" applyBorder="0" applyAlignment="0" applyProtection="0"/>
    <xf numFmtId="0" fontId="130" fillId="0" borderId="20" applyNumberFormat="0" applyFill="0" applyAlignment="0" applyProtection="0"/>
    <xf numFmtId="0" fontId="130" fillId="0" borderId="0" applyNumberFormat="0" applyFill="0" applyBorder="0" applyAlignment="0" applyProtection="0"/>
    <xf numFmtId="0" fontId="131" fillId="18" borderId="21" applyNumberFormat="0" applyAlignment="0" applyProtection="0"/>
    <xf numFmtId="0" fontId="131" fillId="18" borderId="21" applyNumberFormat="0" applyAlignment="0" applyProtection="0"/>
    <xf numFmtId="0" fontId="132" fillId="0" borderId="23" applyNumberFormat="0" applyFill="0" applyAlignment="0" applyProtection="0"/>
    <xf numFmtId="0" fontId="133" fillId="47" borderId="0" applyNumberFormat="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4" fillId="8" borderId="25" applyNumberFormat="0" applyFont="0" applyAlignment="0" applyProtection="0"/>
    <xf numFmtId="0" fontId="134" fillId="44" borderId="22" applyNumberFormat="0" applyAlignment="0" applyProtection="0"/>
    <xf numFmtId="9" fontId="123" fillId="0" borderId="0" applyFill="0" applyBorder="0" applyAlignment="0" applyProtection="0"/>
    <xf numFmtId="0" fontId="23" fillId="8" borderId="0"/>
    <xf numFmtId="0" fontId="135" fillId="0" borderId="0" applyNumberFormat="0" applyFill="0" applyBorder="0" applyAlignment="0" applyProtection="0"/>
    <xf numFmtId="0" fontId="136" fillId="0" borderId="0" applyNumberForma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3" fontId="24" fillId="0" borderId="0" applyFont="0" applyFill="0" applyBorder="0" applyAlignment="0" applyProtection="0"/>
    <xf numFmtId="0" fontId="139" fillId="0" borderId="0"/>
    <xf numFmtId="0" fontId="31" fillId="0" borderId="0"/>
    <xf numFmtId="0" fontId="139" fillId="0" borderId="0"/>
    <xf numFmtId="0" fontId="139" fillId="0" borderId="0"/>
    <xf numFmtId="0" fontId="139" fillId="0" borderId="0"/>
    <xf numFmtId="0" fontId="139" fillId="0" borderId="0"/>
    <xf numFmtId="0" fontId="31" fillId="0" borderId="0"/>
    <xf numFmtId="0" fontId="31" fillId="0" borderId="0"/>
    <xf numFmtId="0" fontId="31" fillId="0" borderId="0"/>
    <xf numFmtId="0" fontId="31" fillId="0" borderId="0"/>
    <xf numFmtId="0" fontId="31" fillId="0" borderId="0"/>
    <xf numFmtId="0" fontId="146" fillId="48" borderId="26" applyNumberFormat="0" applyAlignment="0" applyProtection="0">
      <alignment horizontal="left" vertical="center" indent="1"/>
    </xf>
    <xf numFmtId="282" fontId="147" fillId="0" borderId="27" applyNumberFormat="0" applyProtection="0">
      <alignment horizontal="right" vertical="center"/>
    </xf>
    <xf numFmtId="282" fontId="146" fillId="0" borderId="28" applyNumberFormat="0" applyProtection="0">
      <alignment horizontal="right" vertical="center"/>
    </xf>
    <xf numFmtId="282" fontId="147" fillId="49" borderId="26" applyNumberFormat="0" applyAlignment="0" applyProtection="0">
      <alignment horizontal="left" vertical="center" indent="1"/>
    </xf>
    <xf numFmtId="0" fontId="148" fillId="50" borderId="28" applyNumberFormat="0" applyAlignment="0">
      <alignment horizontal="left" vertical="center" indent="1"/>
      <protection locked="0"/>
    </xf>
    <xf numFmtId="0" fontId="148" fillId="51" borderId="28" applyNumberFormat="0" applyAlignment="0" applyProtection="0">
      <alignment horizontal="left" vertical="center" indent="1"/>
    </xf>
    <xf numFmtId="282" fontId="147" fillId="52" borderId="27" applyNumberFormat="0" applyBorder="0">
      <alignment horizontal="right" vertical="center"/>
      <protection locked="0"/>
    </xf>
    <xf numFmtId="0" fontId="148" fillId="50" borderId="28" applyNumberFormat="0" applyAlignment="0">
      <alignment horizontal="left" vertical="center" indent="1"/>
      <protection locked="0"/>
    </xf>
    <xf numFmtId="282" fontId="146" fillId="51" borderId="28" applyNumberFormat="0" applyProtection="0">
      <alignment horizontal="right" vertical="center"/>
    </xf>
    <xf numFmtId="282" fontId="146" fillId="52" borderId="28" applyNumberFormat="0" applyBorder="0">
      <alignment horizontal="right" vertical="center"/>
      <protection locked="0"/>
    </xf>
    <xf numFmtId="282" fontId="149" fillId="53" borderId="29" applyNumberFormat="0" applyBorder="0" applyAlignment="0" applyProtection="0">
      <alignment horizontal="right" vertical="center" indent="1"/>
    </xf>
    <xf numFmtId="282" fontId="150" fillId="54" borderId="29" applyNumberFormat="0" applyBorder="0" applyAlignment="0" applyProtection="0">
      <alignment horizontal="right" vertical="center" indent="1"/>
    </xf>
    <xf numFmtId="282" fontId="150" fillId="55" borderId="29" applyNumberFormat="0" applyBorder="0" applyAlignment="0" applyProtection="0">
      <alignment horizontal="right" vertical="center" indent="1"/>
    </xf>
    <xf numFmtId="282" fontId="151" fillId="56" borderId="29" applyNumberFormat="0" applyBorder="0" applyAlignment="0" applyProtection="0">
      <alignment horizontal="right" vertical="center" indent="1"/>
    </xf>
    <xf numFmtId="282" fontId="151" fillId="57" borderId="29" applyNumberFormat="0" applyBorder="0" applyAlignment="0" applyProtection="0">
      <alignment horizontal="right" vertical="center" indent="1"/>
    </xf>
    <xf numFmtId="282" fontId="151" fillId="58" borderId="29" applyNumberFormat="0" applyBorder="0" applyAlignment="0" applyProtection="0">
      <alignment horizontal="right" vertical="center" indent="1"/>
    </xf>
    <xf numFmtId="282" fontId="152" fillId="59" borderId="29" applyNumberFormat="0" applyBorder="0" applyAlignment="0" applyProtection="0">
      <alignment horizontal="right" vertical="center" indent="1"/>
    </xf>
    <xf numFmtId="282" fontId="152" fillId="60" borderId="29" applyNumberFormat="0" applyBorder="0" applyAlignment="0" applyProtection="0">
      <alignment horizontal="right" vertical="center" indent="1"/>
    </xf>
    <xf numFmtId="282" fontId="152" fillId="61" borderId="29" applyNumberFormat="0" applyBorder="0" applyAlignment="0" applyProtection="0">
      <alignment horizontal="right" vertical="center" indent="1"/>
    </xf>
    <xf numFmtId="0" fontId="153" fillId="0" borderId="26" applyNumberFormat="0" applyFont="0" applyFill="0" applyAlignment="0" applyProtection="0"/>
    <xf numFmtId="282" fontId="154" fillId="49" borderId="0" applyNumberFormat="0" applyAlignment="0" applyProtection="0">
      <alignment horizontal="left" vertical="center" indent="1"/>
    </xf>
    <xf numFmtId="0" fontId="153" fillId="0" borderId="30" applyNumberFormat="0" applyFont="0" applyFill="0" applyAlignment="0" applyProtection="0"/>
    <xf numFmtId="282" fontId="147" fillId="0" borderId="27" applyNumberFormat="0" applyFill="0" applyBorder="0" applyAlignment="0" applyProtection="0">
      <alignment horizontal="right" vertical="center"/>
    </xf>
    <xf numFmtId="282" fontId="147" fillId="49" borderId="26" applyNumberFormat="0" applyAlignment="0" applyProtection="0">
      <alignment horizontal="left" vertical="center" indent="1"/>
    </xf>
    <xf numFmtId="0" fontId="146" fillId="48" borderId="28" applyNumberFormat="0" applyAlignment="0" applyProtection="0">
      <alignment horizontal="left" vertical="center" indent="1"/>
    </xf>
    <xf numFmtId="0" fontId="148" fillId="62" borderId="26" applyNumberFormat="0" applyAlignment="0" applyProtection="0">
      <alignment horizontal="left" vertical="center" indent="1"/>
    </xf>
    <xf numFmtId="0" fontId="148" fillId="63" borderId="26" applyNumberFormat="0" applyAlignment="0" applyProtection="0">
      <alignment horizontal="left" vertical="center" indent="1"/>
    </xf>
    <xf numFmtId="0" fontId="148" fillId="64" borderId="26" applyNumberFormat="0" applyAlignment="0" applyProtection="0">
      <alignment horizontal="left" vertical="center" indent="1"/>
    </xf>
    <xf numFmtId="0" fontId="148" fillId="52" borderId="26" applyNumberFormat="0" applyAlignment="0" applyProtection="0">
      <alignment horizontal="left" vertical="center" indent="1"/>
    </xf>
    <xf numFmtId="0" fontId="148" fillId="51" borderId="28" applyNumberFormat="0" applyAlignment="0" applyProtection="0">
      <alignment horizontal="left" vertical="center" indent="1"/>
    </xf>
    <xf numFmtId="0" fontId="155" fillId="0" borderId="31" applyNumberFormat="0" applyFill="0" applyBorder="0" applyAlignment="0" applyProtection="0"/>
    <xf numFmtId="0" fontId="156" fillId="0" borderId="31" applyNumberFormat="0" applyBorder="0" applyAlignment="0" applyProtection="0"/>
    <xf numFmtId="0" fontId="155" fillId="50" borderId="28" applyNumberFormat="0" applyAlignment="0">
      <alignment horizontal="left" vertical="center" indent="1"/>
      <protection locked="0"/>
    </xf>
    <xf numFmtId="0" fontId="155" fillId="50" borderId="28" applyNumberFormat="0" applyAlignment="0">
      <alignment horizontal="left" vertical="center" indent="1"/>
      <protection locked="0"/>
    </xf>
    <xf numFmtId="0" fontId="155" fillId="51" borderId="28" applyNumberFormat="0" applyAlignment="0" applyProtection="0">
      <alignment horizontal="left" vertical="center" indent="1"/>
    </xf>
    <xf numFmtId="282" fontId="157" fillId="51" borderId="28" applyNumberFormat="0" applyProtection="0">
      <alignment horizontal="right" vertical="center"/>
    </xf>
    <xf numFmtId="282" fontId="158" fillId="52" borderId="27" applyNumberFormat="0" applyBorder="0">
      <alignment horizontal="right" vertical="center"/>
      <protection locked="0"/>
    </xf>
    <xf numFmtId="282" fontId="157" fillId="52" borderId="28" applyNumberFormat="0" applyBorder="0">
      <alignment horizontal="right" vertical="center"/>
      <protection locked="0"/>
    </xf>
    <xf numFmtId="282" fontId="147" fillId="0" borderId="27" applyNumberFormat="0" applyFill="0" applyBorder="0" applyAlignment="0" applyProtection="0">
      <alignment horizontal="right" vertical="center"/>
    </xf>
    <xf numFmtId="0" fontId="14" fillId="0" borderId="0"/>
    <xf numFmtId="0" fontId="13" fillId="0" borderId="0"/>
    <xf numFmtId="0" fontId="159" fillId="0" borderId="0"/>
    <xf numFmtId="0" fontId="23" fillId="0" borderId="0" applyNumberFormat="0" applyFill="0" applyBorder="0" applyAlignment="0" applyProtection="0"/>
    <xf numFmtId="0" fontId="31" fillId="0" borderId="0" applyNumberFormat="0" applyFill="0" applyBorder="0" applyAlignment="0" applyProtection="0"/>
    <xf numFmtId="0" fontId="49" fillId="0" borderId="1" applyNumberFormat="0" applyFill="0" applyProtection="0">
      <alignment horizontal="center" wrapText="1"/>
    </xf>
    <xf numFmtId="0" fontId="24" fillId="0" borderId="0" applyNumberFormat="0" applyFont="0" applyFill="0" applyBorder="0" applyProtection="0">
      <alignment horizontal="left" indent="1"/>
    </xf>
    <xf numFmtId="37" fontId="24" fillId="0" borderId="0" applyFont="0" applyFill="0" applyBorder="0" applyAlignment="0" applyProtection="0"/>
    <xf numFmtId="37" fontId="24" fillId="0" borderId="1" applyFont="0" applyFill="0" applyAlignment="0" applyProtection="0"/>
    <xf numFmtId="0" fontId="49" fillId="0" borderId="0" applyNumberFormat="0" applyFill="0" applyBorder="0" applyAlignment="0" applyProtection="0"/>
    <xf numFmtId="37" fontId="24" fillId="0" borderId="14" applyFont="0" applyFill="0" applyAlignment="0" applyProtection="0"/>
    <xf numFmtId="174" fontId="44" fillId="0" borderId="0" applyProtection="0"/>
    <xf numFmtId="0" fontId="12" fillId="0" borderId="0"/>
    <xf numFmtId="0" fontId="12" fillId="0" borderId="0"/>
    <xf numFmtId="0" fontId="12" fillId="0" borderId="0"/>
    <xf numFmtId="0" fontId="123" fillId="0" borderId="0"/>
    <xf numFmtId="0" fontId="160" fillId="0" borderId="0"/>
    <xf numFmtId="0" fontId="24" fillId="0" borderId="0"/>
    <xf numFmtId="0" fontId="161" fillId="0" borderId="0"/>
    <xf numFmtId="0" fontId="12" fillId="0" borderId="0"/>
    <xf numFmtId="43" fontId="160" fillId="0" borderId="0" applyFont="0" applyFill="0" applyBorder="0" applyAlignment="0" applyProtection="0"/>
    <xf numFmtId="0" fontId="11" fillId="0" borderId="0"/>
    <xf numFmtId="43" fontId="11" fillId="0" borderId="0" applyFont="0" applyFill="0" applyBorder="0" applyAlignment="0" applyProtection="0"/>
    <xf numFmtId="0" fontId="24" fillId="0" borderId="0"/>
    <xf numFmtId="281" fontId="162" fillId="66" borderId="34">
      <alignment horizontal="center"/>
    </xf>
    <xf numFmtId="0" fontId="162" fillId="66" borderId="34">
      <alignment horizontal="center"/>
    </xf>
    <xf numFmtId="37" fontId="163" fillId="44" borderId="35" applyProtection="0">
      <alignment horizontal="center"/>
    </xf>
    <xf numFmtId="3" fontId="164" fillId="65" borderId="25" applyProtection="0">
      <alignment horizontal="center"/>
    </xf>
    <xf numFmtId="37" fontId="163" fillId="67" borderId="34">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22" fillId="68" borderId="0"/>
    <xf numFmtId="0" fontId="10" fillId="0" borderId="0"/>
    <xf numFmtId="43" fontId="10" fillId="0" borderId="0" applyFont="0" applyFill="0" applyBorder="0" applyAlignment="0" applyProtection="0"/>
    <xf numFmtId="37" fontId="24" fillId="0" borderId="7" applyFont="0" applyFill="0" applyAlignment="0" applyProtection="0"/>
    <xf numFmtId="37" fontId="24" fillId="0" borderId="36" applyFont="0" applyFill="0" applyAlignment="0" applyProtection="0"/>
    <xf numFmtId="37" fontId="24" fillId="0" borderId="8" applyFont="0" applyFill="0" applyAlignment="0" applyProtection="0"/>
    <xf numFmtId="10" fontId="24" fillId="0" borderId="0" applyFont="0" applyFill="0" applyBorder="0" applyAlignment="0" applyProtection="0"/>
    <xf numFmtId="0" fontId="10" fillId="0" borderId="0"/>
    <xf numFmtId="43" fontId="10" fillId="0" borderId="0" applyFont="0" applyFill="0" applyBorder="0" applyAlignment="0" applyProtection="0"/>
    <xf numFmtId="0" fontId="22" fillId="68" borderId="0"/>
    <xf numFmtId="0" fontId="165"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165" fillId="72" borderId="0" applyNumberFormat="0" applyBorder="0" applyAlignment="0" applyProtection="0"/>
    <xf numFmtId="0" fontId="165" fillId="73"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0" fontId="165" fillId="76" borderId="0" applyNumberFormat="0" applyBorder="0" applyAlignment="0" applyProtection="0"/>
    <xf numFmtId="0" fontId="165" fillId="77" borderId="0" applyNumberFormat="0" applyBorder="0" applyAlignment="0" applyProtection="0"/>
    <xf numFmtId="0" fontId="20" fillId="78" borderId="0" applyNumberFormat="0" applyBorder="0" applyAlignment="0" applyProtection="0"/>
    <xf numFmtId="0" fontId="20" fillId="79"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20" fillId="74" borderId="0" applyNumberFormat="0" applyBorder="0" applyAlignment="0" applyProtection="0"/>
    <xf numFmtId="0" fontId="20" fillId="82" borderId="0" applyNumberFormat="0" applyBorder="0" applyAlignment="0" applyProtection="0"/>
    <xf numFmtId="0" fontId="165" fillId="75" borderId="0" applyNumberFormat="0" applyBorder="0" applyAlignment="0" applyProtection="0"/>
    <xf numFmtId="0" fontId="165" fillId="72" borderId="0" applyNumberFormat="0" applyBorder="0" applyAlignment="0" applyProtection="0"/>
    <xf numFmtId="0" fontId="20" fillId="83" borderId="0" applyNumberFormat="0" applyBorder="0" applyAlignment="0" applyProtection="0"/>
    <xf numFmtId="0" fontId="20" fillId="84" borderId="0" applyNumberFormat="0" applyBorder="0" applyAlignment="0" applyProtection="0"/>
    <xf numFmtId="0" fontId="165" fillId="72" borderId="0" applyNumberFormat="0" applyBorder="0" applyAlignment="0" applyProtection="0"/>
    <xf numFmtId="0" fontId="165" fillId="85" borderId="0" applyNumberFormat="0" applyBorder="0" applyAlignment="0" applyProtection="0"/>
    <xf numFmtId="0" fontId="20" fillId="86" borderId="0" applyNumberFormat="0" applyBorder="0" applyAlignment="0" applyProtection="0"/>
    <xf numFmtId="0" fontId="20" fillId="87" borderId="0" applyNumberFormat="0" applyBorder="0" applyAlignment="0" applyProtection="0"/>
    <xf numFmtId="0" fontId="165" fillId="88" borderId="0" applyNumberFormat="0" applyBorder="0" applyAlignment="0" applyProtection="0"/>
    <xf numFmtId="0" fontId="166" fillId="86" borderId="0" applyNumberFormat="0" applyBorder="0" applyAlignment="0" applyProtection="0"/>
    <xf numFmtId="0" fontId="167" fillId="89" borderId="37" applyNumberFormat="0" applyAlignment="0" applyProtection="0"/>
    <xf numFmtId="0" fontId="168" fillId="81" borderId="38" applyNumberFormat="0" applyAlignment="0" applyProtection="0"/>
    <xf numFmtId="0" fontId="169" fillId="90" borderId="0" applyNumberFormat="0" applyBorder="0" applyAlignment="0" applyProtection="0"/>
    <xf numFmtId="0" fontId="169" fillId="91" borderId="0" applyNumberFormat="0" applyBorder="0" applyAlignment="0" applyProtection="0"/>
    <xf numFmtId="0" fontId="169" fillId="92" borderId="0" applyNumberFormat="0" applyBorder="0" applyAlignment="0" applyProtection="0"/>
    <xf numFmtId="0" fontId="20" fillId="79" borderId="0" applyNumberFormat="0" applyBorder="0" applyAlignment="0" applyProtection="0"/>
    <xf numFmtId="0" fontId="170" fillId="0" borderId="39" applyNumberFormat="0" applyFill="0" applyAlignment="0" applyProtection="0"/>
    <xf numFmtId="0" fontId="171" fillId="0" borderId="40" applyNumberFormat="0" applyFill="0" applyAlignment="0" applyProtection="0"/>
    <xf numFmtId="0" fontId="172" fillId="0" borderId="41" applyNumberFormat="0" applyFill="0" applyAlignment="0" applyProtection="0"/>
    <xf numFmtId="0" fontId="172" fillId="0" borderId="0" applyNumberFormat="0" applyFill="0" applyBorder="0" applyAlignment="0" applyProtection="0"/>
    <xf numFmtId="0" fontId="173" fillId="87" borderId="37" applyNumberFormat="0" applyAlignment="0" applyProtection="0"/>
    <xf numFmtId="0" fontId="174" fillId="0" borderId="42" applyNumberFormat="0" applyFill="0" applyAlignment="0" applyProtection="0"/>
    <xf numFmtId="0" fontId="174" fillId="87" borderId="0" applyNumberFormat="0" applyBorder="0" applyAlignment="0" applyProtection="0"/>
    <xf numFmtId="0" fontId="22" fillId="86" borderId="37" applyNumberFormat="0" applyFont="0" applyAlignment="0" applyProtection="0"/>
    <xf numFmtId="0" fontId="175" fillId="89" borderId="43" applyNumberFormat="0" applyAlignment="0" applyProtection="0"/>
    <xf numFmtId="0" fontId="148" fillId="50" borderId="28" applyNumberFormat="0" applyAlignment="0" applyProtection="0">
      <alignment horizontal="left" vertical="center" indent="1"/>
    </xf>
    <xf numFmtId="0" fontId="148" fillId="50" borderId="28" applyNumberFormat="0" applyAlignment="0" applyProtection="0">
      <alignment horizontal="left" vertical="center" indent="1"/>
    </xf>
    <xf numFmtId="0" fontId="155" fillId="50" borderId="28" applyNumberFormat="0" applyAlignment="0" applyProtection="0">
      <alignment horizontal="left" vertical="center" indent="1"/>
    </xf>
    <xf numFmtId="0" fontId="155" fillId="50" borderId="28" applyNumberFormat="0" applyAlignment="0" applyProtection="0">
      <alignment horizontal="left" vertical="center" indent="1"/>
    </xf>
    <xf numFmtId="282" fontId="158" fillId="52" borderId="27" applyNumberFormat="0" applyBorder="0" applyProtection="0">
      <alignment horizontal="right" vertical="center"/>
    </xf>
    <xf numFmtId="282" fontId="157" fillId="52" borderId="28" applyNumberFormat="0" applyBorder="0" applyProtection="0">
      <alignment horizontal="right" vertical="center"/>
    </xf>
    <xf numFmtId="0" fontId="156" fillId="0" borderId="31" applyBorder="0" applyAlignment="0" applyProtection="0"/>
    <xf numFmtId="282" fontId="178" fillId="55" borderId="29" applyNumberFormat="0" applyBorder="0" applyAlignment="0" applyProtection="0">
      <alignment horizontal="right" vertical="center" indent="1"/>
    </xf>
    <xf numFmtId="282" fontId="179" fillId="58" borderId="29" applyNumberFormat="0" applyBorder="0" applyAlignment="0" applyProtection="0">
      <alignment horizontal="right" vertical="center" indent="1"/>
    </xf>
    <xf numFmtId="282" fontId="180" fillId="60" borderId="29" applyNumberFormat="0" applyBorder="0" applyAlignment="0" applyProtection="0">
      <alignment horizontal="right" vertical="center" indent="1"/>
    </xf>
    <xf numFmtId="282" fontId="147" fillId="52" borderId="27" applyNumberFormat="0" applyBorder="0" applyProtection="0">
      <alignment horizontal="right" vertical="center"/>
    </xf>
    <xf numFmtId="282" fontId="146" fillId="52" borderId="28" applyNumberFormat="0" applyBorder="0" applyProtection="0">
      <alignment horizontal="right" vertical="center"/>
    </xf>
    <xf numFmtId="0" fontId="176" fillId="0" borderId="0" applyNumberFormat="0" applyFill="0" applyBorder="0" applyAlignment="0" applyProtection="0"/>
    <xf numFmtId="0" fontId="169" fillId="0" borderId="44" applyNumberFormat="0" applyFill="0" applyAlignment="0" applyProtection="0"/>
    <xf numFmtId="0" fontId="177" fillId="0" borderId="0" applyNumberFormat="0" applyFill="0" applyBorder="0" applyAlignment="0" applyProtection="0"/>
    <xf numFmtId="43" fontId="22" fillId="0" borderId="0" applyFont="0" applyFill="0" applyBorder="0" applyAlignment="0" applyProtection="0"/>
    <xf numFmtId="0" fontId="49" fillId="0" borderId="0" applyFill="0" applyBorder="0" applyProtection="0">
      <alignment horizontal="center" wrapText="1"/>
    </xf>
    <xf numFmtId="0" fontId="181" fillId="68" borderId="0"/>
    <xf numFmtId="0" fontId="165" fillId="69" borderId="0" applyNumberFormat="0" applyBorder="0" applyAlignment="0" applyProtection="0"/>
    <xf numFmtId="0" fontId="165" fillId="73" borderId="0" applyNumberFormat="0" applyBorder="0" applyAlignment="0" applyProtection="0"/>
    <xf numFmtId="0" fontId="165" fillId="77" borderId="0" applyNumberFormat="0" applyBorder="0" applyAlignment="0" applyProtection="0"/>
    <xf numFmtId="0" fontId="165" fillId="81" borderId="0" applyNumberFormat="0" applyBorder="0" applyAlignment="0" applyProtection="0"/>
    <xf numFmtId="0" fontId="165" fillId="72" borderId="0" applyNumberFormat="0" applyBorder="0" applyAlignment="0" applyProtection="0"/>
    <xf numFmtId="0" fontId="165" fillId="85" borderId="0" applyNumberFormat="0" applyBorder="0" applyAlignment="0" applyProtection="0"/>
    <xf numFmtId="0" fontId="173" fillId="87" borderId="37" applyNumberFormat="0" applyAlignment="0" applyProtection="0"/>
    <xf numFmtId="0" fontId="22" fillId="86" borderId="37" applyNumberFormat="0" applyFont="0" applyAlignment="0" applyProtection="0"/>
    <xf numFmtId="0" fontId="165" fillId="85" borderId="0" applyNumberFormat="0" applyBorder="0" applyAlignment="0" applyProtection="0"/>
    <xf numFmtId="0" fontId="165" fillId="72" borderId="0" applyNumberFormat="0" applyBorder="0" applyAlignment="0" applyProtection="0"/>
    <xf numFmtId="0" fontId="165" fillId="77" borderId="0" applyNumberFormat="0" applyBorder="0" applyAlignment="0" applyProtection="0"/>
    <xf numFmtId="0" fontId="165" fillId="73" borderId="0" applyNumberFormat="0" applyBorder="0" applyAlignment="0" applyProtection="0"/>
    <xf numFmtId="0" fontId="165" fillId="69" borderId="0" applyNumberFormat="0" applyBorder="0" applyAlignment="0" applyProtection="0"/>
    <xf numFmtId="0" fontId="181" fillId="68" borderId="0"/>
    <xf numFmtId="0" fontId="165" fillId="81" borderId="0" applyNumberFormat="0" applyBorder="0" applyAlignment="0" applyProtection="0"/>
    <xf numFmtId="0" fontId="173" fillId="87" borderId="37"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286" fontId="24" fillId="0" borderId="45" applyFont="0" applyFill="0" applyAlignment="0" applyProtection="0"/>
    <xf numFmtId="0" fontId="49" fillId="0" borderId="0" applyFill="0" applyBorder="0" applyAlignment="0" applyProtection="0"/>
    <xf numFmtId="286" fontId="24" fillId="0" borderId="0" applyFont="0" applyFill="0" applyBorder="0" applyAlignment="0" applyProtection="0"/>
    <xf numFmtId="286" fontId="24" fillId="0" borderId="1" applyFont="0" applyFill="0" applyAlignment="0" applyProtection="0"/>
    <xf numFmtId="0" fontId="24" fillId="0" borderId="0" applyFont="0" applyFill="0" applyBorder="0" applyProtection="0">
      <alignment horizontal="left" indent="1"/>
    </xf>
    <xf numFmtId="0" fontId="49" fillId="0" borderId="1" applyFill="0" applyProtection="0">
      <alignment horizontal="center" wrapText="1"/>
    </xf>
    <xf numFmtId="0" fontId="31" fillId="0" borderId="0" applyFill="0" applyBorder="0" applyAlignment="0" applyProtection="0"/>
    <xf numFmtId="0" fontId="23" fillId="0" borderId="0" applyFill="0" applyBorder="0" applyAlignment="0" applyProtection="0"/>
    <xf numFmtId="0" fontId="9" fillId="0" borderId="0"/>
    <xf numFmtId="0" fontId="9" fillId="0" borderId="0"/>
    <xf numFmtId="0" fontId="9" fillId="0" borderId="0"/>
    <xf numFmtId="286" fontId="24" fillId="0" borderId="36" applyFont="0" applyFill="0" applyAlignment="0" applyProtection="0"/>
    <xf numFmtId="286" fontId="24" fillId="0" borderId="46" applyFont="0" applyFill="0" applyAlignment="0" applyProtection="0"/>
    <xf numFmtId="286" fontId="24" fillId="0" borderId="7" applyFont="0" applyFill="0" applyAlignment="0" applyProtection="0"/>
    <xf numFmtId="0" fontId="8" fillId="0" borderId="0"/>
    <xf numFmtId="0" fontId="24" fillId="0" borderId="0"/>
    <xf numFmtId="9" fontId="24" fillId="0" borderId="0" applyFont="0" applyFill="0" applyBorder="0" applyAlignment="0" applyProtection="0"/>
    <xf numFmtId="44" fontId="24" fillId="0" borderId="0" applyFont="0" applyFill="0" applyBorder="0" applyAlignment="0" applyProtection="0"/>
    <xf numFmtId="42" fontId="24" fillId="0" borderId="0" applyFont="0" applyFill="0" applyBorder="0" applyAlignment="0" applyProtection="0"/>
    <xf numFmtId="43" fontId="24" fillId="0" borderId="0" applyFont="0" applyFill="0" applyBorder="0" applyAlignment="0" applyProtection="0"/>
    <xf numFmtId="0" fontId="49" fillId="0" borderId="0" applyNumberFormat="0" applyFill="0" applyBorder="0" applyProtection="0">
      <alignment horizontal="center" wrapText="1"/>
    </xf>
    <xf numFmtId="0" fontId="24" fillId="0" borderId="0"/>
    <xf numFmtId="43" fontId="24" fillId="0" borderId="0" applyFont="0" applyFill="0" applyBorder="0" applyAlignment="0" applyProtection="0"/>
    <xf numFmtId="37" fontId="24" fillId="0" borderId="46" applyFont="0" applyFill="0" applyAlignment="0" applyProtection="0"/>
    <xf numFmtId="9" fontId="24" fillId="0" borderId="0" applyFont="0" applyFill="0" applyBorder="0" applyAlignment="0" applyProtection="0"/>
    <xf numFmtId="10" fontId="24" fillId="0" borderId="7" applyFont="0" applyFill="0" applyAlignment="0" applyProtection="0"/>
    <xf numFmtId="10" fontId="24" fillId="0" borderId="36" applyFont="0" applyFill="0" applyAlignment="0" applyProtection="0"/>
    <xf numFmtId="10" fontId="24" fillId="0" borderId="46" applyFont="0" applyFill="0" applyAlignment="0" applyProtection="0"/>
    <xf numFmtId="10" fontId="24" fillId="0" borderId="1" applyFont="0" applyFill="0" applyAlignment="0" applyProtection="0"/>
    <xf numFmtId="10" fontId="24" fillId="0" borderId="45" applyFont="0" applyFill="0" applyAlignment="0" applyProtection="0"/>
    <xf numFmtId="44" fontId="24" fillId="0" borderId="0" applyFont="0" applyFill="0" applyBorder="0" applyAlignment="0" applyProtection="0"/>
    <xf numFmtId="0" fontId="7" fillId="0" borderId="0"/>
    <xf numFmtId="227" fontId="64" fillId="0" borderId="0"/>
    <xf numFmtId="43" fontId="64" fillId="0" borderId="0" applyFont="0" applyFill="0" applyBorder="0" applyAlignment="0" applyProtection="0"/>
    <xf numFmtId="0" fontId="31" fillId="0" borderId="0"/>
    <xf numFmtId="0" fontId="7" fillId="0" borderId="0"/>
    <xf numFmtId="174" fontId="183" fillId="0" borderId="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0" fontId="164" fillId="0" borderId="0"/>
    <xf numFmtId="0" fontId="4" fillId="0" borderId="0"/>
    <xf numFmtId="0" fontId="187" fillId="93" borderId="0">
      <alignment horizontal="center" vertical="center" wrapText="1"/>
    </xf>
    <xf numFmtId="0" fontId="188" fillId="94" borderId="0">
      <alignment horizontal="center" vertical="center" wrapText="1"/>
    </xf>
    <xf numFmtId="37" fontId="164" fillId="44" borderId="35" applyProtection="0">
      <alignment horizontal="center"/>
    </xf>
    <xf numFmtId="37" fontId="164" fillId="67" borderId="34">
      <alignment horizontal="center"/>
    </xf>
    <xf numFmtId="0" fontId="164" fillId="65" borderId="25" applyProtection="0">
      <alignment horizontal="center"/>
    </xf>
    <xf numFmtId="37" fontId="164" fillId="65" borderId="25" applyProtection="0">
      <alignment horizontal="center"/>
    </xf>
    <xf numFmtId="9" fontId="4" fillId="0" borderId="0" applyFont="0" applyFill="0" applyBorder="0" applyAlignment="0" applyProtection="0"/>
    <xf numFmtId="44" fontId="4" fillId="0" borderId="0" applyFont="0" applyFill="0" applyBorder="0" applyAlignment="0" applyProtection="0"/>
    <xf numFmtId="0" fontId="123" fillId="0" borderId="0"/>
    <xf numFmtId="0" fontId="3" fillId="0" borderId="0"/>
    <xf numFmtId="43" fontId="3" fillId="0" borderId="0" applyFont="0" applyFill="0" applyBorder="0" applyAlignment="0" applyProtection="0"/>
    <xf numFmtId="0" fontId="123" fillId="0" borderId="0"/>
    <xf numFmtId="289" fontId="24" fillId="0" borderId="0"/>
    <xf numFmtId="289" fontId="24" fillId="0" borderId="0"/>
    <xf numFmtId="289" fontId="24" fillId="0" borderId="0"/>
    <xf numFmtId="289" fontId="24" fillId="0" borderId="0"/>
    <xf numFmtId="289" fontId="24" fillId="0" borderId="0"/>
    <xf numFmtId="289" fontId="24" fillId="0" borderId="0"/>
    <xf numFmtId="0" fontId="189" fillId="0" borderId="0"/>
    <xf numFmtId="174" fontId="44" fillId="0" borderId="0" applyProtection="0"/>
    <xf numFmtId="0" fontId="146" fillId="48" borderId="26" applyNumberFormat="0" applyAlignment="0" applyProtection="0">
      <alignment horizontal="left" vertical="center" indent="1"/>
    </xf>
    <xf numFmtId="0" fontId="148" fillId="62" borderId="26" applyNumberFormat="0" applyAlignment="0" applyProtection="0">
      <alignment horizontal="left" vertical="center" indent="1"/>
    </xf>
    <xf numFmtId="282" fontId="147" fillId="49" borderId="26" applyNumberFormat="0" applyAlignment="0" applyProtection="0">
      <alignment horizontal="left" vertical="center" indent="1"/>
    </xf>
    <xf numFmtId="0" fontId="146" fillId="48" borderId="28" applyNumberFormat="0" applyAlignment="0" applyProtection="0">
      <alignment horizontal="left" vertical="center" indent="1"/>
    </xf>
    <xf numFmtId="282" fontId="147" fillId="0" borderId="27" applyNumberFormat="0" applyProtection="0">
      <alignment horizontal="right" vertical="center"/>
    </xf>
    <xf numFmtId="282" fontId="146" fillId="0" borderId="28" applyNumberFormat="0" applyProtection="0">
      <alignment horizontal="right" vertical="center"/>
    </xf>
    <xf numFmtId="174" fontId="26" fillId="0" borderId="49" applyFill="0"/>
    <xf numFmtId="0" fontId="26" fillId="0" borderId="48">
      <alignment horizontal="left" vertical="center"/>
    </xf>
    <xf numFmtId="0" fontId="59" fillId="7" borderId="50" applyNumberFormat="0" applyAlignment="0" applyProtection="0"/>
    <xf numFmtId="10" fontId="22" fillId="8" borderId="5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50" applyNumberFormat="0" applyFont="0" applyBorder="0">
      <alignment horizontal="right"/>
    </xf>
    <xf numFmtId="245" fontId="89" fillId="0" borderId="48" applyNumberFormat="0" applyFont="0" applyFill="0" applyAlignment="0" applyProtection="0"/>
    <xf numFmtId="0" fontId="24" fillId="0" borderId="49" applyNumberFormat="0" applyFont="0" applyFill="0" applyAlignment="0" applyProtection="0"/>
    <xf numFmtId="275" fontId="71" fillId="0" borderId="48" applyFont="0" applyFill="0" applyBorder="0" applyAlignment="0" applyProtection="0">
      <alignment horizontal="right"/>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37" fontId="24" fillId="0" borderId="48" applyFont="0" applyFill="0" applyAlignment="0" applyProtection="0"/>
    <xf numFmtId="37" fontId="24" fillId="0" borderId="51" applyFont="0" applyFill="0" applyAlignment="0" applyProtection="0"/>
    <xf numFmtId="0" fontId="3" fillId="0" borderId="0"/>
    <xf numFmtId="43" fontId="3" fillId="0" borderId="0" applyFont="0" applyFill="0" applyBorder="0" applyAlignment="0" applyProtection="0"/>
    <xf numFmtId="0" fontId="167" fillId="89" borderId="52" applyNumberFormat="0" applyAlignment="0" applyProtection="0"/>
    <xf numFmtId="0" fontId="173" fillId="87" borderId="52" applyNumberFormat="0" applyAlignment="0" applyProtection="0"/>
    <xf numFmtId="0" fontId="22" fillId="86" borderId="52" applyNumberFormat="0" applyFont="0" applyAlignment="0" applyProtection="0"/>
    <xf numFmtId="0" fontId="175" fillId="89" borderId="53" applyNumberFormat="0" applyAlignment="0" applyProtection="0"/>
    <xf numFmtId="0" fontId="169" fillId="0" borderId="54" applyNumberFormat="0" applyFill="0" applyAlignment="0" applyProtection="0"/>
    <xf numFmtId="286" fontId="24" fillId="0" borderId="55" applyFont="0" applyFill="0" applyAlignment="0" applyProtection="0"/>
    <xf numFmtId="286" fontId="24" fillId="0" borderId="51" applyFont="0" applyFill="0" applyAlignment="0" applyProtection="0"/>
    <xf numFmtId="286" fontId="24" fillId="0" borderId="48" applyFont="0" applyFill="0" applyAlignment="0" applyProtection="0"/>
    <xf numFmtId="0" fontId="3" fillId="0" borderId="0"/>
    <xf numFmtId="9" fontId="3" fillId="0" borderId="0" applyFont="0" applyFill="0" applyBorder="0" applyAlignment="0" applyProtection="0"/>
    <xf numFmtId="0" fontId="24" fillId="0" borderId="0"/>
    <xf numFmtId="286" fontId="24" fillId="0" borderId="14" applyFont="0" applyFill="0" applyAlignment="0" applyProtection="0"/>
    <xf numFmtId="43" fontId="20"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0" fontId="3" fillId="0" borderId="0"/>
    <xf numFmtId="0" fontId="12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174" fontId="26" fillId="0" borderId="57" applyFill="0"/>
    <xf numFmtId="37" fontId="24" fillId="0" borderId="60" applyFont="0" applyFill="0" applyAlignment="0" applyProtection="0"/>
    <xf numFmtId="10" fontId="22" fillId="8" borderId="61" applyNumberFormat="0" applyBorder="0" applyAlignment="0" applyProtection="0"/>
    <xf numFmtId="0" fontId="49" fillId="0" borderId="61" applyNumberFormat="0" applyFont="0" applyBorder="0">
      <alignment horizontal="right"/>
    </xf>
    <xf numFmtId="0" fontId="167" fillId="89" borderId="64" applyNumberFormat="0" applyAlignment="0" applyProtection="0"/>
    <xf numFmtId="0" fontId="173" fillId="87" borderId="64" applyNumberFormat="0" applyAlignment="0" applyProtection="0"/>
    <xf numFmtId="0" fontId="22" fillId="86" borderId="64" applyNumberFormat="0" applyFont="0" applyAlignment="0" applyProtection="0"/>
    <xf numFmtId="0" fontId="175" fillId="89" borderId="65" applyNumberFormat="0" applyAlignment="0" applyProtection="0"/>
    <xf numFmtId="0" fontId="26" fillId="0" borderId="58">
      <alignment horizontal="left" vertical="center"/>
    </xf>
    <xf numFmtId="0" fontId="59" fillId="7" borderId="56" applyNumberFormat="0" applyAlignment="0" applyProtection="0"/>
    <xf numFmtId="10" fontId="22" fillId="8" borderId="56" applyNumberFormat="0" applyBorder="0" applyAlignment="0" applyProtection="0"/>
    <xf numFmtId="0" fontId="61" fillId="0" borderId="46">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46"/>
    <xf numFmtId="14" fontId="49" fillId="5" borderId="46">
      <alignment horizontal="center" vertical="center" wrapText="1"/>
    </xf>
    <xf numFmtId="0" fontId="49" fillId="0" borderId="56" applyNumberFormat="0" applyFont="0" applyBorder="0">
      <alignment horizontal="right"/>
    </xf>
    <xf numFmtId="245" fontId="89" fillId="0" borderId="58" applyNumberFormat="0" applyFont="0" applyFill="0" applyAlignment="0" applyProtection="0"/>
    <xf numFmtId="0" fontId="24" fillId="0" borderId="57" applyNumberFormat="0" applyFont="0" applyFill="0" applyAlignment="0" applyProtection="0"/>
    <xf numFmtId="286" fontId="24" fillId="0" borderId="67" applyFont="0" applyFill="0" applyAlignment="0" applyProtection="0"/>
    <xf numFmtId="286" fontId="24" fillId="0" borderId="63" applyFont="0" applyFill="0" applyAlignment="0" applyProtection="0"/>
    <xf numFmtId="0" fontId="169" fillId="0" borderId="66" applyNumberFormat="0" applyFill="0" applyAlignment="0" applyProtection="0"/>
    <xf numFmtId="275" fontId="71" fillId="0" borderId="58" applyFont="0" applyFill="0" applyBorder="0" applyAlignment="0" applyProtection="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59" fillId="7" borderId="61" applyNumberFormat="0" applyAlignment="0" applyProtection="0"/>
    <xf numFmtId="37" fontId="24" fillId="0" borderId="63" applyFont="0" applyFill="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37" fontId="24" fillId="0" borderId="58" applyFont="0" applyFill="0" applyAlignment="0" applyProtection="0"/>
    <xf numFmtId="37" fontId="24" fillId="0" borderId="59" applyFont="0" applyFill="0" applyAlignment="0" applyProtection="0"/>
    <xf numFmtId="0" fontId="1" fillId="0" borderId="0"/>
    <xf numFmtId="43" fontId="1" fillId="0" borderId="0" applyFont="0" applyFill="0" applyBorder="0" applyAlignment="0" applyProtection="0"/>
    <xf numFmtId="0" fontId="24" fillId="0" borderId="62" applyNumberFormat="0" applyFont="0" applyFill="0" applyAlignment="0" applyProtection="0"/>
    <xf numFmtId="0" fontId="22" fillId="68" borderId="0"/>
    <xf numFmtId="0" fontId="173" fillId="87" borderId="52" applyNumberFormat="0" applyAlignment="0" applyProtection="0"/>
    <xf numFmtId="0" fontId="22" fillId="86" borderId="52" applyNumberFormat="0" applyFont="0" applyAlignment="0" applyProtection="0"/>
    <xf numFmtId="0" fontId="22" fillId="68" borderId="0"/>
    <xf numFmtId="0" fontId="173" fillId="87" borderId="52" applyNumberFormat="0" applyAlignment="0" applyProtection="0"/>
    <xf numFmtId="286" fontId="24" fillId="0" borderId="60" applyFont="0" applyFill="0" applyAlignment="0" applyProtection="0"/>
    <xf numFmtId="0" fontId="1" fillId="0" borderId="0"/>
    <xf numFmtId="0" fontId="1" fillId="0" borderId="0"/>
    <xf numFmtId="0" fontId="1" fillId="0" borderId="0"/>
    <xf numFmtId="286" fontId="24" fillId="0" borderId="59" applyFont="0" applyFill="0" applyAlignment="0" applyProtection="0"/>
    <xf numFmtId="286" fontId="24" fillId="0" borderId="58" applyFont="0" applyFill="0" applyAlignment="0" applyProtection="0"/>
    <xf numFmtId="0" fontId="1" fillId="0" borderId="0"/>
    <xf numFmtId="10" fontId="24" fillId="0" borderId="58" applyFont="0" applyFill="0" applyAlignment="0" applyProtection="0"/>
    <xf numFmtId="10" fontId="24" fillId="0" borderId="59" applyFont="0" applyFill="0" applyAlignment="0" applyProtection="0"/>
    <xf numFmtId="10" fontId="24" fillId="0" borderId="60" applyFont="0" applyFill="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46" fillId="0" borderId="46">
      <alignment horizontal="center"/>
    </xf>
    <xf numFmtId="174" fontId="26" fillId="0" borderId="57" applyFill="0"/>
    <xf numFmtId="0" fontId="26" fillId="0" borderId="58">
      <alignment horizontal="left" vertical="center"/>
    </xf>
    <xf numFmtId="0" fontId="59" fillId="7" borderId="56" applyNumberFormat="0" applyAlignment="0" applyProtection="0"/>
    <xf numFmtId="10" fontId="22" fillId="8" borderId="56"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56" applyNumberFormat="0" applyFont="0" applyBorder="0">
      <alignment horizontal="right"/>
    </xf>
    <xf numFmtId="245" fontId="89" fillId="0" borderId="58" applyNumberFormat="0" applyFont="0" applyFill="0" applyAlignment="0" applyProtection="0"/>
    <xf numFmtId="0" fontId="24" fillId="0" borderId="57" applyNumberFormat="0" applyFont="0" applyFill="0" applyAlignment="0" applyProtection="0"/>
    <xf numFmtId="275" fontId="71" fillId="0" borderId="58" applyFont="0" applyFill="0" applyBorder="0" applyAlignment="0" applyProtection="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37" fontId="24" fillId="0" borderId="58" applyFont="0" applyFill="0" applyAlignment="0" applyProtection="0"/>
    <xf numFmtId="37" fontId="24" fillId="0" borderId="59" applyFont="0" applyFill="0" applyAlignment="0" applyProtection="0"/>
    <xf numFmtId="0" fontId="1" fillId="0" borderId="0"/>
    <xf numFmtId="43" fontId="1" fillId="0" borderId="0" applyFont="0" applyFill="0" applyBorder="0" applyAlignment="0" applyProtection="0"/>
    <xf numFmtId="286" fontId="24" fillId="0" borderId="60" applyFont="0" applyFill="0" applyAlignment="0" applyProtection="0"/>
    <xf numFmtId="286" fontId="24" fillId="0" borderId="59" applyFont="0" applyFill="0" applyAlignment="0" applyProtection="0"/>
    <xf numFmtId="286" fontId="24" fillId="0" borderId="58" applyFont="0" applyFill="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74" fontId="26" fillId="0" borderId="62" applyFill="0"/>
    <xf numFmtId="286" fontId="24" fillId="0" borderId="60" applyFont="0" applyFill="0" applyAlignment="0" applyProtection="0"/>
    <xf numFmtId="286" fontId="24" fillId="0" borderId="68" applyFont="0" applyFill="0" applyAlignment="0" applyProtection="0"/>
  </cellStyleXfs>
  <cellXfs count="708">
    <xf numFmtId="174" fontId="0" fillId="0" borderId="0" xfId="0"/>
    <xf numFmtId="0" fontId="64" fillId="0" borderId="0" xfId="212" applyFont="1"/>
    <xf numFmtId="0" fontId="71" fillId="0" borderId="0" xfId="212" applyFont="1" applyAlignment="1">
      <alignment horizontal="centerContinuous"/>
    </xf>
    <xf numFmtId="0" fontId="71" fillId="0" borderId="0" xfId="212" applyFont="1" applyAlignment="1">
      <alignment horizontal="center" wrapText="1"/>
    </xf>
    <xf numFmtId="0" fontId="71" fillId="0" borderId="0" xfId="206" applyFont="1" applyAlignment="1">
      <alignment horizontal="center" wrapText="1"/>
    </xf>
    <xf numFmtId="0" fontId="64" fillId="0" borderId="0" xfId="212" quotePrefix="1" applyFont="1" applyAlignment="1">
      <alignment horizontal="left"/>
    </xf>
    <xf numFmtId="41" fontId="64" fillId="14" borderId="0" xfId="212" applyNumberFormat="1" applyFont="1" applyFill="1"/>
    <xf numFmtId="0" fontId="64" fillId="0" borderId="0" xfId="212" applyFont="1" applyAlignment="1">
      <alignment horizontal="right"/>
    </xf>
    <xf numFmtId="43" fontId="64" fillId="0" borderId="14" xfId="59" applyFont="1" applyBorder="1"/>
    <xf numFmtId="37" fontId="64" fillId="0" borderId="0" xfId="212" applyNumberFormat="1" applyFont="1"/>
    <xf numFmtId="0" fontId="71" fillId="0" borderId="0" xfId="212" applyFont="1" applyAlignment="1">
      <alignment horizontal="centerContinuous" wrapText="1"/>
    </xf>
    <xf numFmtId="0" fontId="71" fillId="0" borderId="0" xfId="212" applyFont="1" applyAlignment="1">
      <alignment horizontal="center"/>
    </xf>
    <xf numFmtId="174" fontId="64" fillId="0" borderId="0" xfId="0" applyFont="1" applyAlignment="1">
      <alignment wrapText="1"/>
    </xf>
    <xf numFmtId="0" fontId="94" fillId="0" borderId="0" xfId="0" applyNumberFormat="1" applyFont="1" applyAlignment="1">
      <alignment horizontal="center"/>
    </xf>
    <xf numFmtId="174" fontId="94" fillId="0" borderId="0" xfId="0" applyFont="1"/>
    <xf numFmtId="174" fontId="64" fillId="0" borderId="0" xfId="0" applyFont="1"/>
    <xf numFmtId="174" fontId="64" fillId="0" borderId="0" xfId="207" applyFont="1"/>
    <xf numFmtId="174" fontId="94" fillId="0" borderId="0" xfId="0" applyFont="1" applyAlignment="1">
      <alignment horizontal="center"/>
    </xf>
    <xf numFmtId="175" fontId="64" fillId="0" borderId="0" xfId="59" applyNumberFormat="1" applyFont="1" applyAlignment="1"/>
    <xf numFmtId="0" fontId="64" fillId="0" borderId="0" xfId="201" applyNumberFormat="1" applyFont="1" applyProtection="1">
      <protection locked="0"/>
    </xf>
    <xf numFmtId="0" fontId="64" fillId="0" borderId="0" xfId="201" applyNumberFormat="1" applyFont="1" applyAlignment="1" applyProtection="1">
      <alignment horizontal="center"/>
      <protection locked="0"/>
    </xf>
    <xf numFmtId="0" fontId="64" fillId="14" borderId="0" xfId="201" applyNumberFormat="1" applyFont="1" applyFill="1" applyAlignment="1">
      <alignment horizontal="right"/>
    </xf>
    <xf numFmtId="3" fontId="64" fillId="0" borderId="0" xfId="201" applyNumberFormat="1" applyFont="1"/>
    <xf numFmtId="3" fontId="64" fillId="0" borderId="0" xfId="201" applyNumberFormat="1" applyFont="1" applyAlignment="1">
      <alignment horizontal="center"/>
    </xf>
    <xf numFmtId="174" fontId="64" fillId="0" borderId="0" xfId="201" applyFont="1"/>
    <xf numFmtId="0" fontId="64" fillId="0" borderId="0" xfId="201" applyNumberFormat="1" applyFont="1"/>
    <xf numFmtId="43" fontId="64" fillId="0" borderId="0" xfId="59" applyFont="1" applyAlignment="1"/>
    <xf numFmtId="0" fontId="64" fillId="0" borderId="0" xfId="211" applyNumberFormat="1" applyFont="1" applyProtection="1">
      <protection locked="0"/>
    </xf>
    <xf numFmtId="3" fontId="64" fillId="0" borderId="0" xfId="211" applyNumberFormat="1" applyFont="1"/>
    <xf numFmtId="0" fontId="64" fillId="0" borderId="0" xfId="211" applyNumberFormat="1" applyFont="1"/>
    <xf numFmtId="3" fontId="64" fillId="0" borderId="0" xfId="211" applyNumberFormat="1" applyFont="1" applyAlignment="1">
      <alignment horizontal="center"/>
    </xf>
    <xf numFmtId="174" fontId="64" fillId="0" borderId="0" xfId="211" applyFont="1"/>
    <xf numFmtId="169" fontId="64" fillId="0" borderId="0" xfId="211" applyNumberFormat="1" applyFont="1"/>
    <xf numFmtId="166" fontId="64" fillId="0" borderId="0" xfId="211" applyNumberFormat="1" applyFont="1" applyAlignment="1">
      <alignment horizontal="center"/>
    </xf>
    <xf numFmtId="164" fontId="64" fillId="0" borderId="0" xfId="211" applyNumberFormat="1" applyFont="1" applyAlignment="1">
      <alignment horizontal="left"/>
    </xf>
    <xf numFmtId="175" fontId="64" fillId="0" borderId="0" xfId="59" applyNumberFormat="1" applyFont="1" applyBorder="1" applyAlignment="1"/>
    <xf numFmtId="10" fontId="64" fillId="0" borderId="0" xfId="211" applyNumberFormat="1" applyFont="1" applyAlignment="1">
      <alignment horizontal="left"/>
    </xf>
    <xf numFmtId="3" fontId="64" fillId="0" borderId="0" xfId="188" applyNumberFormat="1" applyFont="1"/>
    <xf numFmtId="166" fontId="64" fillId="0" borderId="0" xfId="188" applyNumberFormat="1" applyFont="1"/>
    <xf numFmtId="0" fontId="64" fillId="0" borderId="0" xfId="188" applyFont="1"/>
    <xf numFmtId="164" fontId="64" fillId="0" borderId="0" xfId="211" applyNumberFormat="1" applyFont="1" applyAlignment="1" applyProtection="1">
      <alignment horizontal="left"/>
      <protection locked="0"/>
    </xf>
    <xf numFmtId="174" fontId="64" fillId="14" borderId="0" xfId="201" applyFont="1" applyFill="1"/>
    <xf numFmtId="174" fontId="64" fillId="0" borderId="1" xfId="201" applyFont="1" applyBorder="1"/>
    <xf numFmtId="174" fontId="64" fillId="0" borderId="15" xfId="201" applyFont="1" applyBorder="1"/>
    <xf numFmtId="175" fontId="64" fillId="0" borderId="0" xfId="59" applyNumberFormat="1" applyFont="1" applyFill="1" applyBorder="1" applyAlignment="1"/>
    <xf numFmtId="43" fontId="64" fillId="0" borderId="0" xfId="59" applyFont="1" applyFill="1" applyBorder="1" applyAlignment="1"/>
    <xf numFmtId="174" fontId="95" fillId="0" borderId="0" xfId="201" applyFont="1"/>
    <xf numFmtId="174" fontId="64" fillId="0" borderId="0" xfId="201" applyFont="1" applyAlignment="1">
      <alignment horizontal="center"/>
    </xf>
    <xf numFmtId="174" fontId="64" fillId="0" borderId="0" xfId="201" applyFont="1" applyAlignment="1">
      <alignment horizontal="right"/>
    </xf>
    <xf numFmtId="0" fontId="64" fillId="0" borderId="0" xfId="201" applyNumberFormat="1" applyFont="1" applyAlignment="1">
      <alignment horizontal="right"/>
    </xf>
    <xf numFmtId="0" fontId="96" fillId="0" borderId="0" xfId="201" applyNumberFormat="1" applyFont="1"/>
    <xf numFmtId="0" fontId="96" fillId="0" borderId="0" xfId="201" applyNumberFormat="1" applyFont="1" applyAlignment="1">
      <alignment horizontal="center"/>
    </xf>
    <xf numFmtId="49" fontId="64" fillId="0" borderId="0" xfId="201" applyNumberFormat="1" applyFont="1"/>
    <xf numFmtId="0" fontId="64" fillId="0" borderId="0" xfId="201" applyNumberFormat="1" applyFont="1" applyAlignment="1">
      <alignment horizontal="center"/>
    </xf>
    <xf numFmtId="49" fontId="64" fillId="0" borderId="0" xfId="201" applyNumberFormat="1" applyFont="1" applyAlignment="1">
      <alignment horizontal="center"/>
    </xf>
    <xf numFmtId="3" fontId="71" fillId="0" borderId="0" xfId="201" applyNumberFormat="1" applyFont="1" applyAlignment="1">
      <alignment horizontal="center"/>
    </xf>
    <xf numFmtId="174" fontId="71" fillId="0" borderId="0" xfId="201" applyFont="1" applyAlignment="1">
      <alignment horizontal="center"/>
    </xf>
    <xf numFmtId="0" fontId="71" fillId="0" borderId="0" xfId="201" applyNumberFormat="1" applyFont="1" applyAlignment="1" applyProtection="1">
      <alignment horizontal="center"/>
      <protection locked="0"/>
    </xf>
    <xf numFmtId="0" fontId="71" fillId="0" borderId="0" xfId="201" applyNumberFormat="1" applyFont="1" applyAlignment="1">
      <alignment horizontal="center"/>
    </xf>
    <xf numFmtId="0" fontId="71" fillId="0" borderId="0" xfId="201" applyNumberFormat="1" applyFont="1"/>
    <xf numFmtId="0" fontId="97" fillId="0" borderId="0" xfId="201" applyNumberFormat="1" applyFont="1" applyAlignment="1" applyProtection="1">
      <alignment horizontal="center"/>
      <protection locked="0"/>
    </xf>
    <xf numFmtId="3" fontId="64" fillId="0" borderId="0" xfId="201" applyNumberFormat="1" applyFont="1" applyAlignment="1">
      <alignment horizontal="left"/>
    </xf>
    <xf numFmtId="179" fontId="64" fillId="0" borderId="0" xfId="59" applyNumberFormat="1" applyFont="1" applyFill="1" applyBorder="1" applyAlignment="1"/>
    <xf numFmtId="10" fontId="71" fillId="0" borderId="0" xfId="201" applyNumberFormat="1" applyFont="1"/>
    <xf numFmtId="3" fontId="71" fillId="0" borderId="0" xfId="201" applyNumberFormat="1" applyFont="1"/>
    <xf numFmtId="165" fontId="71" fillId="0" borderId="0" xfId="201" applyNumberFormat="1" applyFont="1"/>
    <xf numFmtId="10" fontId="64" fillId="0" borderId="0" xfId="201" applyNumberFormat="1" applyFont="1"/>
    <xf numFmtId="43" fontId="64" fillId="0" borderId="0" xfId="59" applyFont="1" applyFill="1" applyBorder="1" applyAlignment="1">
      <alignment horizontal="center"/>
    </xf>
    <xf numFmtId="49" fontId="71" fillId="0" borderId="0" xfId="201" applyNumberFormat="1" applyFont="1" applyAlignment="1">
      <alignment horizontal="center"/>
    </xf>
    <xf numFmtId="174" fontId="71" fillId="0" borderId="0" xfId="201" applyFont="1"/>
    <xf numFmtId="3" fontId="71" fillId="0" borderId="0" xfId="201" applyNumberFormat="1" applyFont="1" applyAlignment="1">
      <alignment horizontal="left"/>
    </xf>
    <xf numFmtId="43" fontId="71" fillId="0" borderId="0" xfId="59" applyFont="1" applyFill="1" applyBorder="1" applyAlignment="1"/>
    <xf numFmtId="10" fontId="71" fillId="0" borderId="0" xfId="266" applyNumberFormat="1" applyFont="1" applyFill="1" applyBorder="1" applyAlignment="1"/>
    <xf numFmtId="0" fontId="64" fillId="0" borderId="0" xfId="201" applyNumberFormat="1" applyFont="1" applyAlignment="1">
      <alignment horizontal="fill"/>
    </xf>
    <xf numFmtId="164" fontId="64" fillId="0" borderId="0" xfId="201" applyNumberFormat="1" applyFont="1" applyAlignment="1">
      <alignment horizontal="left"/>
    </xf>
    <xf numFmtId="164" fontId="64" fillId="0" borderId="0" xfId="201" applyNumberFormat="1" applyFont="1" applyAlignment="1">
      <alignment horizontal="center"/>
    </xf>
    <xf numFmtId="170" fontId="64" fillId="0" borderId="0" xfId="201" applyNumberFormat="1" applyFont="1"/>
    <xf numFmtId="49" fontId="64" fillId="0" borderId="0" xfId="201" applyNumberFormat="1" applyFont="1" applyAlignment="1">
      <alignment horizontal="left"/>
    </xf>
    <xf numFmtId="177" fontId="71" fillId="0" borderId="0" xfId="201" applyNumberFormat="1" applyFont="1" applyAlignment="1">
      <alignment horizontal="center"/>
    </xf>
    <xf numFmtId="0" fontId="64" fillId="0" borderId="10" xfId="201" applyNumberFormat="1" applyFont="1" applyBorder="1"/>
    <xf numFmtId="0" fontId="64" fillId="0" borderId="11" xfId="201" applyNumberFormat="1" applyFont="1" applyBorder="1"/>
    <xf numFmtId="3" fontId="64" fillId="0" borderId="11" xfId="201" applyNumberFormat="1" applyFont="1" applyBorder="1"/>
    <xf numFmtId="174" fontId="64" fillId="0" borderId="10" xfId="209" applyFont="1" applyBorder="1"/>
    <xf numFmtId="174" fontId="64" fillId="0" borderId="0" xfId="209" applyFont="1"/>
    <xf numFmtId="174" fontId="64" fillId="14" borderId="0" xfId="209" applyFont="1" applyFill="1"/>
    <xf numFmtId="0" fontId="64" fillId="14" borderId="0" xfId="59" applyNumberFormat="1" applyFont="1" applyFill="1" applyBorder="1" applyAlignment="1"/>
    <xf numFmtId="176" fontId="64" fillId="14" borderId="0" xfId="93" applyNumberFormat="1" applyFont="1" applyFill="1" applyBorder="1" applyAlignment="1"/>
    <xf numFmtId="43" fontId="64" fillId="0" borderId="11" xfId="59" applyFont="1" applyFill="1" applyBorder="1" applyAlignment="1"/>
    <xf numFmtId="174" fontId="64" fillId="0" borderId="10" xfId="201" applyFont="1" applyBorder="1"/>
    <xf numFmtId="174" fontId="64" fillId="0" borderId="16" xfId="201" applyFont="1" applyBorder="1"/>
    <xf numFmtId="175" fontId="64" fillId="0" borderId="0" xfId="59" applyNumberFormat="1" applyFont="1" applyFill="1" applyBorder="1" applyAlignment="1">
      <alignment horizontal="center"/>
    </xf>
    <xf numFmtId="1" fontId="64" fillId="0" borderId="0" xfId="59" applyNumberFormat="1" applyFont="1" applyFill="1" applyBorder="1" applyAlignment="1">
      <alignment horizontal="center"/>
    </xf>
    <xf numFmtId="174" fontId="64" fillId="0" borderId="0" xfId="201" applyFont="1" applyAlignment="1">
      <alignment horizontal="center" vertical="top"/>
    </xf>
    <xf numFmtId="49" fontId="94" fillId="0" borderId="0" xfId="0" applyNumberFormat="1" applyFont="1" applyAlignment="1">
      <alignment horizontal="center"/>
    </xf>
    <xf numFmtId="3" fontId="94" fillId="0" borderId="0" xfId="211" applyNumberFormat="1" applyFont="1"/>
    <xf numFmtId="3" fontId="64" fillId="0" borderId="0" xfId="211" applyNumberFormat="1" applyFont="1" applyAlignment="1">
      <alignment wrapText="1"/>
    </xf>
    <xf numFmtId="0" fontId="64" fillId="0" borderId="0" xfId="192" applyFont="1"/>
    <xf numFmtId="0" fontId="64" fillId="0" borderId="0" xfId="192" applyFont="1" applyAlignment="1">
      <alignment horizontal="center"/>
    </xf>
    <xf numFmtId="0" fontId="64" fillId="0" borderId="0" xfId="192" applyFont="1" applyAlignment="1">
      <alignment horizontal="center" wrapText="1"/>
    </xf>
    <xf numFmtId="43" fontId="64" fillId="0" borderId="0" xfId="59" applyFont="1" applyFill="1"/>
    <xf numFmtId="43" fontId="64" fillId="0" borderId="0" xfId="192" applyNumberFormat="1" applyFont="1"/>
    <xf numFmtId="0" fontId="64" fillId="0" borderId="0" xfId="192" applyFont="1" applyAlignment="1">
      <alignment horizontal="center" vertical="center" wrapText="1"/>
    </xf>
    <xf numFmtId="174" fontId="64" fillId="0" borderId="0" xfId="0" applyFont="1" applyAlignment="1">
      <alignment horizontal="center" vertical="center" wrapText="1"/>
    </xf>
    <xf numFmtId="0" fontId="64" fillId="0" borderId="0" xfId="192" applyFont="1" applyAlignment="1">
      <alignment wrapText="1"/>
    </xf>
    <xf numFmtId="0" fontId="93" fillId="0" borderId="0" xfId="192" applyFont="1"/>
    <xf numFmtId="0" fontId="64" fillId="0" borderId="0" xfId="192" applyFont="1" applyAlignment="1">
      <alignment horizontal="left" wrapText="1"/>
    </xf>
    <xf numFmtId="0" fontId="64" fillId="0" borderId="0" xfId="188" applyFont="1" applyAlignment="1">
      <alignment horizontal="right"/>
    </xf>
    <xf numFmtId="0" fontId="64" fillId="0" borderId="0" xfId="211" applyNumberFormat="1" applyFont="1" applyAlignment="1" applyProtection="1">
      <alignment horizontal="center"/>
      <protection locked="0"/>
    </xf>
    <xf numFmtId="0" fontId="64" fillId="14" borderId="0" xfId="188" applyFont="1" applyFill="1"/>
    <xf numFmtId="0" fontId="64" fillId="14" borderId="0" xfId="211" applyNumberFormat="1" applyFont="1" applyFill="1"/>
    <xf numFmtId="0" fontId="100" fillId="0" borderId="0" xfId="211" applyNumberFormat="1" applyFont="1"/>
    <xf numFmtId="49" fontId="64" fillId="0" borderId="0" xfId="211" applyNumberFormat="1" applyFont="1"/>
    <xf numFmtId="49" fontId="64" fillId="0" borderId="0" xfId="211" applyNumberFormat="1" applyFont="1" applyAlignment="1">
      <alignment horizontal="center"/>
    </xf>
    <xf numFmtId="0" fontId="64" fillId="0" borderId="0" xfId="211" applyNumberFormat="1" applyFont="1" applyAlignment="1">
      <alignment horizontal="center"/>
    </xf>
    <xf numFmtId="42" fontId="64" fillId="0" borderId="0" xfId="188" applyNumberFormat="1" applyFont="1"/>
    <xf numFmtId="43" fontId="64" fillId="0" borderId="0" xfId="59" applyFont="1" applyFill="1" applyAlignment="1"/>
    <xf numFmtId="3" fontId="64" fillId="0" borderId="0" xfId="211" applyNumberFormat="1" applyFont="1" applyAlignment="1">
      <alignment horizontal="left"/>
    </xf>
    <xf numFmtId="3" fontId="64" fillId="0" borderId="0" xfId="211" applyNumberFormat="1" applyFont="1" applyAlignment="1">
      <alignment horizontal="fill"/>
    </xf>
    <xf numFmtId="166" fontId="64" fillId="0" borderId="0" xfId="211" applyNumberFormat="1" applyFont="1"/>
    <xf numFmtId="42" fontId="64" fillId="0" borderId="17" xfId="211" applyNumberFormat="1" applyFont="1" applyBorder="1" applyAlignment="1" applyProtection="1">
      <alignment horizontal="right"/>
      <protection locked="0"/>
    </xf>
    <xf numFmtId="170" fontId="95" fillId="0" borderId="0" xfId="0" applyNumberFormat="1" applyFont="1"/>
    <xf numFmtId="174" fontId="95" fillId="0" borderId="0" xfId="0" applyFont="1"/>
    <xf numFmtId="0" fontId="64" fillId="0" borderId="0" xfId="206" applyFont="1" applyAlignment="1" applyProtection="1">
      <alignment horizontal="center"/>
      <protection locked="0"/>
    </xf>
    <xf numFmtId="0" fontId="64" fillId="0" borderId="0" xfId="206" applyFont="1"/>
    <xf numFmtId="166" fontId="64" fillId="0" borderId="0" xfId="206" applyNumberFormat="1" applyFont="1"/>
    <xf numFmtId="3" fontId="64" fillId="0" borderId="0" xfId="206" applyNumberFormat="1" applyFont="1"/>
    <xf numFmtId="42" fontId="64" fillId="0" borderId="17" xfId="206" applyNumberFormat="1" applyFont="1" applyBorder="1" applyAlignment="1" applyProtection="1">
      <alignment horizontal="right"/>
      <protection locked="0"/>
    </xf>
    <xf numFmtId="168" fontId="64" fillId="0" borderId="0" xfId="188" applyNumberFormat="1" applyFont="1"/>
    <xf numFmtId="168" fontId="64" fillId="0" borderId="0" xfId="211" applyNumberFormat="1" applyFont="1"/>
    <xf numFmtId="168" fontId="64" fillId="0" borderId="0" xfId="211" applyNumberFormat="1" applyFont="1" applyAlignment="1">
      <alignment horizontal="center"/>
    </xf>
    <xf numFmtId="174" fontId="64" fillId="0" borderId="0" xfId="211" applyFont="1" applyAlignment="1">
      <alignment horizontal="center"/>
    </xf>
    <xf numFmtId="0" fontId="64" fillId="0" borderId="0" xfId="211" applyNumberFormat="1" applyFont="1" applyAlignment="1">
      <alignment horizontal="left"/>
    </xf>
    <xf numFmtId="173" fontId="64" fillId="0" borderId="0" xfId="188" applyNumberFormat="1" applyFont="1"/>
    <xf numFmtId="173" fontId="64" fillId="0" borderId="0" xfId="211" applyNumberFormat="1" applyFont="1" applyProtection="1">
      <protection locked="0"/>
    </xf>
    <xf numFmtId="0" fontId="64" fillId="0" borderId="0" xfId="211" applyNumberFormat="1" applyFont="1" applyAlignment="1">
      <alignment horizontal="right"/>
    </xf>
    <xf numFmtId="0" fontId="93" fillId="0" borderId="0" xfId="211" applyNumberFormat="1" applyFont="1"/>
    <xf numFmtId="3" fontId="71" fillId="0" borderId="0" xfId="211" applyNumberFormat="1" applyFont="1" applyAlignment="1">
      <alignment horizontal="center"/>
    </xf>
    <xf numFmtId="0" fontId="71" fillId="0" borderId="0" xfId="211" applyNumberFormat="1" applyFont="1" applyAlignment="1" applyProtection="1">
      <alignment horizontal="center"/>
      <protection locked="0"/>
    </xf>
    <xf numFmtId="174" fontId="71" fillId="0" borderId="0" xfId="211" applyFont="1" applyAlignment="1">
      <alignment horizontal="center"/>
    </xf>
    <xf numFmtId="3" fontId="71" fillId="0" borderId="0" xfId="211" applyNumberFormat="1" applyFont="1"/>
    <xf numFmtId="0" fontId="71" fillId="0" borderId="0" xfId="211" applyNumberFormat="1" applyFont="1"/>
    <xf numFmtId="175" fontId="64" fillId="14" borderId="0" xfId="59" applyNumberFormat="1" applyFont="1" applyFill="1" applyAlignment="1"/>
    <xf numFmtId="165" fontId="64" fillId="0" borderId="0" xfId="211" applyNumberFormat="1" applyFont="1"/>
    <xf numFmtId="43" fontId="64" fillId="0" borderId="0" xfId="59" applyFont="1" applyAlignment="1">
      <alignment horizontal="center"/>
    </xf>
    <xf numFmtId="164" fontId="64" fillId="0" borderId="0" xfId="211" applyNumberFormat="1" applyFont="1" applyAlignment="1">
      <alignment horizontal="center"/>
    </xf>
    <xf numFmtId="165" fontId="64" fillId="0" borderId="0" xfId="188" applyNumberFormat="1" applyFont="1" applyAlignment="1">
      <alignment horizontal="right"/>
    </xf>
    <xf numFmtId="175" fontId="64" fillId="14" borderId="0" xfId="59" applyNumberFormat="1" applyFont="1" applyFill="1" applyBorder="1" applyAlignment="1"/>
    <xf numFmtId="185" fontId="64" fillId="0" borderId="0" xfId="59" applyNumberFormat="1" applyFont="1" applyAlignment="1"/>
    <xf numFmtId="185" fontId="64" fillId="0" borderId="0" xfId="59" applyNumberFormat="1" applyFont="1" applyFill="1" applyBorder="1" applyAlignment="1"/>
    <xf numFmtId="185" fontId="64" fillId="0" borderId="0" xfId="59" applyNumberFormat="1" applyFont="1" applyBorder="1" applyAlignment="1"/>
    <xf numFmtId="3" fontId="64" fillId="0" borderId="0" xfId="211" quotePrefix="1" applyNumberFormat="1" applyFont="1" applyAlignment="1">
      <alignment horizontal="left"/>
    </xf>
    <xf numFmtId="175" fontId="64" fillId="0" borderId="0" xfId="59" applyNumberFormat="1" applyFont="1" applyFill="1" applyAlignment="1"/>
    <xf numFmtId="175" fontId="64" fillId="0" borderId="17" xfId="59" applyNumberFormat="1" applyFont="1" applyBorder="1" applyAlignment="1"/>
    <xf numFmtId="164" fontId="64" fillId="0" borderId="0" xfId="188" applyNumberFormat="1" applyFont="1" applyAlignment="1">
      <alignment horizontal="center"/>
    </xf>
    <xf numFmtId="3" fontId="64" fillId="0" borderId="0" xfId="211" applyNumberFormat="1" applyFont="1" applyAlignment="1">
      <alignment horizontal="right"/>
    </xf>
    <xf numFmtId="172" fontId="64" fillId="0" borderId="0" xfId="211" applyNumberFormat="1" applyFont="1" applyAlignment="1">
      <alignment horizontal="left"/>
    </xf>
    <xf numFmtId="184" fontId="64" fillId="0" borderId="0" xfId="59" applyNumberFormat="1" applyFont="1" applyAlignment="1"/>
    <xf numFmtId="184" fontId="64" fillId="0" borderId="0" xfId="59" applyNumberFormat="1" applyFont="1" applyFill="1" applyAlignment="1"/>
    <xf numFmtId="184" fontId="64" fillId="0" borderId="0" xfId="59" applyNumberFormat="1" applyFont="1" applyFill="1" applyBorder="1" applyAlignment="1"/>
    <xf numFmtId="0" fontId="64" fillId="0" borderId="0" xfId="211" applyNumberFormat="1" applyFont="1" applyAlignment="1">
      <alignment wrapText="1"/>
    </xf>
    <xf numFmtId="0" fontId="64" fillId="0" borderId="0" xfId="211" quotePrefix="1" applyNumberFormat="1" applyFont="1" applyAlignment="1">
      <alignment horizontal="left"/>
    </xf>
    <xf numFmtId="175" fontId="64" fillId="0" borderId="0" xfId="59" applyNumberFormat="1" applyFont="1" applyFill="1" applyAlignment="1">
      <alignment horizontal="right"/>
    </xf>
    <xf numFmtId="167" fontId="64" fillId="0" borderId="0" xfId="211" applyNumberFormat="1" applyFont="1"/>
    <xf numFmtId="166" fontId="64" fillId="0" borderId="0" xfId="188" applyNumberFormat="1" applyFont="1" applyAlignment="1">
      <alignment horizontal="center"/>
    </xf>
    <xf numFmtId="175" fontId="64" fillId="0" borderId="14" xfId="59" applyNumberFormat="1" applyFont="1" applyBorder="1" applyAlignment="1"/>
    <xf numFmtId="174" fontId="64" fillId="0" borderId="0" xfId="211" applyFont="1" applyAlignment="1">
      <alignment horizontal="right"/>
    </xf>
    <xf numFmtId="0" fontId="94" fillId="0" borderId="0" xfId="211" applyNumberFormat="1" applyFont="1" applyAlignment="1" applyProtection="1">
      <alignment horizontal="center"/>
      <protection locked="0"/>
    </xf>
    <xf numFmtId="184" fontId="64" fillId="0" borderId="0" xfId="59" applyNumberFormat="1" applyFont="1" applyFill="1" applyAlignment="1">
      <alignment horizontal="right"/>
    </xf>
    <xf numFmtId="4" fontId="64" fillId="0" borderId="0" xfId="211" applyNumberFormat="1" applyFont="1"/>
    <xf numFmtId="3" fontId="64" fillId="0" borderId="0" xfId="188" applyNumberFormat="1" applyFont="1" applyAlignment="1">
      <alignment horizontal="center"/>
    </xf>
    <xf numFmtId="0" fontId="64" fillId="0" borderId="0" xfId="188" applyFont="1" applyAlignment="1">
      <alignment horizontal="center"/>
    </xf>
    <xf numFmtId="166" fontId="64" fillId="0" borderId="0" xfId="211" applyNumberFormat="1" applyFont="1" applyAlignment="1" applyProtection="1">
      <alignment horizontal="center"/>
      <protection locked="0"/>
    </xf>
    <xf numFmtId="185" fontId="64" fillId="0" borderId="0" xfId="59" applyNumberFormat="1" applyFont="1" applyAlignment="1">
      <alignment horizontal="center"/>
    </xf>
    <xf numFmtId="3" fontId="64" fillId="0" borderId="0" xfId="211" quotePrefix="1" applyNumberFormat="1" applyFont="1"/>
    <xf numFmtId="175" fontId="64" fillId="0" borderId="0" xfId="59" applyNumberFormat="1" applyFont="1" applyFill="1" applyAlignment="1">
      <alignment horizontal="center"/>
    </xf>
    <xf numFmtId="174" fontId="64" fillId="0" borderId="0" xfId="211" applyFont="1" applyProtection="1"/>
    <xf numFmtId="179" fontId="64" fillId="14" borderId="0" xfId="59" applyNumberFormat="1" applyFont="1" applyFill="1" applyBorder="1" applyProtection="1">
      <protection locked="0"/>
    </xf>
    <xf numFmtId="38" fontId="64" fillId="0" borderId="0" xfId="211" applyNumberFormat="1" applyFont="1" applyProtection="1"/>
    <xf numFmtId="38" fontId="64" fillId="0" borderId="0" xfId="211" applyNumberFormat="1" applyFont="1"/>
    <xf numFmtId="179" fontId="64" fillId="0" borderId="0" xfId="59" applyNumberFormat="1" applyFont="1" applyFill="1" applyBorder="1" applyProtection="1"/>
    <xf numFmtId="170" fontId="64" fillId="0" borderId="0" xfId="211" applyNumberFormat="1" applyFont="1" applyProtection="1"/>
    <xf numFmtId="168" fontId="64" fillId="0" borderId="0" xfId="211" applyNumberFormat="1" applyFont="1" applyProtection="1">
      <protection locked="0"/>
    </xf>
    <xf numFmtId="175" fontId="64" fillId="14" borderId="0" xfId="59" applyNumberFormat="1" applyFont="1" applyFill="1" applyBorder="1" applyProtection="1"/>
    <xf numFmtId="1" fontId="64" fillId="0" borderId="0" xfId="211" applyNumberFormat="1" applyFont="1" applyProtection="1"/>
    <xf numFmtId="0" fontId="64" fillId="0" borderId="0" xfId="211" applyNumberFormat="1" applyFont="1" applyAlignment="1" applyProtection="1">
      <alignment horizontal="left"/>
      <protection locked="0"/>
    </xf>
    <xf numFmtId="175" fontId="64" fillId="14" borderId="0" xfId="59" applyNumberFormat="1" applyFont="1" applyFill="1" applyBorder="1" applyAlignment="1" applyProtection="1">
      <protection locked="0"/>
    </xf>
    <xf numFmtId="3" fontId="64" fillId="0" borderId="0" xfId="211" applyNumberFormat="1" applyFont="1" applyProtection="1"/>
    <xf numFmtId="3" fontId="64" fillId="0" borderId="0" xfId="211" applyNumberFormat="1" applyFont="1" applyAlignment="1" applyProtection="1">
      <alignment horizontal="right"/>
      <protection locked="0"/>
    </xf>
    <xf numFmtId="175" fontId="64" fillId="0" borderId="0" xfId="59" applyNumberFormat="1" applyFont="1" applyFill="1" applyBorder="1" applyAlignment="1" applyProtection="1"/>
    <xf numFmtId="174" fontId="64" fillId="0" borderId="0" xfId="211" applyFont="1" applyProtection="1">
      <protection locked="0"/>
    </xf>
    <xf numFmtId="170" fontId="64" fillId="0" borderId="0" xfId="211" applyNumberFormat="1" applyFont="1" applyAlignment="1" applyProtection="1">
      <alignment horizontal="right"/>
      <protection locked="0"/>
    </xf>
    <xf numFmtId="170" fontId="64" fillId="0" borderId="0" xfId="211" applyNumberFormat="1" applyFont="1" applyProtection="1">
      <protection locked="0"/>
    </xf>
    <xf numFmtId="0" fontId="64" fillId="0" borderId="0" xfId="211" applyNumberFormat="1" applyFont="1" applyAlignment="1" applyProtection="1">
      <alignment horizontal="left" indent="8"/>
      <protection locked="0"/>
    </xf>
    <xf numFmtId="3" fontId="64" fillId="0" borderId="0" xfId="211" applyNumberFormat="1" applyFont="1" applyAlignment="1">
      <alignment vertical="top" wrapText="1"/>
    </xf>
    <xf numFmtId="0" fontId="64" fillId="0" borderId="0" xfId="211" applyNumberFormat="1" applyFont="1" applyAlignment="1" applyProtection="1">
      <alignment vertical="top" wrapText="1"/>
      <protection locked="0"/>
    </xf>
    <xf numFmtId="174" fontId="64" fillId="0" borderId="0" xfId="0" applyFont="1" applyAlignment="1">
      <alignment horizontal="left"/>
    </xf>
    <xf numFmtId="177" fontId="71" fillId="0" borderId="0" xfId="201" quotePrefix="1" applyNumberFormat="1" applyFont="1" applyAlignment="1">
      <alignment horizontal="center"/>
    </xf>
    <xf numFmtId="174" fontId="64" fillId="0" borderId="0" xfId="201" applyFont="1" applyAlignment="1">
      <alignment horizontal="left"/>
    </xf>
    <xf numFmtId="10" fontId="64" fillId="0" borderId="0" xfId="266" applyNumberFormat="1" applyFont="1" applyAlignment="1"/>
    <xf numFmtId="2" fontId="64" fillId="0" borderId="0" xfId="0" applyNumberFormat="1" applyFont="1" applyAlignment="1">
      <alignment horizontal="center"/>
    </xf>
    <xf numFmtId="2" fontId="64" fillId="0" borderId="0" xfId="0" applyNumberFormat="1" applyFont="1"/>
    <xf numFmtId="0" fontId="64" fillId="0" borderId="0" xfId="0" applyNumberFormat="1" applyFont="1"/>
    <xf numFmtId="10" fontId="64" fillId="0" borderId="0" xfId="266" applyNumberFormat="1" applyFont="1" applyAlignment="1">
      <alignment horizontal="center"/>
    </xf>
    <xf numFmtId="0" fontId="64" fillId="0" borderId="0" xfId="187" applyFont="1" applyAlignment="1">
      <alignment horizontal="center"/>
    </xf>
    <xf numFmtId="176" fontId="64" fillId="0" borderId="0" xfId="93" applyNumberFormat="1" applyFont="1" applyFill="1" applyBorder="1"/>
    <xf numFmtId="174" fontId="64" fillId="0" borderId="1" xfId="0" applyFont="1" applyBorder="1"/>
    <xf numFmtId="176" fontId="64" fillId="0" borderId="1" xfId="93" applyNumberFormat="1" applyFont="1" applyFill="1" applyBorder="1"/>
    <xf numFmtId="174" fontId="64" fillId="0" borderId="0" xfId="0" applyFont="1" applyAlignment="1">
      <alignment horizontal="center"/>
    </xf>
    <xf numFmtId="174" fontId="64" fillId="0" borderId="0" xfId="0" applyFont="1" applyAlignment="1">
      <alignment horizontal="right"/>
    </xf>
    <xf numFmtId="174" fontId="26" fillId="0" borderId="0" xfId="201" applyFont="1"/>
    <xf numFmtId="174" fontId="31" fillId="0" borderId="0" xfId="201" applyFont="1"/>
    <xf numFmtId="174" fontId="31" fillId="0" borderId="0" xfId="201" quotePrefix="1" applyFont="1" applyAlignment="1">
      <alignment horizontal="left"/>
    </xf>
    <xf numFmtId="174" fontId="102" fillId="0" borderId="0" xfId="201" quotePrefix="1" applyFont="1" applyAlignment="1">
      <alignment horizontal="left"/>
    </xf>
    <xf numFmtId="0" fontId="64" fillId="0" borderId="0" xfId="0" applyNumberFormat="1" applyFont="1" applyAlignment="1">
      <alignment horizontal="center"/>
    </xf>
    <xf numFmtId="0" fontId="64" fillId="0" borderId="0" xfId="0" applyNumberFormat="1" applyFont="1" applyAlignment="1">
      <alignment horizontal="center" wrapText="1"/>
    </xf>
    <xf numFmtId="0" fontId="93" fillId="0" borderId="0" xfId="0" applyNumberFormat="1" applyFont="1" applyAlignment="1">
      <alignment horizontal="center"/>
    </xf>
    <xf numFmtId="174" fontId="93" fillId="0" borderId="0" xfId="0" applyFont="1" applyAlignment="1">
      <alignment horizontal="center"/>
    </xf>
    <xf numFmtId="44" fontId="93" fillId="0" borderId="0" xfId="0" applyNumberFormat="1" applyFont="1"/>
    <xf numFmtId="175" fontId="0" fillId="0" borderId="0" xfId="59" applyNumberFormat="1" applyFont="1" applyAlignment="1"/>
    <xf numFmtId="0" fontId="31" fillId="0" borderId="0" xfId="201" applyNumberFormat="1" applyFont="1" applyProtection="1">
      <protection locked="0"/>
    </xf>
    <xf numFmtId="0" fontId="31" fillId="0" borderId="0" xfId="201" applyNumberFormat="1" applyFont="1" applyAlignment="1" applyProtection="1">
      <alignment horizontal="center"/>
      <protection locked="0"/>
    </xf>
    <xf numFmtId="3" fontId="31" fillId="0" borderId="0" xfId="201" applyNumberFormat="1" applyFont="1"/>
    <xf numFmtId="174" fontId="44" fillId="0" borderId="0" xfId="201"/>
    <xf numFmtId="0" fontId="31" fillId="0" borderId="0" xfId="201" applyNumberFormat="1" applyFont="1"/>
    <xf numFmtId="174" fontId="54" fillId="0" borderId="0" xfId="0" applyFont="1"/>
    <xf numFmtId="43" fontId="54" fillId="0" borderId="0" xfId="59" applyFont="1" applyAlignment="1"/>
    <xf numFmtId="175" fontId="54" fillId="0" borderId="0" xfId="59" applyNumberFormat="1" applyFont="1" applyAlignment="1" applyProtection="1">
      <alignment horizontal="center"/>
      <protection locked="0"/>
    </xf>
    <xf numFmtId="0" fontId="54" fillId="0" borderId="0" xfId="211" applyNumberFormat="1" applyFont="1" applyProtection="1">
      <protection locked="0"/>
    </xf>
    <xf numFmtId="3" fontId="54" fillId="0" borderId="0" xfId="211" applyNumberFormat="1" applyFont="1"/>
    <xf numFmtId="170" fontId="54" fillId="0" borderId="0" xfId="0" applyNumberFormat="1" applyFont="1"/>
    <xf numFmtId="0" fontId="54" fillId="0" borderId="0" xfId="211" applyNumberFormat="1" applyFont="1"/>
    <xf numFmtId="3" fontId="54" fillId="0" borderId="0" xfId="211" applyNumberFormat="1" applyFont="1" applyAlignment="1">
      <alignment horizontal="center"/>
    </xf>
    <xf numFmtId="174" fontId="54" fillId="0" borderId="0" xfId="211" applyFont="1"/>
    <xf numFmtId="43" fontId="54" fillId="14" borderId="0" xfId="59" applyFont="1" applyFill="1" applyAlignment="1">
      <alignment horizontal="center"/>
    </xf>
    <xf numFmtId="43" fontId="54" fillId="0" borderId="0" xfId="59" applyFont="1" applyFill="1" applyAlignment="1">
      <alignment horizontal="center"/>
    </xf>
    <xf numFmtId="166" fontId="54" fillId="0" borderId="0" xfId="211" applyNumberFormat="1" applyFont="1" applyAlignment="1">
      <alignment horizontal="center"/>
    </xf>
    <xf numFmtId="164" fontId="54" fillId="0" borderId="0" xfId="211" applyNumberFormat="1" applyFont="1" applyAlignment="1">
      <alignment horizontal="left"/>
    </xf>
    <xf numFmtId="43" fontId="54" fillId="0" borderId="0" xfId="59" applyFont="1" applyFill="1" applyAlignment="1">
      <alignment horizontal="right"/>
    </xf>
    <xf numFmtId="175" fontId="54" fillId="0" borderId="0" xfId="59" applyNumberFormat="1" applyFont="1" applyBorder="1" applyAlignment="1"/>
    <xf numFmtId="10" fontId="54" fillId="0" borderId="0" xfId="211" applyNumberFormat="1" applyFont="1" applyAlignment="1">
      <alignment horizontal="left"/>
    </xf>
    <xf numFmtId="3" fontId="54" fillId="0" borderId="0" xfId="188" applyNumberFormat="1" applyFont="1"/>
    <xf numFmtId="166" fontId="54" fillId="0" borderId="0" xfId="188" applyNumberFormat="1" applyFont="1"/>
    <xf numFmtId="0" fontId="54" fillId="0" borderId="0" xfId="188" applyFont="1"/>
    <xf numFmtId="164" fontId="54" fillId="0" borderId="0" xfId="211" applyNumberFormat="1" applyFont="1" applyAlignment="1" applyProtection="1">
      <alignment horizontal="left"/>
      <protection locked="0"/>
    </xf>
    <xf numFmtId="43" fontId="54" fillId="0" borderId="1" xfId="59" applyFont="1" applyBorder="1" applyAlignment="1"/>
    <xf numFmtId="0" fontId="64" fillId="0" borderId="0" xfId="212" applyFont="1" applyAlignment="1">
      <alignment horizontal="center"/>
    </xf>
    <xf numFmtId="0" fontId="64" fillId="0" borderId="0" xfId="212" applyFont="1" applyAlignment="1">
      <alignment horizontal="center" wrapText="1"/>
    </xf>
    <xf numFmtId="0" fontId="64" fillId="0" borderId="0" xfId="206" applyFont="1" applyAlignment="1">
      <alignment horizontal="center" wrapText="1"/>
    </xf>
    <xf numFmtId="43" fontId="64" fillId="14" borderId="0" xfId="59" applyFont="1" applyFill="1"/>
    <xf numFmtId="49" fontId="64" fillId="0" borderId="0" xfId="0" applyNumberFormat="1" applyFont="1" applyAlignment="1">
      <alignment horizontal="center"/>
    </xf>
    <xf numFmtId="0" fontId="64" fillId="0" borderId="0" xfId="211" applyNumberFormat="1" applyFont="1" applyAlignment="1" applyProtection="1">
      <alignment vertical="top"/>
      <protection locked="0"/>
    </xf>
    <xf numFmtId="174" fontId="64" fillId="0" borderId="0" xfId="211" applyFont="1" applyAlignment="1">
      <alignment vertical="top" wrapText="1"/>
    </xf>
    <xf numFmtId="0" fontId="64" fillId="0" borderId="0" xfId="188" applyFont="1" applyAlignment="1">
      <alignment vertical="top" wrapText="1"/>
    </xf>
    <xf numFmtId="0" fontId="64" fillId="0" borderId="0" xfId="188" applyFont="1" applyAlignment="1">
      <alignment vertical="top"/>
    </xf>
    <xf numFmtId="170" fontId="64" fillId="0" borderId="0" xfId="211" applyNumberFormat="1" applyFont="1" applyAlignment="1" applyProtection="1">
      <alignment vertical="top"/>
    </xf>
    <xf numFmtId="3" fontId="64" fillId="0" borderId="0" xfId="211" applyNumberFormat="1" applyFont="1" applyAlignment="1" applyProtection="1">
      <alignment vertical="top"/>
    </xf>
    <xf numFmtId="174" fontId="64" fillId="0" borderId="0" xfId="0" applyFont="1" applyAlignment="1">
      <alignment vertical="top"/>
    </xf>
    <xf numFmtId="0" fontId="24" fillId="0" borderId="0" xfId="187"/>
    <xf numFmtId="0" fontId="24" fillId="0" borderId="18" xfId="187" applyBorder="1" applyAlignment="1">
      <alignment horizontal="center"/>
    </xf>
    <xf numFmtId="0" fontId="24" fillId="0" borderId="0" xfId="187" applyAlignment="1">
      <alignment horizontal="center"/>
    </xf>
    <xf numFmtId="0" fontId="103" fillId="0" borderId="0" xfId="187" applyFont="1" applyAlignment="1">
      <alignment horizontal="left"/>
    </xf>
    <xf numFmtId="1" fontId="64" fillId="0" borderId="0" xfId="0" applyNumberFormat="1" applyFont="1" applyAlignment="1">
      <alignment horizontal="center"/>
    </xf>
    <xf numFmtId="175" fontId="54" fillId="0" borderId="0" xfId="59" applyNumberFormat="1" applyFont="1" applyAlignment="1"/>
    <xf numFmtId="174" fontId="104" fillId="0" borderId="0" xfId="0" applyFont="1"/>
    <xf numFmtId="0" fontId="49" fillId="0" borderId="0" xfId="185" applyFont="1" applyAlignment="1">
      <alignment horizontal="center"/>
    </xf>
    <xf numFmtId="175" fontId="64" fillId="0" borderId="0" xfId="59" applyNumberFormat="1" applyFont="1" applyAlignment="1">
      <alignment horizontal="right"/>
    </xf>
    <xf numFmtId="43" fontId="54" fillId="0" borderId="0" xfId="59" applyFont="1" applyAlignment="1">
      <alignment horizontal="right"/>
    </xf>
    <xf numFmtId="174" fontId="31" fillId="0" borderId="0" xfId="201" applyFont="1" applyAlignment="1">
      <alignment horizontal="center"/>
    </xf>
    <xf numFmtId="174" fontId="0" fillId="0" borderId="0" xfId="0" applyAlignment="1">
      <alignment horizontal="center"/>
    </xf>
    <xf numFmtId="0" fontId="31" fillId="0" borderId="0" xfId="201" applyNumberFormat="1" applyFont="1" applyAlignment="1">
      <alignment horizontal="center"/>
    </xf>
    <xf numFmtId="175" fontId="64" fillId="0" borderId="11" xfId="59" applyNumberFormat="1" applyFont="1" applyFill="1" applyBorder="1" applyAlignment="1"/>
    <xf numFmtId="175" fontId="64" fillId="0" borderId="15" xfId="59" applyNumberFormat="1" applyFont="1" applyFill="1" applyBorder="1" applyAlignment="1"/>
    <xf numFmtId="184" fontId="31" fillId="0" borderId="0" xfId="59" applyNumberFormat="1" applyFont="1" applyFill="1" applyAlignment="1">
      <alignment horizontal="right"/>
    </xf>
    <xf numFmtId="43" fontId="64" fillId="0" borderId="0" xfId="59" applyFont="1" applyAlignment="1">
      <alignment horizontal="fill"/>
    </xf>
    <xf numFmtId="49" fontId="64" fillId="0" borderId="0" xfId="0" applyNumberFormat="1" applyFont="1" applyAlignment="1">
      <alignment horizontal="center" vertical="center" wrapText="1"/>
    </xf>
    <xf numFmtId="174" fontId="24" fillId="0" borderId="0" xfId="201" applyFont="1"/>
    <xf numFmtId="174" fontId="24" fillId="0" borderId="0" xfId="201" applyFont="1" applyAlignment="1">
      <alignment horizontal="center" vertical="top"/>
    </xf>
    <xf numFmtId="3" fontId="54" fillId="0" borderId="0" xfId="0" applyNumberFormat="1" applyFont="1"/>
    <xf numFmtId="0" fontId="54" fillId="0" borderId="0" xfId="0" applyNumberFormat="1" applyFont="1" applyProtection="1">
      <protection locked="0"/>
    </xf>
    <xf numFmtId="3" fontId="54" fillId="0" borderId="0" xfId="0" applyNumberFormat="1" applyFont="1" applyAlignment="1">
      <alignment horizontal="center"/>
    </xf>
    <xf numFmtId="3" fontId="64" fillId="0" borderId="0" xfId="188" applyNumberFormat="1" applyFont="1" applyAlignment="1">
      <alignment wrapText="1"/>
    </xf>
    <xf numFmtId="174" fontId="108" fillId="0" borderId="0" xfId="201" applyFont="1"/>
    <xf numFmtId="175" fontId="0" fillId="0" borderId="0" xfId="59" applyNumberFormat="1" applyFont="1" applyAlignment="1">
      <alignment horizontal="center"/>
    </xf>
    <xf numFmtId="1" fontId="31" fillId="0" borderId="0" xfId="201" applyNumberFormat="1" applyFont="1" applyAlignment="1">
      <alignment horizontal="left"/>
    </xf>
    <xf numFmtId="174" fontId="31" fillId="0" borderId="0" xfId="201" applyFont="1" applyAlignment="1">
      <alignment horizontal="left"/>
    </xf>
    <xf numFmtId="174" fontId="54" fillId="0" borderId="0" xfId="211" applyFont="1" applyAlignment="1">
      <alignment wrapText="1"/>
    </xf>
    <xf numFmtId="175" fontId="54" fillId="0" borderId="0" xfId="59" applyNumberFormat="1" applyFont="1" applyAlignment="1">
      <alignment horizontal="left" indent="2"/>
    </xf>
    <xf numFmtId="184" fontId="54" fillId="0" borderId="0" xfId="59" applyNumberFormat="1" applyFont="1" applyAlignment="1"/>
    <xf numFmtId="0" fontId="54" fillId="0" borderId="0" xfId="201" applyNumberFormat="1" applyFont="1" applyAlignment="1">
      <alignment horizontal="right"/>
    </xf>
    <xf numFmtId="43" fontId="54" fillId="0" borderId="1" xfId="59" applyFont="1" applyBorder="1" applyAlignment="1">
      <alignment horizontal="right"/>
    </xf>
    <xf numFmtId="0" fontId="93" fillId="0" borderId="0" xfId="192" applyFont="1" applyAlignment="1">
      <alignment horizontal="center" vertical="center" wrapText="1"/>
    </xf>
    <xf numFmtId="0" fontId="93" fillId="0" borderId="0" xfId="192" applyFont="1" applyAlignment="1">
      <alignment horizontal="center"/>
    </xf>
    <xf numFmtId="43" fontId="99" fillId="0" borderId="0" xfId="59" applyFont="1" applyFill="1" applyBorder="1"/>
    <xf numFmtId="176" fontId="93" fillId="0" borderId="0" xfId="93" applyNumberFormat="1" applyFont="1" applyFill="1" applyBorder="1"/>
    <xf numFmtId="0" fontId="64" fillId="0" borderId="0" xfId="208" applyNumberFormat="1" applyFont="1" applyAlignment="1" applyProtection="1">
      <alignment horizontal="center"/>
      <protection locked="0"/>
    </xf>
    <xf numFmtId="175" fontId="64" fillId="14" borderId="10" xfId="59" applyNumberFormat="1" applyFont="1" applyFill="1" applyBorder="1" applyAlignment="1"/>
    <xf numFmtId="41" fontId="64" fillId="15" borderId="0" xfId="212" applyNumberFormat="1" applyFont="1" applyFill="1"/>
    <xf numFmtId="43" fontId="54" fillId="14" borderId="0" xfId="59" applyFont="1" applyFill="1" applyAlignment="1"/>
    <xf numFmtId="175" fontId="54" fillId="14" borderId="0" xfId="59" applyNumberFormat="1" applyFont="1" applyFill="1" applyAlignment="1"/>
    <xf numFmtId="175" fontId="54" fillId="0" borderId="0" xfId="59" applyNumberFormat="1" applyFont="1" applyFill="1" applyAlignment="1" applyProtection="1">
      <protection locked="0"/>
    </xf>
    <xf numFmtId="43" fontId="31" fillId="0" borderId="0" xfId="59" applyFont="1" applyAlignment="1"/>
    <xf numFmtId="43" fontId="31" fillId="0" borderId="0" xfId="59" applyFont="1" applyBorder="1" applyAlignment="1"/>
    <xf numFmtId="169" fontId="54" fillId="17" borderId="0" xfId="59" applyNumberFormat="1" applyFont="1" applyFill="1" applyAlignment="1"/>
    <xf numFmtId="44" fontId="64" fillId="0" borderId="0" xfId="0" applyNumberFormat="1" applyFont="1"/>
    <xf numFmtId="0" fontId="64" fillId="0" borderId="0" xfId="187" applyFont="1"/>
    <xf numFmtId="3" fontId="64" fillId="0" borderId="0" xfId="187" applyNumberFormat="1" applyFont="1" applyAlignment="1">
      <alignment horizontal="center" wrapText="1"/>
    </xf>
    <xf numFmtId="0" fontId="64" fillId="0" borderId="0" xfId="187" applyFont="1" applyAlignment="1">
      <alignment horizontal="center" wrapText="1"/>
    </xf>
    <xf numFmtId="0" fontId="64" fillId="16" borderId="0" xfId="187" applyFont="1" applyFill="1"/>
    <xf numFmtId="175" fontId="64" fillId="16" borderId="0" xfId="59" applyNumberFormat="1" applyFont="1" applyFill="1" applyBorder="1" applyAlignment="1">
      <alignment horizontal="center"/>
    </xf>
    <xf numFmtId="174" fontId="94" fillId="16" borderId="0" xfId="0" applyFont="1" applyFill="1"/>
    <xf numFmtId="175" fontId="64" fillId="0" borderId="0" xfId="59" applyNumberFormat="1" applyFont="1" applyFill="1" applyBorder="1" applyAlignment="1">
      <alignment horizontal="center" wrapText="1"/>
    </xf>
    <xf numFmtId="175" fontId="64" fillId="16" borderId="0" xfId="59" applyNumberFormat="1" applyFont="1" applyFill="1" applyBorder="1"/>
    <xf numFmtId="0" fontId="64" fillId="16" borderId="1" xfId="187" applyFont="1" applyFill="1" applyBorder="1"/>
    <xf numFmtId="175" fontId="64" fillId="16" borderId="1" xfId="59" applyNumberFormat="1" applyFont="1" applyFill="1" applyBorder="1"/>
    <xf numFmtId="175" fontId="64" fillId="16" borderId="1" xfId="59" applyNumberFormat="1" applyFont="1" applyFill="1" applyBorder="1" applyAlignment="1">
      <alignment horizontal="center"/>
    </xf>
    <xf numFmtId="174" fontId="94" fillId="16" borderId="1" xfId="0" applyFont="1" applyFill="1" applyBorder="1"/>
    <xf numFmtId="175" fontId="64" fillId="0" borderId="1" xfId="59" applyNumberFormat="1" applyFont="1" applyFill="1" applyBorder="1" applyAlignment="1">
      <alignment horizontal="center" wrapText="1"/>
    </xf>
    <xf numFmtId="175" fontId="64" fillId="0" borderId="0" xfId="59" applyNumberFormat="1" applyFont="1" applyFill="1" applyBorder="1"/>
    <xf numFmtId="0" fontId="64" fillId="0" borderId="0" xfId="0" applyNumberFormat="1" applyFont="1" applyAlignment="1">
      <alignment horizontal="center" vertical="top"/>
    </xf>
    <xf numFmtId="185" fontId="64" fillId="0" borderId="0" xfId="59" applyNumberFormat="1" applyFont="1" applyFill="1" applyAlignment="1"/>
    <xf numFmtId="174" fontId="64" fillId="0" borderId="15" xfId="0" applyFont="1" applyBorder="1" applyAlignment="1">
      <alignment horizontal="center"/>
    </xf>
    <xf numFmtId="174" fontId="64" fillId="0" borderId="11" xfId="0" applyFont="1" applyBorder="1"/>
    <xf numFmtId="174" fontId="64" fillId="0" borderId="11" xfId="0" applyFont="1" applyBorder="1" applyAlignment="1">
      <alignment horizontal="center"/>
    </xf>
    <xf numFmtId="174" fontId="64" fillId="0" borderId="15" xfId="0" applyFont="1" applyBorder="1"/>
    <xf numFmtId="176" fontId="64" fillId="0" borderId="19" xfId="93" applyNumberFormat="1" applyFont="1" applyFill="1" applyBorder="1"/>
    <xf numFmtId="174" fontId="64" fillId="0" borderId="0" xfId="0" applyFont="1" applyProtection="1"/>
    <xf numFmtId="174" fontId="64" fillId="0" borderId="1" xfId="201" applyFont="1" applyBorder="1" applyAlignment="1">
      <alignment horizontal="center"/>
    </xf>
    <xf numFmtId="174" fontId="64" fillId="0" borderId="10" xfId="201" applyFont="1" applyBorder="1" applyAlignment="1">
      <alignment horizontal="center"/>
    </xf>
    <xf numFmtId="174" fontId="64" fillId="0" borderId="11" xfId="201" applyFont="1" applyBorder="1" applyAlignment="1">
      <alignment horizontal="center"/>
    </xf>
    <xf numFmtId="43" fontId="64" fillId="16" borderId="10" xfId="59" applyFont="1" applyFill="1" applyBorder="1" applyAlignment="1">
      <alignment horizontal="center"/>
    </xf>
    <xf numFmtId="43" fontId="64" fillId="16" borderId="11" xfId="59" applyFont="1" applyFill="1" applyBorder="1" applyAlignment="1"/>
    <xf numFmtId="175" fontId="64" fillId="0" borderId="11" xfId="59" applyNumberFormat="1" applyFont="1" applyBorder="1" applyAlignment="1"/>
    <xf numFmtId="174" fontId="64" fillId="0" borderId="16" xfId="201" applyFont="1" applyBorder="1" applyAlignment="1">
      <alignment horizontal="center"/>
    </xf>
    <xf numFmtId="0" fontId="64" fillId="0" borderId="0" xfId="210" applyFont="1"/>
    <xf numFmtId="174" fontId="64" fillId="16" borderId="11" xfId="0" applyFont="1" applyFill="1" applyBorder="1"/>
    <xf numFmtId="43" fontId="64" fillId="16" borderId="0" xfId="59" applyFont="1" applyFill="1" applyBorder="1"/>
    <xf numFmtId="0" fontId="64" fillId="0" borderId="0" xfId="206" applyFont="1" applyAlignment="1">
      <alignment horizontal="left"/>
    </xf>
    <xf numFmtId="49" fontId="24" fillId="0" borderId="0" xfId="187" applyNumberFormat="1" applyAlignment="1">
      <alignment horizontal="center"/>
    </xf>
    <xf numFmtId="3" fontId="64" fillId="0" borderId="0" xfId="187" applyNumberFormat="1" applyFont="1"/>
    <xf numFmtId="174" fontId="71" fillId="0" borderId="1" xfId="201" applyFont="1" applyBorder="1" applyAlignment="1">
      <alignment horizontal="center" wrapText="1"/>
    </xf>
    <xf numFmtId="174" fontId="71" fillId="0" borderId="0" xfId="201" applyFont="1" applyAlignment="1">
      <alignment horizontal="center" wrapText="1"/>
    </xf>
    <xf numFmtId="0" fontId="64" fillId="0" borderId="0" xfId="204" applyFont="1"/>
    <xf numFmtId="0" fontId="64" fillId="0" borderId="0" xfId="204" applyFont="1" applyAlignment="1">
      <alignment wrapText="1"/>
    </xf>
    <xf numFmtId="174" fontId="64" fillId="14" borderId="0" xfId="0" applyFont="1" applyFill="1"/>
    <xf numFmtId="174" fontId="105" fillId="0" borderId="0" xfId="0" applyFont="1"/>
    <xf numFmtId="0" fontId="24" fillId="0" borderId="0" xfId="0" applyNumberFormat="1" applyFont="1" applyAlignment="1">
      <alignment horizontal="center" vertical="center"/>
    </xf>
    <xf numFmtId="174" fontId="64" fillId="0" borderId="0" xfId="201" applyFont="1" applyAlignment="1">
      <alignment vertical="top"/>
    </xf>
    <xf numFmtId="174" fontId="64" fillId="0" borderId="0" xfId="0" applyFont="1" applyAlignment="1">
      <alignment horizontal="left" vertical="center" wrapText="1"/>
    </xf>
    <xf numFmtId="175" fontId="64" fillId="14" borderId="0" xfId="59" applyNumberFormat="1" applyFont="1" applyFill="1"/>
    <xf numFmtId="175" fontId="64" fillId="14" borderId="0" xfId="59" applyNumberFormat="1" applyFont="1" applyFill="1" applyAlignment="1">
      <alignment horizontal="right"/>
    </xf>
    <xf numFmtId="0" fontId="64" fillId="0" borderId="0" xfId="59" applyNumberFormat="1" applyFont="1" applyFill="1" applyBorder="1" applyAlignment="1">
      <alignment horizontal="center"/>
    </xf>
    <xf numFmtId="0" fontId="64" fillId="0" borderId="0" xfId="59" applyNumberFormat="1" applyFont="1" applyFill="1" applyBorder="1" applyAlignment="1" applyProtection="1">
      <alignment horizontal="center"/>
      <protection locked="0"/>
    </xf>
    <xf numFmtId="0" fontId="64" fillId="0" borderId="0" xfId="59" applyNumberFormat="1" applyFont="1" applyAlignment="1">
      <alignment horizontal="center"/>
    </xf>
    <xf numFmtId="176" fontId="64" fillId="16" borderId="10" xfId="93" applyNumberFormat="1" applyFont="1" applyFill="1" applyBorder="1"/>
    <xf numFmtId="174" fontId="64" fillId="0" borderId="10" xfId="0" applyFont="1" applyBorder="1" applyAlignment="1">
      <alignment horizontal="center"/>
    </xf>
    <xf numFmtId="174" fontId="64" fillId="0" borderId="12" xfId="0" applyFont="1" applyBorder="1" applyAlignment="1">
      <alignment horizontal="center"/>
    </xf>
    <xf numFmtId="174" fontId="108" fillId="0" borderId="15" xfId="201" applyFont="1" applyBorder="1" applyAlignment="1">
      <alignment horizontal="center"/>
    </xf>
    <xf numFmtId="43" fontId="64" fillId="0" borderId="12" xfId="59" applyFont="1" applyBorder="1"/>
    <xf numFmtId="43" fontId="64" fillId="0" borderId="11" xfId="59" applyFont="1" applyBorder="1" applyAlignment="1">
      <alignment horizontal="center"/>
    </xf>
    <xf numFmtId="43" fontId="64" fillId="16" borderId="10" xfId="59" applyFont="1" applyFill="1" applyBorder="1"/>
    <xf numFmtId="43" fontId="64" fillId="0" borderId="11" xfId="59" applyFont="1" applyBorder="1"/>
    <xf numFmtId="43" fontId="64" fillId="16" borderId="12" xfId="59" applyFont="1" applyFill="1" applyBorder="1"/>
    <xf numFmtId="43" fontId="64" fillId="16" borderId="11" xfId="59" applyFont="1" applyFill="1" applyBorder="1"/>
    <xf numFmtId="176" fontId="64" fillId="0" borderId="16" xfId="93" applyNumberFormat="1" applyFont="1" applyFill="1" applyBorder="1"/>
    <xf numFmtId="10" fontId="64" fillId="0" borderId="15" xfId="266" applyNumberFormat="1" applyFont="1" applyBorder="1"/>
    <xf numFmtId="43" fontId="64" fillId="0" borderId="0" xfId="59" applyFont="1"/>
    <xf numFmtId="0" fontId="71" fillId="0" borderId="0" xfId="59" applyNumberFormat="1" applyFont="1" applyFill="1" applyBorder="1" applyAlignment="1">
      <alignment horizontal="left"/>
    </xf>
    <xf numFmtId="0" fontId="64" fillId="0" borderId="0" xfId="59" applyNumberFormat="1" applyFont="1" applyFill="1" applyAlignment="1">
      <alignment horizontal="center"/>
    </xf>
    <xf numFmtId="0" fontId="64" fillId="0" borderId="0" xfId="59" applyNumberFormat="1" applyFont="1" applyFill="1" applyAlignment="1">
      <alignment horizontal="center" vertical="top"/>
    </xf>
    <xf numFmtId="3" fontId="64" fillId="0" borderId="0" xfId="188" applyNumberFormat="1" applyFont="1" applyAlignment="1">
      <alignment horizontal="center" wrapText="1"/>
    </xf>
    <xf numFmtId="174" fontId="64" fillId="0" borderId="0" xfId="0" applyFont="1" applyAlignment="1">
      <alignment vertical="center" wrapText="1"/>
    </xf>
    <xf numFmtId="174" fontId="64" fillId="0" borderId="0" xfId="0" applyFont="1" applyAlignment="1">
      <alignment horizontal="left" vertical="center"/>
    </xf>
    <xf numFmtId="0" fontId="64" fillId="0" borderId="0" xfId="0" applyNumberFormat="1" applyFont="1" applyAlignment="1">
      <alignment vertical="top"/>
    </xf>
    <xf numFmtId="174" fontId="64" fillId="0" borderId="0" xfId="0" applyFont="1" applyAlignment="1">
      <alignment horizontal="center" wrapText="1"/>
    </xf>
    <xf numFmtId="174" fontId="71" fillId="0" borderId="0" xfId="0" applyFont="1"/>
    <xf numFmtId="174" fontId="71" fillId="0" borderId="0" xfId="211" applyFont="1" applyAlignment="1">
      <alignment horizontal="center" wrapText="1"/>
    </xf>
    <xf numFmtId="0" fontId="71" fillId="0" borderId="0" xfId="211" applyNumberFormat="1" applyFont="1" applyAlignment="1" applyProtection="1">
      <alignment horizontal="center" wrapText="1"/>
      <protection locked="0"/>
    </xf>
    <xf numFmtId="0" fontId="71" fillId="0" borderId="0" xfId="188" applyFont="1" applyAlignment="1">
      <alignment horizontal="center" vertical="center" wrapText="1"/>
    </xf>
    <xf numFmtId="0" fontId="71" fillId="0" borderId="0" xfId="211" applyNumberFormat="1" applyFont="1" applyAlignment="1">
      <alignment horizontal="center" wrapText="1"/>
    </xf>
    <xf numFmtId="43" fontId="64" fillId="0" borderId="0" xfId="59" applyFont="1" applyBorder="1" applyAlignment="1"/>
    <xf numFmtId="174" fontId="64" fillId="16" borderId="0" xfId="0" applyFont="1" applyFill="1"/>
    <xf numFmtId="175" fontId="96" fillId="0" borderId="0" xfId="59" applyNumberFormat="1" applyFont="1" applyFill="1" applyBorder="1"/>
    <xf numFmtId="276" fontId="71" fillId="0" borderId="0" xfId="59" applyNumberFormat="1" applyFont="1" applyFill="1" applyBorder="1" applyAlignment="1"/>
    <xf numFmtId="0" fontId="64" fillId="0" borderId="0" xfId="211" quotePrefix="1" applyNumberFormat="1" applyFont="1" applyProtection="1">
      <protection locked="0"/>
    </xf>
    <xf numFmtId="43" fontId="64" fillId="0" borderId="0" xfId="59" applyFont="1" applyFill="1" applyBorder="1"/>
    <xf numFmtId="43" fontId="64" fillId="16" borderId="0" xfId="59" applyFont="1" applyFill="1" applyBorder="1" applyAlignment="1">
      <alignment horizontal="center"/>
    </xf>
    <xf numFmtId="174" fontId="64" fillId="0" borderId="12" xfId="0" applyFont="1" applyBorder="1"/>
    <xf numFmtId="174" fontId="64" fillId="16" borderId="12" xfId="0" applyFont="1" applyFill="1" applyBorder="1"/>
    <xf numFmtId="10" fontId="64" fillId="0" borderId="1" xfId="266" applyNumberFormat="1" applyFont="1" applyFill="1" applyBorder="1"/>
    <xf numFmtId="174" fontId="64" fillId="0" borderId="19" xfId="0" applyFont="1" applyBorder="1"/>
    <xf numFmtId="174" fontId="64" fillId="0" borderId="10" xfId="0" applyFont="1" applyBorder="1"/>
    <xf numFmtId="43" fontId="64" fillId="0" borderId="10" xfId="59" applyFont="1" applyBorder="1" applyAlignment="1"/>
    <xf numFmtId="43" fontId="64" fillId="0" borderId="16" xfId="59" applyFont="1" applyBorder="1" applyAlignment="1"/>
    <xf numFmtId="43" fontId="64" fillId="14" borderId="0" xfId="59" applyFont="1" applyFill="1" applyBorder="1" applyAlignment="1">
      <alignment horizontal="right"/>
    </xf>
    <xf numFmtId="175" fontId="64" fillId="0" borderId="14" xfId="59" applyNumberFormat="1" applyFont="1" applyBorder="1"/>
    <xf numFmtId="175" fontId="64" fillId="16" borderId="0" xfId="59" applyNumberFormat="1" applyFont="1" applyFill="1" applyAlignment="1"/>
    <xf numFmtId="174" fontId="64" fillId="0" borderId="16" xfId="0" applyFont="1" applyBorder="1" applyAlignment="1">
      <alignment horizontal="center"/>
    </xf>
    <xf numFmtId="174" fontId="64" fillId="0" borderId="19" xfId="0" applyFont="1" applyBorder="1" applyAlignment="1">
      <alignment horizontal="center"/>
    </xf>
    <xf numFmtId="174" fontId="64" fillId="0" borderId="16" xfId="0" applyFont="1" applyBorder="1"/>
    <xf numFmtId="174" fontId="64" fillId="0" borderId="1" xfId="0" applyFont="1" applyBorder="1" applyAlignment="1">
      <alignment horizontal="center"/>
    </xf>
    <xf numFmtId="174" fontId="108" fillId="0" borderId="1" xfId="201" applyFont="1" applyBorder="1" applyAlignment="1">
      <alignment horizontal="center"/>
    </xf>
    <xf numFmtId="278" fontId="64" fillId="0" borderId="11" xfId="59" applyNumberFormat="1" applyFont="1" applyBorder="1" applyAlignment="1"/>
    <xf numFmtId="43" fontId="64" fillId="0" borderId="0" xfId="59" applyFont="1" applyFill="1" applyAlignment="1" applyProtection="1">
      <alignment vertical="top"/>
      <protection locked="0"/>
    </xf>
    <xf numFmtId="174" fontId="0" fillId="0" borderId="0" xfId="201" applyFont="1"/>
    <xf numFmtId="174" fontId="0" fillId="0" borderId="0" xfId="0" applyAlignment="1">
      <alignment horizontal="right"/>
    </xf>
    <xf numFmtId="0" fontId="64" fillId="0" borderId="0" xfId="201" applyNumberFormat="1" applyFont="1" applyAlignment="1" applyProtection="1">
      <alignment horizontal="right"/>
      <protection locked="0"/>
    </xf>
    <xf numFmtId="43" fontId="64" fillId="0" borderId="0" xfId="59" applyFont="1" applyFill="1" applyAlignment="1">
      <alignment horizontal="center"/>
    </xf>
    <xf numFmtId="175" fontId="64" fillId="0" borderId="1" xfId="59" applyNumberFormat="1" applyFont="1" applyFill="1" applyBorder="1" applyAlignment="1"/>
    <xf numFmtId="175" fontId="93" fillId="0" borderId="16" xfId="59" applyNumberFormat="1" applyFont="1" applyFill="1" applyBorder="1" applyAlignment="1"/>
    <xf numFmtId="175" fontId="93" fillId="0" borderId="15" xfId="59" applyNumberFormat="1" applyFont="1" applyFill="1" applyBorder="1" applyAlignment="1"/>
    <xf numFmtId="175" fontId="93" fillId="0" borderId="1" xfId="59" applyNumberFormat="1" applyFont="1" applyFill="1" applyBorder="1" applyAlignment="1"/>
    <xf numFmtId="175" fontId="111" fillId="0" borderId="0" xfId="59" applyNumberFormat="1" applyFont="1" applyAlignment="1">
      <alignment horizontal="center"/>
    </xf>
    <xf numFmtId="174" fontId="111" fillId="0" borderId="0" xfId="0" applyFont="1"/>
    <xf numFmtId="43" fontId="113" fillId="0" borderId="0" xfId="59" applyFont="1" applyFill="1"/>
    <xf numFmtId="49" fontId="111" fillId="0" borderId="0" xfId="59" applyNumberFormat="1" applyFont="1" applyFill="1"/>
    <xf numFmtId="39" fontId="111" fillId="0" borderId="0" xfId="59" applyNumberFormat="1" applyFont="1" applyFill="1" applyAlignment="1">
      <alignment horizontal="right"/>
    </xf>
    <xf numFmtId="49" fontId="111" fillId="0" borderId="0" xfId="59" applyNumberFormat="1" applyFont="1" applyAlignment="1"/>
    <xf numFmtId="49" fontId="111" fillId="0" borderId="0" xfId="0" applyNumberFormat="1" applyFont="1"/>
    <xf numFmtId="175" fontId="111" fillId="0" borderId="0" xfId="59" applyNumberFormat="1" applyFont="1" applyFill="1" applyAlignment="1">
      <alignment horizontal="center"/>
    </xf>
    <xf numFmtId="2" fontId="111" fillId="0" borderId="0" xfId="0" applyNumberFormat="1" applyFont="1"/>
    <xf numFmtId="174" fontId="111" fillId="0" borderId="0" xfId="0" applyFont="1" applyAlignment="1">
      <alignment vertical="center" wrapText="1"/>
    </xf>
    <xf numFmtId="174" fontId="24" fillId="0" borderId="0" xfId="201" applyFont="1" applyAlignment="1">
      <alignment horizontal="left"/>
    </xf>
    <xf numFmtId="174" fontId="24" fillId="0" borderId="0" xfId="0" applyFont="1"/>
    <xf numFmtId="174" fontId="64" fillId="0" borderId="0" xfId="59" applyNumberFormat="1" applyFont="1" applyFill="1" applyBorder="1" applyAlignment="1"/>
    <xf numFmtId="174" fontId="24" fillId="0" borderId="0" xfId="201" applyFont="1" applyAlignment="1">
      <alignment vertical="top"/>
    </xf>
    <xf numFmtId="174" fontId="24" fillId="17" borderId="0" xfId="0" applyFont="1" applyFill="1"/>
    <xf numFmtId="10" fontId="111" fillId="0" borderId="0" xfId="266" applyNumberFormat="1" applyFont="1" applyAlignment="1">
      <alignment horizontal="center"/>
    </xf>
    <xf numFmtId="174" fontId="111" fillId="0" borderId="0" xfId="0" applyFont="1" applyAlignment="1">
      <alignment horizontal="left"/>
    </xf>
    <xf numFmtId="10" fontId="64" fillId="0" borderId="0" xfId="266" applyNumberFormat="1" applyFont="1" applyFill="1" applyAlignment="1">
      <alignment horizontal="right"/>
    </xf>
    <xf numFmtId="43" fontId="64" fillId="0" borderId="0" xfId="59" applyFont="1" applyFill="1" applyAlignment="1">
      <alignment horizontal="right"/>
    </xf>
    <xf numFmtId="10" fontId="64" fillId="0" borderId="0" xfId="266" applyNumberFormat="1" applyFont="1" applyFill="1" applyAlignment="1"/>
    <xf numFmtId="174" fontId="115" fillId="0" borderId="0" xfId="0" applyFont="1" applyAlignment="1">
      <alignment horizontal="center" vertical="center"/>
    </xf>
    <xf numFmtId="0" fontId="88" fillId="0" borderId="0" xfId="383" applyFont="1" applyAlignment="1">
      <alignment horizontal="center"/>
    </xf>
    <xf numFmtId="0" fontId="88" fillId="0" borderId="0" xfId="383" applyFont="1"/>
    <xf numFmtId="0" fontId="31" fillId="0" borderId="0" xfId="383" applyFont="1" applyAlignment="1">
      <alignment horizontal="center"/>
    </xf>
    <xf numFmtId="279" fontId="31" fillId="0" borderId="0" xfId="266" applyNumberFormat="1" applyFont="1" applyFill="1" applyAlignment="1">
      <alignment horizontal="center"/>
    </xf>
    <xf numFmtId="0" fontId="88" fillId="0" borderId="0" xfId="383" applyFont="1" applyAlignment="1">
      <alignment horizontal="center" wrapText="1"/>
    </xf>
    <xf numFmtId="10" fontId="117" fillId="14" borderId="0" xfId="383" applyNumberFormat="1" applyFont="1" applyFill="1"/>
    <xf numFmtId="279" fontId="31" fillId="0" borderId="0" xfId="266" applyNumberFormat="1" applyFont="1" applyFill="1" applyBorder="1" applyAlignment="1">
      <alignment horizontal="center"/>
    </xf>
    <xf numFmtId="10" fontId="117" fillId="0" borderId="0" xfId="383" applyNumberFormat="1" applyFont="1"/>
    <xf numFmtId="10" fontId="88" fillId="0" borderId="0" xfId="383" applyNumberFormat="1" applyFont="1"/>
    <xf numFmtId="0" fontId="118" fillId="0" borderId="0" xfId="383" applyFont="1"/>
    <xf numFmtId="174" fontId="64" fillId="0" borderId="0" xfId="0" applyFont="1" applyAlignment="1">
      <alignment horizontal="center" vertical="center"/>
    </xf>
    <xf numFmtId="43" fontId="111" fillId="0" borderId="0" xfId="59" applyFont="1" applyAlignment="1"/>
    <xf numFmtId="0" fontId="111" fillId="0" borderId="0" xfId="59" applyNumberFormat="1" applyFont="1" applyAlignment="1">
      <alignment horizontal="center"/>
    </xf>
    <xf numFmtId="174" fontId="119" fillId="17" borderId="0" xfId="0" applyFont="1" applyFill="1"/>
    <xf numFmtId="174" fontId="121" fillId="17" borderId="0" xfId="0" applyFont="1" applyFill="1"/>
    <xf numFmtId="2" fontId="119" fillId="0" borderId="0" xfId="0" applyNumberFormat="1" applyFont="1" applyAlignment="1">
      <alignment horizontal="center"/>
    </xf>
    <xf numFmtId="10" fontId="119" fillId="0" borderId="0" xfId="266" applyNumberFormat="1" applyFont="1" applyAlignment="1">
      <alignment horizontal="center"/>
    </xf>
    <xf numFmtId="174" fontId="122" fillId="0" borderId="0" xfId="0" applyFont="1"/>
    <xf numFmtId="174" fontId="119" fillId="0" borderId="0" xfId="0" applyFont="1"/>
    <xf numFmtId="0" fontId="64" fillId="0" borderId="0" xfId="388" applyFont="1" applyAlignment="1">
      <alignment vertical="center"/>
    </xf>
    <xf numFmtId="0" fontId="64" fillId="0" borderId="0" xfId="0" applyNumberFormat="1" applyFont="1" applyProtection="1"/>
    <xf numFmtId="174" fontId="64" fillId="17" borderId="0" xfId="0" applyFont="1" applyFill="1" applyProtection="1"/>
    <xf numFmtId="174" fontId="64" fillId="0" borderId="0" xfId="209" applyFont="1" applyAlignment="1">
      <alignment vertical="top"/>
    </xf>
    <xf numFmtId="174" fontId="31" fillId="0" borderId="0" xfId="0" applyFont="1" applyAlignment="1">
      <alignment horizontal="center" vertical="center"/>
    </xf>
    <xf numFmtId="175" fontId="64" fillId="0" borderId="0" xfId="192" applyNumberFormat="1" applyFont="1"/>
    <xf numFmtId="10" fontId="31" fillId="0" borderId="0" xfId="266" applyNumberFormat="1" applyFont="1" applyAlignment="1"/>
    <xf numFmtId="0" fontId="115" fillId="0" borderId="0" xfId="380" applyFont="1"/>
    <xf numFmtId="0" fontId="140" fillId="0" borderId="0" xfId="380" applyFont="1"/>
    <xf numFmtId="0" fontId="140" fillId="0" borderId="0" xfId="380" applyFont="1" applyAlignment="1">
      <alignment horizontal="right"/>
    </xf>
    <xf numFmtId="0" fontId="141" fillId="16" borderId="0" xfId="380" applyFont="1" applyFill="1"/>
    <xf numFmtId="0" fontId="142" fillId="0" borderId="0" xfId="380" applyFont="1"/>
    <xf numFmtId="0" fontId="142" fillId="0" borderId="0" xfId="380" applyFont="1" applyAlignment="1">
      <alignment vertical="center"/>
    </xf>
    <xf numFmtId="0" fontId="142" fillId="0" borderId="0" xfId="380" applyFont="1" applyAlignment="1">
      <alignment horizontal="center" vertical="center" wrapText="1"/>
    </xf>
    <xf numFmtId="0" fontId="142" fillId="0" borderId="0" xfId="380" applyFont="1" applyAlignment="1">
      <alignment horizontal="center" vertical="center"/>
    </xf>
    <xf numFmtId="0" fontId="140" fillId="0" borderId="15" xfId="380" applyFont="1" applyBorder="1" applyAlignment="1">
      <alignment horizontal="center" vertical="center" wrapText="1"/>
    </xf>
    <xf numFmtId="0" fontId="140" fillId="0" borderId="0" xfId="380" applyFont="1" applyAlignment="1">
      <alignment horizontal="center" vertical="center" wrapText="1"/>
    </xf>
    <xf numFmtId="0" fontId="140" fillId="0" borderId="0" xfId="380" applyFont="1" applyAlignment="1">
      <alignment horizontal="left" vertical="center"/>
    </xf>
    <xf numFmtId="15" fontId="140" fillId="0" borderId="0" xfId="380" applyNumberFormat="1" applyFont="1" applyAlignment="1">
      <alignment vertical="center" wrapText="1"/>
    </xf>
    <xf numFmtId="175" fontId="140" fillId="0" borderId="0" xfId="381" applyNumberFormat="1" applyFont="1" applyBorder="1" applyAlignment="1">
      <alignment horizontal="right" vertical="center" wrapText="1"/>
    </xf>
    <xf numFmtId="175" fontId="140" fillId="0" borderId="0" xfId="381" applyNumberFormat="1" applyFont="1" applyBorder="1" applyAlignment="1">
      <alignment vertical="center" wrapText="1"/>
    </xf>
    <xf numFmtId="175" fontId="140" fillId="16" borderId="0" xfId="381" applyNumberFormat="1" applyFont="1" applyFill="1" applyBorder="1" applyAlignment="1">
      <alignment vertical="center" wrapText="1"/>
    </xf>
    <xf numFmtId="175" fontId="140" fillId="0" borderId="0" xfId="381" applyNumberFormat="1" applyFont="1" applyFill="1" applyBorder="1" applyAlignment="1">
      <alignment horizontal="right" vertical="center" wrapText="1"/>
    </xf>
    <xf numFmtId="175" fontId="140" fillId="16" borderId="0" xfId="381" applyNumberFormat="1" applyFont="1" applyFill="1" applyBorder="1" applyAlignment="1">
      <alignment horizontal="right" vertical="center" wrapText="1"/>
    </xf>
    <xf numFmtId="175" fontId="140" fillId="0" borderId="0" xfId="464" applyNumberFormat="1" applyFont="1" applyBorder="1" applyAlignment="1"/>
    <xf numFmtId="43" fontId="140" fillId="0" borderId="0" xfId="59" applyFont="1"/>
    <xf numFmtId="0" fontId="140" fillId="0" borderId="0" xfId="380" applyFont="1" applyAlignment="1">
      <alignment horizontal="right" vertical="center" wrapText="1"/>
    </xf>
    <xf numFmtId="0" fontId="140" fillId="0" borderId="0" xfId="380" applyFont="1" applyAlignment="1">
      <alignment vertical="center" wrapText="1"/>
    </xf>
    <xf numFmtId="0" fontId="140" fillId="0" borderId="0" xfId="380" applyFont="1" applyAlignment="1">
      <alignment horizontal="justify" vertical="center" wrapText="1"/>
    </xf>
    <xf numFmtId="175" fontId="140" fillId="0" borderId="0" xfId="381" applyNumberFormat="1" applyFont="1" applyFill="1" applyBorder="1" applyAlignment="1">
      <alignment vertical="center" wrapText="1"/>
    </xf>
    <xf numFmtId="175" fontId="142" fillId="0" borderId="0" xfId="380" applyNumberFormat="1" applyFont="1"/>
    <xf numFmtId="175" fontId="142" fillId="0" borderId="0" xfId="381" applyNumberFormat="1" applyFont="1" applyFill="1" applyBorder="1" applyAlignment="1">
      <alignment vertical="center" wrapText="1"/>
    </xf>
    <xf numFmtId="175" fontId="140" fillId="0" borderId="0" xfId="59" applyNumberFormat="1" applyFont="1"/>
    <xf numFmtId="175" fontId="54" fillId="0" borderId="0" xfId="59" applyNumberFormat="1" applyFont="1" applyFill="1" applyAlignment="1">
      <alignment horizontal="center"/>
    </xf>
    <xf numFmtId="280" fontId="140" fillId="0" borderId="0" xfId="59" applyNumberFormat="1" applyFont="1" applyBorder="1" applyAlignment="1">
      <alignment horizontal="right" vertical="center" wrapText="1"/>
    </xf>
    <xf numFmtId="175" fontId="140" fillId="0" borderId="0" xfId="380" applyNumberFormat="1" applyFont="1"/>
    <xf numFmtId="0" fontId="143" fillId="0" borderId="0" xfId="380" applyFont="1"/>
    <xf numFmtId="43" fontId="140" fillId="0" borderId="0" xfId="380" applyNumberFormat="1" applyFont="1"/>
    <xf numFmtId="0" fontId="144" fillId="0" borderId="0" xfId="187" applyFont="1" applyAlignment="1">
      <alignment horizontal="left" indent="1"/>
    </xf>
    <xf numFmtId="0" fontId="145" fillId="0" borderId="0" xfId="380" applyFont="1"/>
    <xf numFmtId="0" fontId="64" fillId="16" borderId="0" xfId="59" applyNumberFormat="1" applyFont="1" applyFill="1"/>
    <xf numFmtId="1" fontId="64" fillId="16" borderId="0" xfId="59" applyNumberFormat="1" applyFont="1" applyFill="1"/>
    <xf numFmtId="10" fontId="64" fillId="16" borderId="0" xfId="266" applyNumberFormat="1" applyFont="1" applyFill="1"/>
    <xf numFmtId="10" fontId="64" fillId="16" borderId="0" xfId="59" applyNumberFormat="1" applyFont="1" applyFill="1" applyAlignment="1"/>
    <xf numFmtId="10" fontId="88" fillId="0" borderId="0" xfId="266" applyNumberFormat="1" applyFont="1"/>
    <xf numFmtId="10" fontId="88" fillId="0" borderId="1" xfId="266" applyNumberFormat="1" applyFont="1" applyBorder="1"/>
    <xf numFmtId="10" fontId="31" fillId="0" borderId="1" xfId="266" applyNumberFormat="1" applyFont="1" applyBorder="1" applyAlignment="1"/>
    <xf numFmtId="0" fontId="146" fillId="48" borderId="26" xfId="476" quotePrefix="1" applyNumberFormat="1" applyAlignment="1"/>
    <xf numFmtId="1" fontId="31" fillId="0" borderId="0" xfId="59" applyNumberFormat="1" applyFont="1" applyFill="1" applyAlignment="1"/>
    <xf numFmtId="175" fontId="140" fillId="0" borderId="1" xfId="381" applyNumberFormat="1" applyFont="1" applyBorder="1" applyAlignment="1">
      <alignment vertical="center" wrapText="1"/>
    </xf>
    <xf numFmtId="10" fontId="64" fillId="0" borderId="0" xfId="0" applyNumberFormat="1" applyFont="1"/>
    <xf numFmtId="285" fontId="64" fillId="0" borderId="0" xfId="0" applyNumberFormat="1" applyFont="1"/>
    <xf numFmtId="0" fontId="147" fillId="49" borderId="26" xfId="499" applyNumberFormat="1" applyAlignment="1"/>
    <xf numFmtId="283" fontId="147" fillId="0" borderId="27" xfId="477" applyNumberFormat="1">
      <alignment horizontal="right" vertical="center"/>
    </xf>
    <xf numFmtId="283" fontId="147" fillId="0" borderId="32" xfId="477" applyNumberFormat="1" applyBorder="1">
      <alignment horizontal="right" vertical="center"/>
    </xf>
    <xf numFmtId="0" fontId="147" fillId="49" borderId="26" xfId="499" quotePrefix="1" applyNumberFormat="1" applyAlignment="1"/>
    <xf numFmtId="175" fontId="140" fillId="0" borderId="0" xfId="86" applyNumberFormat="1" applyFont="1" applyFill="1" applyBorder="1" applyAlignment="1">
      <alignment vertical="center" wrapText="1"/>
    </xf>
    <xf numFmtId="37" fontId="0" fillId="0" borderId="0" xfId="0" applyNumberFormat="1"/>
    <xf numFmtId="174" fontId="137" fillId="0" borderId="0" xfId="0" applyFont="1"/>
    <xf numFmtId="0" fontId="146" fillId="48" borderId="28" xfId="500" quotePrefix="1" applyNumberFormat="1" applyAlignment="1"/>
    <xf numFmtId="41" fontId="186" fillId="0" borderId="0" xfId="188" applyNumberFormat="1" applyFont="1"/>
    <xf numFmtId="41" fontId="186" fillId="0" borderId="0" xfId="211" applyNumberFormat="1" applyFont="1"/>
    <xf numFmtId="174" fontId="186" fillId="0" borderId="0" xfId="211" applyFont="1" applyAlignment="1">
      <alignment horizontal="right"/>
    </xf>
    <xf numFmtId="3" fontId="186" fillId="0" borderId="0" xfId="188" applyNumberFormat="1" applyFont="1" applyAlignment="1">
      <alignment horizontal="right"/>
    </xf>
    <xf numFmtId="174" fontId="186" fillId="0" borderId="0" xfId="0" applyFont="1" applyAlignment="1">
      <alignment horizontal="right"/>
    </xf>
    <xf numFmtId="10" fontId="186" fillId="0" borderId="0" xfId="0" applyNumberFormat="1" applyFont="1"/>
    <xf numFmtId="0" fontId="184" fillId="0" borderId="0" xfId="190" applyFont="1" applyAlignment="1">
      <alignment horizontal="left"/>
    </xf>
    <xf numFmtId="176" fontId="185" fillId="0" borderId="0" xfId="190" applyNumberFormat="1" applyFont="1"/>
    <xf numFmtId="43" fontId="185" fillId="0" borderId="0" xfId="190" applyNumberFormat="1" applyFont="1"/>
    <xf numFmtId="0" fontId="185" fillId="0" borderId="0" xfId="190" applyFont="1" applyAlignment="1">
      <alignment horizontal="left"/>
    </xf>
    <xf numFmtId="44" fontId="185" fillId="0" borderId="0" xfId="190" applyNumberFormat="1" applyFont="1"/>
    <xf numFmtId="279" fontId="185" fillId="0" borderId="0" xfId="190" applyNumberFormat="1" applyFont="1"/>
    <xf numFmtId="0" fontId="185" fillId="0" borderId="0" xfId="190" applyFont="1"/>
    <xf numFmtId="176" fontId="185" fillId="0" borderId="0" xfId="190" applyNumberFormat="1" applyFont="1" applyAlignment="1">
      <alignment horizontal="left"/>
    </xf>
    <xf numFmtId="37" fontId="185" fillId="0" borderId="0" xfId="190" applyNumberFormat="1" applyFont="1" applyAlignment="1">
      <alignment horizontal="left"/>
    </xf>
    <xf numFmtId="287" fontId="148" fillId="51" borderId="47" xfId="505" quotePrefix="1" applyNumberFormat="1" applyBorder="1" applyAlignment="1"/>
    <xf numFmtId="284" fontId="148" fillId="51" borderId="47" xfId="505" quotePrefix="1" applyNumberFormat="1" applyBorder="1" applyAlignment="1"/>
    <xf numFmtId="0" fontId="148" fillId="62" borderId="26" xfId="501" quotePrefix="1" applyNumberFormat="1" applyAlignment="1">
      <alignment wrapText="1"/>
    </xf>
    <xf numFmtId="9" fontId="64" fillId="14" borderId="0" xfId="59" applyNumberFormat="1" applyFont="1" applyFill="1" applyAlignment="1">
      <alignment horizontal="right"/>
    </xf>
    <xf numFmtId="9" fontId="64" fillId="14" borderId="0" xfId="59" applyNumberFormat="1" applyFont="1" applyFill="1" applyAlignment="1" applyProtection="1">
      <alignment vertical="top"/>
      <protection locked="0"/>
    </xf>
    <xf numFmtId="164" fontId="64" fillId="14" borderId="0" xfId="59" applyNumberFormat="1" applyFont="1" applyFill="1" applyAlignment="1" applyProtection="1">
      <alignment vertical="top"/>
      <protection locked="0"/>
    </xf>
    <xf numFmtId="41" fontId="64" fillId="0" borderId="11" xfId="59" applyNumberFormat="1" applyFont="1" applyBorder="1" applyAlignment="1">
      <alignment horizontal="center"/>
    </xf>
    <xf numFmtId="41" fontId="64" fillId="0" borderId="12" xfId="59" applyNumberFormat="1" applyFont="1" applyBorder="1"/>
    <xf numFmtId="0" fontId="24" fillId="0" borderId="0" xfId="184"/>
    <xf numFmtId="0" fontId="49" fillId="0" borderId="0" xfId="650" quotePrefix="1">
      <alignment horizontal="center" wrapText="1"/>
    </xf>
    <xf numFmtId="174" fontId="0" fillId="0" borderId="0" xfId="0" quotePrefix="1"/>
    <xf numFmtId="0" fontId="24" fillId="0" borderId="0" xfId="674" quotePrefix="1">
      <alignment horizontal="left" indent="1"/>
    </xf>
    <xf numFmtId="286" fontId="24" fillId="0" borderId="0" xfId="672"/>
    <xf numFmtId="41" fontId="24" fillId="0" borderId="0" xfId="184" applyNumberFormat="1"/>
    <xf numFmtId="10" fontId="24" fillId="0" borderId="0" xfId="184" applyNumberFormat="1"/>
    <xf numFmtId="283" fontId="146" fillId="48" borderId="33" xfId="500" quotePrefix="1" applyNumberFormat="1" applyBorder="1" applyAlignment="1">
      <alignment horizontal="right"/>
    </xf>
    <xf numFmtId="41" fontId="64" fillId="0" borderId="0" xfId="59" applyNumberFormat="1" applyFont="1"/>
    <xf numFmtId="41" fontId="64" fillId="16" borderId="10" xfId="59" applyNumberFormat="1" applyFont="1" applyFill="1" applyBorder="1"/>
    <xf numFmtId="41" fontId="64" fillId="0" borderId="11" xfId="59" applyNumberFormat="1" applyFont="1" applyBorder="1"/>
    <xf numFmtId="175" fontId="144" fillId="16" borderId="11" xfId="59" applyNumberFormat="1" applyFont="1" applyFill="1" applyBorder="1"/>
    <xf numFmtId="0" fontId="49" fillId="0" borderId="0" xfId="184" applyFont="1"/>
    <xf numFmtId="0" fontId="31" fillId="0" borderId="0" xfId="676" applyAlignment="1"/>
    <xf numFmtId="0" fontId="23" fillId="0" borderId="0" xfId="677" quotePrefix="1" applyAlignment="1"/>
    <xf numFmtId="0" fontId="49" fillId="0" borderId="1" xfId="675" quotePrefix="1">
      <alignment horizontal="center" wrapText="1"/>
    </xf>
    <xf numFmtId="0" fontId="49" fillId="0" borderId="0" xfId="675" applyFill="1" applyBorder="1">
      <alignment horizontal="center" wrapText="1"/>
    </xf>
    <xf numFmtId="0" fontId="24" fillId="0" borderId="0" xfId="184" quotePrefix="1"/>
    <xf numFmtId="0" fontId="24" fillId="0" borderId="0" xfId="685" quotePrefix="1"/>
    <xf numFmtId="0" fontId="24" fillId="0" borderId="0" xfId="685"/>
    <xf numFmtId="0" fontId="31" fillId="0" borderId="0" xfId="676" quotePrefix="1" applyAlignment="1"/>
    <xf numFmtId="286" fontId="24" fillId="0" borderId="0" xfId="672" applyFont="1"/>
    <xf numFmtId="286" fontId="24" fillId="0" borderId="0" xfId="184" applyNumberFormat="1"/>
    <xf numFmtId="286" fontId="24" fillId="0" borderId="0" xfId="672" applyFont="1" applyFill="1"/>
    <xf numFmtId="286" fontId="24" fillId="0" borderId="1" xfId="673" applyFont="1"/>
    <xf numFmtId="286" fontId="24" fillId="0" borderId="0" xfId="673" applyFont="1" applyFill="1" applyBorder="1"/>
    <xf numFmtId="286" fontId="24" fillId="0" borderId="1" xfId="673" applyFont="1" applyFill="1"/>
    <xf numFmtId="286" fontId="24" fillId="0" borderId="0" xfId="672" applyFont="1" applyBorder="1"/>
    <xf numFmtId="0" fontId="64" fillId="0" borderId="46" xfId="211" applyNumberFormat="1" applyFont="1" applyBorder="1" applyAlignment="1" applyProtection="1">
      <alignment horizontal="center"/>
      <protection locked="0"/>
    </xf>
    <xf numFmtId="0" fontId="64" fillId="0" borderId="46" xfId="211" applyNumberFormat="1" applyFont="1" applyBorder="1" applyAlignment="1" applyProtection="1">
      <alignment horizontal="centerContinuous"/>
      <protection locked="0"/>
    </xf>
    <xf numFmtId="43" fontId="64" fillId="0" borderId="46" xfId="59" applyFont="1" applyBorder="1" applyAlignment="1"/>
    <xf numFmtId="175" fontId="64" fillId="14" borderId="46" xfId="59" applyNumberFormat="1" applyFont="1" applyFill="1" applyBorder="1" applyAlignment="1"/>
    <xf numFmtId="175" fontId="64" fillId="0" borderId="46" xfId="59" applyNumberFormat="1" applyFont="1" applyBorder="1" applyAlignment="1"/>
    <xf numFmtId="175" fontId="64" fillId="0" borderId="46" xfId="59" applyNumberFormat="1" applyFont="1" applyFill="1" applyBorder="1" applyAlignment="1"/>
    <xf numFmtId="175" fontId="64" fillId="0" borderId="46" xfId="59" applyNumberFormat="1" applyFont="1" applyBorder="1" applyAlignment="1">
      <alignment horizontal="right"/>
    </xf>
    <xf numFmtId="0" fontId="64" fillId="0" borderId="46" xfId="211" applyNumberFormat="1" applyFont="1" applyBorder="1" applyProtection="1">
      <protection locked="0"/>
    </xf>
    <xf numFmtId="0" fontId="64" fillId="0" borderId="46" xfId="211" applyNumberFormat="1" applyFont="1" applyBorder="1"/>
    <xf numFmtId="3" fontId="64" fillId="0" borderId="46" xfId="211" applyNumberFormat="1" applyFont="1" applyBorder="1"/>
    <xf numFmtId="3" fontId="64" fillId="0" borderId="46" xfId="211" applyNumberFormat="1" applyFont="1" applyBorder="1" applyAlignment="1">
      <alignment horizontal="center"/>
    </xf>
    <xf numFmtId="0" fontId="64" fillId="0" borderId="46" xfId="188" applyFont="1" applyBorder="1" applyAlignment="1">
      <alignment horizontal="center"/>
    </xf>
    <xf numFmtId="175" fontId="64" fillId="0" borderId="46" xfId="59" applyNumberFormat="1" applyFont="1" applyFill="1" applyBorder="1" applyAlignment="1">
      <alignment horizontal="center"/>
    </xf>
    <xf numFmtId="43" fontId="64" fillId="0" borderId="46" xfId="59" applyFont="1" applyFill="1" applyBorder="1" applyAlignment="1">
      <alignment horizontal="center"/>
    </xf>
    <xf numFmtId="0" fontId="95" fillId="0" borderId="0" xfId="211" applyNumberFormat="1" applyFont="1" applyProtection="1">
      <protection locked="0"/>
    </xf>
    <xf numFmtId="174" fontId="95" fillId="0" borderId="0" xfId="211" applyFont="1"/>
    <xf numFmtId="174" fontId="64" fillId="0" borderId="46" xfId="211" applyFont="1" applyBorder="1"/>
    <xf numFmtId="179" fontId="64" fillId="0" borderId="46" xfId="59" applyNumberFormat="1" applyFont="1" applyFill="1" applyBorder="1" applyProtection="1">
      <protection locked="0"/>
    </xf>
    <xf numFmtId="0" fontId="64" fillId="0" borderId="46" xfId="188" applyFont="1" applyBorder="1" applyAlignment="1">
      <alignment horizontal="left" vertical="center" wrapText="1"/>
    </xf>
    <xf numFmtId="175" fontId="64" fillId="0" borderId="46" xfId="59" applyNumberFormat="1" applyFont="1" applyFill="1" applyBorder="1" applyAlignment="1" applyProtection="1">
      <protection locked="0"/>
    </xf>
    <xf numFmtId="277" fontId="85" fillId="0" borderId="0" xfId="59" applyNumberFormat="1" applyFont="1" applyFill="1" applyBorder="1" applyAlignment="1"/>
    <xf numFmtId="10" fontId="85" fillId="0" borderId="0" xfId="266" applyNumberFormat="1" applyFont="1" applyFill="1" applyBorder="1" applyAlignment="1"/>
    <xf numFmtId="43" fontId="85" fillId="0" borderId="0" xfId="59" applyFont="1" applyFill="1" applyBorder="1" applyAlignment="1"/>
    <xf numFmtId="3" fontId="95" fillId="0" borderId="0" xfId="201" applyNumberFormat="1" applyFont="1"/>
    <xf numFmtId="0" fontId="95" fillId="0" borderId="0" xfId="201" applyNumberFormat="1" applyFont="1"/>
    <xf numFmtId="174" fontId="71" fillId="0" borderId="69" xfId="201" applyFont="1" applyBorder="1" applyAlignment="1">
      <alignment horizontal="center" wrapText="1"/>
    </xf>
    <xf numFmtId="174" fontId="71" fillId="0" borderId="70" xfId="201" applyFont="1" applyBorder="1"/>
    <xf numFmtId="174" fontId="71" fillId="0" borderId="71" xfId="201" applyFont="1" applyBorder="1"/>
    <xf numFmtId="174" fontId="71" fillId="0" borderId="70" xfId="201" applyFont="1" applyBorder="1" applyAlignment="1">
      <alignment horizontal="center" wrapText="1"/>
    </xf>
    <xf numFmtId="0" fontId="71" fillId="0" borderId="70" xfId="201" applyNumberFormat="1" applyFont="1" applyBorder="1" applyAlignment="1">
      <alignment horizontal="center" wrapText="1"/>
    </xf>
    <xf numFmtId="174" fontId="71" fillId="0" borderId="72" xfId="201" applyFont="1" applyBorder="1" applyAlignment="1">
      <alignment horizontal="center" wrapText="1"/>
    </xf>
    <xf numFmtId="3" fontId="71" fillId="0" borderId="72" xfId="201" applyNumberFormat="1" applyFont="1" applyBorder="1" applyAlignment="1">
      <alignment horizontal="center" wrapText="1"/>
    </xf>
    <xf numFmtId="0" fontId="64" fillId="0" borderId="69" xfId="201" applyNumberFormat="1" applyFont="1" applyBorder="1"/>
    <xf numFmtId="0" fontId="64" fillId="0" borderId="70" xfId="201" applyNumberFormat="1" applyFont="1" applyBorder="1"/>
    <xf numFmtId="0" fontId="64" fillId="0" borderId="70" xfId="201" applyNumberFormat="1" applyFont="1" applyBorder="1" applyAlignment="1">
      <alignment horizontal="center"/>
    </xf>
    <xf numFmtId="0" fontId="64" fillId="0" borderId="72" xfId="201" applyNumberFormat="1" applyFont="1" applyBorder="1" applyAlignment="1">
      <alignment horizontal="center"/>
    </xf>
    <xf numFmtId="0" fontId="64" fillId="0" borderId="72" xfId="201" applyNumberFormat="1" applyFont="1" applyBorder="1" applyAlignment="1">
      <alignment horizontal="center" wrapText="1"/>
    </xf>
    <xf numFmtId="3" fontId="64" fillId="0" borderId="72" xfId="201" applyNumberFormat="1" applyFont="1" applyBorder="1" applyAlignment="1">
      <alignment horizontal="center" wrapText="1"/>
    </xf>
    <xf numFmtId="0" fontId="64" fillId="0" borderId="70" xfId="201" applyNumberFormat="1" applyFont="1" applyBorder="1" applyAlignment="1">
      <alignment horizontal="center" wrapText="1"/>
    </xf>
    <xf numFmtId="3" fontId="64" fillId="0" borderId="70" xfId="201" applyNumberFormat="1" applyFont="1" applyBorder="1" applyAlignment="1">
      <alignment horizontal="center"/>
    </xf>
    <xf numFmtId="0" fontId="64" fillId="0" borderId="73" xfId="201" applyNumberFormat="1" applyFont="1" applyBorder="1"/>
    <xf numFmtId="0" fontId="64" fillId="0" borderId="74" xfId="201" applyNumberFormat="1" applyFont="1" applyBorder="1"/>
    <xf numFmtId="174" fontId="64" fillId="0" borderId="46" xfId="201" applyFont="1" applyBorder="1"/>
    <xf numFmtId="3" fontId="54" fillId="0" borderId="46" xfId="211" applyNumberFormat="1" applyFont="1" applyBorder="1" applyAlignment="1">
      <alignment horizontal="center"/>
    </xf>
    <xf numFmtId="0" fontId="54" fillId="0" borderId="46" xfId="211" applyNumberFormat="1" applyFont="1" applyBorder="1" applyAlignment="1" applyProtection="1">
      <alignment horizontal="center"/>
      <protection locked="0"/>
    </xf>
    <xf numFmtId="43" fontId="54" fillId="0" borderId="46" xfId="59" applyFont="1" applyBorder="1" applyAlignment="1">
      <alignment horizontal="center"/>
    </xf>
    <xf numFmtId="43" fontId="54" fillId="0" borderId="46" xfId="59" applyFont="1" applyBorder="1" applyAlignment="1"/>
    <xf numFmtId="174" fontId="64" fillId="0" borderId="73" xfId="0" applyFont="1" applyBorder="1"/>
    <xf numFmtId="174" fontId="64" fillId="0" borderId="74" xfId="0" applyFont="1" applyBorder="1" applyAlignment="1">
      <alignment horizontal="center"/>
    </xf>
    <xf numFmtId="174" fontId="64" fillId="0" borderId="71" xfId="0" applyFont="1" applyBorder="1"/>
    <xf numFmtId="174" fontId="64" fillId="0" borderId="75" xfId="0" applyFont="1" applyBorder="1"/>
    <xf numFmtId="174" fontId="64" fillId="0" borderId="74" xfId="0" applyFont="1" applyBorder="1"/>
    <xf numFmtId="174" fontId="64" fillId="0" borderId="72" xfId="0" applyFont="1" applyBorder="1" applyAlignment="1">
      <alignment horizontal="center"/>
    </xf>
    <xf numFmtId="174" fontId="64" fillId="0" borderId="73" xfId="0" applyFont="1" applyBorder="1" applyAlignment="1">
      <alignment horizontal="center"/>
    </xf>
    <xf numFmtId="175" fontId="64" fillId="16" borderId="73" xfId="59" applyNumberFormat="1" applyFont="1" applyFill="1" applyBorder="1"/>
    <xf numFmtId="43" fontId="64" fillId="0" borderId="74" xfId="59" applyFont="1" applyBorder="1"/>
    <xf numFmtId="175" fontId="144" fillId="16" borderId="74" xfId="59" applyNumberFormat="1" applyFont="1" applyFill="1" applyBorder="1"/>
    <xf numFmtId="174" fontId="64" fillId="0" borderId="73" xfId="201" applyFont="1" applyBorder="1" applyAlignment="1">
      <alignment horizontal="center"/>
    </xf>
    <xf numFmtId="174" fontId="64" fillId="0" borderId="74" xfId="201" applyFont="1" applyBorder="1" applyAlignment="1">
      <alignment horizontal="center"/>
    </xf>
    <xf numFmtId="0" fontId="142" fillId="0" borderId="74" xfId="380" applyFont="1" applyBorder="1" applyAlignment="1">
      <alignment horizontal="center" vertical="center"/>
    </xf>
    <xf numFmtId="0" fontId="140" fillId="0" borderId="71" xfId="380" applyFont="1" applyBorder="1" applyAlignment="1">
      <alignment vertical="center" wrapText="1"/>
    </xf>
    <xf numFmtId="175" fontId="140" fillId="0" borderId="71" xfId="380" applyNumberFormat="1" applyFont="1" applyBorder="1" applyAlignment="1">
      <alignment vertical="center" wrapText="1"/>
    </xf>
    <xf numFmtId="0" fontId="140" fillId="0" borderId="71" xfId="380" applyFont="1" applyBorder="1" applyAlignment="1">
      <alignment horizontal="right" vertical="center" wrapText="1"/>
    </xf>
    <xf numFmtId="175" fontId="140" fillId="0" borderId="71" xfId="381" applyNumberFormat="1" applyFont="1" applyBorder="1" applyAlignment="1">
      <alignment vertical="center" wrapText="1"/>
    </xf>
    <xf numFmtId="175" fontId="54" fillId="0" borderId="71" xfId="381" applyNumberFormat="1" applyFont="1" applyFill="1" applyBorder="1" applyAlignment="1">
      <alignment vertical="center" wrapText="1"/>
    </xf>
    <xf numFmtId="0" fontId="64" fillId="0" borderId="71" xfId="192" applyFont="1" applyBorder="1"/>
    <xf numFmtId="176" fontId="64" fillId="0" borderId="71" xfId="93" applyNumberFormat="1" applyFont="1" applyBorder="1"/>
    <xf numFmtId="3" fontId="54" fillId="0" borderId="46" xfId="0" applyNumberFormat="1" applyFont="1" applyBorder="1" applyAlignment="1">
      <alignment horizontal="center"/>
    </xf>
    <xf numFmtId="175" fontId="54" fillId="14" borderId="46" xfId="59" applyNumberFormat="1" applyFont="1" applyFill="1" applyBorder="1" applyAlignment="1"/>
    <xf numFmtId="175" fontId="64" fillId="16" borderId="46" xfId="59" applyNumberFormat="1" applyFont="1" applyFill="1" applyBorder="1" applyAlignment="1">
      <alignment horizontal="center"/>
    </xf>
    <xf numFmtId="174" fontId="64" fillId="0" borderId="69" xfId="0" applyFont="1" applyBorder="1" applyAlignment="1">
      <alignment horizontal="center"/>
    </xf>
    <xf numFmtId="174" fontId="64" fillId="0" borderId="70" xfId="0" applyFont="1" applyBorder="1" applyAlignment="1">
      <alignment horizontal="center"/>
    </xf>
    <xf numFmtId="174" fontId="64" fillId="0" borderId="76" xfId="0" applyFont="1" applyBorder="1" applyAlignment="1">
      <alignment horizontal="center"/>
    </xf>
    <xf numFmtId="174" fontId="64" fillId="0" borderId="75" xfId="0" applyFont="1" applyBorder="1" applyAlignment="1">
      <alignment horizontal="center"/>
    </xf>
    <xf numFmtId="174" fontId="24" fillId="0" borderId="46" xfId="201" applyFont="1" applyBorder="1"/>
    <xf numFmtId="0" fontId="24" fillId="0" borderId="71" xfId="184" applyBorder="1"/>
    <xf numFmtId="286" fontId="24" fillId="0" borderId="71" xfId="672" applyFont="1" applyBorder="1"/>
    <xf numFmtId="286" fontId="24" fillId="0" borderId="71" xfId="672" applyFont="1" applyFill="1" applyBorder="1"/>
    <xf numFmtId="174" fontId="64" fillId="0" borderId="0" xfId="201" applyFont="1" applyFill="1"/>
    <xf numFmtId="174" fontId="64" fillId="0" borderId="0" xfId="0" applyFont="1" applyAlignment="1">
      <alignment horizontal="center"/>
    </xf>
    <xf numFmtId="0" fontId="147" fillId="49" borderId="26" xfId="499" quotePrefix="1" applyNumberFormat="1" applyAlignment="1">
      <alignment horizontal="center"/>
    </xf>
    <xf numFmtId="279" fontId="24" fillId="0" borderId="1" xfId="266" applyNumberFormat="1" applyBorder="1"/>
    <xf numFmtId="175" fontId="24" fillId="0" borderId="0" xfId="59" applyNumberFormat="1"/>
    <xf numFmtId="175" fontId="24" fillId="0" borderId="0" xfId="184" applyNumberFormat="1"/>
    <xf numFmtId="174" fontId="190" fillId="0" borderId="77" xfId="0" applyFont="1" applyBorder="1" applyAlignment="1">
      <alignment horizontal="center" vertical="center" wrapText="1"/>
    </xf>
    <xf numFmtId="288" fontId="190" fillId="0" borderId="0" xfId="0" applyNumberFormat="1" applyFont="1" applyAlignment="1">
      <alignment horizontal="right"/>
    </xf>
    <xf numFmtId="174" fontId="190" fillId="0" borderId="0" xfId="0" applyFont="1" applyAlignment="1">
      <alignment horizontal="left" indent="2"/>
    </xf>
    <xf numFmtId="290" fontId="190" fillId="0" borderId="0" xfId="0" applyNumberFormat="1" applyFont="1" applyAlignment="1">
      <alignment horizontal="right"/>
    </xf>
    <xf numFmtId="288" fontId="0" fillId="0" borderId="0" xfId="0" applyNumberFormat="1"/>
    <xf numFmtId="43" fontId="0" fillId="0" borderId="0" xfId="59" applyFont="1"/>
    <xf numFmtId="10" fontId="64" fillId="0" borderId="0" xfId="266" applyNumberFormat="1" applyFont="1"/>
    <xf numFmtId="175" fontId="64" fillId="0" borderId="0" xfId="59" applyNumberFormat="1" applyFont="1"/>
    <xf numFmtId="283" fontId="24" fillId="0" borderId="0" xfId="184" applyNumberFormat="1"/>
    <xf numFmtId="174" fontId="190" fillId="0" borderId="0" xfId="0" applyFont="1" applyAlignment="1">
      <alignment horizontal="left" indent="3"/>
    </xf>
    <xf numFmtId="10" fontId="0" fillId="0" borderId="0" xfId="0" applyNumberFormat="1"/>
    <xf numFmtId="290" fontId="190" fillId="0" borderId="0" xfId="0" applyNumberFormat="1" applyFont="1" applyFill="1" applyAlignment="1">
      <alignment horizontal="right"/>
    </xf>
    <xf numFmtId="174" fontId="0" fillId="0" borderId="0" xfId="0" applyBorder="1"/>
    <xf numFmtId="43" fontId="0" fillId="0" borderId="0" xfId="59" applyFont="1" applyBorder="1"/>
    <xf numFmtId="175" fontId="0" fillId="0" borderId="0" xfId="59" applyNumberFormat="1" applyFont="1" applyBorder="1"/>
    <xf numFmtId="0" fontId="190" fillId="0" borderId="0" xfId="0" applyNumberFormat="1" applyFont="1" applyAlignment="1">
      <alignment horizontal="left" indent="2"/>
    </xf>
    <xf numFmtId="37" fontId="190" fillId="0" borderId="0" xfId="0" applyNumberFormat="1" applyFont="1" applyAlignment="1">
      <alignment horizontal="right"/>
    </xf>
    <xf numFmtId="37" fontId="190" fillId="0" borderId="0" xfId="0" applyNumberFormat="1" applyFont="1" applyFill="1" applyAlignment="1">
      <alignment horizontal="right"/>
    </xf>
    <xf numFmtId="174" fontId="182" fillId="0" borderId="0" xfId="0" applyFont="1" applyAlignment="1">
      <alignment horizontal="left" indent="3"/>
    </xf>
    <xf numFmtId="174" fontId="182" fillId="0" borderId="77" xfId="0" applyFont="1" applyBorder="1" applyAlignment="1">
      <alignment horizontal="center" vertical="center" wrapText="1"/>
    </xf>
    <xf numFmtId="0" fontId="24" fillId="0" borderId="0" xfId="184" applyBorder="1"/>
    <xf numFmtId="283" fontId="147" fillId="0" borderId="0" xfId="477" applyNumberFormat="1" applyBorder="1">
      <alignment horizontal="right" vertical="center"/>
    </xf>
    <xf numFmtId="0" fontId="64" fillId="0" borderId="0" xfId="211" applyNumberFormat="1" applyFont="1" applyAlignment="1" applyProtection="1">
      <alignment vertical="top" wrapText="1"/>
      <protection locked="0"/>
    </xf>
    <xf numFmtId="0" fontId="64" fillId="17" borderId="0" xfId="0" applyNumberFormat="1" applyFont="1" applyFill="1" applyAlignment="1" applyProtection="1">
      <alignment vertical="top" wrapText="1"/>
    </xf>
    <xf numFmtId="0" fontId="64" fillId="0" borderId="0" xfId="206" applyFont="1" applyAlignment="1">
      <alignment vertical="top" wrapText="1"/>
    </xf>
    <xf numFmtId="0" fontId="64" fillId="0" borderId="0" xfId="0" applyNumberFormat="1" applyFont="1" applyAlignment="1">
      <alignment horizontal="left" vertical="top" wrapText="1"/>
    </xf>
    <xf numFmtId="174" fontId="64" fillId="0" borderId="0" xfId="0" applyFont="1" applyAlignment="1">
      <alignment horizontal="left" wrapText="1"/>
    </xf>
    <xf numFmtId="0" fontId="64" fillId="0" borderId="0" xfId="211" quotePrefix="1" applyNumberFormat="1" applyFont="1" applyAlignment="1">
      <alignment vertical="top" wrapText="1"/>
    </xf>
    <xf numFmtId="0" fontId="64" fillId="0" borderId="0" xfId="211" applyNumberFormat="1" applyFont="1" applyAlignment="1">
      <alignment vertical="top" wrapText="1"/>
    </xf>
    <xf numFmtId="0" fontId="64" fillId="0" borderId="0" xfId="188" quotePrefix="1" applyFont="1" applyAlignment="1">
      <alignment vertical="top" wrapText="1"/>
    </xf>
    <xf numFmtId="0" fontId="64" fillId="0" borderId="0" xfId="188" applyFont="1" applyAlignment="1">
      <alignment vertical="top" wrapText="1"/>
    </xf>
    <xf numFmtId="174" fontId="64" fillId="0" borderId="0" xfId="211" applyFont="1" applyAlignment="1">
      <alignment horizontal="center"/>
    </xf>
    <xf numFmtId="49" fontId="64" fillId="0" borderId="0" xfId="211" applyNumberFormat="1" applyFont="1" applyAlignment="1" applyProtection="1">
      <alignment horizontal="center"/>
      <protection locked="0"/>
    </xf>
    <xf numFmtId="0" fontId="101" fillId="0" borderId="0" xfId="211" applyNumberFormat="1" applyFont="1" applyAlignment="1" applyProtection="1">
      <alignment vertical="top" wrapText="1"/>
      <protection locked="0"/>
    </xf>
    <xf numFmtId="174" fontId="54" fillId="0" borderId="0" xfId="0" applyFont="1" applyAlignment="1">
      <alignment horizontal="left" vertical="center" wrapText="1"/>
    </xf>
    <xf numFmtId="174" fontId="64" fillId="0" borderId="0" xfId="201" applyFont="1" applyAlignment="1">
      <alignment horizontal="left"/>
    </xf>
    <xf numFmtId="174" fontId="64" fillId="0" borderId="0" xfId="201" applyFont="1" applyAlignment="1">
      <alignment horizontal="left" vertical="top" wrapText="1"/>
    </xf>
    <xf numFmtId="174" fontId="64" fillId="0" borderId="0" xfId="201" applyFont="1" applyAlignment="1">
      <alignment horizontal="left" wrapText="1"/>
    </xf>
    <xf numFmtId="174" fontId="64" fillId="0" borderId="73" xfId="0" applyFont="1" applyBorder="1" applyAlignment="1">
      <alignment horizontal="center"/>
    </xf>
    <xf numFmtId="174" fontId="64" fillId="0" borderId="75" xfId="0" applyFont="1" applyBorder="1" applyAlignment="1">
      <alignment horizontal="center"/>
    </xf>
    <xf numFmtId="174" fontId="64" fillId="0" borderId="16" xfId="0" applyFont="1" applyBorder="1" applyAlignment="1">
      <alignment horizontal="center"/>
    </xf>
    <xf numFmtId="174" fontId="64" fillId="0" borderId="19" xfId="0" applyFont="1" applyBorder="1" applyAlignment="1">
      <alignment horizontal="center"/>
    </xf>
    <xf numFmtId="174" fontId="64" fillId="0" borderId="0" xfId="0" applyFont="1" applyAlignment="1">
      <alignment horizontal="left" vertical="top" wrapText="1"/>
    </xf>
    <xf numFmtId="0" fontId="64" fillId="0" borderId="0" xfId="188" applyFont="1" applyAlignment="1">
      <alignment horizontal="left" vertical="top" wrapText="1"/>
    </xf>
    <xf numFmtId="174" fontId="71" fillId="0" borderId="0" xfId="0" applyFont="1" applyAlignment="1">
      <alignment horizontal="center"/>
    </xf>
    <xf numFmtId="0" fontId="71" fillId="0" borderId="0" xfId="212" applyFont="1" applyAlignment="1">
      <alignment horizontal="center"/>
    </xf>
    <xf numFmtId="174" fontId="64" fillId="0" borderId="0" xfId="0" applyFont="1" applyAlignment="1">
      <alignment horizontal="left" vertical="center" wrapText="1"/>
    </xf>
    <xf numFmtId="0" fontId="93" fillId="0" borderId="0" xfId="188" applyFont="1" applyAlignment="1">
      <alignment horizontal="left" vertical="top" wrapText="1"/>
    </xf>
    <xf numFmtId="0" fontId="142" fillId="0" borderId="73" xfId="380" applyFont="1" applyBorder="1" applyAlignment="1">
      <alignment horizontal="center" vertical="center"/>
    </xf>
    <xf numFmtId="0" fontId="142" fillId="0" borderId="71" xfId="380" applyFont="1" applyBorder="1" applyAlignment="1">
      <alignment horizontal="center" vertical="center"/>
    </xf>
    <xf numFmtId="0" fontId="142" fillId="0" borderId="75" xfId="380" applyFont="1" applyBorder="1" applyAlignment="1">
      <alignment horizontal="center" vertical="center"/>
    </xf>
    <xf numFmtId="0" fontId="142" fillId="0" borderId="69" xfId="380" applyFont="1" applyBorder="1" applyAlignment="1">
      <alignment horizontal="center" vertical="center"/>
    </xf>
    <xf numFmtId="0" fontId="142" fillId="0" borderId="70" xfId="380" applyFont="1" applyBorder="1" applyAlignment="1">
      <alignment horizontal="center" vertical="center"/>
    </xf>
    <xf numFmtId="0" fontId="142" fillId="0" borderId="76" xfId="380" applyFont="1" applyBorder="1" applyAlignment="1">
      <alignment horizontal="center" vertical="center"/>
    </xf>
    <xf numFmtId="0" fontId="115" fillId="0" borderId="0" xfId="380" applyFont="1" applyAlignment="1">
      <alignment horizontal="center"/>
    </xf>
    <xf numFmtId="0" fontId="115" fillId="16" borderId="0" xfId="380" applyFont="1" applyFill="1" applyAlignment="1">
      <alignment horizontal="center"/>
    </xf>
    <xf numFmtId="174" fontId="64" fillId="0" borderId="10" xfId="0" applyFont="1" applyBorder="1" applyAlignment="1">
      <alignment horizontal="center"/>
    </xf>
    <xf numFmtId="174" fontId="64" fillId="0" borderId="0" xfId="0" applyFont="1" applyAlignment="1">
      <alignment horizontal="center"/>
    </xf>
    <xf numFmtId="174" fontId="64" fillId="0" borderId="12" xfId="0" applyFont="1" applyBorder="1" applyAlignment="1">
      <alignment horizontal="center"/>
    </xf>
    <xf numFmtId="0" fontId="64" fillId="0" borderId="0" xfId="201" applyNumberFormat="1" applyFont="1" applyAlignment="1" applyProtection="1">
      <alignment horizontal="center"/>
      <protection locked="0"/>
    </xf>
    <xf numFmtId="0" fontId="64" fillId="0" borderId="0" xfId="0" applyNumberFormat="1" applyFont="1" applyAlignment="1">
      <alignment horizontal="center"/>
    </xf>
    <xf numFmtId="10" fontId="64" fillId="0" borderId="0" xfId="266" applyNumberFormat="1" applyFont="1" applyFill="1" applyAlignment="1">
      <alignment horizontal="center"/>
    </xf>
  </cellXfs>
  <cellStyles count="1024">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389" xr:uid="{00000000-0005-0000-0000-000007000000}"/>
    <cellStyle name="20% - Accent2 2" xfId="390" xr:uid="{00000000-0005-0000-0000-000008000000}"/>
    <cellStyle name="20% - Accent3 2" xfId="391" xr:uid="{00000000-0005-0000-0000-000009000000}"/>
    <cellStyle name="20% - Accent4 2" xfId="392" xr:uid="{00000000-0005-0000-0000-00000A000000}"/>
    <cellStyle name="20% - Accent5 2" xfId="393" xr:uid="{00000000-0005-0000-0000-00000B000000}"/>
    <cellStyle name="20% - Accent6 2" xfId="394" xr:uid="{00000000-0005-0000-0000-00000C000000}"/>
    <cellStyle name="40% - Accent1 2" xfId="395" xr:uid="{00000000-0005-0000-0000-00000D000000}"/>
    <cellStyle name="40% - Accent2 2" xfId="396" xr:uid="{00000000-0005-0000-0000-00000E000000}"/>
    <cellStyle name="40% - Accent3 2" xfId="397" xr:uid="{00000000-0005-0000-0000-00000F000000}"/>
    <cellStyle name="40% - Accent4 2" xfId="398" xr:uid="{00000000-0005-0000-0000-000010000000}"/>
    <cellStyle name="40% - Accent5 2" xfId="399" xr:uid="{00000000-0005-0000-0000-000011000000}"/>
    <cellStyle name="40% - Accent6 2" xfId="400" xr:uid="{00000000-0005-0000-0000-000012000000}"/>
    <cellStyle name="60% - Accent1 2" xfId="401" xr:uid="{00000000-0005-0000-0000-000013000000}"/>
    <cellStyle name="60% - Accent2 2" xfId="402" xr:uid="{00000000-0005-0000-0000-000014000000}"/>
    <cellStyle name="60% - Accent3 2" xfId="403" xr:uid="{00000000-0005-0000-0000-000015000000}"/>
    <cellStyle name="60% - Accent4 2" xfId="404" xr:uid="{00000000-0005-0000-0000-000016000000}"/>
    <cellStyle name="60% - Accent5 2" xfId="405" xr:uid="{00000000-0005-0000-0000-000017000000}"/>
    <cellStyle name="60% - Accent6 2" xfId="406" xr:uid="{00000000-0005-0000-0000-000018000000}"/>
    <cellStyle name="Accent1 - 20%" xfId="595" xr:uid="{A55200CF-5178-4953-B262-2A33FB82812D}"/>
    <cellStyle name="Accent1 - 40%" xfId="596" xr:uid="{5188C1BF-F7A5-4EEB-A192-7FEF5F65FDD6}"/>
    <cellStyle name="Accent1 - 60%" xfId="597" xr:uid="{7D946914-A58F-46C0-863B-E66E255A310F}"/>
    <cellStyle name="Accent1 2" xfId="407" xr:uid="{00000000-0005-0000-0000-000019000000}"/>
    <cellStyle name="Accent1 3" xfId="594" xr:uid="{C2FF9493-72E5-488A-942C-B9E16971D21B}"/>
    <cellStyle name="Accent1 4" xfId="652" xr:uid="{0CBAB108-A447-454A-B9F5-984BCDD902B2}"/>
    <cellStyle name="Accent1 5" xfId="664" xr:uid="{39D6162D-29FF-4D68-8EE4-0782799BA2F4}"/>
    <cellStyle name="Accent2 - 20%" xfId="599" xr:uid="{294A45C0-80FE-4C15-A40D-145C8BD91241}"/>
    <cellStyle name="Accent2 - 40%" xfId="600" xr:uid="{6EB530F1-45D9-4E4B-8F45-0A2E9EB49C41}"/>
    <cellStyle name="Accent2 - 60%" xfId="601" xr:uid="{CC237959-26C1-4E6E-81B1-9A74C9312637}"/>
    <cellStyle name="Accent2 2" xfId="408" xr:uid="{00000000-0005-0000-0000-00001A000000}"/>
    <cellStyle name="Accent2 3" xfId="598" xr:uid="{557E481E-395B-49BC-9593-D7BD105BCA1B}"/>
    <cellStyle name="Accent2 4" xfId="653" xr:uid="{125DDEA5-7551-4E15-8C57-AB58B0E3D2D4}"/>
    <cellStyle name="Accent2 5" xfId="663" xr:uid="{0F6B151E-809F-4B4D-9F52-60F3D9A782B9}"/>
    <cellStyle name="Accent3 - 20%" xfId="603" xr:uid="{B20F90FF-19E2-4294-88D3-20CB77C1180B}"/>
    <cellStyle name="Accent3 - 40%" xfId="604" xr:uid="{CEAF7744-5930-478F-B99F-FFFF68CC639D}"/>
    <cellStyle name="Accent3 - 60%" xfId="605" xr:uid="{A2588A12-BF3F-4122-8783-0A69008FF5EB}"/>
    <cellStyle name="Accent3 2" xfId="409" xr:uid="{00000000-0005-0000-0000-00001B000000}"/>
    <cellStyle name="Accent3 3" xfId="602" xr:uid="{1DDDE77C-DA97-44D8-88A4-C1EC518AEB49}"/>
    <cellStyle name="Accent3 4" xfId="654" xr:uid="{0D8DA810-6A01-4568-8B29-78C15C7098B8}"/>
    <cellStyle name="Accent3 5" xfId="662" xr:uid="{D9AA867C-1FC2-4AE4-87D7-4675488FC641}"/>
    <cellStyle name="Accent4 - 20%" xfId="607" xr:uid="{D97A3B01-4EA5-45EA-B5A6-1962865DA6C9}"/>
    <cellStyle name="Accent4 - 40%" xfId="608" xr:uid="{0CB909D5-2524-4532-BE9B-F7DA802A0747}"/>
    <cellStyle name="Accent4 - 60%" xfId="609" xr:uid="{2A72B11B-A2F3-4C6E-9901-95D3047F6F5D}"/>
    <cellStyle name="Accent4 2" xfId="410" xr:uid="{00000000-0005-0000-0000-00001C000000}"/>
    <cellStyle name="Accent4 3" xfId="606" xr:uid="{161A29DF-0512-47E8-BB5A-B6A2F6A442A4}"/>
    <cellStyle name="Accent4 4" xfId="655" xr:uid="{32CDB0B5-3BC8-4571-9427-3CA33D227CDB}"/>
    <cellStyle name="Accent4 5" xfId="666" xr:uid="{7B86FB88-F4AB-48AD-B6F4-DEFAF26997D4}"/>
    <cellStyle name="Accent5 - 20%" xfId="611" xr:uid="{401847B6-FB2C-44D1-B238-03EAF53E88E7}"/>
    <cellStyle name="Accent5 - 40%" xfId="612" xr:uid="{F04F398A-C6A9-4B52-912E-A5F100A391BB}"/>
    <cellStyle name="Accent5 - 60%" xfId="613" xr:uid="{21DEEC27-02C9-495E-9903-1A883B2429EC}"/>
    <cellStyle name="Accent5 2" xfId="411" xr:uid="{00000000-0005-0000-0000-00001D000000}"/>
    <cellStyle name="Accent5 3" xfId="610" xr:uid="{A0C2950A-B516-44B7-9D48-34FE7C9F007F}"/>
    <cellStyle name="Accent5 4" xfId="656" xr:uid="{7C481D3D-419C-4E72-8C53-1C2FD4F5E479}"/>
    <cellStyle name="Accent5 5" xfId="661" xr:uid="{8F41DBE8-F3B6-4DCB-B005-D3FAE275ADE6}"/>
    <cellStyle name="Accent6 - 20%" xfId="615" xr:uid="{BE73DFF0-F36F-42EB-842B-6727F6041786}"/>
    <cellStyle name="Accent6 - 40%" xfId="616" xr:uid="{23638822-99FB-460B-9827-1770F6F52055}"/>
    <cellStyle name="Accent6 - 60%" xfId="617" xr:uid="{A9200EED-88B2-44BD-BE90-18E9E64D2588}"/>
    <cellStyle name="Accent6 2" xfId="412" xr:uid="{00000000-0005-0000-0000-00001E000000}"/>
    <cellStyle name="Accent6 3" xfId="614" xr:uid="{299A5C83-219A-4D4C-8ED5-965D2262F40D}"/>
    <cellStyle name="Accent6 4" xfId="657" xr:uid="{363E1ED2-0987-4DEB-A807-A196DC9AB910}"/>
    <cellStyle name="Accent6 5" xfId="660" xr:uid="{E6F6B375-2A1D-42A1-889B-4F58CE485004}"/>
    <cellStyle name="Bad 2" xfId="413" xr:uid="{00000000-0005-0000-0000-00001F000000}"/>
    <cellStyle name="Bad 3" xfId="618" xr:uid="{550C5C4D-FC70-4456-83D3-E7CE97A122BD}"/>
    <cellStyle name="Basic" xfId="8" xr:uid="{00000000-0005-0000-0000-000020000000}"/>
    <cellStyle name="black" xfId="9" xr:uid="{00000000-0005-0000-0000-000021000000}"/>
    <cellStyle name="blu" xfId="10" xr:uid="{00000000-0005-0000-0000-000022000000}"/>
    <cellStyle name="BoldUnderlineNumber" xfId="589" xr:uid="{6ED20EAA-5AE3-4188-9BB4-5E5B6A317E43}"/>
    <cellStyle name="BoldUnderlineNumber 2" xfId="682" xr:uid="{18697351-6560-49C3-A281-0831A487DC96}"/>
    <cellStyle name="BoldUnderlineNumber 3" xfId="693" xr:uid="{F0F4C1D5-69A6-4978-AE5B-59C976827A4F}"/>
    <cellStyle name="BoldUnderlineRate" xfId="697" xr:uid="{9EAABA9E-1643-4AFD-8BA4-52CB3CC1580D}"/>
    <cellStyle name="bot" xfId="11" xr:uid="{00000000-0005-0000-0000-000023000000}"/>
    <cellStyle name="Bullet" xfId="12" xr:uid="{00000000-0005-0000-0000-000024000000}"/>
    <cellStyle name="Bullet [0]" xfId="13" xr:uid="{00000000-0005-0000-0000-000025000000}"/>
    <cellStyle name="Bullet [2]" xfId="14" xr:uid="{00000000-0005-0000-0000-000026000000}"/>
    <cellStyle name="Bullet [4]" xfId="15" xr:uid="{00000000-0005-0000-0000-000027000000}"/>
    <cellStyle name="c" xfId="16" xr:uid="{00000000-0005-0000-0000-000028000000}"/>
    <cellStyle name="c," xfId="17" xr:uid="{00000000-0005-0000-0000-000029000000}"/>
    <cellStyle name="c_HardInc " xfId="18" xr:uid="{00000000-0005-0000-0000-00002A000000}"/>
    <cellStyle name="c_HardInc _ITC Great Plains Formula 1-12-09a" xfId="19" xr:uid="{00000000-0005-0000-0000-00002B000000}"/>
    <cellStyle name="C00A" xfId="20" xr:uid="{00000000-0005-0000-0000-00002C000000}"/>
    <cellStyle name="C00B" xfId="21" xr:uid="{00000000-0005-0000-0000-00002D000000}"/>
    <cellStyle name="C00L" xfId="22" xr:uid="{00000000-0005-0000-0000-00002E000000}"/>
    <cellStyle name="C01A" xfId="23" xr:uid="{00000000-0005-0000-0000-00002F000000}"/>
    <cellStyle name="C01B" xfId="24" xr:uid="{00000000-0005-0000-0000-000030000000}"/>
    <cellStyle name="C01H" xfId="25" xr:uid="{00000000-0005-0000-0000-000031000000}"/>
    <cellStyle name="C01L" xfId="26" xr:uid="{00000000-0005-0000-0000-000032000000}"/>
    <cellStyle name="C02A" xfId="27" xr:uid="{00000000-0005-0000-0000-000033000000}"/>
    <cellStyle name="C02A 2" xfId="743" xr:uid="{A57FFEE7-DE8C-464D-B7A9-610CD10B2944}"/>
    <cellStyle name="C02A 2 2" xfId="957" xr:uid="{A01D5809-7B7A-469E-9E38-4B75961F29C9}"/>
    <cellStyle name="C02A 2 3" xfId="1021" xr:uid="{12FCC01F-0E27-4087-B099-29241510802D}"/>
    <cellStyle name="C02A 3" xfId="817" xr:uid="{9E424354-E83F-4AA4-9C6F-0CFCDEBD7EB3}"/>
    <cellStyle name="C02B" xfId="28" xr:uid="{00000000-0005-0000-0000-000034000000}"/>
    <cellStyle name="C02H" xfId="29" xr:uid="{00000000-0005-0000-0000-000035000000}"/>
    <cellStyle name="C02L" xfId="30" xr:uid="{00000000-0005-0000-0000-000036000000}"/>
    <cellStyle name="C03A" xfId="31" xr:uid="{00000000-0005-0000-0000-000037000000}"/>
    <cellStyle name="C03B" xfId="32" xr:uid="{00000000-0005-0000-0000-000038000000}"/>
    <cellStyle name="C03H" xfId="33" xr:uid="{00000000-0005-0000-0000-000039000000}"/>
    <cellStyle name="C03L" xfId="34" xr:uid="{00000000-0005-0000-0000-00003A000000}"/>
    <cellStyle name="C04A" xfId="35" xr:uid="{00000000-0005-0000-0000-00003B000000}"/>
    <cellStyle name="C04B" xfId="36" xr:uid="{00000000-0005-0000-0000-00003C000000}"/>
    <cellStyle name="C04H" xfId="37" xr:uid="{00000000-0005-0000-0000-00003D000000}"/>
    <cellStyle name="C04L" xfId="38" xr:uid="{00000000-0005-0000-0000-00003E000000}"/>
    <cellStyle name="C05A" xfId="39" xr:uid="{00000000-0005-0000-0000-00003F000000}"/>
    <cellStyle name="C05B" xfId="40" xr:uid="{00000000-0005-0000-0000-000040000000}"/>
    <cellStyle name="C05H" xfId="41" xr:uid="{00000000-0005-0000-0000-000041000000}"/>
    <cellStyle name="C05L" xfId="42" xr:uid="{00000000-0005-0000-0000-000042000000}"/>
    <cellStyle name="C05L 2" xfId="43" xr:uid="{00000000-0005-0000-0000-000043000000}"/>
    <cellStyle name="C06A" xfId="44" xr:uid="{00000000-0005-0000-0000-000044000000}"/>
    <cellStyle name="C06B" xfId="45" xr:uid="{00000000-0005-0000-0000-000045000000}"/>
    <cellStyle name="C06H" xfId="46" xr:uid="{00000000-0005-0000-0000-000046000000}"/>
    <cellStyle name="C06L" xfId="47" xr:uid="{00000000-0005-0000-0000-000047000000}"/>
    <cellStyle name="C07A" xfId="48" xr:uid="{00000000-0005-0000-0000-000048000000}"/>
    <cellStyle name="C07B" xfId="49" xr:uid="{00000000-0005-0000-0000-000049000000}"/>
    <cellStyle name="C07H" xfId="50" xr:uid="{00000000-0005-0000-0000-00004A000000}"/>
    <cellStyle name="C07L" xfId="51" xr:uid="{00000000-0005-0000-0000-00004B000000}"/>
    <cellStyle name="c1" xfId="52" xr:uid="{00000000-0005-0000-0000-00004C000000}"/>
    <cellStyle name="c1," xfId="53" xr:uid="{00000000-0005-0000-0000-00004D000000}"/>
    <cellStyle name="c2" xfId="54" xr:uid="{00000000-0005-0000-0000-00004E000000}"/>
    <cellStyle name="c2," xfId="55" xr:uid="{00000000-0005-0000-0000-00004F000000}"/>
    <cellStyle name="c3" xfId="56" xr:uid="{00000000-0005-0000-0000-000050000000}"/>
    <cellStyle name="Calc 0,000." xfId="543" xr:uid="{80D19574-2BBC-487B-AF05-42A48D024D67}"/>
    <cellStyle name="Calc 0,000. 2" xfId="720" xr:uid="{F88CC4F0-1A94-45D1-99BF-188449351C0B}"/>
    <cellStyle name="Calculation 2" xfId="414" xr:uid="{00000000-0005-0000-0000-000051000000}"/>
    <cellStyle name="Calculation 3" xfId="619" xr:uid="{6BA25A7D-FC77-4764-B030-346F5D1C84E9}"/>
    <cellStyle name="Calculation 3 2" xfId="792" xr:uid="{1ECAC02D-DA2A-4870-AD69-8408E8F8D070}"/>
    <cellStyle name="Calculation 3 2 2" xfId="821" xr:uid="{7F35FBD2-9486-432C-83BF-DEDFBB1D805C}"/>
    <cellStyle name="cas" xfId="57" xr:uid="{00000000-0005-0000-0000-000052000000}"/>
    <cellStyle name="Centered Heading" xfId="58" xr:uid="{00000000-0005-0000-0000-000053000000}"/>
    <cellStyle name="Check Cell 2" xfId="415" xr:uid="{00000000-0005-0000-0000-000054000000}"/>
    <cellStyle name="Check Cell 3" xfId="620" xr:uid="{9182442E-E04D-44B1-AED9-37D513620353}"/>
    <cellStyle name="ColumnHeader" xfId="520" xr:uid="{509A42E5-13B9-4917-B9FC-45DACB9C5A6A}"/>
    <cellStyle name="ColumnHeader 2" xfId="675" xr:uid="{9126107A-45A4-4DF2-BC18-C6494D1E7C7D}"/>
    <cellStyle name="Comma" xfId="59" builtinId="3"/>
    <cellStyle name="Comma  - Style1" xfId="60" xr:uid="{00000000-0005-0000-0000-000056000000}"/>
    <cellStyle name="Comma  - Style2" xfId="61" xr:uid="{00000000-0005-0000-0000-000057000000}"/>
    <cellStyle name="Comma  - Style3" xfId="62" xr:uid="{00000000-0005-0000-0000-000058000000}"/>
    <cellStyle name="Comma  - Style4" xfId="63" xr:uid="{00000000-0005-0000-0000-000059000000}"/>
    <cellStyle name="Comma  - Style5" xfId="64" xr:uid="{00000000-0005-0000-0000-00005A000000}"/>
    <cellStyle name="Comma  - Style6" xfId="65" xr:uid="{00000000-0005-0000-0000-00005B000000}"/>
    <cellStyle name="Comma  - Style7" xfId="66" xr:uid="{00000000-0005-0000-0000-00005C000000}"/>
    <cellStyle name="Comma  - Style8" xfId="67" xr:uid="{00000000-0005-0000-0000-00005D000000}"/>
    <cellStyle name="Comma [0] 2" xfId="68" xr:uid="{00000000-0005-0000-0000-00005E000000}"/>
    <cellStyle name="Comma [1]" xfId="69" xr:uid="{00000000-0005-0000-0000-00005F000000}"/>
    <cellStyle name="Comma [2]" xfId="70" xr:uid="{00000000-0005-0000-0000-000060000000}"/>
    <cellStyle name="Comma [3]" xfId="71" xr:uid="{00000000-0005-0000-0000-000061000000}"/>
    <cellStyle name="Comma 0.0" xfId="72" xr:uid="{00000000-0005-0000-0000-000062000000}"/>
    <cellStyle name="Comma 0.00" xfId="73" xr:uid="{00000000-0005-0000-0000-000063000000}"/>
    <cellStyle name="Comma 0.000" xfId="74" xr:uid="{00000000-0005-0000-0000-000064000000}"/>
    <cellStyle name="Comma 0.0000" xfId="75" xr:uid="{00000000-0005-0000-0000-000065000000}"/>
    <cellStyle name="Comma 10" xfId="76" xr:uid="{00000000-0005-0000-0000-000066000000}"/>
    <cellStyle name="Comma 11" xfId="77" xr:uid="{00000000-0005-0000-0000-000067000000}"/>
    <cellStyle name="Comma 12" xfId="381" xr:uid="{00000000-0005-0000-0000-000068000000}"/>
    <cellStyle name="Comma 12 2" xfId="416" xr:uid="{00000000-0005-0000-0000-000069000000}"/>
    <cellStyle name="Comma 12 3" xfId="537" xr:uid="{E7B8ACC1-F427-4EE0-9E48-9BA3E68ECB16}"/>
    <cellStyle name="Comma 12 3 2" xfId="586" xr:uid="{C3B636D8-CCBC-46AE-947E-EADEF2F19BC5}"/>
    <cellStyle name="Comma 12 3 2 2" xfId="920" xr:uid="{32D299C3-8A70-4422-9E15-AEBACB5E381C}"/>
    <cellStyle name="Comma 12 3 3" xfId="787" xr:uid="{A268A09A-D311-4307-94CE-A465ADF5DA81}"/>
    <cellStyle name="Comma 12 3 3 2" xfId="1001" xr:uid="{19FF21F5-787A-4E89-96E4-4DCEBEC0323F}"/>
    <cellStyle name="Comma 12 3 4" xfId="883" xr:uid="{21AEA36E-C125-48B0-9918-EF88A7AA63C1}"/>
    <cellStyle name="Comma 12 4" xfId="592" xr:uid="{66C10EA7-66E9-46C5-9B2A-04116B9B7015}"/>
    <cellStyle name="Comma 12 4 2" xfId="791" xr:uid="{0CC12E30-70F2-4AE1-BAE9-0AEE97035B2D}"/>
    <cellStyle name="Comma 12 4 2 2" xfId="1005" xr:uid="{DDFEAED5-075E-4505-9FF0-1C90281257F0}"/>
    <cellStyle name="Comma 12 4 3" xfId="924" xr:uid="{A44A59BB-23C9-4C56-9120-0AE02420A187}"/>
    <cellStyle name="Comma 12 5" xfId="571" xr:uid="{96744987-70EF-4A63-89F5-DA41F791564A}"/>
    <cellStyle name="Comma 12 5 2" xfId="911" xr:uid="{1189441F-DBF5-4A3F-AF83-4959EC913B85}"/>
    <cellStyle name="Comma 12 6" xfId="778" xr:uid="{FB8C7C41-F226-4B98-9C47-0380D5B4B769}"/>
    <cellStyle name="Comma 12 6 2" xfId="992" xr:uid="{3019316F-0356-44D2-A08C-8F28B6D24AF7}"/>
    <cellStyle name="Comma 12 7" xfId="865" xr:uid="{52ED6D08-4EAC-40BD-AC41-437A1BCB05B0}"/>
    <cellStyle name="Comma 13" xfId="462" xr:uid="{00000000-0005-0000-0000-00006A000000}"/>
    <cellStyle name="Comma 13 2" xfId="577" xr:uid="{BD26C10F-1E78-4ED6-8577-6E22035BF8DA}"/>
    <cellStyle name="Comma 13 2 2" xfId="917" xr:uid="{BAB97176-8F57-4CAA-A9B8-063F78181755}"/>
    <cellStyle name="Comma 13 3" xfId="784" xr:uid="{193E8B0E-911C-4AD7-8361-9DA3CF4B25FE}"/>
    <cellStyle name="Comma 13 3 2" xfId="998" xr:uid="{78E661D2-6EDA-44AB-A798-A5E0CB84389F}"/>
    <cellStyle name="Comma 13 4" xfId="873" xr:uid="{EFA06176-C8CC-4759-BDAD-28558350F687}"/>
    <cellStyle name="Comma 14" xfId="649" xr:uid="{4EF95D73-CC4B-40BB-83A9-2588B37E3B18}"/>
    <cellStyle name="Comma 15" xfId="668" xr:uid="{9AE36A24-9B69-4550-B8EA-11DCEA95A73F}"/>
    <cellStyle name="Comma 16" xfId="669" xr:uid="{8ECA33A1-F578-4F25-8FC5-40A182B9B29E}"/>
    <cellStyle name="Comma 17" xfId="689" xr:uid="{C40D3FFF-323A-4541-873A-FC1910C0CBDB}"/>
    <cellStyle name="Comma 18" xfId="692" xr:uid="{B17963A6-CC00-4AC3-AB6B-50F0FE421309}"/>
    <cellStyle name="Comma 19" xfId="727" xr:uid="{A6AC563D-47AB-4D21-8C98-5D4E9FE7D0F0}"/>
    <cellStyle name="Comma 19 2" xfId="955" xr:uid="{BE40778F-D720-4843-9F94-6435DA2A1FA0}"/>
    <cellStyle name="Comma 2" xfId="78" xr:uid="{00000000-0005-0000-0000-00006B000000}"/>
    <cellStyle name="Comma 2 2" xfId="79" xr:uid="{00000000-0005-0000-0000-00006C000000}"/>
    <cellStyle name="Comma 2 2 2" xfId="805" xr:uid="{17F6BA2A-296F-45E9-8476-FD8519466508}"/>
    <cellStyle name="Comma 2 2 2 2" xfId="806" xr:uid="{F36C5839-9F3C-485D-8964-ED38F29BE60A}"/>
    <cellStyle name="Comma 2 2 2 3" xfId="1011" xr:uid="{A7269647-B687-4619-85BF-9CC0ACAFF063}"/>
    <cellStyle name="Comma 2 3" xfId="535" xr:uid="{21F13029-DCF9-45A7-8C55-54C23431620E}"/>
    <cellStyle name="Comma 2 3 2" xfId="703" xr:uid="{0BB3FE0B-3709-4DB0-AE5C-CDA5405246F5}"/>
    <cellStyle name="Comma 2 3 3" xfId="804" xr:uid="{17CF05E5-54C9-451D-83FF-A3171D9EBB35}"/>
    <cellStyle name="Comma 20" xfId="810" xr:uid="{B4041EEB-7604-434D-A691-AD80B330664D}"/>
    <cellStyle name="Comma 20 2" xfId="1014" xr:uid="{98F98E6A-3D54-4F54-BA40-3025235480E6}"/>
    <cellStyle name="Comma 21" xfId="814" xr:uid="{8735BEAE-559F-4DDA-B973-388F1C5844EC}"/>
    <cellStyle name="Comma 21 2" xfId="1018" xr:uid="{95D9FBC1-CDB0-49F1-AF1A-85D2EBC023BE}"/>
    <cellStyle name="Comma 22" xfId="811" xr:uid="{4848F76F-F639-4D44-99D5-EF1921C76B65}"/>
    <cellStyle name="Comma 22 2" xfId="1015" xr:uid="{1AD58019-ACE0-4E5D-A5AB-D79931C7760C}"/>
    <cellStyle name="Comma 23" xfId="812" xr:uid="{6BF5A666-2007-42D5-B8D7-B752BF47AB25}"/>
    <cellStyle name="Comma 23 2" xfId="1016" xr:uid="{922BEC79-1417-4686-B9A1-63BF29AF439F}"/>
    <cellStyle name="Comma 3" xfId="80" xr:uid="{00000000-0005-0000-0000-00006D000000}"/>
    <cellStyle name="Comma 3 2" xfId="81" xr:uid="{00000000-0005-0000-0000-00006E000000}"/>
    <cellStyle name="Comma 3 3" xfId="707" xr:uid="{686902AE-5F2C-440A-BA21-C1AFA164E347}"/>
    <cellStyle name="Comma 3 3 2" xfId="943" xr:uid="{5BB1861F-EDC1-4BDC-A4E6-5B0234D38C93}"/>
    <cellStyle name="Comma 4" xfId="82" xr:uid="{00000000-0005-0000-0000-00006F000000}"/>
    <cellStyle name="Comma 4 2" xfId="709" xr:uid="{9BE6D9BB-68E5-4A1F-9B6F-1563305E9FA7}"/>
    <cellStyle name="Comma 4 2 2" xfId="945" xr:uid="{28BFEB0D-9F57-4F5F-8F0A-5B50F101CC1E}"/>
    <cellStyle name="Comma 5" xfId="83" xr:uid="{00000000-0005-0000-0000-000070000000}"/>
    <cellStyle name="Comma 5 2" xfId="464" xr:uid="{00000000-0005-0000-0000-000071000000}"/>
    <cellStyle name="Comma 6" xfId="84" xr:uid="{00000000-0005-0000-0000-000072000000}"/>
    <cellStyle name="Comma 6 2" xfId="385" xr:uid="{00000000-0005-0000-0000-000073000000}"/>
    <cellStyle name="Comma 6 2 2" xfId="417" xr:uid="{00000000-0005-0000-0000-000074000000}"/>
    <cellStyle name="Comma 6 2 3" xfId="574" xr:uid="{0805ACCF-8354-491C-A532-C402F83E1489}"/>
    <cellStyle name="Comma 6 2 3 2" xfId="914" xr:uid="{77B1C768-A1D3-4ABF-AC36-7F0D96B8CF44}"/>
    <cellStyle name="Comma 6 2 4" xfId="781" xr:uid="{1FB26CF9-A4F4-4C21-97DE-3995627A7EC2}"/>
    <cellStyle name="Comma 6 2 4 2" xfId="995" xr:uid="{54309C22-D9AE-48FB-B97A-D536180B21AD}"/>
    <cellStyle name="Comma 6 2 5" xfId="868" xr:uid="{73F3A6A5-4A8A-4DCA-BEF0-FBCC61CBB458}"/>
    <cellStyle name="Comma 7" xfId="85" xr:uid="{00000000-0005-0000-0000-000075000000}"/>
    <cellStyle name="Comma 8" xfId="86" xr:uid="{00000000-0005-0000-0000-000076000000}"/>
    <cellStyle name="Comma 8 2" xfId="87" xr:uid="{00000000-0005-0000-0000-000077000000}"/>
    <cellStyle name="Comma 8 2 2" xfId="365" xr:uid="{00000000-0005-0000-0000-000078000000}"/>
    <cellStyle name="Comma 9" xfId="88" xr:uid="{00000000-0005-0000-0000-000079000000}"/>
    <cellStyle name="Comma 9 2" xfId="366" xr:uid="{00000000-0005-0000-0000-00007A000000}"/>
    <cellStyle name="Comma Input" xfId="89" xr:uid="{00000000-0005-0000-0000-00007B000000}"/>
    <cellStyle name="Comma0" xfId="90" xr:uid="{00000000-0005-0000-0000-00007C000000}"/>
    <cellStyle name="Company Name" xfId="91" xr:uid="{00000000-0005-0000-0000-00007D000000}"/>
    <cellStyle name="Config Data" xfId="92" xr:uid="{00000000-0005-0000-0000-00007E000000}"/>
    <cellStyle name="Currency" xfId="93" builtinId="4"/>
    <cellStyle name="Currency [0] 2" xfId="688" xr:uid="{F4751363-B32F-4403-B820-F45B40C45E40}"/>
    <cellStyle name="Currency [1]" xfId="94" xr:uid="{00000000-0005-0000-0000-000080000000}"/>
    <cellStyle name="Currency [2]" xfId="95" xr:uid="{00000000-0005-0000-0000-000081000000}"/>
    <cellStyle name="Currency [3]" xfId="96" xr:uid="{00000000-0005-0000-0000-000082000000}"/>
    <cellStyle name="Currency 0.0" xfId="97" xr:uid="{00000000-0005-0000-0000-000083000000}"/>
    <cellStyle name="Currency 0.00" xfId="98" xr:uid="{00000000-0005-0000-0000-000084000000}"/>
    <cellStyle name="Currency 0.000" xfId="99" xr:uid="{00000000-0005-0000-0000-000085000000}"/>
    <cellStyle name="Currency 0.0000" xfId="100" xr:uid="{00000000-0005-0000-0000-000086000000}"/>
    <cellStyle name="Currency 2" xfId="101" xr:uid="{00000000-0005-0000-0000-000087000000}"/>
    <cellStyle name="Currency 2 2" xfId="102" xr:uid="{00000000-0005-0000-0000-000088000000}"/>
    <cellStyle name="Currency 3" xfId="103" xr:uid="{00000000-0005-0000-0000-000089000000}"/>
    <cellStyle name="Currency 3 2" xfId="104" xr:uid="{00000000-0005-0000-0000-00008A000000}"/>
    <cellStyle name="Currency 4" xfId="105" xr:uid="{00000000-0005-0000-0000-00008B000000}"/>
    <cellStyle name="Currency 5" xfId="687" xr:uid="{CAB2AAA9-0609-400F-9BB0-66BA31F08867}"/>
    <cellStyle name="Currency 6" xfId="700" xr:uid="{112A9162-94AC-4DC5-8374-9D860141E88E}"/>
    <cellStyle name="Currency 7" xfId="712" xr:uid="{73582FD4-FAEF-473E-BED3-938411B24CC4}"/>
    <cellStyle name="Currency 7 2" xfId="948" xr:uid="{B05A21FC-02B0-4BC6-834E-0EFD894BB934}"/>
    <cellStyle name="Currency 8" xfId="714" xr:uid="{C2251073-81C6-425D-B2CC-32D2E7C850B4}"/>
    <cellStyle name="Currency 8 2" xfId="950" xr:uid="{8A6CFDA4-EFC7-4B0A-8AA9-EDF3F0626483}"/>
    <cellStyle name="Currency 9" xfId="724" xr:uid="{115A33B7-D0F8-4672-ABA8-CBA989C5290B}"/>
    <cellStyle name="Currency 9 2" xfId="953" xr:uid="{33E08AD8-254A-459B-BB1A-B76F4AA54B5B}"/>
    <cellStyle name="Currency Input" xfId="106" xr:uid="{00000000-0005-0000-0000-00008C000000}"/>
    <cellStyle name="Currency0" xfId="107" xr:uid="{00000000-0005-0000-0000-00008D000000}"/>
    <cellStyle name="d" xfId="108" xr:uid="{00000000-0005-0000-0000-00008E000000}"/>
    <cellStyle name="d," xfId="109" xr:uid="{00000000-0005-0000-0000-00008F000000}"/>
    <cellStyle name="d1" xfId="110" xr:uid="{00000000-0005-0000-0000-000090000000}"/>
    <cellStyle name="d1," xfId="111" xr:uid="{00000000-0005-0000-0000-000091000000}"/>
    <cellStyle name="d2" xfId="112" xr:uid="{00000000-0005-0000-0000-000092000000}"/>
    <cellStyle name="d2," xfId="113" xr:uid="{00000000-0005-0000-0000-000093000000}"/>
    <cellStyle name="d3" xfId="114" xr:uid="{00000000-0005-0000-0000-000094000000}"/>
    <cellStyle name="Dash" xfId="115" xr:uid="{00000000-0005-0000-0000-000095000000}"/>
    <cellStyle name="Date" xfId="116" xr:uid="{00000000-0005-0000-0000-000096000000}"/>
    <cellStyle name="Date [Abbreviated]" xfId="117" xr:uid="{00000000-0005-0000-0000-000097000000}"/>
    <cellStyle name="Date [Long Europe]" xfId="118" xr:uid="{00000000-0005-0000-0000-000098000000}"/>
    <cellStyle name="Date [Long U.S.]" xfId="119" xr:uid="{00000000-0005-0000-0000-000099000000}"/>
    <cellStyle name="Date [Short Europe]" xfId="120" xr:uid="{00000000-0005-0000-0000-00009A000000}"/>
    <cellStyle name="Date [Short U.S.]" xfId="121" xr:uid="{00000000-0005-0000-0000-00009B000000}"/>
    <cellStyle name="Date_ITCM 2010 Template" xfId="122" xr:uid="{00000000-0005-0000-0000-00009C000000}"/>
    <cellStyle name="Define$0" xfId="123" xr:uid="{00000000-0005-0000-0000-00009D000000}"/>
    <cellStyle name="Define$1" xfId="124" xr:uid="{00000000-0005-0000-0000-00009E000000}"/>
    <cellStyle name="Define$2" xfId="125" xr:uid="{00000000-0005-0000-0000-00009F000000}"/>
    <cellStyle name="Define0" xfId="126" xr:uid="{00000000-0005-0000-0000-0000A0000000}"/>
    <cellStyle name="Define1" xfId="127" xr:uid="{00000000-0005-0000-0000-0000A1000000}"/>
    <cellStyle name="Define1x" xfId="128" xr:uid="{00000000-0005-0000-0000-0000A2000000}"/>
    <cellStyle name="Define2" xfId="129" xr:uid="{00000000-0005-0000-0000-0000A3000000}"/>
    <cellStyle name="Define2x" xfId="130" xr:uid="{00000000-0005-0000-0000-0000A4000000}"/>
    <cellStyle name="DetailIndented" xfId="521" xr:uid="{4EF753E3-F5E3-4128-BE76-CFFBCC29437F}"/>
    <cellStyle name="DetailIndented 2" xfId="674" xr:uid="{E6B79E74-24D7-4346-A24D-1780E31B564A}"/>
    <cellStyle name="DetailTotalNumber" xfId="523" xr:uid="{17EE4C8F-90E4-42D4-9866-F43595F64FD2}"/>
    <cellStyle name="DetailTotalNumber 2" xfId="673" xr:uid="{9E5E5E62-16E4-4DA5-8090-107A03357957}"/>
    <cellStyle name="DetailTotalRate" xfId="698" xr:uid="{12C26731-1E7B-4287-A265-49DCA4CD8011}"/>
    <cellStyle name="Dollar" xfId="131" xr:uid="{00000000-0005-0000-0000-0000A5000000}"/>
    <cellStyle name="e" xfId="132" xr:uid="{00000000-0005-0000-0000-0000A6000000}"/>
    <cellStyle name="e1" xfId="133" xr:uid="{00000000-0005-0000-0000-0000A7000000}"/>
    <cellStyle name="e2" xfId="134" xr:uid="{00000000-0005-0000-0000-0000A8000000}"/>
    <cellStyle name="Emphasis 1" xfId="621" xr:uid="{F597C2D6-2110-4DD5-8D77-5520FFEE31CE}"/>
    <cellStyle name="Emphasis 2" xfId="622" xr:uid="{85E943B9-A994-4D7E-95D5-E8C62E718FC3}"/>
    <cellStyle name="Emphasis 3" xfId="623" xr:uid="{BB258937-0CD8-4CD0-B924-5FE26A76C780}"/>
    <cellStyle name="Euro" xfId="135" xr:uid="{00000000-0005-0000-0000-0000A9000000}"/>
    <cellStyle name="Explanatory Text 2" xfId="418" xr:uid="{00000000-0005-0000-0000-0000AA000000}"/>
    <cellStyle name="Fixed" xfId="136" xr:uid="{00000000-0005-0000-0000-0000AB000000}"/>
    <cellStyle name="FOOTER - Style1" xfId="137" xr:uid="{00000000-0005-0000-0000-0000AC000000}"/>
    <cellStyle name="g" xfId="138" xr:uid="{00000000-0005-0000-0000-0000AD000000}"/>
    <cellStyle name="general" xfId="139" xr:uid="{00000000-0005-0000-0000-0000AE000000}"/>
    <cellStyle name="General [C]" xfId="140" xr:uid="{00000000-0005-0000-0000-0000AF000000}"/>
    <cellStyle name="General [R]" xfId="141" xr:uid="{00000000-0005-0000-0000-0000B0000000}"/>
    <cellStyle name="Good 2" xfId="419" xr:uid="{00000000-0005-0000-0000-0000B1000000}"/>
    <cellStyle name="Good 3" xfId="624" xr:uid="{14B6AE89-236C-4999-A077-AC96CEC17D60}"/>
    <cellStyle name="GrandTotalNumber" xfId="588" xr:uid="{A1C174A8-CC97-42E0-AB5B-06346C69AFEE}"/>
    <cellStyle name="GrandTotalNumber 2" xfId="681" xr:uid="{B218B962-FF2A-45DC-AB79-A64946665B0F}"/>
    <cellStyle name="GrandTotalNumber 2 2" xfId="798" xr:uid="{20373105-73FD-46C0-BA45-094C4481A619}"/>
    <cellStyle name="GrandTotalNumber 2 2 2" xfId="1007" xr:uid="{E429EDEC-FBF2-40B0-8E14-3892A5403DC1}"/>
    <cellStyle name="GrandTotalNumber 2 2 3" xfId="848" xr:uid="{2398905E-39DB-4C29-97BE-FA9CFD34F205}"/>
    <cellStyle name="GrandTotalNumber 2 3" xfId="935" xr:uid="{C8DE52C2-C249-480F-A175-6BEE8AD89EC5}"/>
    <cellStyle name="GrandTotalNumber 3" xfId="789" xr:uid="{EB105870-FD92-469F-844C-A8521B1FB4D4}"/>
    <cellStyle name="GrandTotalNumber 3 2" xfId="1003" xr:uid="{9DE105BE-32F0-48CC-A51E-568CCE0DD7D1}"/>
    <cellStyle name="GrandTotalNumber 3 3" xfId="871" xr:uid="{E3B0BD7E-3C2A-4247-808A-B0F63DF5FAC6}"/>
    <cellStyle name="GrandTotalNumber 4" xfId="922" xr:uid="{F840CF4C-30DD-4467-AF03-5186C5552AA5}"/>
    <cellStyle name="GrandTotalRate" xfId="696" xr:uid="{56681785-5041-420B-823C-13FDCD57E951}"/>
    <cellStyle name="GrandTotalRate 2" xfId="939" xr:uid="{E3272544-BB9F-431B-A4ED-DC9558BBD295}"/>
    <cellStyle name="Green" xfId="142" xr:uid="{00000000-0005-0000-0000-0000B2000000}"/>
    <cellStyle name="grey" xfId="143" xr:uid="{00000000-0005-0000-0000-0000B3000000}"/>
    <cellStyle name="Header" xfId="518" xr:uid="{8F96D52E-5555-40ED-BDD1-03B6216554FA}"/>
    <cellStyle name="Header 2" xfId="677" xr:uid="{234FB327-6A12-4AF2-94EB-373406425841}"/>
    <cellStyle name="Header1" xfId="144" xr:uid="{00000000-0005-0000-0000-0000B4000000}"/>
    <cellStyle name="Header2" xfId="145" xr:uid="{00000000-0005-0000-0000-0000B5000000}"/>
    <cellStyle name="Header2 2" xfId="744" xr:uid="{675A82D8-0FAB-4013-932F-957EBD2F59BC}"/>
    <cellStyle name="Header2 2 2" xfId="958" xr:uid="{D1F891D6-2477-462E-9DD6-0D76724295E6}"/>
    <cellStyle name="Header2 3" xfId="825" xr:uid="{4349630C-5E01-4478-9F3B-9870EFDAB543}"/>
    <cellStyle name="Heading" xfId="146" xr:uid="{00000000-0005-0000-0000-0000B6000000}"/>
    <cellStyle name="Heading 1" xfId="147" builtinId="16" customBuiltin="1"/>
    <cellStyle name="Heading 1 2" xfId="625" xr:uid="{A81C0E1A-AC6E-40E2-98F6-78F1112F9633}"/>
    <cellStyle name="Heading 2" xfId="148" builtinId="17" customBuiltin="1"/>
    <cellStyle name="Heading 2 2" xfId="149" xr:uid="{00000000-0005-0000-0000-0000B9000000}"/>
    <cellStyle name="Heading 2 3" xfId="626" xr:uid="{D60E45C6-40BC-4C70-B9B5-41AF6B310C4C}"/>
    <cellStyle name="Heading 3 2" xfId="420" xr:uid="{00000000-0005-0000-0000-0000BA000000}"/>
    <cellStyle name="Heading 3 3" xfId="627" xr:uid="{40B60E80-F98E-437F-BA6C-43F4EE618F49}"/>
    <cellStyle name="Heading 4 2" xfId="421" xr:uid="{00000000-0005-0000-0000-0000BB000000}"/>
    <cellStyle name="Heading 4 3" xfId="628" xr:uid="{E03C4B49-355A-4EBC-ACC1-C92B61FF5483}"/>
    <cellStyle name="Heading 5" xfId="843" xr:uid="{8C4A0505-B6B5-4C16-B91C-F1EBEE08B913}"/>
    <cellStyle name="Heading No Underline" xfId="150" xr:uid="{00000000-0005-0000-0000-0000BC000000}"/>
    <cellStyle name="Heading With Underline" xfId="151" xr:uid="{00000000-0005-0000-0000-0000BD000000}"/>
    <cellStyle name="Heading1" xfId="152" xr:uid="{00000000-0005-0000-0000-0000BE000000}"/>
    <cellStyle name="Heading1 2" xfId="717" xr:uid="{757EB71B-9143-444C-B02F-08CAD6E74755}"/>
    <cellStyle name="Heading1 3" xfId="842" xr:uid="{E8CE25CA-E4C8-455B-99D6-92C7657214D1}"/>
    <cellStyle name="Heading2" xfId="153" xr:uid="{00000000-0005-0000-0000-0000BF000000}"/>
    <cellStyle name="Heading2 2" xfId="718" xr:uid="{25203E90-B4C7-4E8C-813C-B3387A931C52}"/>
    <cellStyle name="Headline" xfId="154" xr:uid="{00000000-0005-0000-0000-0000C0000000}"/>
    <cellStyle name="Highlight" xfId="155" xr:uid="{00000000-0005-0000-0000-0000C1000000}"/>
    <cellStyle name="Hyperlink 2" xfId="156" xr:uid="{00000000-0005-0000-0000-0000C2000000}"/>
    <cellStyle name="in" xfId="157" xr:uid="{00000000-0005-0000-0000-0000C3000000}"/>
    <cellStyle name="in 2" xfId="745" xr:uid="{54929A16-A620-4EFC-984F-966E9A4EB8C6}"/>
    <cellStyle name="in 2 2" xfId="959" xr:uid="{7711C523-D9D9-48F5-854D-A0CE157C3C01}"/>
    <cellStyle name="in 2 3" xfId="870" xr:uid="{C5ADAC8E-8F3E-4607-8E25-EA1E929EAB3E}"/>
    <cellStyle name="in 3" xfId="826" xr:uid="{432B508C-2E86-4EFC-9340-4C6A9919A54B}"/>
    <cellStyle name="Indented [0]" xfId="158" xr:uid="{00000000-0005-0000-0000-0000C4000000}"/>
    <cellStyle name="Indented [2]" xfId="159" xr:uid="{00000000-0005-0000-0000-0000C5000000}"/>
    <cellStyle name="Indented [4]" xfId="160" xr:uid="{00000000-0005-0000-0000-0000C6000000}"/>
    <cellStyle name="Indented [6]" xfId="161" xr:uid="{00000000-0005-0000-0000-0000C7000000}"/>
    <cellStyle name="Input [yellow]" xfId="162" xr:uid="{00000000-0005-0000-0000-0000C8000000}"/>
    <cellStyle name="Input [yellow] 2" xfId="746" xr:uid="{B4C5D352-CAAD-4118-B6E1-A5234DA79B09}"/>
    <cellStyle name="Input [yellow] 2 2" xfId="960" xr:uid="{3CCC555D-563E-401C-AFF2-645CAA368C6B}"/>
    <cellStyle name="Input [yellow] 2 3" xfId="819" xr:uid="{B05404C9-5E46-42F3-A8A5-D3E6B1FFD5F2}"/>
    <cellStyle name="Input [yellow] 3" xfId="827" xr:uid="{63BB9D61-428A-4FA0-8803-002D4293F381}"/>
    <cellStyle name="Input 0,000." xfId="542" xr:uid="{887B1FCC-0DD1-4BD1-BB60-E35972149312}"/>
    <cellStyle name="Input 0,000. 2" xfId="722" xr:uid="{D517045C-7F47-459B-8133-42D529A786F2}"/>
    <cellStyle name="Input 0000." xfId="721" xr:uid="{1BAF9018-906D-4143-B834-1E547A8B811D}"/>
    <cellStyle name="Input 2" xfId="423" xr:uid="{00000000-0005-0000-0000-0000C9000000}"/>
    <cellStyle name="Input 3" xfId="422" xr:uid="{00000000-0005-0000-0000-0000CA000000}"/>
    <cellStyle name="Input 4" xfId="629" xr:uid="{1248DA62-C28E-4D7D-BF37-5533725D89B7}"/>
    <cellStyle name="Input 4 2" xfId="793" xr:uid="{2E070205-4924-4FF4-988B-58EFAE23F430}"/>
    <cellStyle name="Input 4 2 2" xfId="822" xr:uid="{7AA07156-731A-4F65-80E1-90E6FC773368}"/>
    <cellStyle name="Input 5" xfId="658" xr:uid="{796D05EC-3FAF-42D9-BF25-7049E4153EB0}"/>
    <cellStyle name="Input 5 2" xfId="927" xr:uid="{319EDEFF-EDBB-49BD-97EF-59D842E83C77}"/>
    <cellStyle name="Input 6" xfId="667" xr:uid="{509A649B-C7CE-48B3-9415-B40AEE463882}"/>
    <cellStyle name="Input 6 2" xfId="930" xr:uid="{00B2A99B-A636-4DE4-ACD0-F52E687EC895}"/>
    <cellStyle name="Input$0" xfId="163" xr:uid="{00000000-0005-0000-0000-0000CB000000}"/>
    <cellStyle name="Input$1" xfId="164" xr:uid="{00000000-0005-0000-0000-0000CC000000}"/>
    <cellStyle name="Input$2" xfId="165" xr:uid="{00000000-0005-0000-0000-0000CD000000}"/>
    <cellStyle name="Input0" xfId="166" xr:uid="{00000000-0005-0000-0000-0000CE000000}"/>
    <cellStyle name="Input1" xfId="167" xr:uid="{00000000-0005-0000-0000-0000CF000000}"/>
    <cellStyle name="Input1x" xfId="168" xr:uid="{00000000-0005-0000-0000-0000D0000000}"/>
    <cellStyle name="Input2" xfId="169" xr:uid="{00000000-0005-0000-0000-0000D1000000}"/>
    <cellStyle name="Input2x" xfId="170" xr:uid="{00000000-0005-0000-0000-0000D2000000}"/>
    <cellStyle name="lborder" xfId="171" xr:uid="{00000000-0005-0000-0000-0000D3000000}"/>
    <cellStyle name="LeftSubtitle" xfId="172" xr:uid="{00000000-0005-0000-0000-0000D4000000}"/>
    <cellStyle name="Lines" xfId="173" xr:uid="{00000000-0005-0000-0000-0000D5000000}"/>
    <cellStyle name="Linked Cell 2" xfId="424" xr:uid="{00000000-0005-0000-0000-0000D6000000}"/>
    <cellStyle name="Linked Cell 3" xfId="630" xr:uid="{CE93C0CD-99E6-4755-BC71-920EEF8245D8}"/>
    <cellStyle name="m" xfId="174" xr:uid="{00000000-0005-0000-0000-0000D7000000}"/>
    <cellStyle name="m1" xfId="175" xr:uid="{00000000-0005-0000-0000-0000D8000000}"/>
    <cellStyle name="m2" xfId="176" xr:uid="{00000000-0005-0000-0000-0000D9000000}"/>
    <cellStyle name="m3" xfId="177" xr:uid="{00000000-0005-0000-0000-0000DA000000}"/>
    <cellStyle name="MM-YYYY" xfId="539" xr:uid="{6075BE0B-8A99-41FD-B334-EA876638B8A2}"/>
    <cellStyle name="Multiple" xfId="178" xr:uid="{00000000-0005-0000-0000-0000DB000000}"/>
    <cellStyle name="Negative" xfId="179" xr:uid="{00000000-0005-0000-0000-0000DC000000}"/>
    <cellStyle name="Neutral 2" xfId="425" xr:uid="{00000000-0005-0000-0000-0000DD000000}"/>
    <cellStyle name="Neutral 3" xfId="631" xr:uid="{7F259C2D-86D9-433B-B63E-148DB9FDFE7C}"/>
    <cellStyle name="no dec" xfId="180" xr:uid="{00000000-0005-0000-0000-0000DE000000}"/>
    <cellStyle name="Normal" xfId="0" builtinId="0"/>
    <cellStyle name="Normal - Style1" xfId="181" xr:uid="{00000000-0005-0000-0000-0000E0000000}"/>
    <cellStyle name="Normal 10" xfId="182" xr:uid="{00000000-0005-0000-0000-0000E1000000}"/>
    <cellStyle name="Normal 10 2" xfId="367" xr:uid="{00000000-0005-0000-0000-0000E2000000}"/>
    <cellStyle name="Normal 10 2 2" xfId="427" xr:uid="{00000000-0005-0000-0000-0000E3000000}"/>
    <cellStyle name="Normal 10 2 3" xfId="557" xr:uid="{194899A1-141A-42C2-9FBE-B5DCDF7E6A46}"/>
    <cellStyle name="Normal 10 2 3 2" xfId="897" xr:uid="{7F48C0DB-191C-4163-B03F-8BDFE5966E8F}"/>
    <cellStyle name="Normal 10 2 4" xfId="734" xr:uid="{B6F2359A-CD4F-421A-A9E5-5EAEAC98CA74}"/>
    <cellStyle name="Normal 10 2 5" xfId="764" xr:uid="{D7FA210B-3F05-47C8-9488-93EDABC075E8}"/>
    <cellStyle name="Normal 10 2 5 2" xfId="978" xr:uid="{61A03BCE-4E35-4E9F-8E18-B8465B2F964F}"/>
    <cellStyle name="Normal 10 2 6" xfId="851" xr:uid="{2D973718-E106-436E-BAD2-94D2FBC1A271}"/>
    <cellStyle name="Normal 10 3" xfId="426" xr:uid="{00000000-0005-0000-0000-0000E4000000}"/>
    <cellStyle name="Normal 10 4" xfId="544" xr:uid="{F564A34E-F996-484C-9E67-B4D241E6AE3A}"/>
    <cellStyle name="Normal 10 4 2" xfId="802" xr:uid="{DFE48543-56B7-4D3B-A8F3-F8E254FE4563}"/>
    <cellStyle name="Normal 10 4 3" xfId="884" xr:uid="{0E4B9F7D-AA3A-4EEE-A19C-7CDD8E71989C}"/>
    <cellStyle name="Normal 10 5" xfId="747" xr:uid="{A09B694A-AE15-45E1-B2E8-89CE0555AFB1}"/>
    <cellStyle name="Normal 10 5 2" xfId="961" xr:uid="{B0B9DAAF-5DFE-4E53-A5FE-014F8C9FD25C}"/>
    <cellStyle name="Normal 10 6" xfId="829" xr:uid="{C37EA9A9-43D7-45A5-B3FB-199A7081E934}"/>
    <cellStyle name="Normal 102 3 2 2" xfId="705" xr:uid="{E0B0113E-EA6C-4F38-B997-A15149554F16}"/>
    <cellStyle name="Normal 102 3 2 2 2" xfId="942" xr:uid="{6CE4CBD5-951F-449C-BE28-A4E2DB543C3A}"/>
    <cellStyle name="Normal 11" xfId="183" xr:uid="{00000000-0005-0000-0000-0000E5000000}"/>
    <cellStyle name="Normal 12" xfId="380" xr:uid="{00000000-0005-0000-0000-0000E6000000}"/>
    <cellStyle name="Normal 12 2" xfId="428" xr:uid="{00000000-0005-0000-0000-0000E7000000}"/>
    <cellStyle name="Normal 12 3" xfId="536" xr:uid="{928A05C2-7EBA-4DFC-AD42-CCF8A8E26AC6}"/>
    <cellStyle name="Normal 12 3 2" xfId="585" xr:uid="{E070344F-672C-4F6E-8718-883D85E061DB}"/>
    <cellStyle name="Normal 12 3 2 2" xfId="919" xr:uid="{08A2F876-AA27-4E8F-8481-60F31E246CAE}"/>
    <cellStyle name="Normal 12 3 3" xfId="786" xr:uid="{F7A0D91A-3004-4819-982E-1901B868B27D}"/>
    <cellStyle name="Normal 12 3 3 2" xfId="1000" xr:uid="{DBA3B813-67F1-49F8-AFA3-B6E280A809A7}"/>
    <cellStyle name="Normal 12 3 4" xfId="882" xr:uid="{E95B0100-950C-421D-9DF2-D3279118BF55}"/>
    <cellStyle name="Normal 12 4" xfId="591" xr:uid="{D3EFB27B-A6B7-4612-8025-51D23E8A4D1D}"/>
    <cellStyle name="Normal 12 4 2" xfId="790" xr:uid="{666A46A7-BB66-413F-92C8-E04283EBA3A4}"/>
    <cellStyle name="Normal 12 4 2 2" xfId="1004" xr:uid="{BB3FD9E1-DFA7-423F-BF04-33361102F450}"/>
    <cellStyle name="Normal 12 4 3" xfId="923" xr:uid="{7AD6C9D7-02EA-4738-8E76-D314D81D1AF1}"/>
    <cellStyle name="Normal 12 5" xfId="570" xr:uid="{95B95D66-43A6-467C-80CF-111904007E2C}"/>
    <cellStyle name="Normal 12 5 2" xfId="910" xr:uid="{9595E3C2-DF26-48E3-B0BF-12C479397307}"/>
    <cellStyle name="Normal 12 6" xfId="777" xr:uid="{F0A6EC37-1101-41A0-AB6D-8D9D1F479EF6}"/>
    <cellStyle name="Normal 12 6 2" xfId="991" xr:uid="{4B5616A4-5FA8-433B-8A87-1C2F1D6ACFCF}"/>
    <cellStyle name="Normal 12 7" xfId="864" xr:uid="{AD4E0A87-0BF7-4ABA-A7D8-BCC33EA41AEA}"/>
    <cellStyle name="Normal 13" xfId="388" xr:uid="{00000000-0005-0000-0000-0000E8000000}"/>
    <cellStyle name="Normal 13 2" xfId="429" xr:uid="{00000000-0005-0000-0000-0000E9000000}"/>
    <cellStyle name="Normal 13 3" xfId="461" xr:uid="{00000000-0005-0000-0000-0000EA000000}"/>
    <cellStyle name="Normal 13 3 2" xfId="576" xr:uid="{700AC2D4-92A7-4AA5-A893-9BBE8987AE02}"/>
    <cellStyle name="Normal 13 3 2 2" xfId="916" xr:uid="{07A37835-8FE7-42AC-950D-96E0A139ED0C}"/>
    <cellStyle name="Normal 13 3 3" xfId="783" xr:uid="{A7F4C45B-86A1-4DF3-97FB-BF95D3159AC1}"/>
    <cellStyle name="Normal 13 3 3 2" xfId="997" xr:uid="{A8FDB675-2B1A-4D37-B0F6-5EA1E9CB62CB}"/>
    <cellStyle name="Normal 13 3 4" xfId="872" xr:uid="{821BA172-717F-49C5-9F12-1EE057F4C8FA}"/>
    <cellStyle name="Normal 13 4" xfId="575" xr:uid="{8088C71D-7773-43CF-9E50-6BAD5ACF4BB5}"/>
    <cellStyle name="Normal 13 4 2" xfId="807" xr:uid="{E9884441-77E3-49A3-8C0A-56E085C4E753}"/>
    <cellStyle name="Normal 13 4 2 2" xfId="1012" xr:uid="{885BB265-0886-4C1F-8085-55BB6C54C964}"/>
    <cellStyle name="Normal 13 4 3" xfId="915" xr:uid="{465C51C8-28FA-4D51-BF1D-E1D22B1BAF7A}"/>
    <cellStyle name="Normal 13 5" xfId="782" xr:uid="{CCB84973-A6D1-45B0-9AE3-8B48A2B770F3}"/>
    <cellStyle name="Normal 13 5 2" xfId="996" xr:uid="{DC4DB75B-46F6-405F-ACE8-62CA9C369251}"/>
    <cellStyle name="Normal 13 6" xfId="869" xr:uid="{E9298CE3-F18C-4396-86C0-C9748F0039BA}"/>
    <cellStyle name="Normal 14" xfId="465" xr:uid="{00000000-0005-0000-0000-0000EB000000}"/>
    <cellStyle name="Normal 14 2" xfId="579" xr:uid="{AFD68B85-2B44-41FD-A4BC-CAC3084C3F95}"/>
    <cellStyle name="Normal 14 2 2" xfId="731" xr:uid="{D0ECE975-9DC5-4365-85DA-AC24BF3F8E02}"/>
    <cellStyle name="Normal 15" xfId="467" xr:uid="{00000000-0005-0000-0000-0000EC000000}"/>
    <cellStyle name="Normal 15 2" xfId="580" xr:uid="{DBBF38ED-D64F-44B2-930D-2D7BB571C54D}"/>
    <cellStyle name="Normal 16" xfId="468" xr:uid="{00000000-0005-0000-0000-0000ED000000}"/>
    <cellStyle name="Normal 16 2" xfId="581" xr:uid="{EDE18378-12BF-40A4-9E2A-0A6590214A42}"/>
    <cellStyle name="Normal 17" xfId="469" xr:uid="{00000000-0005-0000-0000-0000EE000000}"/>
    <cellStyle name="Normal 17 2" xfId="582" xr:uid="{DFC0E485-4DF3-4E6B-B645-8BF992F28E05}"/>
    <cellStyle name="Normal 18" xfId="470" xr:uid="{00000000-0005-0000-0000-0000EF000000}"/>
    <cellStyle name="Normal 18 2" xfId="583" xr:uid="{0B743E36-1D70-40CC-9F62-1ECDDFAB198C}"/>
    <cellStyle name="Normal 19" xfId="471" xr:uid="{00000000-0005-0000-0000-0000F0000000}"/>
    <cellStyle name="Normal 2" xfId="184" xr:uid="{00000000-0005-0000-0000-0000F1000000}"/>
    <cellStyle name="Normal 2 19" xfId="704" xr:uid="{F482A2A6-E473-4F03-8CA9-45A121B318B5}"/>
    <cellStyle name="Normal 2 2" xfId="185" xr:uid="{00000000-0005-0000-0000-0000F2000000}"/>
    <cellStyle name="Normal 2 2 2" xfId="532" xr:uid="{3594F80F-3AB3-4AAB-B0FF-ED4B74BE459A}"/>
    <cellStyle name="Normal 2 2 2 2" xfId="534" xr:uid="{90E5F130-0ED6-4A1E-8D22-42416FC3B021}"/>
    <cellStyle name="Normal 2 2 2 2 2" xfId="881" xr:uid="{BD8A5E2D-E7D6-4FED-AE86-08FB9DCDDF61}"/>
    <cellStyle name="Normal 2 2 2 3" xfId="702" xr:uid="{FBC865D1-7475-4B76-BD42-68B847A483C4}"/>
    <cellStyle name="Normal 2 3" xfId="466" xr:uid="{00000000-0005-0000-0000-0000F3000000}"/>
    <cellStyle name="Normal 2 4" xfId="526" xr:uid="{C569C93C-6978-4951-B6C5-7698D649360C}"/>
    <cellStyle name="Normal 2 5" xfId="715" xr:uid="{19192A6A-BA69-4A7C-BD8A-280C51357C13}"/>
    <cellStyle name="Normal 2 53" xfId="736" xr:uid="{63F93568-8D0C-4FDC-A071-87F4496719D2}"/>
    <cellStyle name="Normal 2 6" xfId="728" xr:uid="{26E94944-ED8F-45D7-A66A-F350A7B16219}"/>
    <cellStyle name="Normal 20" xfId="472" xr:uid="{00000000-0005-0000-0000-0000F4000000}"/>
    <cellStyle name="Normal 21" xfId="473" xr:uid="{00000000-0005-0000-0000-0000F5000000}"/>
    <cellStyle name="Normal 22" xfId="474" xr:uid="{00000000-0005-0000-0000-0000F6000000}"/>
    <cellStyle name="Normal 23" xfId="475" xr:uid="{00000000-0005-0000-0000-0000F7000000}"/>
    <cellStyle name="Normal 24" xfId="515" xr:uid="{CE489DE9-D46E-4901-8225-DBEBA2F5CD03}"/>
    <cellStyle name="Normal 24 2" xfId="528" xr:uid="{AA0D2140-A1EA-49BF-9956-AFF43C5C114C}"/>
    <cellStyle name="Normal 24 2 2" xfId="879" xr:uid="{CF150461-0CDA-44A9-BCEE-7451269BE384}"/>
    <cellStyle name="Normal 24 3" xfId="584" xr:uid="{B9A0E2C3-CE09-4D11-BD5F-7FA2C0AF1D3A}"/>
    <cellStyle name="Normal 24 4" xfId="679" xr:uid="{A5355D6B-519D-4F8E-AEE1-C97C72A62FF2}"/>
    <cellStyle name="Normal 24 4 2" xfId="684" xr:uid="{749FDC48-FDC5-4FD7-B2CB-E0BF9A28CBE7}"/>
    <cellStyle name="Normal 24 4 2 2" xfId="937" xr:uid="{817F3B27-ECF9-4622-922C-2A30DB93C65A}"/>
    <cellStyle name="Normal 24 4 3" xfId="933" xr:uid="{4453CB5C-E12B-4C4D-8D42-91FBA645319C}"/>
    <cellStyle name="Normal 24 5" xfId="875" xr:uid="{C34AC84B-23AF-41A8-8F3E-5994F1CC726E}"/>
    <cellStyle name="Normal 25" xfId="516" xr:uid="{7DE0224B-5609-45FF-8D6A-A426E8B7D5C2}"/>
    <cellStyle name="Normal 25 2" xfId="593" xr:uid="{1A3E3CC2-40DA-498E-B53B-48332E063641}"/>
    <cellStyle name="Normal 25 3" xfId="876" xr:uid="{56C49561-62B8-4FBA-81B9-8635102CE944}"/>
    <cellStyle name="Normal 26" xfId="517" xr:uid="{3C2E58B5-CD20-4894-823A-3C8FA550312B}"/>
    <cellStyle name="Normal 26 2" xfId="527" xr:uid="{09EB2C32-A626-4938-A5BC-1780CAFD6963}"/>
    <cellStyle name="Normal 26 2 2" xfId="878" xr:uid="{D8B5E329-6B4B-4B23-BA31-F5646DF7A336}"/>
    <cellStyle name="Normal 26 3" xfId="651" xr:uid="{99541BA0-AA6C-4C1F-B1F5-F149AC328009}"/>
    <cellStyle name="Normal 26 3 2" xfId="926" xr:uid="{5BB21439-4554-4AC1-B4DF-04C0F3B4CE9D}"/>
    <cellStyle name="Normal 26 4" xfId="680" xr:uid="{2BBE001F-106D-481C-AC7A-CF82177651D6}"/>
    <cellStyle name="Normal 26 4 2" xfId="934" xr:uid="{BCB16BC6-DFB7-4A94-8DF3-A881BD69D06D}"/>
    <cellStyle name="Normal 26 5" xfId="800" xr:uid="{2753DA0C-9CC4-42EF-B1D4-688C9CEBFDDC}"/>
    <cellStyle name="Normal 26 5 2" xfId="1009" xr:uid="{E282D442-3E7C-4223-979E-67C75300F0DB}"/>
    <cellStyle name="Normal 26 6" xfId="877" xr:uid="{25DACDD6-77DD-4FFC-9F21-56227C13A3FE}"/>
    <cellStyle name="Normal 27" xfId="529" xr:uid="{6208F7E7-D4BE-419D-B32F-506EBF0385A7}"/>
    <cellStyle name="Normal 27 2" xfId="665" xr:uid="{6EDBE150-6584-41D4-9CE6-A47F28949CCC}"/>
    <cellStyle name="Normal 27 2 2" xfId="929" xr:uid="{0D047813-CA9B-4A68-87BA-0C9E658CE372}"/>
    <cellStyle name="Normal 27 3" xfId="678" xr:uid="{2F2F602E-9053-4D46-9963-143D3C5B877B}"/>
    <cellStyle name="Normal 27 3 2" xfId="932" xr:uid="{6837F984-D1E5-4751-B986-6A2AF540C07A}"/>
    <cellStyle name="Normal 27 4" xfId="808" xr:uid="{326385FE-C8A5-4696-834F-EF2A223D49A0}"/>
    <cellStyle name="Normal 27 5" xfId="880" xr:uid="{A2AEE311-AF90-44DF-8F12-6A4E302CD203}"/>
    <cellStyle name="Normal 28" xfId="685" xr:uid="{47DCE894-0CAB-4659-B8B4-E388B962FFF6}"/>
    <cellStyle name="Normal 28 2" xfId="706" xr:uid="{7F92E358-02B3-4869-B19D-49F1D12A246B}"/>
    <cellStyle name="Normal 29" xfId="691" xr:uid="{78883DBD-ADC2-48A9-82C6-8FD143A2D1BA}"/>
    <cellStyle name="Normal 3" xfId="186" xr:uid="{00000000-0005-0000-0000-0000F8000000}"/>
    <cellStyle name="Normal 3 2" xfId="187" xr:uid="{00000000-0005-0000-0000-0000F9000000}"/>
    <cellStyle name="Normal 3 2 2" xfId="533" xr:uid="{1CD9821B-1E0C-4455-B2CF-453E3EE0B6AC}"/>
    <cellStyle name="Normal 3 2 2 2" xfId="538" xr:uid="{2B9AA3B5-2C30-4994-90D0-940C6CB5D9BA}"/>
    <cellStyle name="Normal 3 3" xfId="530" xr:uid="{853D2D97-2B4F-4DCC-9427-A51E4DA9C03E}"/>
    <cellStyle name="Normal 3_Attach O, GG, Support -New Method 2-14-11" xfId="188" xr:uid="{00000000-0005-0000-0000-0000FA000000}"/>
    <cellStyle name="Normal 30" xfId="711" xr:uid="{80A9AC4A-D56C-48DD-8799-64ADEF049E4E}"/>
    <cellStyle name="Normal 30 2" xfId="947" xr:uid="{19E96A31-5B99-45F8-A8AF-940FEF514F51}"/>
    <cellStyle name="Normal 31" xfId="713" xr:uid="{FD0039B3-E88D-4722-91BB-EA6CD36E07FC}"/>
    <cellStyle name="Normal 31 2" xfId="949" xr:uid="{80652796-9E21-499D-B4C5-A91338BBD186}"/>
    <cellStyle name="Normal 32" xfId="716" xr:uid="{4C565272-96C8-4BCF-89D3-7FE6C6896AEA}"/>
    <cellStyle name="Normal 32 2" xfId="951" xr:uid="{4143A568-8ACF-4DD9-A0D9-AE402E032F0E}"/>
    <cellStyle name="Normal 33" xfId="725" xr:uid="{D340FB7D-F8BC-42B9-AA25-91B40C39B019}"/>
    <cellStyle name="Normal 34" xfId="726" xr:uid="{64423B0B-1832-4DA4-8059-E9FB0B9FC507}"/>
    <cellStyle name="Normal 34 2" xfId="954" xr:uid="{B2A76092-BB45-4975-ACD5-618BDAFE5596}"/>
    <cellStyle name="Normal 35" xfId="809" xr:uid="{1FDEF35B-3774-451C-840E-E338EFD103A5}"/>
    <cellStyle name="Normal 35 2" xfId="1013" xr:uid="{0AB94C58-61A4-40A8-9389-02C41E649A24}"/>
    <cellStyle name="Normal 36" xfId="815" xr:uid="{4B3CD9D8-FBE1-4560-932C-8439183CE4F1}"/>
    <cellStyle name="Normal 36 2" xfId="1019" xr:uid="{09BC857F-7A74-46E7-AD3A-D66FBE4389E7}"/>
    <cellStyle name="Normal 37" xfId="813" xr:uid="{673F43E1-C992-4FBD-B3E6-1FDFFE433C0D}"/>
    <cellStyle name="Normal 37 2" xfId="1017" xr:uid="{BBBD1F57-D68B-4E0E-93D1-A71DC22A5361}"/>
    <cellStyle name="Normal 38" xfId="816" xr:uid="{BE8BA3CA-5095-41C4-8A73-A950F65ECACD}"/>
    <cellStyle name="Normal 38 2" xfId="1020" xr:uid="{99F92171-A133-45A7-A138-06B2725CC68E}"/>
    <cellStyle name="Normal 4" xfId="189" xr:uid="{00000000-0005-0000-0000-0000FB000000}"/>
    <cellStyle name="Normal 4 2" xfId="190" xr:uid="{00000000-0005-0000-0000-0000FC000000}"/>
    <cellStyle name="Normal 4 2 2" xfId="735" xr:uid="{19E4F1AB-8500-4FEF-8ECA-8E35E3B10B14}"/>
    <cellStyle name="Normal 4 3" xfId="531" xr:uid="{42FCAF11-C0EB-498D-AE89-E286EC9E1376}"/>
    <cellStyle name="Normal 4 3 2" xfId="701" xr:uid="{34226FFE-9386-4545-A28D-F73D8C888F7F}"/>
    <cellStyle name="Normal 4 3 2 2" xfId="941" xr:uid="{57F1E23A-12BE-4D98-8888-9BC1AD617D3E}"/>
    <cellStyle name="Normal 4 4" xfId="733" xr:uid="{1416A060-7CF7-4509-87D7-435F496A7509}"/>
    <cellStyle name="Normal 4_Attach O, GG, Support -New Method 2-14-11" xfId="191" xr:uid="{00000000-0005-0000-0000-0000FD000000}"/>
    <cellStyle name="Normal 5" xfId="192" xr:uid="{00000000-0005-0000-0000-0000FE000000}"/>
    <cellStyle name="Normal 5 2" xfId="387" xr:uid="{00000000-0005-0000-0000-0000FF000000}"/>
    <cellStyle name="Normal 5 3" xfId="729" xr:uid="{B6911574-5AFB-475D-BAB6-4CA484071C47}"/>
    <cellStyle name="Normal 6" xfId="193" xr:uid="{00000000-0005-0000-0000-000000010000}"/>
    <cellStyle name="Normal 6 10" xfId="732" xr:uid="{CC15A3EE-89B6-4779-92B3-D508D9B228CE}"/>
    <cellStyle name="Normal 6 2" xfId="194" xr:uid="{00000000-0005-0000-0000-000001010000}"/>
    <cellStyle name="Normal 6 2 2" xfId="195" xr:uid="{00000000-0005-0000-0000-000002010000}"/>
    <cellStyle name="Normal 6 2 2 2" xfId="196" xr:uid="{00000000-0005-0000-0000-000003010000}"/>
    <cellStyle name="Normal 6 2 2 2 2" xfId="371" xr:uid="{00000000-0005-0000-0000-000004010000}"/>
    <cellStyle name="Normal 6 2 2 2 2 2" xfId="434" xr:uid="{00000000-0005-0000-0000-000005010000}"/>
    <cellStyle name="Normal 6 2 2 2 2 3" xfId="561" xr:uid="{C7C16800-A3DE-4948-A7BB-0ED6A9815EA1}"/>
    <cellStyle name="Normal 6 2 2 2 2 3 2" xfId="901" xr:uid="{2D64557A-35A1-450E-BE71-C2ACF25197F4}"/>
    <cellStyle name="Normal 6 2 2 2 2 4" xfId="768" xr:uid="{C1862075-4207-4119-8980-36C85114A054}"/>
    <cellStyle name="Normal 6 2 2 2 2 4 2" xfId="982" xr:uid="{998662F5-4F81-4307-A40C-EA053AC8250D}"/>
    <cellStyle name="Normal 6 2 2 2 2 5" xfId="855" xr:uid="{AA70CDE7-0DB3-4652-A1F2-00794DC483CC}"/>
    <cellStyle name="Normal 6 2 2 2 3" xfId="433" xr:uid="{00000000-0005-0000-0000-000006010000}"/>
    <cellStyle name="Normal 6 2 2 2 4" xfId="548" xr:uid="{B62B618F-CF76-4FAB-986D-AD6CA026594E}"/>
    <cellStyle name="Normal 6 2 2 2 4 2" xfId="888" xr:uid="{9082539D-44AE-4695-ADBB-FBAC0016C881}"/>
    <cellStyle name="Normal 6 2 2 2 5" xfId="751" xr:uid="{63D9A805-8139-488F-9335-11505DDFA96E}"/>
    <cellStyle name="Normal 6 2 2 2 5 2" xfId="965" xr:uid="{15D638A6-0884-41A0-AF16-650C02EAC669}"/>
    <cellStyle name="Normal 6 2 2 2 6" xfId="833" xr:uid="{51420001-D090-4E17-A625-1F8C32E4149A}"/>
    <cellStyle name="Normal 6 2 2 3" xfId="370" xr:uid="{00000000-0005-0000-0000-000007010000}"/>
    <cellStyle name="Normal 6 2 2 3 2" xfId="435" xr:uid="{00000000-0005-0000-0000-000008010000}"/>
    <cellStyle name="Normal 6 2 2 3 3" xfId="560" xr:uid="{4AEADD53-8562-4197-AF3E-25BA579BA88B}"/>
    <cellStyle name="Normal 6 2 2 3 3 2" xfId="900" xr:uid="{54E35EFB-6B65-4F65-A785-FC8C74BE7420}"/>
    <cellStyle name="Normal 6 2 2 3 4" xfId="767" xr:uid="{F5F631ED-6133-4DB1-9D45-DF386532654D}"/>
    <cellStyle name="Normal 6 2 2 3 4 2" xfId="981" xr:uid="{84A950FB-D48D-4504-AF12-9AB25B5AE6F1}"/>
    <cellStyle name="Normal 6 2 2 3 5" xfId="854" xr:uid="{525F7BD9-35CC-44A0-A4AD-274E9ADDA07D}"/>
    <cellStyle name="Normal 6 2 2 4" xfId="432" xr:uid="{00000000-0005-0000-0000-000009010000}"/>
    <cellStyle name="Normal 6 2 2 5" xfId="547" xr:uid="{9F9DD5F8-3F2F-401A-B516-6301757EB5E1}"/>
    <cellStyle name="Normal 6 2 2 5 2" xfId="887" xr:uid="{5354DA5A-00EB-4C28-94FE-2B08D0BF7547}"/>
    <cellStyle name="Normal 6 2 2 6" xfId="750" xr:uid="{1E9D7F29-364C-45E7-A962-1292996947ED}"/>
    <cellStyle name="Normal 6 2 2 6 2" xfId="964" xr:uid="{141A858B-C9A6-4260-8CF3-A8743C304444}"/>
    <cellStyle name="Normal 6 2 2 7" xfId="832" xr:uid="{C2EB18D7-8192-4BC3-813F-0B3E3F3E127F}"/>
    <cellStyle name="Normal 6 2 3" xfId="197" xr:uid="{00000000-0005-0000-0000-00000A010000}"/>
    <cellStyle name="Normal 6 2 3 2" xfId="372" xr:uid="{00000000-0005-0000-0000-00000B010000}"/>
    <cellStyle name="Normal 6 2 3 2 2" xfId="437" xr:uid="{00000000-0005-0000-0000-00000C010000}"/>
    <cellStyle name="Normal 6 2 3 2 3" xfId="562" xr:uid="{E075EF3D-8C3D-4046-B121-B7D2EF4824F7}"/>
    <cellStyle name="Normal 6 2 3 2 3 2" xfId="902" xr:uid="{DB63B075-BAD5-4380-8E53-D7A9DDC10A5D}"/>
    <cellStyle name="Normal 6 2 3 2 4" xfId="769" xr:uid="{3CADA6E1-2B08-4D7B-B441-36055701A4CE}"/>
    <cellStyle name="Normal 6 2 3 2 4 2" xfId="983" xr:uid="{B4DBE6C5-6F9A-437C-A423-E30F02B0B513}"/>
    <cellStyle name="Normal 6 2 3 2 5" xfId="856" xr:uid="{6551EB39-2350-4458-9357-B148F11C82DC}"/>
    <cellStyle name="Normal 6 2 3 3" xfId="436" xr:uid="{00000000-0005-0000-0000-00000D010000}"/>
    <cellStyle name="Normal 6 2 3 4" xfId="549" xr:uid="{FF26A283-40D5-4A7A-8605-6CD743B37AF3}"/>
    <cellStyle name="Normal 6 2 3 4 2" xfId="889" xr:uid="{CA33F1A7-0433-4EE5-ADEC-C079B391183E}"/>
    <cellStyle name="Normal 6 2 3 5" xfId="752" xr:uid="{377F2062-8831-4F45-AD49-7386CE3ABB3F}"/>
    <cellStyle name="Normal 6 2 3 5 2" xfId="966" xr:uid="{C032430E-1D1F-42A0-8C62-F91754BFC727}"/>
    <cellStyle name="Normal 6 2 3 6" xfId="834" xr:uid="{35DE51AA-DBA8-411A-9DF3-5E81C0CFDAFF}"/>
    <cellStyle name="Normal 6 2 4" xfId="369" xr:uid="{00000000-0005-0000-0000-00000E010000}"/>
    <cellStyle name="Normal 6 2 4 2" xfId="438" xr:uid="{00000000-0005-0000-0000-00000F010000}"/>
    <cellStyle name="Normal 6 2 4 3" xfId="559" xr:uid="{17E3D473-4F74-4D94-BA0D-FD7CBAA19998}"/>
    <cellStyle name="Normal 6 2 4 3 2" xfId="899" xr:uid="{B504A298-3E00-4D69-A2C8-BD8AD1B5D3B0}"/>
    <cellStyle name="Normal 6 2 4 4" xfId="766" xr:uid="{0547635E-8AA4-40D8-95F4-4EAF93C3597F}"/>
    <cellStyle name="Normal 6 2 4 4 2" xfId="980" xr:uid="{0CF9903F-C73C-4527-8450-8DD1ACB5857C}"/>
    <cellStyle name="Normal 6 2 4 5" xfId="853" xr:uid="{3663B347-FAEA-4C8D-9971-7DE4DC0F2EEF}"/>
    <cellStyle name="Normal 6 2 5" xfId="386" xr:uid="{00000000-0005-0000-0000-000010010000}"/>
    <cellStyle name="Normal 6 2 6" xfId="431" xr:uid="{00000000-0005-0000-0000-000011010000}"/>
    <cellStyle name="Normal 6 2 7" xfId="546" xr:uid="{E1D066ED-38D7-4426-83B0-D6DBD3D02D1F}"/>
    <cellStyle name="Normal 6 2 7 2" xfId="886" xr:uid="{A13965ED-6A40-40DE-8437-BC8EC179AE40}"/>
    <cellStyle name="Normal 6 2 8" xfId="749" xr:uid="{CE4F34FC-6A52-4BBE-9B6B-C95CA445D784}"/>
    <cellStyle name="Normal 6 2 8 2" xfId="963" xr:uid="{11BEEC79-E65A-4B3D-AA90-BCE4A0C5A331}"/>
    <cellStyle name="Normal 6 2 9" xfId="831" xr:uid="{2EE59395-DB40-44CB-8B7F-300CC0ED7649}"/>
    <cellStyle name="Normal 6 3" xfId="198" xr:uid="{00000000-0005-0000-0000-000012010000}"/>
    <cellStyle name="Normal 6 3 2" xfId="199" xr:uid="{00000000-0005-0000-0000-000013010000}"/>
    <cellStyle name="Normal 6 3 2 2" xfId="374" xr:uid="{00000000-0005-0000-0000-000014010000}"/>
    <cellStyle name="Normal 6 3 2 2 2" xfId="441" xr:uid="{00000000-0005-0000-0000-000015010000}"/>
    <cellStyle name="Normal 6 3 2 2 3" xfId="564" xr:uid="{B09BDA61-9B84-4174-9C30-AAE9651DBA56}"/>
    <cellStyle name="Normal 6 3 2 2 3 2" xfId="904" xr:uid="{CFAF5854-AC9A-46F4-A216-33936518E0C8}"/>
    <cellStyle name="Normal 6 3 2 2 4" xfId="771" xr:uid="{EF67A1A2-66C1-403E-AB87-6AFD4BD845EB}"/>
    <cellStyle name="Normal 6 3 2 2 4 2" xfId="985" xr:uid="{B3B557E2-3D09-47D7-A86B-1F8C91330DCC}"/>
    <cellStyle name="Normal 6 3 2 2 5" xfId="858" xr:uid="{FD130248-8FE7-400D-B737-4C362A5B6E1E}"/>
    <cellStyle name="Normal 6 3 2 3" xfId="440" xr:uid="{00000000-0005-0000-0000-000016010000}"/>
    <cellStyle name="Normal 6 3 2 4" xfId="551" xr:uid="{E76BBCF6-9085-4711-A898-782F53E085F8}"/>
    <cellStyle name="Normal 6 3 2 4 2" xfId="891" xr:uid="{1FA98749-00CD-4590-A51E-F2CC15FC7BB6}"/>
    <cellStyle name="Normal 6 3 2 5" xfId="754" xr:uid="{0FCD64F2-26BE-4CF8-AB07-208DDAB5977F}"/>
    <cellStyle name="Normal 6 3 2 5 2" xfId="968" xr:uid="{0F93064F-6628-487E-B8CA-8B3FB57858F7}"/>
    <cellStyle name="Normal 6 3 2 6" xfId="836" xr:uid="{5E9FC9A8-6355-49B5-A584-A3D75999B971}"/>
    <cellStyle name="Normal 6 3 3" xfId="373" xr:uid="{00000000-0005-0000-0000-000017010000}"/>
    <cellStyle name="Normal 6 3 3 2" xfId="442" xr:uid="{00000000-0005-0000-0000-000018010000}"/>
    <cellStyle name="Normal 6 3 3 3" xfId="563" xr:uid="{FF4A4106-7283-4346-B5E7-3C56736CA059}"/>
    <cellStyle name="Normal 6 3 3 3 2" xfId="903" xr:uid="{A81A8F6A-EF68-47FB-BFDB-0BCC0C2C47B8}"/>
    <cellStyle name="Normal 6 3 3 4" xfId="770" xr:uid="{94519F39-3049-4133-902A-CC8DBA58D395}"/>
    <cellStyle name="Normal 6 3 3 4 2" xfId="984" xr:uid="{3E6E5861-1236-4ADD-B3B6-B89FA0D8AC96}"/>
    <cellStyle name="Normal 6 3 3 5" xfId="857" xr:uid="{FACD8492-48AA-461E-AF93-771CFE33CFE8}"/>
    <cellStyle name="Normal 6 3 4" xfId="439" xr:uid="{00000000-0005-0000-0000-000019010000}"/>
    <cellStyle name="Normal 6 3 5" xfId="550" xr:uid="{A7A08175-0CD3-4E2B-8D1E-B3EEDE8FA6DB}"/>
    <cellStyle name="Normal 6 3 5 2" xfId="890" xr:uid="{1D2673A8-E17A-4E44-B86D-25B5C90530B9}"/>
    <cellStyle name="Normal 6 3 6" xfId="753" xr:uid="{B189AF9E-BB18-4B72-B5FA-E4140C5E167F}"/>
    <cellStyle name="Normal 6 3 6 2" xfId="967" xr:uid="{FD4C7634-7290-4C17-B1E6-2DD5796604B3}"/>
    <cellStyle name="Normal 6 3 7" xfId="835" xr:uid="{B0FF2556-46D7-4D81-9251-7F270D1F1FB4}"/>
    <cellStyle name="Normal 6 4" xfId="200" xr:uid="{00000000-0005-0000-0000-00001A010000}"/>
    <cellStyle name="Normal 6 4 2" xfId="375" xr:uid="{00000000-0005-0000-0000-00001B010000}"/>
    <cellStyle name="Normal 6 4 2 2" xfId="444" xr:uid="{00000000-0005-0000-0000-00001C010000}"/>
    <cellStyle name="Normal 6 4 2 3" xfId="565" xr:uid="{B8706CB7-5C89-4042-8266-F77CDFB00EE9}"/>
    <cellStyle name="Normal 6 4 2 3 2" xfId="905" xr:uid="{B044B424-61C9-445D-B7EB-5CAE882BED58}"/>
    <cellStyle name="Normal 6 4 2 4" xfId="772" xr:uid="{26D2BFFF-E891-4453-BCFD-8C7310FDACD9}"/>
    <cellStyle name="Normal 6 4 2 4 2" xfId="986" xr:uid="{BB9FDB16-99EB-4ABF-A03D-35C0AA2699A5}"/>
    <cellStyle name="Normal 6 4 2 5" xfId="859" xr:uid="{AE6D1F3C-CAEE-4AB0-928F-F6C3172CBC53}"/>
    <cellStyle name="Normal 6 4 3" xfId="443" xr:uid="{00000000-0005-0000-0000-00001D010000}"/>
    <cellStyle name="Normal 6 4 4" xfId="552" xr:uid="{966D8F79-BD93-4FCB-AF53-3E1F918CD0C6}"/>
    <cellStyle name="Normal 6 4 4 2" xfId="892" xr:uid="{A692F2DB-F262-40DA-9188-A16426545DD8}"/>
    <cellStyle name="Normal 6 4 5" xfId="755" xr:uid="{02304799-5DC6-4E43-949A-D2A96A2AC448}"/>
    <cellStyle name="Normal 6 4 5 2" xfId="969" xr:uid="{2E15ED68-B0AF-4686-8F6B-A7CD283535D9}"/>
    <cellStyle name="Normal 6 4 6" xfId="837" xr:uid="{9C1B0F3B-5AEC-4098-9E79-39D1EB3363C5}"/>
    <cellStyle name="Normal 6 5" xfId="368" xr:uid="{00000000-0005-0000-0000-00001E010000}"/>
    <cellStyle name="Normal 6 5 2" xfId="445" xr:uid="{00000000-0005-0000-0000-00001F010000}"/>
    <cellStyle name="Normal 6 5 3" xfId="558" xr:uid="{5211311C-C4EA-4E37-B452-AD2D8BF0E0BD}"/>
    <cellStyle name="Normal 6 5 3 2" xfId="898" xr:uid="{B0F7FC5B-F459-4141-90A4-9C28154A14D3}"/>
    <cellStyle name="Normal 6 5 4" xfId="765" xr:uid="{25D0D433-A862-497B-94F4-461FA2B9A39F}"/>
    <cellStyle name="Normal 6 5 4 2" xfId="979" xr:uid="{38B0B22D-1B79-4D3A-B0A8-508029A93BCC}"/>
    <cellStyle name="Normal 6 5 5" xfId="852" xr:uid="{50CE91C7-F60D-4FC3-A255-709952A21AB1}"/>
    <cellStyle name="Normal 6 6" xfId="430" xr:uid="{00000000-0005-0000-0000-000020010000}"/>
    <cellStyle name="Normal 6 6 2" xfId="708" xr:uid="{E0F834C5-0CE7-4D47-A40E-B8AE1E6B978F}"/>
    <cellStyle name="Normal 6 6 2 2" xfId="944" xr:uid="{4D61850D-1B70-4FF6-ABDA-57FDA480840A}"/>
    <cellStyle name="Normal 6 7" xfId="545" xr:uid="{2EDF352D-0F9A-45A9-91DD-F5FBB09D6B17}"/>
    <cellStyle name="Normal 6 7 2" xfId="885" xr:uid="{80806124-0896-4DF0-B1C2-4B468DA98721}"/>
    <cellStyle name="Normal 6 8" xfId="748" xr:uid="{A7CDBA70-536B-4C26-9976-62A0BE52D28B}"/>
    <cellStyle name="Normal 6 8 2" xfId="962" xr:uid="{C2391D59-F0DB-44A5-A689-6C314D320807}"/>
    <cellStyle name="Normal 6 9" xfId="830" xr:uid="{E143257B-A315-4767-BF6A-337B8A24E4A2}"/>
    <cellStyle name="Normal 7" xfId="201" xr:uid="{00000000-0005-0000-0000-000021010000}"/>
    <cellStyle name="Normal 7 7" xfId="730" xr:uid="{7E795075-87A7-43D3-B7EF-A0DEE48C1A9A}"/>
    <cellStyle name="Normal 8" xfId="202" xr:uid="{00000000-0005-0000-0000-000022010000}"/>
    <cellStyle name="Normal 8 2" xfId="203" xr:uid="{00000000-0005-0000-0000-000023010000}"/>
    <cellStyle name="Normal 8 2 2" xfId="377" xr:uid="{00000000-0005-0000-0000-000024010000}"/>
    <cellStyle name="Normal 8 2 2 2" xfId="448" xr:uid="{00000000-0005-0000-0000-000025010000}"/>
    <cellStyle name="Normal 8 2 2 3" xfId="567" xr:uid="{3ACF214C-4DA6-4B88-97BC-08F3BCB48800}"/>
    <cellStyle name="Normal 8 2 2 3 2" xfId="907" xr:uid="{A2E48973-DA67-4A02-A897-06808215276E}"/>
    <cellStyle name="Normal 8 2 2 4" xfId="774" xr:uid="{3275F0E3-570B-462D-B2E8-2406AF08662C}"/>
    <cellStyle name="Normal 8 2 2 4 2" xfId="988" xr:uid="{38D68A82-DBE3-48AE-8FA9-862980B7C516}"/>
    <cellStyle name="Normal 8 2 2 5" xfId="861" xr:uid="{0849705A-1FF8-4277-A89A-FD24316A5E1F}"/>
    <cellStyle name="Normal 8 2 3" xfId="447" xr:uid="{00000000-0005-0000-0000-000026010000}"/>
    <cellStyle name="Normal 8 2 4" xfId="554" xr:uid="{1967598C-261B-4599-B248-E5FC68D0EB8E}"/>
    <cellStyle name="Normal 8 2 4 2" xfId="894" xr:uid="{EB700D37-F735-4EB4-9F2E-AC0C117964F2}"/>
    <cellStyle name="Normal 8 2 5" xfId="757" xr:uid="{20A2AC8C-4FD4-47B3-B316-CC38AB278554}"/>
    <cellStyle name="Normal 8 2 5 2" xfId="971" xr:uid="{837BB63E-81A3-46DA-AE44-78E94F520CD1}"/>
    <cellStyle name="Normal 8 2 6" xfId="839" xr:uid="{8D835AA7-86F4-497B-8BD2-BC85869C9D8F}"/>
    <cellStyle name="Normal 8 3" xfId="376" xr:uid="{00000000-0005-0000-0000-000027010000}"/>
    <cellStyle name="Normal 8 3 2" xfId="449" xr:uid="{00000000-0005-0000-0000-000028010000}"/>
    <cellStyle name="Normal 8 3 3" xfId="566" xr:uid="{861B3EBB-A14D-457C-BCB1-2A4046DC4B18}"/>
    <cellStyle name="Normal 8 3 3 2" xfId="906" xr:uid="{715BE8A7-91DC-4CD2-8079-1100588C7FAF}"/>
    <cellStyle name="Normal 8 3 4" xfId="773" xr:uid="{0F91A232-0A9B-4648-9ECB-3F311A2347BA}"/>
    <cellStyle name="Normal 8 3 4 2" xfId="987" xr:uid="{980D909F-72E7-42BB-9ABB-0046E449B9DD}"/>
    <cellStyle name="Normal 8 3 5" xfId="860" xr:uid="{D3235BC3-3855-4D5F-91B0-A62605E89689}"/>
    <cellStyle name="Normal 8 4" xfId="384" xr:uid="{00000000-0005-0000-0000-000029010000}"/>
    <cellStyle name="Normal 8 4 2" xfId="450" xr:uid="{00000000-0005-0000-0000-00002A010000}"/>
    <cellStyle name="Normal 8 4 3" xfId="573" xr:uid="{44DAB4F7-7DFA-4B6F-8910-C77259B30341}"/>
    <cellStyle name="Normal 8 4 3 2" xfId="913" xr:uid="{BD0D7AED-1BE6-439B-ABC5-4DC2C1B8D41D}"/>
    <cellStyle name="Normal 8 4 4" xfId="780" xr:uid="{330352E8-B68B-414D-BEC7-BBDFB2FABEDB}"/>
    <cellStyle name="Normal 8 4 4 2" xfId="994" xr:uid="{BFCCCF4A-FCCB-49F5-AA48-D6A1C94C41A4}"/>
    <cellStyle name="Normal 8 4 5" xfId="867" xr:uid="{B4550992-979C-482F-991D-8BB87A9C3B80}"/>
    <cellStyle name="Normal 8 5" xfId="446" xr:uid="{00000000-0005-0000-0000-00002B010000}"/>
    <cellStyle name="Normal 8 6" xfId="553" xr:uid="{05E7CF4B-F9D8-489B-84D5-D80B36DFAB03}"/>
    <cellStyle name="Normal 8 6 2" xfId="893" xr:uid="{80792A8F-0AC7-4978-A059-452F41A1724B}"/>
    <cellStyle name="Normal 8 7" xfId="756" xr:uid="{CF3864EC-3C8B-47F8-9DE4-C36D44DE2FE9}"/>
    <cellStyle name="Normal 8 7 2" xfId="970" xr:uid="{5C573E7A-014A-4038-B419-8DC2921E54A2}"/>
    <cellStyle name="Normal 8 8" xfId="838" xr:uid="{E1BF82F4-9A25-4267-8E4D-F21784D91672}"/>
    <cellStyle name="Normal 9" xfId="204" xr:uid="{00000000-0005-0000-0000-00002C010000}"/>
    <cellStyle name="Normal 9 2" xfId="205" xr:uid="{00000000-0005-0000-0000-00002D010000}"/>
    <cellStyle name="Normal 9 2 2" xfId="379" xr:uid="{00000000-0005-0000-0000-00002E010000}"/>
    <cellStyle name="Normal 9 2 2 2" xfId="453" xr:uid="{00000000-0005-0000-0000-00002F010000}"/>
    <cellStyle name="Normal 9 2 2 3" xfId="569" xr:uid="{A99C1D8C-8047-45FE-8CA2-6A7A5E588AB7}"/>
    <cellStyle name="Normal 9 2 2 3 2" xfId="909" xr:uid="{14F140E3-2CCF-4D11-B8F8-E5F2A4CCE52B}"/>
    <cellStyle name="Normal 9 2 2 4" xfId="776" xr:uid="{D015925A-3C62-4DA0-B049-C61E9E8B2504}"/>
    <cellStyle name="Normal 9 2 2 4 2" xfId="990" xr:uid="{40B57581-A405-409B-A3EC-9C4F428F3ACF}"/>
    <cellStyle name="Normal 9 2 2 5" xfId="863" xr:uid="{19D6E83B-F31D-4E22-92F0-CF9BA035BAF2}"/>
    <cellStyle name="Normal 9 2 3" xfId="452" xr:uid="{00000000-0005-0000-0000-000030010000}"/>
    <cellStyle name="Normal 9 2 4" xfId="556" xr:uid="{36B8FB1D-0BF6-4A1B-9143-F2031231391C}"/>
    <cellStyle name="Normal 9 2 4 2" xfId="896" xr:uid="{15DEA01C-4975-43A8-BC68-54B0337D178B}"/>
    <cellStyle name="Normal 9 2 5" xfId="759" xr:uid="{DA2C6AC4-F6E3-4F3C-86BE-B13CB21C4B2D}"/>
    <cellStyle name="Normal 9 2 5 2" xfId="973" xr:uid="{E1BC1C2A-A346-4D3D-9795-AFB295425A93}"/>
    <cellStyle name="Normal 9 2 6" xfId="841" xr:uid="{D5E44660-3D51-48CF-8E3F-D68E1BF02BB7}"/>
    <cellStyle name="Normal 9 3" xfId="378" xr:uid="{00000000-0005-0000-0000-000031010000}"/>
    <cellStyle name="Normal 9 3 2" xfId="454" xr:uid="{00000000-0005-0000-0000-000032010000}"/>
    <cellStyle name="Normal 9 3 3" xfId="568" xr:uid="{2D610942-6139-4828-819D-5688C1B6993C}"/>
    <cellStyle name="Normal 9 3 3 2" xfId="908" xr:uid="{4F000372-F8BA-452C-85B7-6526AE00B7C5}"/>
    <cellStyle name="Normal 9 3 4" xfId="775" xr:uid="{255276EF-4E3B-4CFE-BA70-87905AF4E4E5}"/>
    <cellStyle name="Normal 9 3 4 2" xfId="989" xr:uid="{520B0448-CD34-4629-978A-6B96AB968CE4}"/>
    <cellStyle name="Normal 9 3 5" xfId="862" xr:uid="{6F56C9D5-5508-4476-B278-0263DB19273D}"/>
    <cellStyle name="Normal 9 4" xfId="451" xr:uid="{00000000-0005-0000-0000-000033010000}"/>
    <cellStyle name="Normal 9 5" xfId="555" xr:uid="{B28A6F71-978A-4100-AA30-22493BC80EA3}"/>
    <cellStyle name="Normal 9 5 2" xfId="895" xr:uid="{A68504DF-8781-4E73-8C6E-907736A7BD04}"/>
    <cellStyle name="Normal 9 6" xfId="758" xr:uid="{DDDE4A0D-BA3A-4533-A35D-4ECAD19F0D8E}"/>
    <cellStyle name="Normal 9 6 2" xfId="972" xr:uid="{A68BDA1D-486A-4145-96B6-C2F35AD9A0F0}"/>
    <cellStyle name="Normal 9 7" xfId="840" xr:uid="{CEC27AFE-6048-47B3-BAFA-6D7B4C24708D}"/>
    <cellStyle name="Normal_21 Exh B" xfId="206" xr:uid="{00000000-0005-0000-0000-000034010000}"/>
    <cellStyle name="Normal_ATC Projected 2008 Monthly Plant Balances for Attachment O 2 (2)" xfId="207" xr:uid="{00000000-0005-0000-0000-000035010000}"/>
    <cellStyle name="Normal_Attachment GG Example 8 26 09" xfId="208" xr:uid="{00000000-0005-0000-0000-000036010000}"/>
    <cellStyle name="Normal_Attachment GG Template ER11-28 11-18-10" xfId="209" xr:uid="{00000000-0005-0000-0000-000037010000}"/>
    <cellStyle name="Normal_Attachment O Support - 2004 True-up" xfId="210" xr:uid="{00000000-0005-0000-0000-000038010000}"/>
    <cellStyle name="Normal_Attachment Os for 2002 True-up" xfId="211" xr:uid="{00000000-0005-0000-0000-000039010000}"/>
    <cellStyle name="Normal_interest calc Book1" xfId="383" xr:uid="{00000000-0005-0000-0000-00003A010000}"/>
    <cellStyle name="Normal_Schedule O Info for Mike" xfId="212" xr:uid="{00000000-0005-0000-0000-00003B010000}"/>
    <cellStyle name="Note 2" xfId="455" xr:uid="{00000000-0005-0000-0000-00003C010000}"/>
    <cellStyle name="Note 3" xfId="632" xr:uid="{0CA88021-67FC-4D47-9678-D78E630A701D}"/>
    <cellStyle name="Note 3 2" xfId="794" xr:uid="{F26B5580-BF0D-46AC-B7E5-89AECA0D38F0}"/>
    <cellStyle name="Note 3 2 2" xfId="823" xr:uid="{5BE39A84-CCF6-4E4B-955D-1B8310E5D154}"/>
    <cellStyle name="Note 4" xfId="659" xr:uid="{E71BD73D-8E7D-445D-A724-E4E3549FD77F}"/>
    <cellStyle name="Note 4 2" xfId="928" xr:uid="{4AE3909A-48E6-4E3D-A055-F2C143AB1CBA}"/>
    <cellStyle name="Output 0,000" xfId="541" xr:uid="{CE886066-EC91-4FB2-9200-BF78F49F7802}"/>
    <cellStyle name="Output 0,000 2" xfId="719" xr:uid="{A826433F-8E24-4A0E-BEE6-FD64C4F82945}"/>
    <cellStyle name="Output 2" xfId="456" xr:uid="{00000000-0005-0000-0000-00003D010000}"/>
    <cellStyle name="Output 3" xfId="633" xr:uid="{79CFB6E1-968A-4961-9752-22F0BD9BC363}"/>
    <cellStyle name="Output 3 2" xfId="795" xr:uid="{993309DD-A5A4-4FE0-A25C-E3C99D64AF7F}"/>
    <cellStyle name="Output 3 2 2" xfId="824" xr:uid="{7A1C68D1-5EB0-49D1-AA97-835A53B6D618}"/>
    <cellStyle name="Output1_Back" xfId="213" xr:uid="{00000000-0005-0000-0000-00003E010000}"/>
    <cellStyle name="p" xfId="214" xr:uid="{00000000-0005-0000-0000-00003F010000}"/>
    <cellStyle name="p_2010 Attachment O  GG_082709" xfId="215" xr:uid="{00000000-0005-0000-0000-000040010000}"/>
    <cellStyle name="p_2010 Attachment O Template Supporting Work Papers_ITC Midwest" xfId="216" xr:uid="{00000000-0005-0000-0000-000041010000}"/>
    <cellStyle name="p_2010 Attachment O Template Supporting Work Papers_ITCTransmission" xfId="217" xr:uid="{00000000-0005-0000-0000-000042010000}"/>
    <cellStyle name="p_2010 Attachment O Template Supporting Work Papers_METC" xfId="218" xr:uid="{00000000-0005-0000-0000-000043010000}"/>
    <cellStyle name="p_2Mod11" xfId="219" xr:uid="{00000000-0005-0000-0000-000044010000}"/>
    <cellStyle name="p_aavidmod11.xls Chart 1" xfId="220" xr:uid="{00000000-0005-0000-0000-000045010000}"/>
    <cellStyle name="p_aavidmod11.xls Chart 2" xfId="221" xr:uid="{00000000-0005-0000-0000-000046010000}"/>
    <cellStyle name="p_Attachment O &amp; GG" xfId="222" xr:uid="{00000000-0005-0000-0000-000047010000}"/>
    <cellStyle name="p_charts for capm" xfId="223" xr:uid="{00000000-0005-0000-0000-000048010000}"/>
    <cellStyle name="p_DCF" xfId="224" xr:uid="{00000000-0005-0000-0000-000049010000}"/>
    <cellStyle name="p_DCF_2Mod11" xfId="225" xr:uid="{00000000-0005-0000-0000-00004A010000}"/>
    <cellStyle name="p_DCF_aavidmod11.xls Chart 1" xfId="226" xr:uid="{00000000-0005-0000-0000-00004B010000}"/>
    <cellStyle name="p_DCF_aavidmod11.xls Chart 2" xfId="227" xr:uid="{00000000-0005-0000-0000-00004C010000}"/>
    <cellStyle name="p_DCF_charts for capm" xfId="228" xr:uid="{00000000-0005-0000-0000-00004D010000}"/>
    <cellStyle name="p_DCF_DCF5" xfId="229" xr:uid="{00000000-0005-0000-0000-00004E010000}"/>
    <cellStyle name="p_DCF_Template2" xfId="230" xr:uid="{00000000-0005-0000-0000-00004F010000}"/>
    <cellStyle name="p_DCF_Template2_1" xfId="231" xr:uid="{00000000-0005-0000-0000-000050010000}"/>
    <cellStyle name="p_DCF_VERA" xfId="232" xr:uid="{00000000-0005-0000-0000-000051010000}"/>
    <cellStyle name="p_DCF_VERA_1" xfId="233" xr:uid="{00000000-0005-0000-0000-000052010000}"/>
    <cellStyle name="p_DCF_VERA_1_Template2" xfId="234" xr:uid="{00000000-0005-0000-0000-000053010000}"/>
    <cellStyle name="p_DCF_VERA_aavidmod11.xls Chart 2" xfId="235" xr:uid="{00000000-0005-0000-0000-000054010000}"/>
    <cellStyle name="p_DCF_VERA_Model02" xfId="236" xr:uid="{00000000-0005-0000-0000-000055010000}"/>
    <cellStyle name="p_DCF_VERA_Template2" xfId="237" xr:uid="{00000000-0005-0000-0000-000056010000}"/>
    <cellStyle name="p_DCF_VERA_VERA" xfId="238" xr:uid="{00000000-0005-0000-0000-000057010000}"/>
    <cellStyle name="p_DCF_VERA_VERA_1" xfId="239" xr:uid="{00000000-0005-0000-0000-000058010000}"/>
    <cellStyle name="p_DCF_VERA_VERA_2" xfId="240" xr:uid="{00000000-0005-0000-0000-000059010000}"/>
    <cellStyle name="p_DCF_VERA_VERA_Template2" xfId="241" xr:uid="{00000000-0005-0000-0000-00005A010000}"/>
    <cellStyle name="p_DCF5" xfId="242" xr:uid="{00000000-0005-0000-0000-00005B010000}"/>
    <cellStyle name="p_ITC Great Plains Formula 1-12-09a" xfId="243" xr:uid="{00000000-0005-0000-0000-00005C010000}"/>
    <cellStyle name="p_ITCM 2010 Template" xfId="244" xr:uid="{00000000-0005-0000-0000-00005D010000}"/>
    <cellStyle name="p_ITCMW 2009 Rate" xfId="245" xr:uid="{00000000-0005-0000-0000-00005E010000}"/>
    <cellStyle name="p_ITCMW 2010 Rate_083109" xfId="246" xr:uid="{00000000-0005-0000-0000-00005F010000}"/>
    <cellStyle name="p_ITCOP 2010 Rate_083109" xfId="247" xr:uid="{00000000-0005-0000-0000-000060010000}"/>
    <cellStyle name="p_ITCT 2009 Rate" xfId="248" xr:uid="{00000000-0005-0000-0000-000061010000}"/>
    <cellStyle name="p_ITCT New 2010 Attachment O &amp; GG_111209NL" xfId="249" xr:uid="{00000000-0005-0000-0000-000062010000}"/>
    <cellStyle name="p_METC 2010 Rate_083109" xfId="250" xr:uid="{00000000-0005-0000-0000-000063010000}"/>
    <cellStyle name="p_Template2" xfId="251" xr:uid="{00000000-0005-0000-0000-000064010000}"/>
    <cellStyle name="p_Template2_1" xfId="252" xr:uid="{00000000-0005-0000-0000-000065010000}"/>
    <cellStyle name="p_VERA" xfId="253" xr:uid="{00000000-0005-0000-0000-000066010000}"/>
    <cellStyle name="p_VERA_1" xfId="254" xr:uid="{00000000-0005-0000-0000-000067010000}"/>
    <cellStyle name="p_VERA_1_Template2" xfId="255" xr:uid="{00000000-0005-0000-0000-000068010000}"/>
    <cellStyle name="p_VERA_aavidmod11.xls Chart 2" xfId="256" xr:uid="{00000000-0005-0000-0000-000069010000}"/>
    <cellStyle name="p_VERA_Model02" xfId="257" xr:uid="{00000000-0005-0000-0000-00006A010000}"/>
    <cellStyle name="p_VERA_Template2" xfId="258" xr:uid="{00000000-0005-0000-0000-00006B010000}"/>
    <cellStyle name="p_VERA_VERA" xfId="259" xr:uid="{00000000-0005-0000-0000-00006C010000}"/>
    <cellStyle name="p_VERA_VERA_1" xfId="260" xr:uid="{00000000-0005-0000-0000-00006D010000}"/>
    <cellStyle name="p_VERA_VERA_2" xfId="261" xr:uid="{00000000-0005-0000-0000-00006E010000}"/>
    <cellStyle name="p_VERA_VERA_Template2" xfId="262" xr:uid="{00000000-0005-0000-0000-00006F010000}"/>
    <cellStyle name="p1" xfId="263" xr:uid="{00000000-0005-0000-0000-000070010000}"/>
    <cellStyle name="p2" xfId="264" xr:uid="{00000000-0005-0000-0000-000071010000}"/>
    <cellStyle name="p3" xfId="265" xr:uid="{00000000-0005-0000-0000-000072010000}"/>
    <cellStyle name="Percent" xfId="266" builtinId="5"/>
    <cellStyle name="Percent %" xfId="267" xr:uid="{00000000-0005-0000-0000-000074010000}"/>
    <cellStyle name="Percent % Long Underline" xfId="268" xr:uid="{00000000-0005-0000-0000-000075010000}"/>
    <cellStyle name="Percent (0)" xfId="269" xr:uid="{00000000-0005-0000-0000-000076010000}"/>
    <cellStyle name="Percent [0]" xfId="270" xr:uid="{00000000-0005-0000-0000-000077010000}"/>
    <cellStyle name="Percent [1]" xfId="271" xr:uid="{00000000-0005-0000-0000-000078010000}"/>
    <cellStyle name="Percent [2]" xfId="272" xr:uid="{00000000-0005-0000-0000-000079010000}"/>
    <cellStyle name="Percent [3]" xfId="273" xr:uid="{00000000-0005-0000-0000-00007A010000}"/>
    <cellStyle name="Percent 0.0%" xfId="274" xr:uid="{00000000-0005-0000-0000-00007B010000}"/>
    <cellStyle name="Percent 0.0% Long Underline" xfId="275" xr:uid="{00000000-0005-0000-0000-00007C010000}"/>
    <cellStyle name="Percent 0.00%" xfId="276" xr:uid="{00000000-0005-0000-0000-00007D010000}"/>
    <cellStyle name="Percent 0.00% Long Underline" xfId="277" xr:uid="{00000000-0005-0000-0000-00007E010000}"/>
    <cellStyle name="Percent 0.000%" xfId="278" xr:uid="{00000000-0005-0000-0000-00007F010000}"/>
    <cellStyle name="Percent 0.000% Long Underline" xfId="279" xr:uid="{00000000-0005-0000-0000-000080010000}"/>
    <cellStyle name="Percent 0.0000%" xfId="280" xr:uid="{00000000-0005-0000-0000-000081010000}"/>
    <cellStyle name="Percent 0.0000% Long Underline" xfId="281" xr:uid="{00000000-0005-0000-0000-000082010000}"/>
    <cellStyle name="Percent 10" xfId="686" xr:uid="{50F16835-ADB0-474C-95D7-2D2616EB4202}"/>
    <cellStyle name="Percent 10 2" xfId="801" xr:uid="{3CA20C46-D4C9-4CB8-9C7E-C9E16A9B43D5}"/>
    <cellStyle name="Percent 10 2 2" xfId="1010" xr:uid="{ACD3AB69-8634-4FDA-BF25-4FF33F08FCE3}"/>
    <cellStyle name="Percent 11" xfId="694" xr:uid="{6A035491-721B-47CA-BCE7-589E94C0AB5C}"/>
    <cellStyle name="Percent 12" xfId="723" xr:uid="{77EC72DC-AC7D-475D-964B-0C0696513A4C}"/>
    <cellStyle name="Percent 12 2" xfId="952" xr:uid="{217670CE-01EC-490F-B1E3-300BD91B992D}"/>
    <cellStyle name="Percent 2" xfId="282" xr:uid="{00000000-0005-0000-0000-000083010000}"/>
    <cellStyle name="Percent 2 2" xfId="283" xr:uid="{00000000-0005-0000-0000-000084010000}"/>
    <cellStyle name="Percent 3" xfId="284" xr:uid="{00000000-0005-0000-0000-000085010000}"/>
    <cellStyle name="Percent 3 2" xfId="285" xr:uid="{00000000-0005-0000-0000-000086010000}"/>
    <cellStyle name="Percent 3 3" xfId="710" xr:uid="{5EDE7A61-C737-4C97-8E76-5741E0B9042B}"/>
    <cellStyle name="Percent 3 3 2" xfId="946" xr:uid="{468F94B8-D0A8-4DF1-A60C-BD4A45E6432F}"/>
    <cellStyle name="Percent 4" xfId="286" xr:uid="{00000000-0005-0000-0000-000087010000}"/>
    <cellStyle name="Percent 5" xfId="287" xr:uid="{00000000-0005-0000-0000-000088010000}"/>
    <cellStyle name="Percent 6" xfId="288" xr:uid="{00000000-0005-0000-0000-000089010000}"/>
    <cellStyle name="Percent 7" xfId="289" xr:uid="{00000000-0005-0000-0000-00008A010000}"/>
    <cellStyle name="Percent 8" xfId="382" xr:uid="{00000000-0005-0000-0000-00008B010000}"/>
    <cellStyle name="Percent 8 2" xfId="457" xr:uid="{00000000-0005-0000-0000-00008C010000}"/>
    <cellStyle name="Percent 8 3" xfId="572" xr:uid="{C73D0746-EF13-42CB-8DFF-57DCBE060306}"/>
    <cellStyle name="Percent 8 3 2" xfId="912" xr:uid="{33EDBCE7-28AC-45AE-A13B-D39CF3132711}"/>
    <cellStyle name="Percent 8 4" xfId="779" xr:uid="{8EACF4B1-21E8-49C3-86C8-ADAAA901563A}"/>
    <cellStyle name="Percent 8 4 2" xfId="993" xr:uid="{B5367161-D868-4D03-9B91-509F088C109C}"/>
    <cellStyle name="Percent 8 5" xfId="866" xr:uid="{DC7769E0-D840-4338-A1BE-EC5F41D32121}"/>
    <cellStyle name="Percent 9" xfId="463" xr:uid="{00000000-0005-0000-0000-00008D010000}"/>
    <cellStyle name="Percent 9 2" xfId="578" xr:uid="{F7CA7DD7-9AD0-4862-8402-84450EFC8558}"/>
    <cellStyle name="Percent 9 2 2" xfId="918" xr:uid="{9ACBAADD-14CC-485A-9473-B743AB09EB3A}"/>
    <cellStyle name="Percent 9 3" xfId="785" xr:uid="{934E2874-17A7-4F21-824E-CE87B048163E}"/>
    <cellStyle name="Percent 9 3 2" xfId="999" xr:uid="{41532F91-C2B2-4413-8BC6-F00584E26E86}"/>
    <cellStyle name="Percent 9 4" xfId="874" xr:uid="{90A09588-E701-4A2D-A2D8-54F6C68D2144}"/>
    <cellStyle name="Percent Input" xfId="290" xr:uid="{00000000-0005-0000-0000-00008E010000}"/>
    <cellStyle name="Percent0" xfId="291" xr:uid="{00000000-0005-0000-0000-00008F010000}"/>
    <cellStyle name="Percent1" xfId="292" xr:uid="{00000000-0005-0000-0000-000090010000}"/>
    <cellStyle name="Percent2" xfId="293" xr:uid="{00000000-0005-0000-0000-000091010000}"/>
    <cellStyle name="PSChar" xfId="294" xr:uid="{00000000-0005-0000-0000-000092010000}"/>
    <cellStyle name="PSDate" xfId="295" xr:uid="{00000000-0005-0000-0000-000093010000}"/>
    <cellStyle name="PSDec" xfId="296" xr:uid="{00000000-0005-0000-0000-000094010000}"/>
    <cellStyle name="PSdesc" xfId="297" xr:uid="{00000000-0005-0000-0000-000095010000}"/>
    <cellStyle name="PSHeading" xfId="298" xr:uid="{00000000-0005-0000-0000-000096010000}"/>
    <cellStyle name="PSHeading 2" xfId="956" xr:uid="{D4F35688-D950-4995-8D3E-5443188100CF}"/>
    <cellStyle name="PSInt" xfId="299" xr:uid="{00000000-0005-0000-0000-000097010000}"/>
    <cellStyle name="PSSpacer" xfId="300" xr:uid="{00000000-0005-0000-0000-000098010000}"/>
    <cellStyle name="PStest" xfId="301" xr:uid="{00000000-0005-0000-0000-000099010000}"/>
    <cellStyle name="R00A" xfId="302" xr:uid="{00000000-0005-0000-0000-00009A010000}"/>
    <cellStyle name="R00B" xfId="303" xr:uid="{00000000-0005-0000-0000-00009B010000}"/>
    <cellStyle name="R00L" xfId="304" xr:uid="{00000000-0005-0000-0000-00009C010000}"/>
    <cellStyle name="R01A" xfId="305" xr:uid="{00000000-0005-0000-0000-00009D010000}"/>
    <cellStyle name="R01B" xfId="306" xr:uid="{00000000-0005-0000-0000-00009E010000}"/>
    <cellStyle name="R01B 2" xfId="760" xr:uid="{F27BC412-BC70-4CF6-A646-CB5EF195A052}"/>
    <cellStyle name="R01B 2 2" xfId="974" xr:uid="{ACE399BA-EA68-4F46-A521-C283104C8FC1}"/>
    <cellStyle name="R01B 2 3" xfId="820" xr:uid="{646C1989-4A1C-4403-B481-9600696D000A}"/>
    <cellStyle name="R01B 3" xfId="844" xr:uid="{D1CEB336-25CE-4B0C-94FA-D11E066243B1}"/>
    <cellStyle name="R01H" xfId="307" xr:uid="{00000000-0005-0000-0000-00009F010000}"/>
    <cellStyle name="R01L" xfId="308" xr:uid="{00000000-0005-0000-0000-0000A0010000}"/>
    <cellStyle name="R02A" xfId="309" xr:uid="{00000000-0005-0000-0000-0000A1010000}"/>
    <cellStyle name="R02B" xfId="310" xr:uid="{00000000-0005-0000-0000-0000A2010000}"/>
    <cellStyle name="R02H" xfId="311" xr:uid="{00000000-0005-0000-0000-0000A3010000}"/>
    <cellStyle name="R02L" xfId="312" xr:uid="{00000000-0005-0000-0000-0000A4010000}"/>
    <cellStyle name="R03A" xfId="313" xr:uid="{00000000-0005-0000-0000-0000A5010000}"/>
    <cellStyle name="R03B" xfId="314" xr:uid="{00000000-0005-0000-0000-0000A6010000}"/>
    <cellStyle name="R03H" xfId="315" xr:uid="{00000000-0005-0000-0000-0000A7010000}"/>
    <cellStyle name="R03L" xfId="316" xr:uid="{00000000-0005-0000-0000-0000A8010000}"/>
    <cellStyle name="R04A" xfId="317" xr:uid="{00000000-0005-0000-0000-0000A9010000}"/>
    <cellStyle name="R04B" xfId="318" xr:uid="{00000000-0005-0000-0000-0000AA010000}"/>
    <cellStyle name="R04H" xfId="319" xr:uid="{00000000-0005-0000-0000-0000AB010000}"/>
    <cellStyle name="R04L" xfId="320" xr:uid="{00000000-0005-0000-0000-0000AC010000}"/>
    <cellStyle name="R05A" xfId="321" xr:uid="{00000000-0005-0000-0000-0000AD010000}"/>
    <cellStyle name="R05B" xfId="322" xr:uid="{00000000-0005-0000-0000-0000AE010000}"/>
    <cellStyle name="R05H" xfId="323" xr:uid="{00000000-0005-0000-0000-0000AF010000}"/>
    <cellStyle name="R05L" xfId="324" xr:uid="{00000000-0005-0000-0000-0000B0010000}"/>
    <cellStyle name="R05L 2" xfId="325" xr:uid="{00000000-0005-0000-0000-0000B1010000}"/>
    <cellStyle name="R06A" xfId="326" xr:uid="{00000000-0005-0000-0000-0000B2010000}"/>
    <cellStyle name="R06B" xfId="327" xr:uid="{00000000-0005-0000-0000-0000B3010000}"/>
    <cellStyle name="R06H" xfId="328" xr:uid="{00000000-0005-0000-0000-0000B4010000}"/>
    <cellStyle name="R06L" xfId="329" xr:uid="{00000000-0005-0000-0000-0000B5010000}"/>
    <cellStyle name="R07A" xfId="330" xr:uid="{00000000-0005-0000-0000-0000B6010000}"/>
    <cellStyle name="R07B" xfId="331" xr:uid="{00000000-0005-0000-0000-0000B7010000}"/>
    <cellStyle name="R07H" xfId="332" xr:uid="{00000000-0005-0000-0000-0000B8010000}"/>
    <cellStyle name="R07L" xfId="333" xr:uid="{00000000-0005-0000-0000-0000B9010000}"/>
    <cellStyle name="rborder" xfId="334" xr:uid="{00000000-0005-0000-0000-0000BA010000}"/>
    <cellStyle name="red" xfId="335" xr:uid="{00000000-0005-0000-0000-0000BB010000}"/>
    <cellStyle name="s_HardInc " xfId="336" xr:uid="{00000000-0005-0000-0000-0000BC010000}"/>
    <cellStyle name="s_HardInc _ITC Great Plains Formula 1-12-09a" xfId="337" xr:uid="{00000000-0005-0000-0000-0000BD010000}"/>
    <cellStyle name="SAPBorder" xfId="495" xr:uid="{41C7B45B-1E91-4082-8BC4-960C0F9993C0}"/>
    <cellStyle name="SAPDataCell" xfId="477" xr:uid="{637CC1E4-23E3-4541-A923-903E996BAC86}"/>
    <cellStyle name="SAPDataCell 2" xfId="741" xr:uid="{92D10BD5-ADF2-46F0-AEB7-CB701E1316AB}"/>
    <cellStyle name="SAPDataRemoved" xfId="496" xr:uid="{9C5E7A79-6F94-4189-863D-4A5A0DD909D3}"/>
    <cellStyle name="SAPDataTotalCell" xfId="478" xr:uid="{860A0205-F508-458A-BE81-5D2B486E5775}"/>
    <cellStyle name="SAPDataTotalCell 2" xfId="742" xr:uid="{364E3348-445B-42FC-8912-DDE05E362B0E}"/>
    <cellStyle name="SAPDimensionCell" xfId="476" xr:uid="{5026E0AD-BD0E-42EF-966C-957B0DE07F15}"/>
    <cellStyle name="SAPDimensionCell 2" xfId="737" xr:uid="{17D50183-4A7E-4F85-97A5-B4A334429811}"/>
    <cellStyle name="SAPEditableDataCell" xfId="480" xr:uid="{55F1F9E2-540B-4633-8B22-9E2B6D39CEE7}"/>
    <cellStyle name="SAPEditableDataCell 2" xfId="634" xr:uid="{DA2F7D41-CFB1-4890-9014-5DFEED451B99}"/>
    <cellStyle name="SAPEditableDataTotalCell" xfId="483" xr:uid="{AC268D5B-E7E2-4185-ABF6-DAF218363C0E}"/>
    <cellStyle name="SAPEditableDataTotalCell 2" xfId="635" xr:uid="{74E90DB8-7D5C-4825-B669-228AD6690F27}"/>
    <cellStyle name="SAPEmphasized" xfId="506" xr:uid="{FB5D78EC-3FC5-451E-A5FB-63784086AA80}"/>
    <cellStyle name="SAPEmphasizedEditableDataCell" xfId="508" xr:uid="{A50D6E86-FB2B-4FA1-8221-79A3CDAA4473}"/>
    <cellStyle name="SAPEmphasizedEditableDataCell 2" xfId="636" xr:uid="{70F7AA7B-19A0-4D70-B072-BC44BA5C8FCA}"/>
    <cellStyle name="SAPEmphasizedEditableDataTotalCell" xfId="509" xr:uid="{ED5216C3-5619-4583-A7D4-DC46CB1FB7FA}"/>
    <cellStyle name="SAPEmphasizedEditableDataTotalCell 2" xfId="637" xr:uid="{484F4AD9-E7C0-4D87-B341-4C4DEF3C97D2}"/>
    <cellStyle name="SAPEmphasizedLockedDataCell" xfId="512" xr:uid="{BBCAF203-1DE9-4DB1-9E25-70B3C1F1F214}"/>
    <cellStyle name="SAPEmphasizedLockedDataCell 2" xfId="638" xr:uid="{875C9E76-1AD3-4D7A-8646-F4A179E7B2F5}"/>
    <cellStyle name="SAPEmphasizedLockedDataTotalCell" xfId="513" xr:uid="{22D12315-51F7-4462-B28B-617274904BE6}"/>
    <cellStyle name="SAPEmphasizedLockedDataTotalCell 2" xfId="639" xr:uid="{D255F498-33AD-40C0-9110-2F9B63391350}"/>
    <cellStyle name="SAPEmphasizedReadonlyDataCell" xfId="510" xr:uid="{C3AF473D-D1D0-4462-A5DE-F1ED60B7E8EA}"/>
    <cellStyle name="SAPEmphasizedReadonlyDataTotalCell" xfId="511" xr:uid="{7B163A38-3552-4717-AE24-A782C41512C0}"/>
    <cellStyle name="SAPEmphasizedTotal" xfId="507" xr:uid="{7EFCF6DE-B8BF-40DF-99C7-C6648CAFF631}"/>
    <cellStyle name="SAPEmphasizedTotal 2" xfId="640" xr:uid="{79D3BC7F-54CB-4E34-8495-FF38CAE25DFA}"/>
    <cellStyle name="SAPError" xfId="497" xr:uid="{50295A01-11F8-41C3-B80C-7BCE23DB722B}"/>
    <cellStyle name="SAPExceptionLevel1" xfId="486" xr:uid="{DA8CBA72-4117-4C75-BAEE-42406DAD372F}"/>
    <cellStyle name="SAPExceptionLevel2" xfId="487" xr:uid="{E284AEE8-8EC7-45E1-A723-540DF0D3A13F}"/>
    <cellStyle name="SAPExceptionLevel3" xfId="488" xr:uid="{C2E7C678-C578-4A18-980D-FB47F95B0DFB}"/>
    <cellStyle name="SAPExceptionLevel3 2" xfId="641" xr:uid="{F60F8062-497C-4843-BCFC-F89F613117C5}"/>
    <cellStyle name="SAPExceptionLevel4" xfId="489" xr:uid="{296C5C8F-59F2-41FC-AC1C-96D58967706D}"/>
    <cellStyle name="SAPExceptionLevel5" xfId="490" xr:uid="{79A77100-AA22-4DE6-8B3A-B67F0DB16E83}"/>
    <cellStyle name="SAPExceptionLevel6" xfId="491" xr:uid="{47D3B1B7-D963-48CD-B399-225796092037}"/>
    <cellStyle name="SAPExceptionLevel6 2" xfId="642" xr:uid="{082BE147-418F-43D5-87E7-83AEBC740C59}"/>
    <cellStyle name="SAPExceptionLevel7" xfId="492" xr:uid="{8783D2E9-5546-469C-B05D-ADFBD021557B}"/>
    <cellStyle name="SAPExceptionLevel8" xfId="493" xr:uid="{3F1404AB-9373-4719-8A88-68AE6041D862}"/>
    <cellStyle name="SAPExceptionLevel8 2" xfId="643" xr:uid="{E336AA47-8776-4D0E-9605-5B5D1541EB6C}"/>
    <cellStyle name="SAPExceptionLevel9" xfId="494" xr:uid="{5E6F61FC-2DFE-4A55-A666-8EE3E47BFA70}"/>
    <cellStyle name="SAPFormula" xfId="514" xr:uid="{5534F03F-73BD-48E9-BEEE-EBED07101128}"/>
    <cellStyle name="SAPGroupingFillCell" xfId="479" xr:uid="{1EE54A07-9C35-4AD7-894E-F46422DEFDBF}"/>
    <cellStyle name="SAPHierarchyCell0" xfId="501" xr:uid="{B5D0A50A-0CE9-4A67-B5F3-747A2B53C58A}"/>
    <cellStyle name="SAPHierarchyCell0 2" xfId="738" xr:uid="{54C7941D-2EBB-4DF2-94C0-0112DF3428B2}"/>
    <cellStyle name="SAPHierarchyCell1" xfId="502" xr:uid="{B2B87B4A-0C93-476F-A66F-E56480359A68}"/>
    <cellStyle name="SAPHierarchyCell2" xfId="503" xr:uid="{870227B9-BDB4-475D-9EA1-29B5B36621CB}"/>
    <cellStyle name="SAPHierarchyCell3" xfId="504" xr:uid="{D2B2EC84-F5B5-4779-AA1F-8BF1FFF28CD7}"/>
    <cellStyle name="SAPHierarchyCell4" xfId="505" xr:uid="{65F0F3CE-C467-4927-9163-DECC54A91BC8}"/>
    <cellStyle name="SAPLockedDataCell" xfId="482" xr:uid="{B52B4DFD-72C0-4041-B156-71B55E712D14}"/>
    <cellStyle name="SAPLockedDataCell 2" xfId="644" xr:uid="{8126B5B8-AE97-44F1-994E-DC066A84FC2B}"/>
    <cellStyle name="SAPLockedDataTotalCell" xfId="485" xr:uid="{DC6CDA28-4B8E-4519-A6E3-D6FC7CE5352F}"/>
    <cellStyle name="SAPLockedDataTotalCell 2" xfId="645" xr:uid="{AB24777B-2C5C-4D1B-9DB5-40DBACCB428D}"/>
    <cellStyle name="SAPMemberCell" xfId="499" xr:uid="{31C7B782-A01A-45D4-8721-CBA5E7799CA5}"/>
    <cellStyle name="SAPMemberCell 2" xfId="739" xr:uid="{58446E92-6FA9-4461-B16D-2C55CF7DA588}"/>
    <cellStyle name="SAPMemberTotalCell" xfId="500" xr:uid="{66372B23-8CFF-435B-9AE2-3709BFF58B4E}"/>
    <cellStyle name="SAPMemberTotalCell 2" xfId="740" xr:uid="{4B3FA945-7FA2-48EC-8CD9-2783B540CE8E}"/>
    <cellStyle name="SAPMessageText" xfId="498" xr:uid="{484E3421-0235-4C85-B3DE-C6A597B9EF0E}"/>
    <cellStyle name="SAPReadonlyDataCell" xfId="481" xr:uid="{48333976-D37A-4FFD-9533-3E5C0D994FD5}"/>
    <cellStyle name="SAPReadonlyDataTotalCell" xfId="484" xr:uid="{6B8D49B5-BB4C-498A-8756-30459F99D342}"/>
    <cellStyle name="scenario" xfId="338" xr:uid="{00000000-0005-0000-0000-0000BE010000}"/>
    <cellStyle name="scenario 2" xfId="828" xr:uid="{709A2454-25F4-4462-82AC-4D886C4C7930}"/>
    <cellStyle name="SECTION" xfId="339" xr:uid="{00000000-0005-0000-0000-0000BF010000}"/>
    <cellStyle name="SECTION 2" xfId="458" xr:uid="{00000000-0005-0000-0000-0000C0010000}"/>
    <cellStyle name="Sheet Title" xfId="646" xr:uid="{4824BD7C-5FF4-4F36-831E-55C94A188BD5}"/>
    <cellStyle name="Sheetmult" xfId="340" xr:uid="{00000000-0005-0000-0000-0000C1010000}"/>
    <cellStyle name="Shtmultx" xfId="341" xr:uid="{00000000-0005-0000-0000-0000C2010000}"/>
    <cellStyle name="Style 1" xfId="342" xr:uid="{00000000-0005-0000-0000-0000C3010000}"/>
    <cellStyle name="STYLE1" xfId="343" xr:uid="{00000000-0005-0000-0000-0000C4010000}"/>
    <cellStyle name="STYLE2" xfId="344" xr:uid="{00000000-0005-0000-0000-0000C5010000}"/>
    <cellStyle name="SubHeader" xfId="519" xr:uid="{FDD9A605-9F0A-4BEE-BF84-CBE8A653E63A}"/>
    <cellStyle name="SubHeader 2" xfId="676" xr:uid="{FE803EA6-8F70-4DAC-ADCE-FB0A40A944F8}"/>
    <cellStyle name="SubTotalNumber" xfId="587" xr:uid="{49E785B3-8B21-4517-AD06-8DF3CDDD9140}"/>
    <cellStyle name="SubTotalNumber 2" xfId="683" xr:uid="{780EBE0C-AE04-4909-B684-357D9A16B8CC}"/>
    <cellStyle name="SubTotalNumber 2 2" xfId="799" xr:uid="{8BD6E81D-E32A-4788-B459-74F28C5DFFAE}"/>
    <cellStyle name="SubTotalNumber 2 2 2" xfId="1008" xr:uid="{40FE36CA-3B06-480D-B644-D3FC629C279F}"/>
    <cellStyle name="SubTotalNumber 2 3" xfId="936" xr:uid="{CD611710-491E-4374-ABA4-DC9E338F4924}"/>
    <cellStyle name="SubTotalNumber 2 4" xfId="1023" xr:uid="{4A878688-9364-49E4-B28F-85AA3DD7ACA9}"/>
    <cellStyle name="SubTotalNumber 3" xfId="788" xr:uid="{1BA543E8-2790-4D13-B482-CC685667697F}"/>
    <cellStyle name="SubTotalNumber 3 2" xfId="1002" xr:uid="{E3CB6148-5190-4D5E-AC2A-906F38D2042A}"/>
    <cellStyle name="SubTotalNumber 4" xfId="921" xr:uid="{EECDC749-1A24-470C-81D7-A3340933CC5C}"/>
    <cellStyle name="SubTotalRate" xfId="695" xr:uid="{DE8C8AB3-D012-4A4E-A0A9-F46403E21520}"/>
    <cellStyle name="SubTotalRate 2" xfId="938" xr:uid="{B8CED6A5-116A-4CF4-B0E2-1EB1CD651C0E}"/>
    <cellStyle name="System Defined" xfId="345" xr:uid="{00000000-0005-0000-0000-0000C6010000}"/>
    <cellStyle name="TableHeading" xfId="346" xr:uid="{00000000-0005-0000-0000-0000C7010000}"/>
    <cellStyle name="tb" xfId="347" xr:uid="{00000000-0005-0000-0000-0000C8010000}"/>
    <cellStyle name="tb 2" xfId="761" xr:uid="{55A04314-612C-46EA-8C20-F290347C55DF}"/>
    <cellStyle name="tb 2 2" xfId="975" xr:uid="{5B70F4D0-0D0B-4253-B7EA-72DD23817B2A}"/>
    <cellStyle name="tb 3" xfId="845" xr:uid="{CD31CCD5-B6A8-4216-B324-86736B78238D}"/>
    <cellStyle name="TextNumber" xfId="522" xr:uid="{E290E464-3BEF-4A16-9FD4-1D59A7B39C5E}"/>
    <cellStyle name="TextNumber 2" xfId="672" xr:uid="{E59569D7-F0DE-4129-82EC-51F799FACD6D}"/>
    <cellStyle name="TextRate" xfId="590" xr:uid="{6D7A6610-42EE-4D2A-B3FE-B3E36B476169}"/>
    <cellStyle name="Tickmark" xfId="348" xr:uid="{00000000-0005-0000-0000-0000C9010000}"/>
    <cellStyle name="Title 2" xfId="459" xr:uid="{00000000-0005-0000-0000-0000CA010000}"/>
    <cellStyle name="Title1" xfId="349" xr:uid="{00000000-0005-0000-0000-0000CB010000}"/>
    <cellStyle name="top" xfId="350" xr:uid="{00000000-0005-0000-0000-0000CC010000}"/>
    <cellStyle name="top 2" xfId="762" xr:uid="{EB0B1440-5F25-4A80-ADF0-645658726B78}"/>
    <cellStyle name="top 2 2" xfId="976" xr:uid="{7777EA9B-013E-45F5-86A5-6C50F8421C88}"/>
    <cellStyle name="top 2 3" xfId="925" xr:uid="{EE383AA8-5CE0-41F3-A832-62DCC3F03F70}"/>
    <cellStyle name="top 3" xfId="846" xr:uid="{B17C2E44-3821-4B6D-A9B9-F7C868A2C1F1}"/>
    <cellStyle name="Total" xfId="351" builtinId="25" customBuiltin="1"/>
    <cellStyle name="Total 2" xfId="647" xr:uid="{3AFAEC6A-B990-4D62-AC3A-42802C02A39D}"/>
    <cellStyle name="Total 2 2" xfId="796" xr:uid="{288E3013-AD61-4EC7-897A-1B6E891BBE7B}"/>
    <cellStyle name="Total 2 2 2" xfId="849" xr:uid="{F6551D52-CE8C-4163-94C8-7B385CBE293A}"/>
    <cellStyle name="TotalNumber" xfId="525" xr:uid="{1117E80A-25B2-47EA-9E1E-8F617EA50B39}"/>
    <cellStyle name="TotalNumber 2" xfId="670" xr:uid="{F482BCD4-3925-45D7-BE6D-E3DC4C9F4D7D}"/>
    <cellStyle name="TotalNumber 2 2" xfId="803" xr:uid="{A1A9F46B-247A-44E7-A0AA-574FF6398DC2}"/>
    <cellStyle name="TotalNumber 2 2 2" xfId="1022" xr:uid="{D84DD966-7C2E-4BE4-8754-4FF32B58BE0F}"/>
    <cellStyle name="TotalNumber 2 3" xfId="797" xr:uid="{B53DDED2-9109-4336-8B1B-64D2CDB10F75}"/>
    <cellStyle name="TotalNumber 2 3 2" xfId="1006" xr:uid="{62FA1FD2-BC5F-4C8A-9F60-BD79A70A6E31}"/>
    <cellStyle name="TotalNumber 2 3 3" xfId="847" xr:uid="{BA8D9D1F-A079-4623-AFC0-BF06A221DFAA}"/>
    <cellStyle name="TotalNumber 2 4" xfId="931" xr:uid="{15218AC7-4D91-47C7-81B7-933E4A15B454}"/>
    <cellStyle name="TotalNumber 3" xfId="818" xr:uid="{7CEFAA5C-EB17-42FB-93B0-BEA0667FCB4B}"/>
    <cellStyle name="TotalRate" xfId="699" xr:uid="{EA2FBB05-0C22-459B-A729-685C3FB111AF}"/>
    <cellStyle name="TotalRate 2" xfId="940" xr:uid="{C34A2490-F601-4EE0-97E1-EC5B82511EF6}"/>
    <cellStyle name="TotalText" xfId="524" xr:uid="{538EF8D0-3464-4874-AD87-A4562340DE31}"/>
    <cellStyle name="TotalText 2" xfId="671" xr:uid="{CC03672A-DD46-40F3-B0E5-796D351A0A60}"/>
    <cellStyle name="UnitHeader" xfId="650" xr:uid="{B6097FDF-E807-40CB-939F-93A5FE1D4AB6}"/>
    <cellStyle name="UnitHeader 2" xfId="690" xr:uid="{41C62BD9-C31E-40DC-817F-9369FF11E417}"/>
    <cellStyle name="w" xfId="352" xr:uid="{00000000-0005-0000-0000-0000CE010000}"/>
    <cellStyle name="Warning Text 2" xfId="460" xr:uid="{00000000-0005-0000-0000-0000CF010000}"/>
    <cellStyle name="Warning Text 3" xfId="648" xr:uid="{FFEB803D-F7AE-4AB3-85D9-DDAF626A8BEF}"/>
    <cellStyle name="XComma" xfId="353" xr:uid="{00000000-0005-0000-0000-0000D0010000}"/>
    <cellStyle name="XComma 0.0" xfId="354" xr:uid="{00000000-0005-0000-0000-0000D1010000}"/>
    <cellStyle name="XComma 0.00" xfId="355" xr:uid="{00000000-0005-0000-0000-0000D2010000}"/>
    <cellStyle name="XComma 0.000" xfId="356" xr:uid="{00000000-0005-0000-0000-0000D3010000}"/>
    <cellStyle name="XCurrency" xfId="357" xr:uid="{00000000-0005-0000-0000-0000D4010000}"/>
    <cellStyle name="XCurrency 0.0" xfId="358" xr:uid="{00000000-0005-0000-0000-0000D5010000}"/>
    <cellStyle name="XCurrency 0.00" xfId="359" xr:uid="{00000000-0005-0000-0000-0000D6010000}"/>
    <cellStyle name="XCurrency 0.000" xfId="360" xr:uid="{00000000-0005-0000-0000-0000D7010000}"/>
    <cellStyle name="Year" xfId="540" xr:uid="{B7DBD587-37C4-4AD8-845B-66A36E0518E5}"/>
    <cellStyle name="yra" xfId="361" xr:uid="{00000000-0005-0000-0000-0000D8010000}"/>
    <cellStyle name="yrActual" xfId="362" xr:uid="{00000000-0005-0000-0000-0000D9010000}"/>
    <cellStyle name="yre" xfId="363" xr:uid="{00000000-0005-0000-0000-0000DA010000}"/>
    <cellStyle name="yrExpect" xfId="364" xr:uid="{00000000-0005-0000-0000-0000DB010000}"/>
    <cellStyle name="yrExpect 2" xfId="763" xr:uid="{363E0E31-00F5-4E66-84CB-5AE686982F8D}"/>
    <cellStyle name="yrExpect 2 2" xfId="977" xr:uid="{263991F3-1FB6-4D4F-A6D0-A7342F5A37AB}"/>
    <cellStyle name="yrExpect 3" xfId="850" xr:uid="{4025185A-C52A-4062-B1EA-F0C0E821F43C}"/>
  </cellStyles>
  <dxfs count="0"/>
  <tableStyles count="0" defaultTableStyle="TableStyleMedium2" defaultPivotStyle="PivotStyleLight16"/>
  <colors>
    <mruColors>
      <color rgb="FFFFFF99"/>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styles" Target="styles.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guajpae1\Local%20Settings\Temporary%20Internet%20Files\OLK17\03%202005%20StorageClosePack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VENERGY3\Shared\Invenergy%20LLC\Projects%20-%20Gas\M&amp;A\NorthWestern%20Montana%20First\Models\MFM%201x1%20GTCC%20031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bxsw65\pgen\My%20Documents\Budgets\BPP\BPP07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bxsf23\VOL1\COMBCYC\PMG\performance\UNIT4PR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cfs30\global\Nalco%20Files\Process%20Models%20and%20Calculators\Blank%20Process%20Model%20Rev%201.03%200105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ridliance-my.sharepoint.com/Users/JBishop/Desktop/Budget/Reg%20Asset%20Analysis%20%2011.26.16%20v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4.190\ops-alldata\DATA\CAR%20workbooks\TBC%20Order%20%23814%20GIS\TBC%20Order%20%23814%20GIS%20CAR%20-%2008.16.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bxsf23\VOL1\ENG%20&amp;%20Construction%20Wind%20Projects\01=ESTIMATING%20ONLY\4%20Projects\Transmission\5%20NYISO\NYISO%20LI%20PPTN\1%20Estimate\NY_Transmission_NYISO_LI_PPTN_Estimate_2021-10-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fxc0afm\AppData\Roaming\Microsoft\Excel\Wind_Template_2019-06-05%20(version%202).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44608;&#47749;&#54732;\&#45224;&#50577;&#51452;\765KV.MUL\TOTAL\&#45817;1&#5478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ocuments%20and%20Settings\atb0hw9\Desktop\Ab_temp\Desktop\WIP2\Hurdle_Rate_Study_2003\Hurdle_Rate_Study_2002\2002VLData\2002HR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ata%20Sheets\Vendor%20Spreadsheets\BridgeCra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bxsf23\VOL1\ZZ%20-%20Template%20Owners\Transmission_Substation\Starting%20Templates\TLine_Template_02182019_Working_Calc_X.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Documents%20and%20Settings\Scott.Stern\Desktop\25%20Hoku%20PolySilicon\UHOK0004\(8)%20Utilities%20and%20Pipe%20Specifications\HYSYS%20Stream%20Reporter%20HOKU%20Evaporator,%20Water%20Cooled%20Condenser,%20Rev%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turns\Post%202001%20returns\Tax%20Return%20Workpaper%20Files\2012\FPL%20&amp;%20SUBS\Income%20Tax\Tax%20Return%20Workpapers\TQs\12TQ18%20MSC\2012_FPL_100101_TQ18_Mixed%20Service%20Cost_TaxWorkpaper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program%20files\notes\data\Due%20Diligence\1%20-%20WORKING%20PROJECTS\Tesla\Performance\Gate%20cycle%20models\Run%20Tesla%20CC%202X1%20Plant%20Using%20Gate%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nee.sharepoint.com/_NEET/Budget_Forecast/2020%20Forecasts/09.2020/TBC/R09%20TBC%20Forecast%20Model_updated%20plan%20NI%202021-2026.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Solar%20PV\Lincoln\Budget\Lincoln%20Combined%2020%20MW%20PVO&amp;M%20%20Budget%209-21-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Escalations\2001\2000-01Actual%20EscalationsFINALrevd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rojects\01%20PPE%20ESP\Current\Port%20Everglades%20PC_Template_Aug05re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4608;&#47749;&#54732;\&#45224;&#50577;&#51452;\&#54861;&#44540;\&#53468;&#50504;-&#49888;&#49436;&#49328;\&#44592;&#52488;&#52509;&#44292;\&#44053;&#44288;\&#44053;&#44288;&#45236;&#50669;&#4943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nee.sharepoint.com/_NEET/Budget_Forecast/2021%20Budget%20Cycle/Operating%20Projects/TBC/Reference%20info/TBC%202020%20Budget.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Due%20Diligence\Market%20Models%20-%20Resource%20Planning\NEPOOLCA%20PX%20Power%20Pool\G%201X1%20%20Assumptions\NEPOOL%20%20&amp;%20CAPX%20350%20Mw%20(G)%20%20CC%20O&amp;M%20%20REV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nee.sharepoint.com/_NEET/Budget_Forecast/2021%20Forecasts/03-2021/TBC/R3%20Fcst%20Models/TBC%20R03%20Forecast_v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44608;&#47749;&#54732;\&#45224;&#50577;&#51452;\KBY\HJH\765TL\&#49436;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44608;&#47749;&#54732;\&#45224;&#50577;&#51452;\EXCEL\EXCEL\&#44277;&#51333;&#45800;&#4403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9437;&#44305;&#54788;\&#45236;&#49436;&#47448;\&#51088;&#48376;&#50696;&#49328;&#44277;&#49324;\&#45224;&#51064;&#48376;&#51060;&#49444;\&#51060;&#49444;\&#49688;&#49457;&#51060;&#49444;\suk\&#49688;&#49457;&#51060;&#49444;\MOVE5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44608;&#47749;&#54732;\&#45224;&#50577;&#51452;\765\KV\T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VMAstsumry"/>
      <sheetName val="Exectutive Summry vs. GL"/>
      <sheetName val="ACTIVITY TIE OUT"/>
      <sheetName val="Working Gas Storage Position"/>
      <sheetName val="BOOK 0503"/>
      <sheetName val="storgvol_smrypricing_GL"/>
      <sheetName val="DSAR"/>
      <sheetName val="summary by source 2004"/>
      <sheetName val="Expense Escalation-Old-dk"/>
    </sheetNames>
    <sheetDataSet>
      <sheetData sheetId="0"/>
      <sheetData sheetId="1"/>
      <sheetData sheetId="2"/>
      <sheetData sheetId="3"/>
      <sheetData sheetId="4"/>
      <sheetData sheetId="5"/>
      <sheetData sheetId="6"/>
      <sheetData sheetId="7" refreshError="1">
        <row r="6">
          <cell r="A6">
            <v>1</v>
          </cell>
          <cell r="B6">
            <v>76</v>
          </cell>
          <cell r="C6">
            <v>-96</v>
          </cell>
          <cell r="D6">
            <v>0</v>
          </cell>
          <cell r="E6">
            <v>-191</v>
          </cell>
          <cell r="F6">
            <v>0</v>
          </cell>
          <cell r="G6">
            <v>-89</v>
          </cell>
          <cell r="H6">
            <v>-104</v>
          </cell>
          <cell r="I6">
            <v>-49</v>
          </cell>
          <cell r="J6">
            <v>-100</v>
          </cell>
          <cell r="K6">
            <v>-32</v>
          </cell>
          <cell r="L6">
            <v>-16</v>
          </cell>
          <cell r="M6">
            <v>-414</v>
          </cell>
          <cell r="P6">
            <v>-1015</v>
          </cell>
          <cell r="S6">
            <v>-601.89285714285711</v>
          </cell>
          <cell r="T6">
            <v>-1015</v>
          </cell>
          <cell r="U6">
            <v>-750</v>
          </cell>
          <cell r="V6">
            <v>-601.89285714285711</v>
          </cell>
          <cell r="W6">
            <v>-374</v>
          </cell>
          <cell r="X6">
            <v>-405</v>
          </cell>
          <cell r="Y6">
            <v>-317.07142857142856</v>
          </cell>
          <cell r="AA6">
            <v>0</v>
          </cell>
          <cell r="AB6">
            <v>-12.178571428571429</v>
          </cell>
          <cell r="AF6">
            <v>0</v>
          </cell>
          <cell r="AG6">
            <v>2.6428571428571428</v>
          </cell>
          <cell r="AL6">
            <v>-287</v>
          </cell>
          <cell r="AM6">
            <v>-345</v>
          </cell>
          <cell r="AN6">
            <v>-275.28571428571428</v>
          </cell>
          <cell r="AR6">
            <v>-661</v>
          </cell>
          <cell r="AS6">
            <v>-750</v>
          </cell>
          <cell r="AT6">
            <v>-592.35714285714289</v>
          </cell>
          <cell r="AV6">
            <v>-16.321428571428573</v>
          </cell>
          <cell r="AW6">
            <v>-74.857142857142861</v>
          </cell>
          <cell r="AX6">
            <v>-90.678571428571431</v>
          </cell>
          <cell r="AY6">
            <v>-73.642857142857139</v>
          </cell>
          <cell r="AZ6">
            <v>-27.071428571428573</v>
          </cell>
          <cell r="BA6">
            <v>-34.5</v>
          </cell>
          <cell r="BB6">
            <v>-212.03571428571428</v>
          </cell>
          <cell r="BC6">
            <v>1.5</v>
          </cell>
          <cell r="BD6">
            <v>-59.5</v>
          </cell>
          <cell r="BE6">
            <v>-5.25</v>
          </cell>
          <cell r="BJ6">
            <v>-15</v>
          </cell>
          <cell r="BK6">
            <v>-110</v>
          </cell>
          <cell r="BL6">
            <v>-100</v>
          </cell>
          <cell r="BM6">
            <v>-100</v>
          </cell>
          <cell r="BN6">
            <v>-35</v>
          </cell>
          <cell r="BO6">
            <v>-45</v>
          </cell>
          <cell r="BP6">
            <v>-225</v>
          </cell>
          <cell r="BQ6">
            <v>-40</v>
          </cell>
          <cell r="BR6">
            <v>-80</v>
          </cell>
          <cell r="BS6">
            <v>0</v>
          </cell>
          <cell r="BY6">
            <v>-0.60189285714285712</v>
          </cell>
          <cell r="CB6">
            <v>-1.0149999999999999</v>
          </cell>
          <cell r="CD6">
            <v>-0.60189285714285712</v>
          </cell>
        </row>
        <row r="7">
          <cell r="A7">
            <v>2</v>
          </cell>
          <cell r="B7">
            <v>-33</v>
          </cell>
          <cell r="C7">
            <v>-90</v>
          </cell>
          <cell r="D7">
            <v>-17</v>
          </cell>
          <cell r="E7">
            <v>-151</v>
          </cell>
          <cell r="F7">
            <v>0</v>
          </cell>
          <cell r="G7">
            <v>-111</v>
          </cell>
          <cell r="H7">
            <v>-105</v>
          </cell>
          <cell r="I7">
            <v>-45</v>
          </cell>
          <cell r="J7">
            <v>-97</v>
          </cell>
          <cell r="K7">
            <v>-37</v>
          </cell>
          <cell r="L7">
            <v>-33</v>
          </cell>
          <cell r="M7">
            <v>-706</v>
          </cell>
          <cell r="P7">
            <v>-1425</v>
          </cell>
          <cell r="S7">
            <v>-601.89285714285711</v>
          </cell>
          <cell r="T7">
            <v>-1425</v>
          </cell>
          <cell r="U7">
            <v>-750</v>
          </cell>
          <cell r="V7">
            <v>-601.89285714285711</v>
          </cell>
          <cell r="W7">
            <v>-395</v>
          </cell>
          <cell r="X7">
            <v>-405</v>
          </cell>
          <cell r="Y7">
            <v>-317.07142857142856</v>
          </cell>
          <cell r="AA7">
            <v>0</v>
          </cell>
          <cell r="AB7">
            <v>-12.178571428571429</v>
          </cell>
          <cell r="AF7">
            <v>0</v>
          </cell>
          <cell r="AG7">
            <v>2.6428571428571428</v>
          </cell>
          <cell r="AL7">
            <v>-258</v>
          </cell>
          <cell r="AM7">
            <v>-345</v>
          </cell>
          <cell r="AN7">
            <v>-275.28571428571428</v>
          </cell>
          <cell r="AR7">
            <v>-653</v>
          </cell>
          <cell r="AS7">
            <v>-750</v>
          </cell>
          <cell r="AT7">
            <v>-592.35714285714289</v>
          </cell>
          <cell r="AV7">
            <v>-16.321428571428573</v>
          </cell>
          <cell r="AW7">
            <v>-74.857142857142861</v>
          </cell>
          <cell r="AX7">
            <v>-90.678571428571431</v>
          </cell>
          <cell r="AY7">
            <v>-73.642857142857139</v>
          </cell>
          <cell r="AZ7">
            <v>-27.071428571428573</v>
          </cell>
          <cell r="BA7">
            <v>-34.5</v>
          </cell>
          <cell r="BB7">
            <v>-212.03571428571428</v>
          </cell>
          <cell r="BC7">
            <v>1.5</v>
          </cell>
          <cell r="BD7">
            <v>-59.5</v>
          </cell>
          <cell r="BE7">
            <v>-5.25</v>
          </cell>
          <cell r="BJ7">
            <v>-15</v>
          </cell>
          <cell r="BK7">
            <v>-110</v>
          </cell>
          <cell r="BL7">
            <v>-100</v>
          </cell>
          <cell r="BM7">
            <v>-100</v>
          </cell>
          <cell r="BN7">
            <v>-35</v>
          </cell>
          <cell r="BO7">
            <v>-45</v>
          </cell>
          <cell r="BP7">
            <v>-225</v>
          </cell>
          <cell r="BQ7">
            <v>-40</v>
          </cell>
          <cell r="BR7">
            <v>-80</v>
          </cell>
          <cell r="BS7">
            <v>0</v>
          </cell>
          <cell r="BY7">
            <v>-1.2037857142857142</v>
          </cell>
          <cell r="CB7">
            <v>-2.44</v>
          </cell>
          <cell r="CD7">
            <v>-1.2037857142857142</v>
          </cell>
        </row>
        <row r="8">
          <cell r="A8">
            <v>3</v>
          </cell>
          <cell r="B8">
            <v>-30</v>
          </cell>
          <cell r="C8">
            <v>-84</v>
          </cell>
          <cell r="D8">
            <v>0</v>
          </cell>
          <cell r="E8">
            <v>-163</v>
          </cell>
          <cell r="F8">
            <v>0</v>
          </cell>
          <cell r="G8">
            <v>-33</v>
          </cell>
          <cell r="H8">
            <v>-105</v>
          </cell>
          <cell r="I8">
            <v>-28</v>
          </cell>
          <cell r="J8">
            <v>-86</v>
          </cell>
          <cell r="K8">
            <v>-11</v>
          </cell>
          <cell r="L8">
            <v>0</v>
          </cell>
          <cell r="M8">
            <v>-528</v>
          </cell>
          <cell r="P8">
            <v>-1068</v>
          </cell>
          <cell r="S8">
            <v>-601.89285714285711</v>
          </cell>
          <cell r="T8">
            <v>-1068</v>
          </cell>
          <cell r="U8">
            <v>-750</v>
          </cell>
          <cell r="V8">
            <v>-601.89285714285711</v>
          </cell>
          <cell r="W8">
            <v>-263</v>
          </cell>
          <cell r="X8">
            <v>-405</v>
          </cell>
          <cell r="Y8">
            <v>-317.07142857142856</v>
          </cell>
          <cell r="AA8">
            <v>0</v>
          </cell>
          <cell r="AB8">
            <v>-12.178571428571429</v>
          </cell>
          <cell r="AF8">
            <v>0</v>
          </cell>
          <cell r="AG8">
            <v>2.6428571428571428</v>
          </cell>
          <cell r="AL8">
            <v>-247</v>
          </cell>
          <cell r="AM8">
            <v>-345</v>
          </cell>
          <cell r="AN8">
            <v>-275.28571428571428</v>
          </cell>
          <cell r="AR8">
            <v>-510</v>
          </cell>
          <cell r="AS8">
            <v>-750</v>
          </cell>
          <cell r="AT8">
            <v>-592.35714285714289</v>
          </cell>
          <cell r="AV8">
            <v>-16.321428571428573</v>
          </cell>
          <cell r="AW8">
            <v>-74.857142857142861</v>
          </cell>
          <cell r="AX8">
            <v>-90.678571428571431</v>
          </cell>
          <cell r="AY8">
            <v>-73.642857142857139</v>
          </cell>
          <cell r="AZ8">
            <v>-27.071428571428573</v>
          </cell>
          <cell r="BA8">
            <v>-34.5</v>
          </cell>
          <cell r="BB8">
            <v>-212.03571428571428</v>
          </cell>
          <cell r="BC8">
            <v>1.5</v>
          </cell>
          <cell r="BD8">
            <v>-59.5</v>
          </cell>
          <cell r="BE8">
            <v>-5.25</v>
          </cell>
          <cell r="BJ8">
            <v>-15</v>
          </cell>
          <cell r="BK8">
            <v>-110</v>
          </cell>
          <cell r="BL8">
            <v>-100</v>
          </cell>
          <cell r="BM8">
            <v>-100</v>
          </cell>
          <cell r="BN8">
            <v>-35</v>
          </cell>
          <cell r="BO8">
            <v>-45</v>
          </cell>
          <cell r="BP8">
            <v>-225</v>
          </cell>
          <cell r="BQ8">
            <v>-40</v>
          </cell>
          <cell r="BR8">
            <v>-80</v>
          </cell>
          <cell r="BS8">
            <v>0</v>
          </cell>
          <cell r="BY8">
            <v>-1.8056785714285715</v>
          </cell>
          <cell r="CB8">
            <v>-3.508</v>
          </cell>
          <cell r="CD8">
            <v>-1.8056785714285715</v>
          </cell>
        </row>
        <row r="9">
          <cell r="A9">
            <v>4</v>
          </cell>
          <cell r="B9">
            <v>-60</v>
          </cell>
          <cell r="C9">
            <v>-52</v>
          </cell>
          <cell r="D9">
            <v>0</v>
          </cell>
          <cell r="E9">
            <v>0</v>
          </cell>
          <cell r="F9">
            <v>0</v>
          </cell>
          <cell r="G9">
            <v>-12</v>
          </cell>
          <cell r="H9">
            <v>-105</v>
          </cell>
          <cell r="I9">
            <v>0</v>
          </cell>
          <cell r="J9">
            <v>-98</v>
          </cell>
          <cell r="K9">
            <v>-4</v>
          </cell>
          <cell r="L9">
            <v>90</v>
          </cell>
          <cell r="M9">
            <v>-67</v>
          </cell>
          <cell r="P9">
            <v>-308</v>
          </cell>
          <cell r="S9">
            <v>-601.89285714285711</v>
          </cell>
          <cell r="T9">
            <v>-308</v>
          </cell>
          <cell r="U9">
            <v>-750</v>
          </cell>
          <cell r="V9">
            <v>-601.89285714285711</v>
          </cell>
          <cell r="W9">
            <v>-219</v>
          </cell>
          <cell r="X9">
            <v>-405</v>
          </cell>
          <cell r="Y9">
            <v>-317.07142857142856</v>
          </cell>
          <cell r="AA9">
            <v>0</v>
          </cell>
          <cell r="AB9">
            <v>-12.178571428571429</v>
          </cell>
          <cell r="AF9">
            <v>0</v>
          </cell>
          <cell r="AG9">
            <v>2.6428571428571428</v>
          </cell>
          <cell r="AL9">
            <v>-52</v>
          </cell>
          <cell r="AM9">
            <v>-345</v>
          </cell>
          <cell r="AN9">
            <v>-275.28571428571428</v>
          </cell>
          <cell r="AR9">
            <v>-271</v>
          </cell>
          <cell r="AS9">
            <v>-750</v>
          </cell>
          <cell r="AT9">
            <v>-592.35714285714289</v>
          </cell>
          <cell r="AV9">
            <v>-16.321428571428573</v>
          </cell>
          <cell r="AW9">
            <v>-74.857142857142861</v>
          </cell>
          <cell r="AX9">
            <v>-90.678571428571431</v>
          </cell>
          <cell r="AY9">
            <v>-73.642857142857139</v>
          </cell>
          <cell r="AZ9">
            <v>-27.071428571428573</v>
          </cell>
          <cell r="BA9">
            <v>-34.5</v>
          </cell>
          <cell r="BB9">
            <v>-212.03571428571428</v>
          </cell>
          <cell r="BC9">
            <v>1.5</v>
          </cell>
          <cell r="BD9">
            <v>-59.5</v>
          </cell>
          <cell r="BE9">
            <v>-5.25</v>
          </cell>
          <cell r="BJ9">
            <v>-15</v>
          </cell>
          <cell r="BK9">
            <v>-110</v>
          </cell>
          <cell r="BL9">
            <v>-100</v>
          </cell>
          <cell r="BM9">
            <v>-100</v>
          </cell>
          <cell r="BN9">
            <v>-35</v>
          </cell>
          <cell r="BO9">
            <v>-45</v>
          </cell>
          <cell r="BP9">
            <v>-225</v>
          </cell>
          <cell r="BQ9">
            <v>-40</v>
          </cell>
          <cell r="BR9">
            <v>-80</v>
          </cell>
          <cell r="BS9">
            <v>0</v>
          </cell>
          <cell r="BY9">
            <v>-2.4075714285714285</v>
          </cell>
          <cell r="CB9">
            <v>-3.8159999999999998</v>
          </cell>
          <cell r="CD9">
            <v>-2.4075714285714285</v>
          </cell>
        </row>
        <row r="10">
          <cell r="A10">
            <v>5</v>
          </cell>
          <cell r="B10">
            <v>12</v>
          </cell>
          <cell r="C10">
            <v>-28</v>
          </cell>
          <cell r="D10">
            <v>46</v>
          </cell>
          <cell r="E10">
            <v>0</v>
          </cell>
          <cell r="F10">
            <v>0</v>
          </cell>
          <cell r="G10">
            <v>0</v>
          </cell>
          <cell r="H10">
            <v>-105</v>
          </cell>
          <cell r="I10">
            <v>-1</v>
          </cell>
          <cell r="J10">
            <v>-38</v>
          </cell>
          <cell r="K10">
            <v>0</v>
          </cell>
          <cell r="L10">
            <v>225</v>
          </cell>
          <cell r="M10">
            <v>129</v>
          </cell>
          <cell r="P10">
            <v>240</v>
          </cell>
          <cell r="S10">
            <v>-601.89285714285711</v>
          </cell>
          <cell r="T10">
            <v>240</v>
          </cell>
          <cell r="U10">
            <v>-750</v>
          </cell>
          <cell r="V10">
            <v>-601.89285714285711</v>
          </cell>
          <cell r="W10">
            <v>-144</v>
          </cell>
          <cell r="X10">
            <v>-405</v>
          </cell>
          <cell r="Y10">
            <v>-317.07142857142856</v>
          </cell>
          <cell r="AA10">
            <v>0</v>
          </cell>
          <cell r="AB10">
            <v>-12.178571428571429</v>
          </cell>
          <cell r="AF10">
            <v>0</v>
          </cell>
          <cell r="AG10">
            <v>2.6428571428571428</v>
          </cell>
          <cell r="AL10">
            <v>18</v>
          </cell>
          <cell r="AM10">
            <v>-345</v>
          </cell>
          <cell r="AN10">
            <v>-275.28571428571428</v>
          </cell>
          <cell r="AR10">
            <v>-126</v>
          </cell>
          <cell r="AS10">
            <v>-750</v>
          </cell>
          <cell r="AT10">
            <v>-592.35714285714289</v>
          </cell>
          <cell r="AV10">
            <v>-16.321428571428573</v>
          </cell>
          <cell r="AW10">
            <v>-74.857142857142861</v>
          </cell>
          <cell r="AX10">
            <v>-90.678571428571431</v>
          </cell>
          <cell r="AY10">
            <v>-73.642857142857139</v>
          </cell>
          <cell r="AZ10">
            <v>-27.071428571428573</v>
          </cell>
          <cell r="BA10">
            <v>-34.5</v>
          </cell>
          <cell r="BB10">
            <v>-212.03571428571428</v>
          </cell>
          <cell r="BC10">
            <v>1.5</v>
          </cell>
          <cell r="BD10">
            <v>-59.5</v>
          </cell>
          <cell r="BE10">
            <v>-5.25</v>
          </cell>
          <cell r="BJ10">
            <v>-15</v>
          </cell>
          <cell r="BK10">
            <v>-110</v>
          </cell>
          <cell r="BL10">
            <v>-100</v>
          </cell>
          <cell r="BM10">
            <v>-100</v>
          </cell>
          <cell r="BN10">
            <v>-35</v>
          </cell>
          <cell r="BO10">
            <v>-45</v>
          </cell>
          <cell r="BP10">
            <v>-225</v>
          </cell>
          <cell r="BQ10">
            <v>-40</v>
          </cell>
          <cell r="BR10">
            <v>-80</v>
          </cell>
          <cell r="BS10">
            <v>0</v>
          </cell>
          <cell r="BY10">
            <v>-3.0094642857142855</v>
          </cell>
          <cell r="CD10">
            <v>-3.0094642857142855</v>
          </cell>
        </row>
        <row r="11">
          <cell r="A11">
            <v>6</v>
          </cell>
          <cell r="B11">
            <v>48</v>
          </cell>
          <cell r="C11">
            <v>-30</v>
          </cell>
          <cell r="D11">
            <v>30</v>
          </cell>
          <cell r="E11">
            <v>-10</v>
          </cell>
          <cell r="F11">
            <v>0</v>
          </cell>
          <cell r="G11">
            <v>-28</v>
          </cell>
          <cell r="H11">
            <v>-105</v>
          </cell>
          <cell r="I11">
            <v>-2</v>
          </cell>
          <cell r="J11">
            <v>-80</v>
          </cell>
          <cell r="K11">
            <v>-10</v>
          </cell>
          <cell r="L11">
            <v>179</v>
          </cell>
          <cell r="M11">
            <v>48</v>
          </cell>
          <cell r="P11">
            <v>40</v>
          </cell>
          <cell r="S11">
            <v>-601.89285714285711</v>
          </cell>
          <cell r="T11">
            <v>40</v>
          </cell>
          <cell r="U11">
            <v>-750</v>
          </cell>
          <cell r="V11">
            <v>-601.89285714285711</v>
          </cell>
          <cell r="W11">
            <v>-225</v>
          </cell>
          <cell r="X11">
            <v>-405</v>
          </cell>
          <cell r="Y11">
            <v>-317.07142857142856</v>
          </cell>
          <cell r="AA11">
            <v>0</v>
          </cell>
          <cell r="AB11">
            <v>-12.178571428571429</v>
          </cell>
          <cell r="AF11">
            <v>0</v>
          </cell>
          <cell r="AG11">
            <v>2.6428571428571428</v>
          </cell>
          <cell r="AL11">
            <v>-10</v>
          </cell>
          <cell r="AM11">
            <v>-345</v>
          </cell>
          <cell r="AN11">
            <v>-275.28571428571428</v>
          </cell>
          <cell r="AR11">
            <v>-235</v>
          </cell>
          <cell r="AS11">
            <v>-750</v>
          </cell>
          <cell r="AT11">
            <v>-592.35714285714289</v>
          </cell>
          <cell r="AV11">
            <v>-16.321428571428573</v>
          </cell>
          <cell r="AW11">
            <v>-74.857142857142861</v>
          </cell>
          <cell r="AX11">
            <v>-90.678571428571431</v>
          </cell>
          <cell r="AY11">
            <v>-73.642857142857139</v>
          </cell>
          <cell r="AZ11">
            <v>-27.071428571428573</v>
          </cell>
          <cell r="BA11">
            <v>-34.5</v>
          </cell>
          <cell r="BB11">
            <v>-212.03571428571428</v>
          </cell>
          <cell r="BC11">
            <v>1.5</v>
          </cell>
          <cell r="BD11">
            <v>-59.5</v>
          </cell>
          <cell r="BE11">
            <v>-5.25</v>
          </cell>
          <cell r="BJ11">
            <v>-15</v>
          </cell>
          <cell r="BK11">
            <v>-110</v>
          </cell>
          <cell r="BL11">
            <v>-100</v>
          </cell>
          <cell r="BM11">
            <v>-100</v>
          </cell>
          <cell r="BN11">
            <v>-35</v>
          </cell>
          <cell r="BO11">
            <v>-45</v>
          </cell>
          <cell r="BP11">
            <v>-225</v>
          </cell>
          <cell r="BQ11">
            <v>-40</v>
          </cell>
          <cell r="BR11">
            <v>-80</v>
          </cell>
          <cell r="BS11">
            <v>0</v>
          </cell>
          <cell r="BY11">
            <v>-3.6113571428571425</v>
          </cell>
          <cell r="CD11">
            <v>-3.6113571428571425</v>
          </cell>
        </row>
        <row r="12">
          <cell r="A12">
            <v>7</v>
          </cell>
          <cell r="B12">
            <v>0</v>
          </cell>
          <cell r="C12">
            <v>-60</v>
          </cell>
          <cell r="D12">
            <v>0</v>
          </cell>
          <cell r="E12">
            <v>-88</v>
          </cell>
          <cell r="F12">
            <v>0</v>
          </cell>
          <cell r="G12">
            <v>-125</v>
          </cell>
          <cell r="H12">
            <v>-105</v>
          </cell>
          <cell r="I12">
            <v>-45</v>
          </cell>
          <cell r="J12">
            <v>-98</v>
          </cell>
          <cell r="K12">
            <v>-40</v>
          </cell>
          <cell r="L12">
            <v>-53</v>
          </cell>
          <cell r="M12">
            <v>-153</v>
          </cell>
          <cell r="P12">
            <v>-767</v>
          </cell>
          <cell r="S12">
            <v>-601.89285714285711</v>
          </cell>
          <cell r="T12">
            <v>-767</v>
          </cell>
          <cell r="U12">
            <v>-750</v>
          </cell>
          <cell r="V12">
            <v>-601.89285714285711</v>
          </cell>
          <cell r="W12">
            <v>-413</v>
          </cell>
          <cell r="X12">
            <v>-405</v>
          </cell>
          <cell r="Y12">
            <v>-317.07142857142856</v>
          </cell>
          <cell r="AA12">
            <v>0</v>
          </cell>
          <cell r="AB12">
            <v>-12.178571428571429</v>
          </cell>
          <cell r="AF12">
            <v>0</v>
          </cell>
          <cell r="AG12">
            <v>2.6428571428571428</v>
          </cell>
          <cell r="AL12">
            <v>-148</v>
          </cell>
          <cell r="AM12">
            <v>-345</v>
          </cell>
          <cell r="AN12">
            <v>-275.28571428571428</v>
          </cell>
          <cell r="AR12">
            <v>-561</v>
          </cell>
          <cell r="AS12">
            <v>-750</v>
          </cell>
          <cell r="AT12">
            <v>-592.35714285714289</v>
          </cell>
          <cell r="AV12">
            <v>-16.321428571428573</v>
          </cell>
          <cell r="AW12">
            <v>-74.857142857142861</v>
          </cell>
          <cell r="AX12">
            <v>-90.678571428571431</v>
          </cell>
          <cell r="AY12">
            <v>-73.642857142857139</v>
          </cell>
          <cell r="AZ12">
            <v>-27.071428571428573</v>
          </cell>
          <cell r="BA12">
            <v>-34.5</v>
          </cell>
          <cell r="BB12">
            <v>-212.03571428571428</v>
          </cell>
          <cell r="BC12">
            <v>1.5</v>
          </cell>
          <cell r="BD12">
            <v>-59.5</v>
          </cell>
          <cell r="BE12">
            <v>-5.25</v>
          </cell>
          <cell r="BJ12">
            <v>-15</v>
          </cell>
          <cell r="BK12">
            <v>-110</v>
          </cell>
          <cell r="BL12">
            <v>-100</v>
          </cell>
          <cell r="BM12">
            <v>-100</v>
          </cell>
          <cell r="BN12">
            <v>-35</v>
          </cell>
          <cell r="BO12">
            <v>-45</v>
          </cell>
          <cell r="BP12">
            <v>-225</v>
          </cell>
          <cell r="BQ12">
            <v>-40</v>
          </cell>
          <cell r="BR12">
            <v>-80</v>
          </cell>
          <cell r="BS12">
            <v>0</v>
          </cell>
          <cell r="BY12">
            <v>-4.2132499999999995</v>
          </cell>
          <cell r="CD12">
            <v>-4.2132499999999995</v>
          </cell>
        </row>
        <row r="13">
          <cell r="A13">
            <v>8</v>
          </cell>
          <cell r="B13">
            <v>0</v>
          </cell>
          <cell r="C13">
            <v>-78</v>
          </cell>
          <cell r="D13">
            <v>-37</v>
          </cell>
          <cell r="E13">
            <v>-294</v>
          </cell>
          <cell r="F13">
            <v>-18</v>
          </cell>
          <cell r="G13">
            <v>-121</v>
          </cell>
          <cell r="H13">
            <v>-105</v>
          </cell>
          <cell r="I13">
            <v>-46</v>
          </cell>
          <cell r="J13">
            <v>-99</v>
          </cell>
          <cell r="K13">
            <v>-40</v>
          </cell>
          <cell r="L13">
            <v>-131</v>
          </cell>
          <cell r="M13">
            <v>-331</v>
          </cell>
          <cell r="P13">
            <v>-1300</v>
          </cell>
          <cell r="S13">
            <v>-601.89285714285711</v>
          </cell>
          <cell r="T13">
            <v>-1300</v>
          </cell>
          <cell r="U13">
            <v>-750</v>
          </cell>
          <cell r="V13">
            <v>-601.89285714285711</v>
          </cell>
          <cell r="W13">
            <v>-429</v>
          </cell>
          <cell r="X13">
            <v>-405</v>
          </cell>
          <cell r="Y13">
            <v>-317.07142857142856</v>
          </cell>
          <cell r="AA13">
            <v>0</v>
          </cell>
          <cell r="AB13">
            <v>-12.178571428571429</v>
          </cell>
          <cell r="AF13">
            <v>0</v>
          </cell>
          <cell r="AG13">
            <v>2.6428571428571428</v>
          </cell>
          <cell r="AL13">
            <v>-409</v>
          </cell>
          <cell r="AM13">
            <v>-345</v>
          </cell>
          <cell r="AN13">
            <v>-275.28571428571428</v>
          </cell>
          <cell r="AR13">
            <v>-838</v>
          </cell>
          <cell r="AS13">
            <v>-750</v>
          </cell>
          <cell r="AT13">
            <v>-592.35714285714289</v>
          </cell>
          <cell r="AV13">
            <v>-16.321428571428573</v>
          </cell>
          <cell r="AW13">
            <v>-74.857142857142861</v>
          </cell>
          <cell r="AX13">
            <v>-90.678571428571431</v>
          </cell>
          <cell r="AY13">
            <v>-73.642857142857139</v>
          </cell>
          <cell r="AZ13">
            <v>-27.071428571428573</v>
          </cell>
          <cell r="BA13">
            <v>-34.5</v>
          </cell>
          <cell r="BB13">
            <v>-212.03571428571428</v>
          </cell>
          <cell r="BC13">
            <v>1.5</v>
          </cell>
          <cell r="BD13">
            <v>-59.5</v>
          </cell>
          <cell r="BE13">
            <v>-5.25</v>
          </cell>
          <cell r="BJ13">
            <v>-15</v>
          </cell>
          <cell r="BK13">
            <v>-110</v>
          </cell>
          <cell r="BL13">
            <v>-100</v>
          </cell>
          <cell r="BM13">
            <v>-100</v>
          </cell>
          <cell r="BN13">
            <v>-35</v>
          </cell>
          <cell r="BO13">
            <v>-45</v>
          </cell>
          <cell r="BP13">
            <v>-225</v>
          </cell>
          <cell r="BQ13">
            <v>-40</v>
          </cell>
          <cell r="BR13">
            <v>-80</v>
          </cell>
          <cell r="BS13">
            <v>0</v>
          </cell>
          <cell r="BY13">
            <v>-4.8151428571428569</v>
          </cell>
          <cell r="CD13">
            <v>-4.8151428571428569</v>
          </cell>
        </row>
        <row r="14">
          <cell r="A14">
            <v>9</v>
          </cell>
          <cell r="B14">
            <v>0</v>
          </cell>
          <cell r="C14">
            <v>-74</v>
          </cell>
          <cell r="D14">
            <v>-44</v>
          </cell>
          <cell r="E14">
            <v>-413</v>
          </cell>
          <cell r="F14">
            <v>-20</v>
          </cell>
          <cell r="G14">
            <v>-120</v>
          </cell>
          <cell r="H14">
            <v>-105</v>
          </cell>
          <cell r="I14">
            <v>-46</v>
          </cell>
          <cell r="J14">
            <v>-100</v>
          </cell>
          <cell r="K14">
            <v>-40</v>
          </cell>
          <cell r="L14">
            <v>-181</v>
          </cell>
          <cell r="M14">
            <v>-219</v>
          </cell>
          <cell r="P14">
            <v>-1362</v>
          </cell>
          <cell r="S14">
            <v>-601.89285714285711</v>
          </cell>
          <cell r="T14">
            <v>-1362</v>
          </cell>
          <cell r="U14">
            <v>-750</v>
          </cell>
          <cell r="V14">
            <v>-601.89285714285711</v>
          </cell>
          <cell r="W14">
            <v>-431</v>
          </cell>
          <cell r="X14">
            <v>-405</v>
          </cell>
          <cell r="Y14">
            <v>-317.07142857142856</v>
          </cell>
          <cell r="AA14">
            <v>0</v>
          </cell>
          <cell r="AB14">
            <v>-12.178571428571429</v>
          </cell>
          <cell r="AF14">
            <v>0</v>
          </cell>
          <cell r="AG14">
            <v>2.6428571428571428</v>
          </cell>
          <cell r="AL14">
            <v>-531</v>
          </cell>
          <cell r="AM14">
            <v>-345</v>
          </cell>
          <cell r="AN14">
            <v>-275.28571428571428</v>
          </cell>
          <cell r="AR14">
            <v>-962</v>
          </cell>
          <cell r="AS14">
            <v>-750</v>
          </cell>
          <cell r="AT14">
            <v>-592.35714285714289</v>
          </cell>
          <cell r="AV14">
            <v>-16.321428571428573</v>
          </cell>
          <cell r="AW14">
            <v>-74.857142857142861</v>
          </cell>
          <cell r="AX14">
            <v>-90.678571428571431</v>
          </cell>
          <cell r="AY14">
            <v>-73.642857142857139</v>
          </cell>
          <cell r="AZ14">
            <v>-27.071428571428573</v>
          </cell>
          <cell r="BA14">
            <v>-34.5</v>
          </cell>
          <cell r="BB14">
            <v>-212.03571428571428</v>
          </cell>
          <cell r="BC14">
            <v>1.5</v>
          </cell>
          <cell r="BD14">
            <v>-59.5</v>
          </cell>
          <cell r="BE14">
            <v>-5.25</v>
          </cell>
          <cell r="BJ14">
            <v>-15</v>
          </cell>
          <cell r="BK14">
            <v>-110</v>
          </cell>
          <cell r="BL14">
            <v>-100</v>
          </cell>
          <cell r="BM14">
            <v>-100</v>
          </cell>
          <cell r="BN14">
            <v>-35</v>
          </cell>
          <cell r="BO14">
            <v>-45</v>
          </cell>
          <cell r="BP14">
            <v>-225</v>
          </cell>
          <cell r="BQ14">
            <v>-40</v>
          </cell>
          <cell r="BR14">
            <v>-80</v>
          </cell>
          <cell r="BS14">
            <v>0</v>
          </cell>
          <cell r="BY14">
            <v>-5.4170357142857144</v>
          </cell>
          <cell r="CD14">
            <v>-5.4170357142857144</v>
          </cell>
        </row>
        <row r="15">
          <cell r="A15">
            <v>10</v>
          </cell>
          <cell r="B15">
            <v>0</v>
          </cell>
          <cell r="C15">
            <v>-71</v>
          </cell>
          <cell r="D15">
            <v>-14</v>
          </cell>
          <cell r="E15">
            <v>-286</v>
          </cell>
          <cell r="F15">
            <v>-18</v>
          </cell>
          <cell r="G15">
            <v>-86</v>
          </cell>
          <cell r="H15">
            <v>-105</v>
          </cell>
          <cell r="I15">
            <v>-38</v>
          </cell>
          <cell r="J15">
            <v>-80</v>
          </cell>
          <cell r="K15">
            <v>-35</v>
          </cell>
          <cell r="L15">
            <v>-87</v>
          </cell>
          <cell r="M15">
            <v>-203</v>
          </cell>
          <cell r="P15">
            <v>-1023</v>
          </cell>
          <cell r="S15">
            <v>-601.89285714285711</v>
          </cell>
          <cell r="T15">
            <v>-1023</v>
          </cell>
          <cell r="U15">
            <v>-750</v>
          </cell>
          <cell r="V15">
            <v>-601.89285714285711</v>
          </cell>
          <cell r="W15">
            <v>-362</v>
          </cell>
          <cell r="X15">
            <v>-405</v>
          </cell>
          <cell r="Y15">
            <v>-317.07142857142856</v>
          </cell>
          <cell r="AA15">
            <v>0</v>
          </cell>
          <cell r="AB15">
            <v>-12.178571428571429</v>
          </cell>
          <cell r="AF15">
            <v>0</v>
          </cell>
          <cell r="AG15">
            <v>2.6428571428571428</v>
          </cell>
          <cell r="AL15">
            <v>-371</v>
          </cell>
          <cell r="AM15">
            <v>-345</v>
          </cell>
          <cell r="AN15">
            <v>-275.28571428571428</v>
          </cell>
          <cell r="AR15">
            <v>-733</v>
          </cell>
          <cell r="AS15">
            <v>-750</v>
          </cell>
          <cell r="AT15">
            <v>-592.35714285714289</v>
          </cell>
          <cell r="AV15">
            <v>-16.321428571428573</v>
          </cell>
          <cell r="AW15">
            <v>-74.857142857142861</v>
          </cell>
          <cell r="AX15">
            <v>-90.678571428571431</v>
          </cell>
          <cell r="AY15">
            <v>-73.642857142857139</v>
          </cell>
          <cell r="AZ15">
            <v>-27.071428571428573</v>
          </cell>
          <cell r="BA15">
            <v>-34.5</v>
          </cell>
          <cell r="BB15">
            <v>-212.03571428571428</v>
          </cell>
          <cell r="BC15">
            <v>1.5</v>
          </cell>
          <cell r="BD15">
            <v>-59.5</v>
          </cell>
          <cell r="BE15">
            <v>-5.25</v>
          </cell>
          <cell r="BJ15">
            <v>-15</v>
          </cell>
          <cell r="BK15">
            <v>-110</v>
          </cell>
          <cell r="BL15">
            <v>-100</v>
          </cell>
          <cell r="BM15">
            <v>-100</v>
          </cell>
          <cell r="BN15">
            <v>-35</v>
          </cell>
          <cell r="BO15">
            <v>-45</v>
          </cell>
          <cell r="BP15">
            <v>-225</v>
          </cell>
          <cell r="BQ15">
            <v>-40</v>
          </cell>
          <cell r="BR15">
            <v>-80</v>
          </cell>
          <cell r="BS15">
            <v>0</v>
          </cell>
          <cell r="BY15">
            <v>-6.0189285714285718</v>
          </cell>
          <cell r="CD15">
            <v>-6.0189285714285718</v>
          </cell>
        </row>
        <row r="16">
          <cell r="A16">
            <v>11</v>
          </cell>
          <cell r="B16">
            <v>0</v>
          </cell>
          <cell r="C16">
            <v>-54</v>
          </cell>
          <cell r="D16">
            <v>2</v>
          </cell>
          <cell r="E16">
            <v>-269</v>
          </cell>
          <cell r="F16">
            <v>-18</v>
          </cell>
          <cell r="G16">
            <v>-101</v>
          </cell>
          <cell r="H16">
            <v>-105</v>
          </cell>
          <cell r="I16">
            <v>-40</v>
          </cell>
          <cell r="J16">
            <v>-77</v>
          </cell>
          <cell r="K16">
            <v>-38</v>
          </cell>
          <cell r="L16">
            <v>-8</v>
          </cell>
          <cell r="M16">
            <v>-100</v>
          </cell>
          <cell r="P16">
            <v>-808</v>
          </cell>
          <cell r="S16">
            <v>-601.89285714285711</v>
          </cell>
          <cell r="T16">
            <v>-808</v>
          </cell>
          <cell r="U16">
            <v>-750</v>
          </cell>
          <cell r="V16">
            <v>-601.89285714285711</v>
          </cell>
          <cell r="W16">
            <v>-379</v>
          </cell>
          <cell r="X16">
            <v>-405</v>
          </cell>
          <cell r="Y16">
            <v>-317.07142857142856</v>
          </cell>
          <cell r="AA16">
            <v>0</v>
          </cell>
          <cell r="AB16">
            <v>-12.178571428571429</v>
          </cell>
          <cell r="AF16">
            <v>0</v>
          </cell>
          <cell r="AG16">
            <v>2.6428571428571428</v>
          </cell>
          <cell r="AL16">
            <v>-321</v>
          </cell>
          <cell r="AM16">
            <v>-345</v>
          </cell>
          <cell r="AN16">
            <v>-275.28571428571428</v>
          </cell>
          <cell r="AR16">
            <v>-700</v>
          </cell>
          <cell r="AS16">
            <v>-750</v>
          </cell>
          <cell r="AT16">
            <v>-592.35714285714289</v>
          </cell>
          <cell r="AV16">
            <v>-16.321428571428573</v>
          </cell>
          <cell r="AW16">
            <v>-74.857142857142861</v>
          </cell>
          <cell r="AX16">
            <v>-90.678571428571431</v>
          </cell>
          <cell r="AY16">
            <v>-73.642857142857139</v>
          </cell>
          <cell r="AZ16">
            <v>-27.071428571428573</v>
          </cell>
          <cell r="BA16">
            <v>-34.5</v>
          </cell>
          <cell r="BB16">
            <v>-212.03571428571428</v>
          </cell>
          <cell r="BC16">
            <v>1.5</v>
          </cell>
          <cell r="BD16">
            <v>-59.5</v>
          </cell>
          <cell r="BE16">
            <v>-5.25</v>
          </cell>
          <cell r="BJ16">
            <v>-15</v>
          </cell>
          <cell r="BK16">
            <v>-110</v>
          </cell>
          <cell r="BL16">
            <v>-100</v>
          </cell>
          <cell r="BM16">
            <v>-100</v>
          </cell>
          <cell r="BN16">
            <v>-35</v>
          </cell>
          <cell r="BO16">
            <v>-45</v>
          </cell>
          <cell r="BP16">
            <v>-225</v>
          </cell>
          <cell r="BQ16">
            <v>-40</v>
          </cell>
          <cell r="BR16">
            <v>-80</v>
          </cell>
          <cell r="BS16">
            <v>0</v>
          </cell>
          <cell r="BY16">
            <v>-6.6208214285714293</v>
          </cell>
          <cell r="CD16">
            <v>-6.6208214285714293</v>
          </cell>
        </row>
        <row r="17">
          <cell r="A17">
            <v>12</v>
          </cell>
          <cell r="B17">
            <v>46</v>
          </cell>
          <cell r="C17">
            <v>-25</v>
          </cell>
          <cell r="D17">
            <v>0</v>
          </cell>
          <cell r="E17">
            <v>-48</v>
          </cell>
          <cell r="F17">
            <v>-18</v>
          </cell>
          <cell r="G17">
            <v>-9</v>
          </cell>
          <cell r="H17">
            <v>-105</v>
          </cell>
          <cell r="I17">
            <v>-4</v>
          </cell>
          <cell r="J17">
            <v>-96</v>
          </cell>
          <cell r="K17">
            <v>-3</v>
          </cell>
          <cell r="L17">
            <v>0</v>
          </cell>
          <cell r="M17">
            <v>192</v>
          </cell>
          <cell r="P17">
            <v>-70</v>
          </cell>
          <cell r="S17">
            <v>-601.89285714285711</v>
          </cell>
          <cell r="T17">
            <v>-70</v>
          </cell>
          <cell r="U17">
            <v>-750</v>
          </cell>
          <cell r="V17">
            <v>-601.89285714285711</v>
          </cell>
          <cell r="W17">
            <v>-235</v>
          </cell>
          <cell r="X17">
            <v>-405</v>
          </cell>
          <cell r="Y17">
            <v>-317.07142857142856</v>
          </cell>
          <cell r="AA17">
            <v>0</v>
          </cell>
          <cell r="AB17">
            <v>-12.178571428571429</v>
          </cell>
          <cell r="AF17">
            <v>0</v>
          </cell>
          <cell r="AG17">
            <v>2.6428571428571428</v>
          </cell>
          <cell r="AL17">
            <v>-73</v>
          </cell>
          <cell r="AM17">
            <v>-345</v>
          </cell>
          <cell r="AN17">
            <v>-275.28571428571428</v>
          </cell>
          <cell r="AR17">
            <v>-308</v>
          </cell>
          <cell r="AS17">
            <v>-750</v>
          </cell>
          <cell r="AT17">
            <v>-592.35714285714289</v>
          </cell>
          <cell r="AV17">
            <v>-16.321428571428573</v>
          </cell>
          <cell r="AW17">
            <v>-74.857142857142861</v>
          </cell>
          <cell r="AX17">
            <v>-90.678571428571431</v>
          </cell>
          <cell r="AY17">
            <v>-73.642857142857139</v>
          </cell>
          <cell r="AZ17">
            <v>-27.071428571428573</v>
          </cell>
          <cell r="BA17">
            <v>-34.5</v>
          </cell>
          <cell r="BB17">
            <v>-212.03571428571428</v>
          </cell>
          <cell r="BC17">
            <v>1.5</v>
          </cell>
          <cell r="BD17">
            <v>-59.5</v>
          </cell>
          <cell r="BE17">
            <v>-5.25</v>
          </cell>
          <cell r="BJ17">
            <v>-15</v>
          </cell>
          <cell r="BK17">
            <v>-110</v>
          </cell>
          <cell r="BL17">
            <v>-100</v>
          </cell>
          <cell r="BM17">
            <v>-100</v>
          </cell>
          <cell r="BN17">
            <v>-35</v>
          </cell>
          <cell r="BO17">
            <v>-45</v>
          </cell>
          <cell r="BP17">
            <v>-225</v>
          </cell>
          <cell r="BQ17">
            <v>-40</v>
          </cell>
          <cell r="BR17">
            <v>-80</v>
          </cell>
          <cell r="BS17">
            <v>0</v>
          </cell>
          <cell r="BY17">
            <v>-7.2227142857142868</v>
          </cell>
          <cell r="CD17">
            <v>-7.2227142857142868</v>
          </cell>
        </row>
        <row r="18">
          <cell r="A18">
            <v>13</v>
          </cell>
          <cell r="B18">
            <v>38</v>
          </cell>
          <cell r="C18">
            <v>-69</v>
          </cell>
          <cell r="D18">
            <v>39</v>
          </cell>
          <cell r="E18">
            <v>-136</v>
          </cell>
          <cell r="F18">
            <v>-17</v>
          </cell>
          <cell r="G18">
            <v>0</v>
          </cell>
          <cell r="H18">
            <v>-105</v>
          </cell>
          <cell r="I18">
            <v>0</v>
          </cell>
          <cell r="J18">
            <v>-87</v>
          </cell>
          <cell r="K18">
            <v>0</v>
          </cell>
          <cell r="L18">
            <v>0</v>
          </cell>
          <cell r="M18">
            <v>233</v>
          </cell>
          <cell r="P18">
            <v>-104</v>
          </cell>
          <cell r="S18">
            <v>-601.89285714285711</v>
          </cell>
          <cell r="T18">
            <v>-104</v>
          </cell>
          <cell r="U18">
            <v>-750</v>
          </cell>
          <cell r="V18">
            <v>-601.89285714285711</v>
          </cell>
          <cell r="W18">
            <v>-209</v>
          </cell>
          <cell r="X18">
            <v>-405</v>
          </cell>
          <cell r="Y18">
            <v>-317.07142857142856</v>
          </cell>
          <cell r="AA18">
            <v>0</v>
          </cell>
          <cell r="AB18">
            <v>-12.178571428571429</v>
          </cell>
          <cell r="AF18">
            <v>0</v>
          </cell>
          <cell r="AG18">
            <v>2.6428571428571428</v>
          </cell>
          <cell r="AL18">
            <v>-166</v>
          </cell>
          <cell r="AM18">
            <v>-345</v>
          </cell>
          <cell r="AN18">
            <v>-275.28571428571428</v>
          </cell>
          <cell r="AR18">
            <v>-375</v>
          </cell>
          <cell r="AS18">
            <v>-750</v>
          </cell>
          <cell r="AT18">
            <v>-592.35714285714289</v>
          </cell>
          <cell r="AV18">
            <v>-16.321428571428573</v>
          </cell>
          <cell r="AW18">
            <v>-74.857142857142861</v>
          </cell>
          <cell r="AX18">
            <v>-90.678571428571431</v>
          </cell>
          <cell r="AY18">
            <v>-73.642857142857139</v>
          </cell>
          <cell r="AZ18">
            <v>-27.071428571428573</v>
          </cell>
          <cell r="BA18">
            <v>-34.5</v>
          </cell>
          <cell r="BB18">
            <v>-212.03571428571428</v>
          </cell>
          <cell r="BC18">
            <v>1.5</v>
          </cell>
          <cell r="BD18">
            <v>-59.5</v>
          </cell>
          <cell r="BE18">
            <v>-5.25</v>
          </cell>
          <cell r="BJ18">
            <v>-15</v>
          </cell>
          <cell r="BK18">
            <v>-110</v>
          </cell>
          <cell r="BL18">
            <v>-100</v>
          </cell>
          <cell r="BM18">
            <v>-100</v>
          </cell>
          <cell r="BN18">
            <v>-35</v>
          </cell>
          <cell r="BO18">
            <v>-45</v>
          </cell>
          <cell r="BP18">
            <v>-225</v>
          </cell>
          <cell r="BQ18">
            <v>-40</v>
          </cell>
          <cell r="BR18">
            <v>-80</v>
          </cell>
          <cell r="BS18">
            <v>0</v>
          </cell>
          <cell r="BY18">
            <v>-7.8246071428571442</v>
          </cell>
          <cell r="CD18">
            <v>-7.8246071428571442</v>
          </cell>
        </row>
        <row r="19">
          <cell r="A19">
            <v>14</v>
          </cell>
          <cell r="B19">
            <v>-15</v>
          </cell>
          <cell r="C19">
            <v>-71</v>
          </cell>
          <cell r="D19">
            <v>4</v>
          </cell>
          <cell r="E19">
            <v>-250</v>
          </cell>
          <cell r="F19">
            <v>-17</v>
          </cell>
          <cell r="G19">
            <v>0</v>
          </cell>
          <cell r="H19">
            <v>-91</v>
          </cell>
          <cell r="I19">
            <v>0</v>
          </cell>
          <cell r="J19">
            <v>-85</v>
          </cell>
          <cell r="K19">
            <v>0</v>
          </cell>
          <cell r="L19">
            <v>0</v>
          </cell>
          <cell r="M19">
            <v>23</v>
          </cell>
          <cell r="P19">
            <v>-502</v>
          </cell>
          <cell r="S19">
            <v>-601.89285714285711</v>
          </cell>
          <cell r="T19">
            <v>-502</v>
          </cell>
          <cell r="U19">
            <v>-750</v>
          </cell>
          <cell r="V19">
            <v>-601.89285714285711</v>
          </cell>
          <cell r="W19">
            <v>-193</v>
          </cell>
          <cell r="X19">
            <v>-405</v>
          </cell>
          <cell r="Y19">
            <v>-317.07142857142856</v>
          </cell>
          <cell r="AA19">
            <v>0</v>
          </cell>
          <cell r="AB19">
            <v>-12.178571428571429</v>
          </cell>
          <cell r="AF19">
            <v>0</v>
          </cell>
          <cell r="AG19">
            <v>2.6428571428571428</v>
          </cell>
          <cell r="AL19">
            <v>-317</v>
          </cell>
          <cell r="AM19">
            <v>-345</v>
          </cell>
          <cell r="AN19">
            <v>-275.28571428571428</v>
          </cell>
          <cell r="AR19">
            <v>-510</v>
          </cell>
          <cell r="AS19">
            <v>-750</v>
          </cell>
          <cell r="AT19">
            <v>-592.35714285714289</v>
          </cell>
          <cell r="AV19">
            <v>-16.321428571428573</v>
          </cell>
          <cell r="AW19">
            <v>-74.857142857142861</v>
          </cell>
          <cell r="AX19">
            <v>-90.678571428571431</v>
          </cell>
          <cell r="AY19">
            <v>-73.642857142857139</v>
          </cell>
          <cell r="AZ19">
            <v>-27.071428571428573</v>
          </cell>
          <cell r="BA19">
            <v>-34.5</v>
          </cell>
          <cell r="BB19">
            <v>-212.03571428571428</v>
          </cell>
          <cell r="BC19">
            <v>1.5</v>
          </cell>
          <cell r="BD19">
            <v>-59.5</v>
          </cell>
          <cell r="BE19">
            <v>-5.25</v>
          </cell>
          <cell r="BJ19">
            <v>-15</v>
          </cell>
          <cell r="BK19">
            <v>-110</v>
          </cell>
          <cell r="BL19">
            <v>-100</v>
          </cell>
          <cell r="BM19">
            <v>-100</v>
          </cell>
          <cell r="BN19">
            <v>-35</v>
          </cell>
          <cell r="BO19">
            <v>-45</v>
          </cell>
          <cell r="BP19">
            <v>-225</v>
          </cell>
          <cell r="BQ19">
            <v>-40</v>
          </cell>
          <cell r="BR19">
            <v>-80</v>
          </cell>
          <cell r="BS19">
            <v>0</v>
          </cell>
          <cell r="BY19">
            <v>-8.4265000000000008</v>
          </cell>
          <cell r="CD19">
            <v>-8.4265000000000008</v>
          </cell>
        </row>
        <row r="20">
          <cell r="A20">
            <v>15</v>
          </cell>
          <cell r="B20">
            <v>-33</v>
          </cell>
          <cell r="C20">
            <v>-38</v>
          </cell>
          <cell r="D20">
            <v>81</v>
          </cell>
          <cell r="E20">
            <v>-256</v>
          </cell>
          <cell r="F20">
            <v>-17</v>
          </cell>
          <cell r="G20">
            <v>-87</v>
          </cell>
          <cell r="H20">
            <v>-92</v>
          </cell>
          <cell r="I20">
            <v>-28</v>
          </cell>
          <cell r="J20">
            <v>-78</v>
          </cell>
          <cell r="K20">
            <v>-29</v>
          </cell>
          <cell r="L20">
            <v>0</v>
          </cell>
          <cell r="M20">
            <v>290</v>
          </cell>
          <cell r="P20">
            <v>-287</v>
          </cell>
          <cell r="S20">
            <v>-601.89285714285711</v>
          </cell>
          <cell r="T20">
            <v>-287</v>
          </cell>
          <cell r="U20">
            <v>-750</v>
          </cell>
          <cell r="V20">
            <v>-601.89285714285711</v>
          </cell>
          <cell r="W20">
            <v>-331</v>
          </cell>
          <cell r="X20">
            <v>-405</v>
          </cell>
          <cell r="Y20">
            <v>-317.07142857142856</v>
          </cell>
          <cell r="AA20">
            <v>0</v>
          </cell>
          <cell r="AB20">
            <v>-12.178571428571429</v>
          </cell>
          <cell r="AF20">
            <v>0</v>
          </cell>
          <cell r="AG20">
            <v>2.6428571428571428</v>
          </cell>
          <cell r="AL20">
            <v>-213</v>
          </cell>
          <cell r="AM20">
            <v>-345</v>
          </cell>
          <cell r="AN20">
            <v>-275.28571428571428</v>
          </cell>
          <cell r="AR20">
            <v>-544</v>
          </cell>
          <cell r="AS20">
            <v>-750</v>
          </cell>
          <cell r="AT20">
            <v>-592.35714285714289</v>
          </cell>
          <cell r="AV20">
            <v>-16.321428571428573</v>
          </cell>
          <cell r="AW20">
            <v>-74.857142857142861</v>
          </cell>
          <cell r="AX20">
            <v>-90.678571428571431</v>
          </cell>
          <cell r="AY20">
            <v>-73.642857142857139</v>
          </cell>
          <cell r="AZ20">
            <v>-27.071428571428573</v>
          </cell>
          <cell r="BA20">
            <v>-34.5</v>
          </cell>
          <cell r="BB20">
            <v>-212.03571428571428</v>
          </cell>
          <cell r="BC20">
            <v>1.5</v>
          </cell>
          <cell r="BD20">
            <v>-59.5</v>
          </cell>
          <cell r="BE20">
            <v>-5.25</v>
          </cell>
          <cell r="BJ20">
            <v>-15</v>
          </cell>
          <cell r="BK20">
            <v>-110</v>
          </cell>
          <cell r="BL20">
            <v>-100</v>
          </cell>
          <cell r="BM20">
            <v>-100</v>
          </cell>
          <cell r="BN20">
            <v>-35</v>
          </cell>
          <cell r="BO20">
            <v>-45</v>
          </cell>
          <cell r="BP20">
            <v>-225</v>
          </cell>
          <cell r="BQ20">
            <v>-40</v>
          </cell>
          <cell r="BR20">
            <v>-80</v>
          </cell>
          <cell r="BS20">
            <v>0</v>
          </cell>
          <cell r="BY20">
            <v>-9.0283928571428582</v>
          </cell>
          <cell r="CD20">
            <v>-9.0283928571428582</v>
          </cell>
        </row>
        <row r="21">
          <cell r="A21">
            <v>16</v>
          </cell>
          <cell r="B21">
            <v>-77</v>
          </cell>
          <cell r="C21">
            <v>-22</v>
          </cell>
          <cell r="D21">
            <v>-18</v>
          </cell>
          <cell r="E21">
            <v>-260</v>
          </cell>
          <cell r="F21">
            <v>-17</v>
          </cell>
          <cell r="G21">
            <v>-118</v>
          </cell>
          <cell r="H21">
            <v>-93</v>
          </cell>
          <cell r="I21">
            <v>-45</v>
          </cell>
          <cell r="J21">
            <v>-78</v>
          </cell>
          <cell r="K21">
            <v>-41</v>
          </cell>
          <cell r="L21">
            <v>0</v>
          </cell>
          <cell r="M21">
            <v>271</v>
          </cell>
          <cell r="P21">
            <v>-498</v>
          </cell>
          <cell r="S21">
            <v>-601.89285714285711</v>
          </cell>
          <cell r="T21">
            <v>-498</v>
          </cell>
          <cell r="U21">
            <v>-750</v>
          </cell>
          <cell r="V21">
            <v>-601.89285714285711</v>
          </cell>
          <cell r="W21">
            <v>-392</v>
          </cell>
          <cell r="X21">
            <v>-405</v>
          </cell>
          <cell r="Y21">
            <v>-317.07142857142856</v>
          </cell>
          <cell r="AA21">
            <v>0</v>
          </cell>
          <cell r="AB21">
            <v>-12.178571428571429</v>
          </cell>
          <cell r="AF21">
            <v>0</v>
          </cell>
          <cell r="AG21">
            <v>2.6428571428571428</v>
          </cell>
          <cell r="AL21">
            <v>-300</v>
          </cell>
          <cell r="AM21">
            <v>-345</v>
          </cell>
          <cell r="AN21">
            <v>-275.28571428571428</v>
          </cell>
          <cell r="AR21">
            <v>-692</v>
          </cell>
          <cell r="AS21">
            <v>-750</v>
          </cell>
          <cell r="AT21">
            <v>-592.35714285714289</v>
          </cell>
          <cell r="AV21">
            <v>-16.321428571428573</v>
          </cell>
          <cell r="AW21">
            <v>-74.857142857142861</v>
          </cell>
          <cell r="AX21">
            <v>-90.678571428571431</v>
          </cell>
          <cell r="AY21">
            <v>-73.642857142857139</v>
          </cell>
          <cell r="AZ21">
            <v>-27.071428571428573</v>
          </cell>
          <cell r="BA21">
            <v>-34.5</v>
          </cell>
          <cell r="BB21">
            <v>-212.03571428571428</v>
          </cell>
          <cell r="BC21">
            <v>1.5</v>
          </cell>
          <cell r="BD21">
            <v>-59.5</v>
          </cell>
          <cell r="BE21">
            <v>-5.25</v>
          </cell>
          <cell r="BJ21">
            <v>-15</v>
          </cell>
          <cell r="BK21">
            <v>-110</v>
          </cell>
          <cell r="BL21">
            <v>-100</v>
          </cell>
          <cell r="BM21">
            <v>-100</v>
          </cell>
          <cell r="BN21">
            <v>-35</v>
          </cell>
          <cell r="BO21">
            <v>-45</v>
          </cell>
          <cell r="BP21">
            <v>-225</v>
          </cell>
          <cell r="BQ21">
            <v>-40</v>
          </cell>
          <cell r="BR21">
            <v>-80</v>
          </cell>
          <cell r="BS21">
            <v>0</v>
          </cell>
          <cell r="BY21">
            <v>-9.6302857142857157</v>
          </cell>
          <cell r="CD21">
            <v>-9.6302857142857157</v>
          </cell>
        </row>
        <row r="22">
          <cell r="A22">
            <v>17</v>
          </cell>
          <cell r="B22">
            <v>-129</v>
          </cell>
          <cell r="C22">
            <v>-75</v>
          </cell>
          <cell r="D22">
            <v>-46</v>
          </cell>
          <cell r="E22">
            <v>-500</v>
          </cell>
          <cell r="F22">
            <v>-29</v>
          </cell>
          <cell r="G22">
            <v>-113</v>
          </cell>
          <cell r="H22">
            <v>-119</v>
          </cell>
          <cell r="I22">
            <v>-46</v>
          </cell>
          <cell r="J22">
            <v>-80</v>
          </cell>
          <cell r="K22">
            <v>-40</v>
          </cell>
          <cell r="L22">
            <v>0</v>
          </cell>
          <cell r="M22">
            <v>-244</v>
          </cell>
          <cell r="P22">
            <v>-1421</v>
          </cell>
          <cell r="S22">
            <v>-601.89285714285711</v>
          </cell>
          <cell r="T22">
            <v>-1421</v>
          </cell>
          <cell r="U22">
            <v>-750</v>
          </cell>
          <cell r="V22">
            <v>-601.89285714285711</v>
          </cell>
          <cell r="W22">
            <v>-427</v>
          </cell>
          <cell r="X22">
            <v>-405</v>
          </cell>
          <cell r="Y22">
            <v>-317.07142857142856</v>
          </cell>
          <cell r="AA22">
            <v>0</v>
          </cell>
          <cell r="AB22">
            <v>-12.178571428571429</v>
          </cell>
          <cell r="AF22">
            <v>0</v>
          </cell>
          <cell r="AG22">
            <v>2.6428571428571428</v>
          </cell>
          <cell r="AL22">
            <v>-621</v>
          </cell>
          <cell r="AM22">
            <v>-345</v>
          </cell>
          <cell r="AN22">
            <v>-275.28571428571428</v>
          </cell>
          <cell r="AR22">
            <v>-1048</v>
          </cell>
          <cell r="AS22">
            <v>-750</v>
          </cell>
          <cell r="AT22">
            <v>-592.35714285714289</v>
          </cell>
          <cell r="AV22">
            <v>-16.321428571428573</v>
          </cell>
          <cell r="AW22">
            <v>-74.857142857142861</v>
          </cell>
          <cell r="AX22">
            <v>-90.678571428571431</v>
          </cell>
          <cell r="AY22">
            <v>-73.642857142857139</v>
          </cell>
          <cell r="AZ22">
            <v>-27.071428571428573</v>
          </cell>
          <cell r="BA22">
            <v>-34.5</v>
          </cell>
          <cell r="BB22">
            <v>-212.03571428571428</v>
          </cell>
          <cell r="BC22">
            <v>1.5</v>
          </cell>
          <cell r="BD22">
            <v>-59.5</v>
          </cell>
          <cell r="BE22">
            <v>-5.25</v>
          </cell>
          <cell r="BJ22">
            <v>-15</v>
          </cell>
          <cell r="BK22">
            <v>-110</v>
          </cell>
          <cell r="BL22">
            <v>-100</v>
          </cell>
          <cell r="BM22">
            <v>-100</v>
          </cell>
          <cell r="BN22">
            <v>-35</v>
          </cell>
          <cell r="BO22">
            <v>-45</v>
          </cell>
          <cell r="BP22">
            <v>-225</v>
          </cell>
          <cell r="BQ22">
            <v>-40</v>
          </cell>
          <cell r="BR22">
            <v>-80</v>
          </cell>
          <cell r="BS22">
            <v>0</v>
          </cell>
          <cell r="BY22">
            <v>-10.232178571428573</v>
          </cell>
          <cell r="CD22">
            <v>-10.232178571428573</v>
          </cell>
        </row>
        <row r="23">
          <cell r="A23">
            <v>18</v>
          </cell>
          <cell r="B23">
            <v>-55</v>
          </cell>
          <cell r="C23">
            <v>-71</v>
          </cell>
          <cell r="D23">
            <v>-51</v>
          </cell>
          <cell r="E23">
            <v>-397</v>
          </cell>
          <cell r="F23">
            <v>-29</v>
          </cell>
          <cell r="G23">
            <v>-122</v>
          </cell>
          <cell r="H23">
            <v>-113</v>
          </cell>
          <cell r="I23">
            <v>-46</v>
          </cell>
          <cell r="J23">
            <v>-80</v>
          </cell>
          <cell r="K23">
            <v>-43</v>
          </cell>
          <cell r="L23">
            <v>0</v>
          </cell>
          <cell r="M23">
            <v>-44</v>
          </cell>
          <cell r="P23">
            <v>-1051</v>
          </cell>
          <cell r="S23">
            <v>-601.89285714285711</v>
          </cell>
          <cell r="T23">
            <v>-1051</v>
          </cell>
          <cell r="U23">
            <v>-750</v>
          </cell>
          <cell r="V23">
            <v>-601.89285714285711</v>
          </cell>
          <cell r="W23">
            <v>-433</v>
          </cell>
          <cell r="X23">
            <v>-405</v>
          </cell>
          <cell r="Y23">
            <v>-317.07142857142856</v>
          </cell>
          <cell r="AA23">
            <v>0</v>
          </cell>
          <cell r="AB23">
            <v>-12.178571428571429</v>
          </cell>
          <cell r="AF23">
            <v>0</v>
          </cell>
          <cell r="AG23">
            <v>2.6428571428571428</v>
          </cell>
          <cell r="AL23">
            <v>-519</v>
          </cell>
          <cell r="AM23">
            <v>-345</v>
          </cell>
          <cell r="AN23">
            <v>-275.28571428571428</v>
          </cell>
          <cell r="AR23">
            <v>-952</v>
          </cell>
          <cell r="AS23">
            <v>-750</v>
          </cell>
          <cell r="AT23">
            <v>-592.35714285714289</v>
          </cell>
          <cell r="AV23">
            <v>-16.321428571428573</v>
          </cell>
          <cell r="AW23">
            <v>-74.857142857142861</v>
          </cell>
          <cell r="AX23">
            <v>-90.678571428571431</v>
          </cell>
          <cell r="AY23">
            <v>-73.642857142857139</v>
          </cell>
          <cell r="AZ23">
            <v>-27.071428571428573</v>
          </cell>
          <cell r="BA23">
            <v>-34.5</v>
          </cell>
          <cell r="BB23">
            <v>-212.03571428571428</v>
          </cell>
          <cell r="BC23">
            <v>1.5</v>
          </cell>
          <cell r="BD23">
            <v>-59.5</v>
          </cell>
          <cell r="BE23">
            <v>-5.25</v>
          </cell>
          <cell r="BJ23">
            <v>-15</v>
          </cell>
          <cell r="BK23">
            <v>-110</v>
          </cell>
          <cell r="BL23">
            <v>-100</v>
          </cell>
          <cell r="BM23">
            <v>-100</v>
          </cell>
          <cell r="BN23">
            <v>-35</v>
          </cell>
          <cell r="BO23">
            <v>-45</v>
          </cell>
          <cell r="BP23">
            <v>-225</v>
          </cell>
          <cell r="BQ23">
            <v>-40</v>
          </cell>
          <cell r="BR23">
            <v>-80</v>
          </cell>
          <cell r="BS23">
            <v>0</v>
          </cell>
          <cell r="BY23">
            <v>-10.834071428571431</v>
          </cell>
          <cell r="CD23">
            <v>-10.834071428571431</v>
          </cell>
        </row>
        <row r="24">
          <cell r="A24">
            <v>19</v>
          </cell>
          <cell r="B24">
            <v>88</v>
          </cell>
          <cell r="C24">
            <v>-68</v>
          </cell>
          <cell r="D24">
            <v>-5</v>
          </cell>
          <cell r="E24">
            <v>-225</v>
          </cell>
          <cell r="F24">
            <v>-29</v>
          </cell>
          <cell r="G24">
            <v>-88</v>
          </cell>
          <cell r="H24">
            <v>-9</v>
          </cell>
          <cell r="I24">
            <v>-50</v>
          </cell>
          <cell r="J24">
            <v>-6</v>
          </cell>
          <cell r="K24">
            <v>-37</v>
          </cell>
          <cell r="L24">
            <v>0</v>
          </cell>
          <cell r="M24">
            <v>114</v>
          </cell>
          <cell r="P24">
            <v>-315</v>
          </cell>
          <cell r="U24">
            <v>-750</v>
          </cell>
          <cell r="W24">
            <v>-219</v>
          </cell>
          <cell r="X24">
            <v>-405</v>
          </cell>
          <cell r="Y24">
            <v>-317.07142857142856</v>
          </cell>
          <cell r="AA24">
            <v>0</v>
          </cell>
          <cell r="AB24">
            <v>-12.178571428571429</v>
          </cell>
          <cell r="AF24">
            <v>0</v>
          </cell>
          <cell r="AG24">
            <v>2.6428571428571428</v>
          </cell>
          <cell r="AM24">
            <v>-345</v>
          </cell>
          <cell r="AS24">
            <v>-750</v>
          </cell>
          <cell r="AV24">
            <v>-16.321428571428573</v>
          </cell>
          <cell r="AW24">
            <v>-74.857142857142861</v>
          </cell>
          <cell r="AX24">
            <v>-90.678571428571431</v>
          </cell>
          <cell r="AY24">
            <v>-73.642857142857139</v>
          </cell>
          <cell r="AZ24">
            <v>-27.071428571428573</v>
          </cell>
          <cell r="BA24">
            <v>-34.5</v>
          </cell>
          <cell r="BB24">
            <v>-212.03571428571428</v>
          </cell>
          <cell r="BC24">
            <v>1.5</v>
          </cell>
          <cell r="BD24">
            <v>-59.5</v>
          </cell>
          <cell r="BE24">
            <v>-5.25</v>
          </cell>
          <cell r="BJ24">
            <v>-15</v>
          </cell>
          <cell r="BK24">
            <v>-110</v>
          </cell>
          <cell r="BL24">
            <v>-100</v>
          </cell>
          <cell r="BM24">
            <v>-100</v>
          </cell>
          <cell r="BN24">
            <v>-35</v>
          </cell>
          <cell r="BO24">
            <v>-45</v>
          </cell>
          <cell r="BP24">
            <v>-225</v>
          </cell>
          <cell r="BQ24">
            <v>-40</v>
          </cell>
          <cell r="BR24">
            <v>-80</v>
          </cell>
          <cell r="BS24">
            <v>0</v>
          </cell>
          <cell r="BY24">
            <v>-11.435964285714288</v>
          </cell>
          <cell r="CD24">
            <v>-11.435964285714288</v>
          </cell>
        </row>
        <row r="25">
          <cell r="A25">
            <v>20</v>
          </cell>
          <cell r="B25">
            <v>52</v>
          </cell>
          <cell r="C25">
            <v>-70</v>
          </cell>
          <cell r="D25">
            <v>36</v>
          </cell>
          <cell r="E25">
            <v>-221</v>
          </cell>
          <cell r="F25">
            <v>-27</v>
          </cell>
          <cell r="G25">
            <v>-117</v>
          </cell>
          <cell r="H25">
            <v>0</v>
          </cell>
          <cell r="I25">
            <v>-50</v>
          </cell>
          <cell r="J25">
            <v>0</v>
          </cell>
          <cell r="K25">
            <v>-42</v>
          </cell>
          <cell r="L25">
            <v>0</v>
          </cell>
          <cell r="M25">
            <v>79</v>
          </cell>
          <cell r="P25">
            <v>-360</v>
          </cell>
          <cell r="U25">
            <v>-750</v>
          </cell>
          <cell r="W25">
            <v>-236</v>
          </cell>
          <cell r="X25">
            <v>-405</v>
          </cell>
          <cell r="Y25">
            <v>-317.07142857142856</v>
          </cell>
          <cell r="AA25">
            <v>0</v>
          </cell>
          <cell r="AB25">
            <v>-12.178571428571429</v>
          </cell>
          <cell r="AF25">
            <v>0</v>
          </cell>
          <cell r="AG25">
            <v>2.6428571428571428</v>
          </cell>
          <cell r="AM25">
            <v>-345</v>
          </cell>
          <cell r="AS25">
            <v>-750</v>
          </cell>
          <cell r="AV25">
            <v>-16.321428571428573</v>
          </cell>
          <cell r="AW25">
            <v>-74.857142857142861</v>
          </cell>
          <cell r="AX25">
            <v>-90.678571428571431</v>
          </cell>
          <cell r="AY25">
            <v>-73.642857142857139</v>
          </cell>
          <cell r="AZ25">
            <v>-27.071428571428573</v>
          </cell>
          <cell r="BA25">
            <v>-34.5</v>
          </cell>
          <cell r="BB25">
            <v>-212.03571428571428</v>
          </cell>
          <cell r="BC25">
            <v>1.5</v>
          </cell>
          <cell r="BD25">
            <v>-59.5</v>
          </cell>
          <cell r="BE25">
            <v>-5.25</v>
          </cell>
          <cell r="BJ25">
            <v>-15</v>
          </cell>
          <cell r="BK25">
            <v>-110</v>
          </cell>
          <cell r="BL25">
            <v>-100</v>
          </cell>
          <cell r="BM25">
            <v>-100</v>
          </cell>
          <cell r="BN25">
            <v>-35</v>
          </cell>
          <cell r="BO25">
            <v>-45</v>
          </cell>
          <cell r="BP25">
            <v>-225</v>
          </cell>
          <cell r="BQ25">
            <v>-40</v>
          </cell>
          <cell r="BR25">
            <v>-80</v>
          </cell>
          <cell r="BS25">
            <v>0</v>
          </cell>
          <cell r="BY25">
            <v>-12.037857142857145</v>
          </cell>
          <cell r="CD25">
            <v>-12.037857142857145</v>
          </cell>
        </row>
        <row r="26">
          <cell r="A26">
            <v>21</v>
          </cell>
          <cell r="B26">
            <v>3</v>
          </cell>
          <cell r="C26">
            <v>-70</v>
          </cell>
          <cell r="D26">
            <v>103</v>
          </cell>
          <cell r="E26">
            <v>-225</v>
          </cell>
          <cell r="F26">
            <v>-26</v>
          </cell>
          <cell r="G26">
            <v>-120</v>
          </cell>
          <cell r="H26">
            <v>0</v>
          </cell>
          <cell r="I26">
            <v>-50</v>
          </cell>
          <cell r="J26">
            <v>0</v>
          </cell>
          <cell r="K26">
            <v>-44</v>
          </cell>
          <cell r="L26">
            <v>0</v>
          </cell>
          <cell r="M26">
            <v>114</v>
          </cell>
          <cell r="P26">
            <v>-315</v>
          </cell>
          <cell r="U26">
            <v>-750</v>
          </cell>
          <cell r="W26">
            <v>-240</v>
          </cell>
          <cell r="X26">
            <v>-405</v>
          </cell>
          <cell r="Y26">
            <v>-317.07142857142856</v>
          </cell>
          <cell r="AA26">
            <v>0</v>
          </cell>
          <cell r="AB26">
            <v>-12.178571428571429</v>
          </cell>
          <cell r="AF26">
            <v>0</v>
          </cell>
          <cell r="AG26">
            <v>2.6428571428571428</v>
          </cell>
          <cell r="AM26">
            <v>-345</v>
          </cell>
          <cell r="AS26">
            <v>-750</v>
          </cell>
          <cell r="AV26">
            <v>-16.321428571428573</v>
          </cell>
          <cell r="AW26">
            <v>-74.857142857142861</v>
          </cell>
          <cell r="AX26">
            <v>-90.678571428571431</v>
          </cell>
          <cell r="AY26">
            <v>-73.642857142857139</v>
          </cell>
          <cell r="AZ26">
            <v>-27.071428571428573</v>
          </cell>
          <cell r="BA26">
            <v>-34.5</v>
          </cell>
          <cell r="BB26">
            <v>-212.03571428571428</v>
          </cell>
          <cell r="BC26">
            <v>1.5</v>
          </cell>
          <cell r="BD26">
            <v>-59.5</v>
          </cell>
          <cell r="BE26">
            <v>-5.25</v>
          </cell>
          <cell r="BJ26">
            <v>-15</v>
          </cell>
          <cell r="BK26">
            <v>-110</v>
          </cell>
          <cell r="BL26">
            <v>-100</v>
          </cell>
          <cell r="BM26">
            <v>-100</v>
          </cell>
          <cell r="BN26">
            <v>-35</v>
          </cell>
          <cell r="BO26">
            <v>-45</v>
          </cell>
          <cell r="BP26">
            <v>-225</v>
          </cell>
          <cell r="BQ26">
            <v>-40</v>
          </cell>
          <cell r="BR26">
            <v>-80</v>
          </cell>
          <cell r="BS26">
            <v>0</v>
          </cell>
          <cell r="BY26">
            <v>-12.639750000000003</v>
          </cell>
          <cell r="CD26">
            <v>-12.639750000000003</v>
          </cell>
        </row>
        <row r="27">
          <cell r="A27">
            <v>22</v>
          </cell>
          <cell r="B27">
            <v>4</v>
          </cell>
          <cell r="C27">
            <v>-62</v>
          </cell>
          <cell r="D27">
            <v>3</v>
          </cell>
          <cell r="E27">
            <v>-225</v>
          </cell>
          <cell r="F27">
            <v>-27</v>
          </cell>
          <cell r="G27">
            <v>-116</v>
          </cell>
          <cell r="H27">
            <v>-92</v>
          </cell>
          <cell r="I27">
            <v>-48</v>
          </cell>
          <cell r="J27">
            <v>-68</v>
          </cell>
          <cell r="K27">
            <v>-43</v>
          </cell>
          <cell r="L27">
            <v>0</v>
          </cell>
          <cell r="M27">
            <v>225</v>
          </cell>
          <cell r="P27">
            <v>-449</v>
          </cell>
          <cell r="U27">
            <v>-750</v>
          </cell>
          <cell r="W27">
            <v>-394</v>
          </cell>
          <cell r="X27">
            <v>-405</v>
          </cell>
          <cell r="Y27">
            <v>-317.07142857142856</v>
          </cell>
          <cell r="AA27">
            <v>0</v>
          </cell>
          <cell r="AB27">
            <v>-12.178571428571429</v>
          </cell>
          <cell r="AF27">
            <v>0</v>
          </cell>
          <cell r="AG27">
            <v>2.6428571428571428</v>
          </cell>
          <cell r="AM27">
            <v>-345</v>
          </cell>
          <cell r="AS27">
            <v>-750</v>
          </cell>
          <cell r="AV27">
            <v>-16.321428571428573</v>
          </cell>
          <cell r="AW27">
            <v>-74.857142857142861</v>
          </cell>
          <cell r="AX27">
            <v>-90.678571428571431</v>
          </cell>
          <cell r="AY27">
            <v>-73.642857142857139</v>
          </cell>
          <cell r="AZ27">
            <v>-27.071428571428573</v>
          </cell>
          <cell r="BA27">
            <v>-34.5</v>
          </cell>
          <cell r="BB27">
            <v>-212.03571428571428</v>
          </cell>
          <cell r="BC27">
            <v>1.5</v>
          </cell>
          <cell r="BD27">
            <v>-59.5</v>
          </cell>
          <cell r="BE27">
            <v>-5.25</v>
          </cell>
          <cell r="BJ27">
            <v>-15</v>
          </cell>
          <cell r="BK27">
            <v>-110</v>
          </cell>
          <cell r="BL27">
            <v>-100</v>
          </cell>
          <cell r="BM27">
            <v>-100</v>
          </cell>
          <cell r="BN27">
            <v>-35</v>
          </cell>
          <cell r="BO27">
            <v>-45</v>
          </cell>
          <cell r="BP27">
            <v>-225</v>
          </cell>
          <cell r="BQ27">
            <v>-40</v>
          </cell>
          <cell r="BR27">
            <v>-80</v>
          </cell>
          <cell r="BS27">
            <v>0</v>
          </cell>
          <cell r="BY27">
            <v>-13.24164285714286</v>
          </cell>
          <cell r="CD27">
            <v>-13.24164285714286</v>
          </cell>
        </row>
        <row r="28">
          <cell r="A28">
            <v>23</v>
          </cell>
          <cell r="B28">
            <v>0</v>
          </cell>
          <cell r="C28">
            <v>-55</v>
          </cell>
          <cell r="D28">
            <v>-21</v>
          </cell>
          <cell r="E28">
            <v>-225</v>
          </cell>
          <cell r="F28">
            <v>-26</v>
          </cell>
          <cell r="G28">
            <v>-81</v>
          </cell>
          <cell r="H28">
            <v>-95</v>
          </cell>
          <cell r="I28">
            <v>-46</v>
          </cell>
          <cell r="J28">
            <v>-75</v>
          </cell>
          <cell r="K28">
            <v>-37</v>
          </cell>
          <cell r="L28">
            <v>-39</v>
          </cell>
          <cell r="M28">
            <v>69</v>
          </cell>
          <cell r="P28">
            <v>-631</v>
          </cell>
          <cell r="U28">
            <v>-750</v>
          </cell>
          <cell r="W28">
            <v>-360</v>
          </cell>
          <cell r="X28">
            <v>-405</v>
          </cell>
          <cell r="Y28">
            <v>-317.07142857142856</v>
          </cell>
          <cell r="AA28">
            <v>0</v>
          </cell>
          <cell r="AB28">
            <v>-12.178571428571429</v>
          </cell>
          <cell r="AF28">
            <v>0</v>
          </cell>
          <cell r="AG28">
            <v>2.6428571428571428</v>
          </cell>
          <cell r="AM28">
            <v>-345</v>
          </cell>
          <cell r="AS28">
            <v>-750</v>
          </cell>
          <cell r="AV28">
            <v>-16.321428571428573</v>
          </cell>
          <cell r="AW28">
            <v>-74.857142857142861</v>
          </cell>
          <cell r="AX28">
            <v>-90.678571428571431</v>
          </cell>
          <cell r="AY28">
            <v>-73.642857142857139</v>
          </cell>
          <cell r="AZ28">
            <v>-27.071428571428573</v>
          </cell>
          <cell r="BA28">
            <v>-34.5</v>
          </cell>
          <cell r="BB28">
            <v>-212.03571428571428</v>
          </cell>
          <cell r="BC28">
            <v>1.5</v>
          </cell>
          <cell r="BD28">
            <v>-59.5</v>
          </cell>
          <cell r="BE28">
            <v>-5.25</v>
          </cell>
          <cell r="BJ28">
            <v>-15</v>
          </cell>
          <cell r="BK28">
            <v>-110</v>
          </cell>
          <cell r="BL28">
            <v>-100</v>
          </cell>
          <cell r="BM28">
            <v>-100</v>
          </cell>
          <cell r="BN28">
            <v>-35</v>
          </cell>
          <cell r="BO28">
            <v>-45</v>
          </cell>
          <cell r="BP28">
            <v>-225</v>
          </cell>
          <cell r="BQ28">
            <v>-40</v>
          </cell>
          <cell r="BR28">
            <v>-80</v>
          </cell>
          <cell r="BS28">
            <v>0</v>
          </cell>
          <cell r="BY28">
            <v>-13.843535714285718</v>
          </cell>
          <cell r="CD28">
            <v>-13.843535714285718</v>
          </cell>
        </row>
        <row r="29">
          <cell r="A29">
            <v>24</v>
          </cell>
          <cell r="B29">
            <v>0</v>
          </cell>
          <cell r="C29">
            <v>-54</v>
          </cell>
          <cell r="D29">
            <v>33</v>
          </cell>
          <cell r="E29">
            <v>-225</v>
          </cell>
          <cell r="F29">
            <v>-26</v>
          </cell>
          <cell r="G29">
            <v>-111</v>
          </cell>
          <cell r="H29">
            <v>-95</v>
          </cell>
          <cell r="I29">
            <v>-44</v>
          </cell>
          <cell r="J29">
            <v>-75</v>
          </cell>
          <cell r="K29">
            <v>-43</v>
          </cell>
          <cell r="L29">
            <v>0</v>
          </cell>
          <cell r="M29">
            <v>297</v>
          </cell>
          <cell r="P29">
            <v>-343</v>
          </cell>
          <cell r="U29">
            <v>-750</v>
          </cell>
          <cell r="W29">
            <v>-394</v>
          </cell>
          <cell r="X29">
            <v>-405</v>
          </cell>
          <cell r="Y29">
            <v>-317.07142857142856</v>
          </cell>
          <cell r="AA29">
            <v>0</v>
          </cell>
          <cell r="AB29">
            <v>-12.178571428571429</v>
          </cell>
          <cell r="AF29">
            <v>0</v>
          </cell>
          <cell r="AG29">
            <v>2.6428571428571428</v>
          </cell>
          <cell r="AM29">
            <v>-345</v>
          </cell>
          <cell r="AS29">
            <v>-750</v>
          </cell>
          <cell r="AV29">
            <v>-16.321428571428573</v>
          </cell>
          <cell r="AW29">
            <v>-74.857142857142861</v>
          </cell>
          <cell r="AX29">
            <v>-90.678571428571431</v>
          </cell>
          <cell r="AY29">
            <v>-73.642857142857139</v>
          </cell>
          <cell r="AZ29">
            <v>-27.071428571428573</v>
          </cell>
          <cell r="BA29">
            <v>-34.5</v>
          </cell>
          <cell r="BB29">
            <v>-212.03571428571428</v>
          </cell>
          <cell r="BC29">
            <v>1.5</v>
          </cell>
          <cell r="BD29">
            <v>-59.5</v>
          </cell>
          <cell r="BE29">
            <v>-5.25</v>
          </cell>
          <cell r="BJ29">
            <v>-15</v>
          </cell>
          <cell r="BK29">
            <v>-110</v>
          </cell>
          <cell r="BL29">
            <v>-100</v>
          </cell>
          <cell r="BM29">
            <v>-100</v>
          </cell>
          <cell r="BN29">
            <v>-35</v>
          </cell>
          <cell r="BO29">
            <v>-45</v>
          </cell>
          <cell r="BP29">
            <v>-225</v>
          </cell>
          <cell r="BQ29">
            <v>-40</v>
          </cell>
          <cell r="BR29">
            <v>-80</v>
          </cell>
          <cell r="BS29">
            <v>0</v>
          </cell>
          <cell r="BY29">
            <v>-14.445428571428575</v>
          </cell>
          <cell r="CD29">
            <v>-14.445428571428575</v>
          </cell>
        </row>
        <row r="30">
          <cell r="A30">
            <v>25</v>
          </cell>
          <cell r="B30">
            <v>0</v>
          </cell>
          <cell r="C30">
            <v>-57</v>
          </cell>
          <cell r="D30">
            <v>0</v>
          </cell>
          <cell r="E30">
            <v>-225</v>
          </cell>
          <cell r="F30">
            <v>-20</v>
          </cell>
          <cell r="G30">
            <v>-109</v>
          </cell>
          <cell r="H30">
            <v>-95</v>
          </cell>
          <cell r="I30">
            <v>-43</v>
          </cell>
          <cell r="J30">
            <v>-75</v>
          </cell>
          <cell r="K30">
            <v>-43</v>
          </cell>
          <cell r="L30">
            <v>0</v>
          </cell>
          <cell r="M30">
            <v>152</v>
          </cell>
          <cell r="P30">
            <v>-515</v>
          </cell>
          <cell r="U30">
            <v>-750</v>
          </cell>
          <cell r="W30">
            <v>-385</v>
          </cell>
          <cell r="X30">
            <v>-405</v>
          </cell>
          <cell r="Y30">
            <v>-317.07142857142856</v>
          </cell>
          <cell r="AA30">
            <v>0</v>
          </cell>
          <cell r="AB30">
            <v>-12.178571428571429</v>
          </cell>
          <cell r="AF30">
            <v>0</v>
          </cell>
          <cell r="AG30">
            <v>2.6428571428571428</v>
          </cell>
          <cell r="AM30">
            <v>-345</v>
          </cell>
          <cell r="AS30">
            <v>-750</v>
          </cell>
          <cell r="AV30">
            <v>-16.321428571428573</v>
          </cell>
          <cell r="AW30">
            <v>-74.857142857142861</v>
          </cell>
          <cell r="AX30">
            <v>-90.678571428571431</v>
          </cell>
          <cell r="BC30">
            <v>1.5</v>
          </cell>
          <cell r="BJ30">
            <v>-15</v>
          </cell>
          <cell r="BK30">
            <v>-110</v>
          </cell>
          <cell r="BL30">
            <v>-100</v>
          </cell>
          <cell r="BM30">
            <v>-100</v>
          </cell>
          <cell r="BN30">
            <v>-35</v>
          </cell>
          <cell r="BO30">
            <v>-45</v>
          </cell>
          <cell r="BP30">
            <v>-225</v>
          </cell>
          <cell r="BQ30">
            <v>-40</v>
          </cell>
          <cell r="BR30">
            <v>-80</v>
          </cell>
          <cell r="BS30">
            <v>0</v>
          </cell>
          <cell r="BY30">
            <v>-15.047321428571433</v>
          </cell>
          <cell r="CD30">
            <v>-15.047321428571433</v>
          </cell>
        </row>
        <row r="31">
          <cell r="A31">
            <v>26</v>
          </cell>
          <cell r="B31">
            <v>0</v>
          </cell>
          <cell r="C31">
            <v>-27</v>
          </cell>
          <cell r="D31">
            <v>1</v>
          </cell>
          <cell r="E31">
            <v>-138</v>
          </cell>
          <cell r="F31">
            <v>-20</v>
          </cell>
          <cell r="G31">
            <v>0</v>
          </cell>
          <cell r="H31">
            <v>-94</v>
          </cell>
          <cell r="I31">
            <v>-42</v>
          </cell>
          <cell r="J31">
            <v>-75</v>
          </cell>
          <cell r="K31">
            <v>0</v>
          </cell>
          <cell r="L31">
            <v>36</v>
          </cell>
          <cell r="M31">
            <v>290</v>
          </cell>
          <cell r="P31">
            <v>-69</v>
          </cell>
          <cell r="U31">
            <v>-750</v>
          </cell>
          <cell r="W31">
            <v>-231</v>
          </cell>
          <cell r="X31">
            <v>-405</v>
          </cell>
          <cell r="Y31">
            <v>-317.07142857142856</v>
          </cell>
          <cell r="AA31">
            <v>0</v>
          </cell>
          <cell r="AF31">
            <v>0</v>
          </cell>
          <cell r="AM31">
            <v>-345</v>
          </cell>
          <cell r="AS31">
            <v>-750</v>
          </cell>
          <cell r="AV31">
            <v>-16.321428571428573</v>
          </cell>
          <cell r="AW31">
            <v>-74.857142857142861</v>
          </cell>
          <cell r="AX31">
            <v>-90.678571428571431</v>
          </cell>
          <cell r="BC31">
            <v>1.5</v>
          </cell>
          <cell r="BJ31">
            <v>-15</v>
          </cell>
          <cell r="BK31">
            <v>-110</v>
          </cell>
          <cell r="BL31">
            <v>-100</v>
          </cell>
          <cell r="BM31">
            <v>-100</v>
          </cell>
          <cell r="BN31">
            <v>-35</v>
          </cell>
          <cell r="BO31">
            <v>-45</v>
          </cell>
          <cell r="BP31">
            <v>-225</v>
          </cell>
          <cell r="BQ31">
            <v>-40</v>
          </cell>
          <cell r="BR31">
            <v>-80</v>
          </cell>
          <cell r="BS31">
            <v>0</v>
          </cell>
          <cell r="BY31">
            <v>-15.64921428571429</v>
          </cell>
          <cell r="CD31">
            <v>-15.64921428571429</v>
          </cell>
        </row>
        <row r="32">
          <cell r="A32">
            <v>27</v>
          </cell>
          <cell r="B32">
            <v>-29</v>
          </cell>
          <cell r="C32">
            <v>-60</v>
          </cell>
          <cell r="D32">
            <v>0</v>
          </cell>
          <cell r="E32">
            <v>-154</v>
          </cell>
          <cell r="F32">
            <v>-19</v>
          </cell>
          <cell r="G32">
            <v>0</v>
          </cell>
          <cell r="H32">
            <v>-93</v>
          </cell>
          <cell r="I32">
            <v>-43</v>
          </cell>
          <cell r="J32">
            <v>-75</v>
          </cell>
          <cell r="K32">
            <v>0</v>
          </cell>
          <cell r="L32">
            <v>93</v>
          </cell>
          <cell r="M32">
            <v>182</v>
          </cell>
          <cell r="P32">
            <v>-198</v>
          </cell>
          <cell r="U32">
            <v>-750</v>
          </cell>
          <cell r="X32">
            <v>-405</v>
          </cell>
          <cell r="AA32">
            <v>0</v>
          </cell>
          <cell r="AF32">
            <v>0</v>
          </cell>
          <cell r="AM32">
            <v>-345</v>
          </cell>
          <cell r="AS32">
            <v>-750</v>
          </cell>
          <cell r="BJ32">
            <v>-15</v>
          </cell>
          <cell r="BK32">
            <v>-110</v>
          </cell>
          <cell r="BL32">
            <v>-100</v>
          </cell>
          <cell r="BM32">
            <v>-100</v>
          </cell>
          <cell r="BN32">
            <v>-35</v>
          </cell>
          <cell r="BO32">
            <v>-45</v>
          </cell>
          <cell r="BP32">
            <v>-225</v>
          </cell>
          <cell r="BQ32">
            <v>-40</v>
          </cell>
          <cell r="BR32">
            <v>-80</v>
          </cell>
          <cell r="BS32">
            <v>0</v>
          </cell>
          <cell r="BY32">
            <v>-16.251107142857148</v>
          </cell>
          <cell r="CD32">
            <v>-16.251107142857148</v>
          </cell>
        </row>
      </sheetData>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Results"/>
      <sheetName val="Income Statement"/>
      <sheetName val="Cash Flow"/>
      <sheetName val="Expenses"/>
      <sheetName val="Depreciation"/>
      <sheetName val="Debt"/>
      <sheetName val="Taxes"/>
      <sheetName val="Balance Sheet"/>
      <sheetName val="Reserves"/>
      <sheetName val="Residual Value"/>
      <sheetName val="EPC"/>
      <sheetName val="IDC"/>
      <sheetName val="O &amp; M Budget 1 X 1"/>
      <sheetName val="Unidentified Inputs"/>
      <sheetName val="list"/>
      <sheetName val="Vendor Categories"/>
      <sheetName val="Cost Seg &amp; Tax Categories"/>
      <sheetName val="dropdown"/>
      <sheetName val="Assumptions"/>
      <sheetName val="PopCache"/>
      <sheetName val="MFM 1x1 GTCC 031105"/>
      <sheetName val="Sh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Selections"/>
      <sheetName val="Project Information"/>
      <sheetName val="Inputs"/>
      <sheetName val="4. NTM Forecast"/>
      <sheetName val="Sheet1"/>
      <sheetName val="Sheet2"/>
      <sheetName val="Pivot 02.28.19"/>
      <sheetName val="Pivot 03.31.2019"/>
      <sheetName val="Pivot 04.30.2019"/>
      <sheetName val=" Lead 05.31.2019"/>
      <sheetName val="CashStatement 02.28.19"/>
      <sheetName val="CashStatement 03.31.2019"/>
      <sheetName val="CashStatement 04.30.19"/>
      <sheetName val="CashStatement 05.31.2019"/>
      <sheetName val="Sheet3"/>
      <sheetName val="CashStatement 06.30.2019"/>
      <sheetName val="2 - Input"/>
      <sheetName val="MetData_CC"/>
      <sheetName val="DataIn_CC"/>
      <sheetName val="Equity Detail"/>
      <sheetName val="8.27 Property"/>
      <sheetName val="12.31 Property"/>
      <sheetName val="Project Finance"/>
      <sheetName val="Holding cost"/>
      <sheetName val="Proj Inputs"/>
      <sheetName val="Sensitivity Analysis"/>
      <sheetName val="Title"/>
      <sheetName val="Log"/>
      <sheetName val="AVP"/>
      <sheetName val="Equity"/>
      <sheetName val="SHL_Calc"/>
      <sheetName val="Partnership"/>
      <sheetName val="Sum"/>
      <sheetName val="Op"/>
      <sheetName val="Gen &amp; Rates"/>
      <sheetName val="Charts"/>
      <sheetName val="Compare"/>
      <sheetName val="Build"/>
      <sheetName val="PropTax"/>
      <sheetName val="DataIn"/>
      <sheetName val="MetData"/>
      <sheetName val="Merchant"/>
      <sheetName val="Raw Data"/>
      <sheetName val="Blizzard Sensitivities"/>
      <sheetName val="Tax Equity Q"/>
      <sheetName val="#REF"/>
      <sheetName val="HIOS 93 thru 96"/>
      <sheetName val="System List"/>
      <sheetName val="Cases"/>
      <sheetName val="2016"/>
      <sheetName val="2017 IC Interest"/>
      <sheetName val="2018 IC Interest"/>
      <sheetName val="2019 IC Interest"/>
      <sheetName val="2019 IC Interest (2)"/>
      <sheetName val="2020 IC Interest"/>
      <sheetName val="2020 IC Interest (2)"/>
    </sheetNames>
    <sheetDataSet>
      <sheetData sheetId="0"/>
      <sheetData sheetId="1" refreshError="1"/>
      <sheetData sheetId="2"/>
      <sheetData sheetId="3" refreshError="1"/>
      <sheetData sheetId="4">
        <row r="5">
          <cell r="F5">
            <v>12</v>
          </cell>
        </row>
      </sheetData>
      <sheetData sheetId="5">
        <row r="5">
          <cell r="F5">
            <v>12</v>
          </cell>
        </row>
      </sheetData>
      <sheetData sheetId="6">
        <row r="5">
          <cell r="F5">
            <v>12</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P0796"/>
      <sheetName val="Journal Entry"/>
      <sheetName val="input"/>
      <sheetName val="Sheet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Lookups"/>
      <sheetName val="Cash Flow Progress"/>
      <sheetName val="Input"/>
      <sheetName val="Lists"/>
      <sheetName val="Reference"/>
      <sheetName val="Cover Page"/>
      <sheetName val="(H) Bonus Fed v State"/>
      <sheetName val="Sheet1"/>
      <sheetName val="Assumptions"/>
      <sheetName val="ago03"/>
      <sheetName val="Data"/>
      <sheetName val="KUNGDEVI"/>
      <sheetName val="State TI"/>
      <sheetName val="N (Hvycon Pct)"/>
      <sheetName val="Consolidated Balance Sheet"/>
      <sheetName val="A1 - Income Statement"/>
      <sheetName val="Calc"/>
      <sheetName val="GoEight"/>
      <sheetName val="GrFour"/>
      <sheetName val="MOne"/>
      <sheetName val="MTwo"/>
      <sheetName val="KOne"/>
      <sheetName val="GoSeven"/>
      <sheetName val="GrThree"/>
      <sheetName val="HTwo"/>
      <sheetName val="JOne"/>
      <sheetName val="JTwo"/>
      <sheetName val="HOne"/>
      <sheetName val="IssuerSummary"/>
      <sheetName val="Dividend"/>
      <sheetName val="95"/>
      <sheetName val="Sch L"/>
      <sheetName val="Sch M-3"/>
      <sheetName val="8916-A"/>
      <sheetName val="SCH D"/>
      <sheetName val="8949"/>
      <sheetName val="SCH B"/>
      <sheetName val="Analysis By Partner Type"/>
      <sheetName val="8865"/>
      <sheetName val="8621"/>
      <sheetName val="5471 SPR 2"/>
      <sheetName val="5471 BHCV LC"/>
      <sheetName val="5471 BHCV II"/>
      <sheetName val="5471 BHCV III"/>
      <sheetName val="5471 Optium"/>
      <sheetName val="Ordinary Income Detail"/>
      <sheetName val="Analysis of Net Income"/>
      <sheetName val="5471 - Skyline"/>
      <sheetName val="Support&gt;&gt;"/>
      <sheetName val="5471 Analysis"/>
      <sheetName val="CY PFIC TB"/>
      <sheetName val="PwC SPV"/>
      <sheetName val="PY PFIC TB"/>
      <sheetName val="Income Statement"/>
      <sheetName val="PFIC Summary"/>
      <sheetName val="Capital Account Summary"/>
      <sheetName val="BS"/>
      <sheetName val="SOE"/>
      <sheetName val="IS"/>
      <sheetName val="Untracht SPV"/>
      <sheetName val="Tax Allocations"/>
      <sheetName val="TIS"/>
      <sheetName val="DWV Master RGL (Partial)"/>
      <sheetName val="Onshore Realized Gain-Loss"/>
      <sheetName val="PY Filings"/>
      <sheetName val="Maste Holdings Report"/>
      <sheetName val="DWV Footnotes"/>
      <sheetName val="Aug"/>
      <sheetName val="HIOS 93 thru 96"/>
      <sheetName val="#REF"/>
      <sheetName val="Financing &amp; Projects"/>
      <sheetName val="DCS_Links"/>
      <sheetName val="CT_Performance"/>
      <sheetName val="CT_Gen&amp;HR_Cor"/>
      <sheetName val="ST_Corrections"/>
      <sheetName val="ST_Stg_Pressures"/>
      <sheetName val="Condenser_Performance"/>
      <sheetName val="STM_INJECT_CORR"/>
      <sheetName val="ELEC_LOSS_CORR"/>
      <sheetName val="firing_temp"/>
      <sheetName val="Cash_Flow_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st History"/>
      <sheetName val="Makeup Water Analysis"/>
      <sheetName val="General Water Demands"/>
      <sheetName val="Specific Water Demands"/>
      <sheetName val="Dispatch Summary"/>
      <sheetName val="Cost Data Entry"/>
      <sheetName val="Parameter Data Entry"/>
      <sheetName val="Cost Summary"/>
      <sheetName val="Process Flow Diagram"/>
      <sheetName val="Raw Water"/>
      <sheetName val="Lime Soda Softener"/>
      <sheetName val="Acid Feed"/>
      <sheetName val="Multimedia Filter"/>
      <sheetName val="Cooling Tower"/>
      <sheetName val="MU RO Acid Feed"/>
      <sheetName val="Makeup Reverse Osmosis"/>
      <sheetName val="H+ SAC"/>
      <sheetName val="Na+ SAC"/>
      <sheetName val="H+ WAC"/>
      <sheetName val="Na+ WAC"/>
      <sheetName val="MU Degassifier"/>
      <sheetName val="SBA IX"/>
      <sheetName val="Mixed Bed IX"/>
      <sheetName val="Offsite Mixed Bed IX"/>
      <sheetName val="WW RO Degassifier"/>
      <sheetName val="WW RO Caustic Feed"/>
      <sheetName val="Wastewater Reverse Osmosis"/>
      <sheetName val="BD Multimedia Filter"/>
      <sheetName val="BC Acid Feed "/>
      <sheetName val="Brine Concentrator"/>
      <sheetName val="Crystallizer"/>
      <sheetName val="Evap Pond"/>
      <sheetName val="Equivalent Weights"/>
      <sheetName val="Drop Down Lists"/>
      <sheetName val="NPV Calculator"/>
      <sheetName val="Template 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er Savings"/>
      <sheetName val="PVT View"/>
      <sheetName val="Assumptions"/>
      <sheetName val="Sheet1"/>
      <sheetName val="GridLiance"/>
      <sheetName val="MJMEUC"/>
      <sheetName val="C - Option"/>
      <sheetName val="Consolidated ATRR-1"/>
      <sheetName val="Financial Assumptions"/>
      <sheetName val="Summary"/>
      <sheetName val="BX Reg Recovery %"/>
      <sheetName val="Reg Asset Summary"/>
      <sheetName val="Sheet3"/>
      <sheetName val="Asset Summary (Low)"/>
      <sheetName val="Asset Summary (High)"/>
      <sheetName val="Asset Summary (Expected)"/>
      <sheetName val="REG. ASSET (Direct Costs)"/>
      <sheetName val="REG. ASSET (straight line)"/>
      <sheetName val="Sheet2"/>
      <sheetName val="Reg Assumptions"/>
      <sheetName val="Consolidation detail"/>
      <sheetName val="Sheet5"/>
      <sheetName val="New Consolidation Tab"/>
      <sheetName val="Unidentified"/>
      <sheetName val="VEA "/>
      <sheetName val="TMPA"/>
      <sheetName val="TCEC"/>
      <sheetName val="Reg Asset"/>
      <sheetName val="Rolla"/>
      <sheetName val="IMEA, ENEL, Rochelle"/>
      <sheetName val="ATRR-2"/>
      <sheetName val="Sheet6"/>
      <sheetName val="VEA Inputs"/>
      <sheetName val="10.2.16 High Prob projects"/>
      <sheetName val="CapEx"/>
      <sheetName val="Fixed Assets"/>
      <sheetName val="Exit-1"/>
      <sheetName val="Exit-2"/>
      <sheetName val="capx summary"/>
      <sheetName val="Exit-CapEx"/>
      <sheetName val="Scenarios"/>
      <sheetName val="Che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H16">
            <v>83459.847881562499</v>
          </cell>
        </row>
        <row r="139">
          <cell r="E139">
            <v>0.65</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row r="23">
          <cell r="E23">
            <v>93712.379000000001</v>
          </cell>
        </row>
        <row r="28">
          <cell r="E28">
            <v>200600</v>
          </cell>
        </row>
        <row r="30">
          <cell r="E30">
            <v>112863.09002430168</v>
          </cell>
        </row>
        <row r="69">
          <cell r="E69">
            <v>2.5000000000000001E-2</v>
          </cell>
        </row>
        <row r="70">
          <cell r="E70">
            <v>2.5000000000000001E-2</v>
          </cell>
        </row>
        <row r="72">
          <cell r="E72">
            <v>0</v>
          </cell>
        </row>
        <row r="74">
          <cell r="E74">
            <v>4.5583392182490509E-2</v>
          </cell>
        </row>
        <row r="75">
          <cell r="E75">
            <v>0.125</v>
          </cell>
        </row>
        <row r="78">
          <cell r="E78">
            <v>0.10199999999999999</v>
          </cell>
        </row>
        <row r="79">
          <cell r="E79">
            <v>0.6</v>
          </cell>
        </row>
        <row r="81">
          <cell r="E81">
            <v>4.8500000000000001E-2</v>
          </cell>
        </row>
        <row r="82">
          <cell r="E82">
            <v>0.11355384615384613</v>
          </cell>
        </row>
        <row r="83">
          <cell r="E83">
            <v>0.10389836923076921</v>
          </cell>
        </row>
        <row r="84">
          <cell r="E84">
            <v>8.0599999999999991E-2</v>
          </cell>
        </row>
        <row r="86">
          <cell r="E86">
            <v>8.0599999999999991E-2</v>
          </cell>
        </row>
        <row r="89">
          <cell r="E89">
            <v>0</v>
          </cell>
        </row>
        <row r="90">
          <cell r="E90">
            <v>4</v>
          </cell>
        </row>
        <row r="93">
          <cell r="E93">
            <v>0.01</v>
          </cell>
        </row>
        <row r="94">
          <cell r="E94">
            <v>0.01</v>
          </cell>
        </row>
        <row r="97">
          <cell r="E97">
            <v>1.0073E-2</v>
          </cell>
        </row>
        <row r="98">
          <cell r="E98">
            <v>1.0072998702526093E-2</v>
          </cell>
        </row>
        <row r="99">
          <cell r="E99">
            <v>9.41E-3</v>
          </cell>
        </row>
        <row r="104">
          <cell r="E104">
            <v>0.35</v>
          </cell>
        </row>
        <row r="105">
          <cell r="E105">
            <v>0</v>
          </cell>
        </row>
        <row r="106">
          <cell r="E106">
            <v>0.35</v>
          </cell>
        </row>
        <row r="107">
          <cell r="E107">
            <v>0.29299999999999998</v>
          </cell>
        </row>
        <row r="110">
          <cell r="E110">
            <v>1</v>
          </cell>
        </row>
        <row r="126">
          <cell r="E126">
            <v>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ed CAR"/>
      <sheetName val="Dashboard"/>
      <sheetName val="CAR Actual"/>
      <sheetName val="Pivot"/>
      <sheetName val="Contingency Recon"/>
      <sheetName val="GL Details"/>
      <sheetName val="Sheet2"/>
      <sheetName val="Sheet1"/>
    </sheetNames>
    <sheetDataSet>
      <sheetData sheetId="0">
        <row r="27">
          <cell r="H27">
            <v>944700</v>
          </cell>
        </row>
      </sheetData>
      <sheetData sheetId="1"/>
      <sheetData sheetId="2">
        <row r="32">
          <cell r="J32">
            <v>0</v>
          </cell>
        </row>
      </sheetData>
      <sheetData sheetId="3"/>
      <sheetData sheetId="4"/>
      <sheetData sheetId="5"/>
      <sheetData sheetId="6"/>
      <sheetData sheetId="7">
        <row r="6">
          <cell r="B6" t="str">
            <v>1011 - Exec</v>
          </cell>
          <cell r="K6" t="str">
            <v>Yes</v>
          </cell>
        </row>
        <row r="7">
          <cell r="B7" t="str">
            <v>1021 - Fin</v>
          </cell>
          <cell r="K7" t="str">
            <v>No</v>
          </cell>
        </row>
        <row r="8">
          <cell r="B8" t="str">
            <v>1024 - IT</v>
          </cell>
        </row>
        <row r="9">
          <cell r="B9" t="str">
            <v>1031 - Legal</v>
          </cell>
        </row>
        <row r="10">
          <cell r="B10" t="str">
            <v>1041 - HR</v>
          </cell>
        </row>
        <row r="11">
          <cell r="B11" t="str">
            <v>1061 - Oper</v>
          </cell>
        </row>
        <row r="12">
          <cell r="B12" t="str">
            <v>1521 - TBC Ops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 TLine"/>
      <sheetName val="Hawkeye Quote"/>
      <sheetName val="Kiewit Quote"/>
      <sheetName val="Component Cost Estimate"/>
      <sheetName val="Assump"/>
      <sheetName val="Model"/>
      <sheetName val="TLineLOGTAB"/>
      <sheetName val="SOV_Summary"/>
      <sheetName val="SOV_Transmission"/>
      <sheetName val="SOV_Transmission_RackUp"/>
      <sheetName val="Assump_Sub"/>
      <sheetName val="Model_Sub"/>
      <sheetName val="Model_Sub_Unifier"/>
      <sheetName val="Old Component Cost Estimate"/>
      <sheetName val="SubLOGTAB"/>
      <sheetName val="SOV_Substation"/>
      <sheetName val="TLine_ARO_Key_Parameters"/>
      <sheetName val="TemplateRev_Tracker_TLine"/>
      <sheetName val="TemplateRev_Assump_Tline"/>
      <sheetName val="ChangeLog"/>
      <sheetName val="T-DOT Input"/>
      <sheetName val="T-Dot Light Input"/>
      <sheetName val="Historical_Projects_Tline"/>
      <sheetName val="Picklist_TeeLine"/>
      <sheetName val="Picklist_Substations"/>
      <sheetName val="Wage_Rates"/>
      <sheetName val="Labor"/>
      <sheetName val="Rules"/>
      <sheetName val="TextbookInfo"/>
      <sheetName val="TeeLine"/>
      <sheetName val="TeeLineCosts"/>
      <sheetName val="ACSR Cable"/>
      <sheetName val="ACSS Cable"/>
      <sheetName val="UnderGroundBackup"/>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sheetData sheetId="22" refreshError="1"/>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ssump"/>
      <sheetName val="Model"/>
      <sheetName val="Schedule"/>
      <sheetName val="Recon"/>
      <sheetName val="Data Exports"/>
      <sheetName val="Estimate Log"/>
      <sheetName val="Reference=&gt;"/>
      <sheetName val="Lookups"/>
      <sheetName val="Labor"/>
      <sheetName val="Rules_Soil"/>
      <sheetName val="Rules_Civil"/>
      <sheetName val="TL_Rules"/>
      <sheetName val="Base_WinPower"/>
      <sheetName val="Historical=&gt;"/>
      <sheetName val="Hist_Proj"/>
      <sheetName val="Reference Hist_Proj"/>
      <sheetName val="EstmPrevious"/>
      <sheetName val="SOV=&gt;"/>
      <sheetName val="Unifier Upload"/>
      <sheetName val="Under Development=&gt;"/>
      <sheetName val="WTGs Metrics"/>
      <sheetName val="Cash_Flow"/>
      <sheetName val="Rules_Elect"/>
      <sheetName val="Yard_Rev"/>
      <sheetName val="State_Impacts"/>
      <sheetName val="Collection Wire Calculator"/>
      <sheetName val="WTG_Locations"/>
      <sheetName val="Analysi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당진"/>
      <sheetName val="말뚝물량"/>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aCalcs"/>
      <sheetName val="Fundamentals"/>
      <sheetName val="PriorList"/>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ist Vendor Data"/>
      <sheetName val="Bridge Crane"/>
      <sheetName val="BridgeCrane Import"/>
      <sheetName val="ProjectDefaults Import"/>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_Input"/>
      <sheetName val="Assump"/>
      <sheetName val="Model"/>
      <sheetName val="Model_Unifier"/>
      <sheetName val="SOV_Transmission"/>
      <sheetName val="SOV_Transmission_RackUp"/>
      <sheetName val="SOV_Transmission_Normalization"/>
      <sheetName val="Assump_Sub"/>
      <sheetName val="Model_Sub"/>
      <sheetName val="Model_Sub_Unifier"/>
      <sheetName val="SOV_Substation"/>
      <sheetName val="SOV_Substation_RackUp"/>
      <sheetName val="SOV_Substation_Normalization"/>
      <sheetName val="TLineLOGTAB"/>
      <sheetName val="SubLOGTAB"/>
      <sheetName val="Waterfall_Chart"/>
      <sheetName val="Picklist_TeeLine"/>
      <sheetName val="Picklist_Substations"/>
      <sheetName val="Labor"/>
      <sheetName val="Rules"/>
      <sheetName val="TextbookInfo"/>
      <sheetName val="TeeLine"/>
      <sheetName val="TeeLineCosts"/>
      <sheetName val="ACSR Cable"/>
      <sheetName val="ACSS Cable"/>
      <sheetName val="UnderGround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mparison"/>
      <sheetName val="Settings"/>
      <sheetName val="PropSets"/>
      <sheetName val="Output Template"/>
      <sheetName val="Comparison Output Template"/>
      <sheetName val="Stream Table Base"/>
      <sheetName val="Output (1)"/>
      <sheetName val="Sheet1"/>
    </sheetNames>
    <sheetDataSet>
      <sheetData sheetId="0" refreshError="1"/>
      <sheetData sheetId="1" refreshError="1"/>
      <sheetData sheetId="2"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cell r="B30" t="str">
            <v>Actual Gas Flow</v>
          </cell>
          <cell r="C30" t="str">
            <v>Actual Volume Flow</v>
          </cell>
          <cell r="D30" t="str">
            <v>Actual Volume Flow</v>
          </cell>
        </row>
        <row r="31">
          <cell r="A31" t="str">
            <v>Actual Liquid Flow</v>
          </cell>
          <cell r="B31" t="str">
            <v>Actual Volume Flow</v>
          </cell>
          <cell r="C31" t="str">
            <v>Component Ideal Liquid Volume Flow</v>
          </cell>
          <cell r="D31" t="str">
            <v>Component Ideal Liquid Volume Flow</v>
          </cell>
        </row>
        <row r="32">
          <cell r="A32" t="str">
            <v>Actual Volume Flow</v>
          </cell>
          <cell r="B32" t="str">
            <v>Component Ideal Liquid Volume Flow</v>
          </cell>
          <cell r="C32" t="str">
            <v>Component Ideal Liquid Volume Fraction</v>
          </cell>
          <cell r="D32" t="str">
            <v>Component Ideal Liquid Volume Fraction</v>
          </cell>
        </row>
        <row r="33">
          <cell r="A33" t="str">
            <v>Avg Liq Density</v>
          </cell>
          <cell r="B33" t="str">
            <v>Component Ideal Liquid Volume Fraction</v>
          </cell>
          <cell r="C33" t="str">
            <v>Component Mass Flow</v>
          </cell>
          <cell r="D33" t="str">
            <v>Component Mass Flow</v>
          </cell>
        </row>
        <row r="34">
          <cell r="A34" t="str">
            <v>Black Oil - Heat Capacity</v>
          </cell>
          <cell r="B34" t="str">
            <v>Component Mass Flow</v>
          </cell>
          <cell r="C34" t="str">
            <v>Component Mass Fraction</v>
          </cell>
          <cell r="D34" t="str">
            <v>Component Mass Fraction</v>
          </cell>
        </row>
        <row r="35">
          <cell r="A35" t="str">
            <v>Black Oil - Mass Density</v>
          </cell>
          <cell r="B35" t="str">
            <v>Component Mass Fraction</v>
          </cell>
          <cell r="C35" t="str">
            <v>Component Molar Flow</v>
          </cell>
          <cell r="D35" t="str">
            <v>Component Molar Flow</v>
          </cell>
        </row>
        <row r="36">
          <cell r="A36" t="str">
            <v>Black Oil - Mass Flow Rate</v>
          </cell>
          <cell r="B36" t="str">
            <v>Component Molar Flow</v>
          </cell>
          <cell r="C36" t="str">
            <v>Component Molar Fraction</v>
          </cell>
          <cell r="D36" t="str">
            <v>Component Molar Fraction</v>
          </cell>
        </row>
        <row r="37">
          <cell r="A37" t="str">
            <v>Black Oil - Mass Fraction</v>
          </cell>
          <cell r="B37" t="str">
            <v>Component Molar Fraction</v>
          </cell>
          <cell r="C37" t="str">
            <v>Compressibility</v>
          </cell>
          <cell r="D37" t="str">
            <v>Compressibility</v>
          </cell>
        </row>
        <row r="38">
          <cell r="A38" t="str">
            <v>Black Oil - Oil Formation Volume Factor</v>
          </cell>
          <cell r="B38" t="str">
            <v>Compressibility</v>
          </cell>
          <cell r="C38" t="str">
            <v>Cp/Cv (Gamma)</v>
          </cell>
          <cell r="D38" t="str">
            <v>Cp/Cv (Gamma)</v>
          </cell>
        </row>
        <row r="39">
          <cell r="A39" t="str">
            <v>Black Oil - Solution GOR</v>
          </cell>
          <cell r="B39" t="str">
            <v>Cp/Cv (Gamma)</v>
          </cell>
          <cell r="C39" t="str">
            <v>Heat Flow</v>
          </cell>
          <cell r="D39" t="str">
            <v>Heat Flow</v>
          </cell>
        </row>
        <row r="40">
          <cell r="A40" t="str">
            <v>Black Oil - Visc. Coeff. A</v>
          </cell>
          <cell r="B40" t="str">
            <v>Heat Flow</v>
          </cell>
          <cell r="C40" t="str">
            <v>Is At Equilibrium</v>
          </cell>
          <cell r="D40" t="str">
            <v>Is At Equilibrium</v>
          </cell>
        </row>
        <row r="41">
          <cell r="A41" t="str">
            <v>Black Oil - Visc. Coeff. B</v>
          </cell>
          <cell r="B41" t="str">
            <v>Is At Equilibrium</v>
          </cell>
          <cell r="C41" t="str">
            <v>Is Valid</v>
          </cell>
          <cell r="D41" t="str">
            <v>Is Valid</v>
          </cell>
        </row>
        <row r="42">
          <cell r="A42" t="str">
            <v>Black Oil - Viscosity</v>
          </cell>
          <cell r="B42" t="str">
            <v>Is Valid</v>
          </cell>
          <cell r="C42" t="str">
            <v>K Value</v>
          </cell>
          <cell r="D42" t="str">
            <v>K Value</v>
          </cell>
        </row>
        <row r="43">
          <cell r="A43" t="str">
            <v>Black Oil - Vol. Fraction</v>
          </cell>
          <cell r="B43" t="str">
            <v>Kinematic Viscosity</v>
          </cell>
          <cell r="C43" t="str">
            <v>Kinematic Viscosity</v>
          </cell>
          <cell r="D43" t="str">
            <v>Kinematic Viscosity</v>
          </cell>
        </row>
        <row r="44">
          <cell r="A44" t="str">
            <v>Black Oil - Volumetric Flow</v>
          </cell>
          <cell r="B44" t="str">
            <v>Liquid Mass Density @Std Cond</v>
          </cell>
          <cell r="C44" t="str">
            <v>Liquid Mass Density @Std Cond</v>
          </cell>
          <cell r="D44" t="str">
            <v>Liquid Mass Density @Std Cond</v>
          </cell>
        </row>
        <row r="45">
          <cell r="A45" t="str">
            <v>Case Name</v>
          </cell>
          <cell r="B45" t="str">
            <v>Liquid Vol Flow @Std Cond</v>
          </cell>
          <cell r="C45" t="str">
            <v>Liquid Vol Flow @Std Cond</v>
          </cell>
          <cell r="D45" t="str">
            <v>Liquid Vol Flow @Std Cond</v>
          </cell>
        </row>
        <row r="46">
          <cell r="A46" t="str">
            <v>Component Mass Flow</v>
          </cell>
          <cell r="B46" t="str">
            <v>Mass Density</v>
          </cell>
          <cell r="C46" t="str">
            <v>Mass Density</v>
          </cell>
          <cell r="D46" t="str">
            <v>Mass Density</v>
          </cell>
        </row>
        <row r="47">
          <cell r="A47" t="str">
            <v>Component Mass Fraction</v>
          </cell>
          <cell r="B47" t="str">
            <v>Mass Enthalpy</v>
          </cell>
          <cell r="C47" t="str">
            <v>Mass Enthalpy</v>
          </cell>
          <cell r="D47" t="str">
            <v>Mass Enthalpy</v>
          </cell>
        </row>
        <row r="48">
          <cell r="A48" t="str">
            <v>Component Molar Flow</v>
          </cell>
          <cell r="B48" t="str">
            <v>Mass Entropy</v>
          </cell>
          <cell r="C48" t="str">
            <v>Mass Entropy</v>
          </cell>
          <cell r="D48" t="str">
            <v>Mass Entropy</v>
          </cell>
        </row>
        <row r="49">
          <cell r="A49" t="str">
            <v>Component Molar Fraction</v>
          </cell>
          <cell r="B49" t="str">
            <v>Mass Flow</v>
          </cell>
          <cell r="C49" t="str">
            <v>Mass Flow</v>
          </cell>
          <cell r="D49" t="str">
            <v>Mass Flow</v>
          </cell>
        </row>
        <row r="50">
          <cell r="A50" t="str">
            <v>Component Ideal Liquid Volume Flow</v>
          </cell>
          <cell r="B50" t="str">
            <v>Mass Flow (Dry Basis)</v>
          </cell>
          <cell r="C50" t="str">
            <v>Mass Flow (Dry Basis)</v>
          </cell>
          <cell r="D50" t="str">
            <v>Mass Flow (Dry Basis)</v>
          </cell>
        </row>
        <row r="51">
          <cell r="A51" t="str">
            <v>Component Ideal Liquid Volume Fraction</v>
          </cell>
          <cell r="B51" t="str">
            <v>Mass Heat Capacity</v>
          </cell>
          <cell r="C51" t="str">
            <v>Mass Heat Capacity</v>
          </cell>
          <cell r="D51" t="str">
            <v>Mass Heat Capacity</v>
          </cell>
        </row>
        <row r="52">
          <cell r="A52" t="str">
            <v>Compressibility</v>
          </cell>
          <cell r="B52" t="str">
            <v>Molar Density</v>
          </cell>
          <cell r="C52" t="str">
            <v>Molar Density</v>
          </cell>
          <cell r="D52" t="str">
            <v>Molar Density</v>
          </cell>
        </row>
        <row r="53">
          <cell r="A53" t="str">
            <v>Cost Based on Flow</v>
          </cell>
          <cell r="B53" t="str">
            <v>Molar Enthalpy</v>
          </cell>
          <cell r="C53" t="str">
            <v>Molar Enthalpy</v>
          </cell>
          <cell r="D53" t="str">
            <v>Molar Enthalpy</v>
          </cell>
        </row>
        <row r="54">
          <cell r="A54" t="str">
            <v>Cp/(Cp-R) (Ideal Gamma)</v>
          </cell>
          <cell r="B54" t="str">
            <v>Molar Entropy</v>
          </cell>
          <cell r="C54" t="str">
            <v>Molar Entropy</v>
          </cell>
          <cell r="D54" t="str">
            <v>Molar Entropy</v>
          </cell>
        </row>
        <row r="55">
          <cell r="A55" t="str">
            <v>Cp/Cv (Ent Method)</v>
          </cell>
          <cell r="B55" t="str">
            <v>Molar Flow</v>
          </cell>
          <cell r="C55" t="str">
            <v>Molar Flow</v>
          </cell>
          <cell r="D55" t="str">
            <v>Molar Flow</v>
          </cell>
        </row>
        <row r="56">
          <cell r="A56" t="str">
            <v>Cp/Cv (Gamma)</v>
          </cell>
          <cell r="B56" t="str">
            <v>Molar Flow (Dry Basis)</v>
          </cell>
          <cell r="C56" t="str">
            <v>Molar Flow (Dry Basis)</v>
          </cell>
          <cell r="D56" t="str">
            <v>Molar Flow (Dry Basis)</v>
          </cell>
        </row>
        <row r="57">
          <cell r="A57" t="str">
            <v>Cv</v>
          </cell>
          <cell r="B57" t="str">
            <v>Molar Heat Capacity</v>
          </cell>
          <cell r="C57" t="str">
            <v>Molar Heat Capacity</v>
          </cell>
          <cell r="D57" t="str">
            <v>Molar Heat Capacity</v>
          </cell>
        </row>
        <row r="58">
          <cell r="A58" t="str">
            <v>Cv (Ent Method)</v>
          </cell>
          <cell r="B58" t="str">
            <v>Molar Volume</v>
          </cell>
          <cell r="C58" t="str">
            <v>Molar Volume</v>
          </cell>
          <cell r="D58" t="str">
            <v>Molar Volume</v>
          </cell>
        </row>
        <row r="59">
          <cell r="A59" t="str">
            <v>Cv (Semi-Ideal)</v>
          </cell>
          <cell r="B59" t="str">
            <v>Molecular Weight</v>
          </cell>
          <cell r="C59" t="str">
            <v>Molecular Weight</v>
          </cell>
          <cell r="D59" t="str">
            <v>Molecular Weight</v>
          </cell>
        </row>
        <row r="60">
          <cell r="A60" t="str">
            <v>Description</v>
          </cell>
          <cell r="B60" t="str">
            <v>Name</v>
          </cell>
          <cell r="C60" t="str">
            <v>Name</v>
          </cell>
          <cell r="D60" t="str">
            <v>Name</v>
          </cell>
        </row>
        <row r="61">
          <cell r="A61" t="str">
            <v>Downstream Operation(s)</v>
          </cell>
          <cell r="B61" t="str">
            <v>Pressure</v>
          </cell>
          <cell r="C61" t="str">
            <v>Pressure</v>
          </cell>
          <cell r="D61" t="str">
            <v>Pressure</v>
          </cell>
        </row>
        <row r="62">
          <cell r="A62" t="str">
            <v>Electrolytes - Heat Capacity</v>
          </cell>
          <cell r="B62" t="str">
            <v>Pseudo Critical Pressure</v>
          </cell>
          <cell r="C62" t="str">
            <v>Pseudo Critical Pressure</v>
          </cell>
          <cell r="D62" t="str">
            <v>Pseudo Critical Pressure</v>
          </cell>
        </row>
        <row r="63">
          <cell r="A63" t="str">
            <v>Electrolytes - Ionic Strength</v>
          </cell>
          <cell r="B63" t="str">
            <v>Pseudo Critical Temperature</v>
          </cell>
          <cell r="C63" t="str">
            <v>Pseudo Critical Temperature</v>
          </cell>
          <cell r="D63" t="str">
            <v>Pseudo Critical Temperature</v>
          </cell>
        </row>
        <row r="64">
          <cell r="A64" t="str">
            <v>Electrolytes - Molar Electrical Conductivity</v>
          </cell>
          <cell r="B64" t="str">
            <v>Pseudo Critical Volume</v>
          </cell>
          <cell r="C64" t="str">
            <v>Pseudo Critical Volume</v>
          </cell>
          <cell r="D64" t="str">
            <v>Pseudo Critical Volume</v>
          </cell>
        </row>
        <row r="65">
          <cell r="A65" t="str">
            <v>Electrolytes - Osmotic Pressure</v>
          </cell>
          <cell r="B65" t="str">
            <v>SG Air</v>
          </cell>
          <cell r="C65" t="str">
            <v>SG Air</v>
          </cell>
          <cell r="D65" t="str">
            <v>SG Air</v>
          </cell>
        </row>
        <row r="66">
          <cell r="A66" t="str">
            <v>Electrolytes - pH</v>
          </cell>
          <cell r="B66" t="str">
            <v>Specific Heat</v>
          </cell>
          <cell r="C66" t="str">
            <v>Specific Heat</v>
          </cell>
          <cell r="D66" t="str">
            <v>Specific Heat</v>
          </cell>
        </row>
        <row r="67">
          <cell r="A67" t="str">
            <v>Electrolytes - Specific Electrical Conductivity</v>
          </cell>
          <cell r="B67" t="str">
            <v>Standard Ideal Liquid Mass Density</v>
          </cell>
          <cell r="C67" t="str">
            <v>Standard Ideal Liquid Mass Density</v>
          </cell>
          <cell r="D67" t="str">
            <v>Standard Ideal Liquid Mass Density</v>
          </cell>
        </row>
        <row r="68">
          <cell r="A68" t="str">
            <v>Electrolytes - Viscosity</v>
          </cell>
          <cell r="B68" t="str">
            <v>Standard Ideal Liquid Mass Density (Dry Basis)</v>
          </cell>
          <cell r="C68" t="str">
            <v>Standard Ideal Liquid Mass Density (Dry Basis)</v>
          </cell>
          <cell r="D68" t="str">
            <v>Standard Ideal Liquid Mass Density (Dry Basis)</v>
          </cell>
        </row>
        <row r="69">
          <cell r="A69" t="str">
            <v>Flowsheet Name</v>
          </cell>
          <cell r="B69" t="str">
            <v>Standard Ideal Liquid Volume Flow</v>
          </cell>
          <cell r="C69" t="str">
            <v>Standard Ideal Liquid Volume Flow</v>
          </cell>
          <cell r="D69" t="str">
            <v>Standard Ideal Liquid Volume Flow</v>
          </cell>
        </row>
        <row r="70">
          <cell r="A70" t="str">
            <v>Fluid Package</v>
          </cell>
          <cell r="B70" t="str">
            <v>Standard Ideal Liquid Volume Flow (Dry Basis)</v>
          </cell>
          <cell r="C70" t="str">
            <v>Standard Ideal Liquid Volume Flow (Dry Basis)</v>
          </cell>
          <cell r="D70" t="str">
            <v>Standard Ideal Liquid Volume Flow (Dry Basis)</v>
          </cell>
        </row>
        <row r="71">
          <cell r="A71" t="str">
            <v>HC Dew Point (Gas)</v>
          </cell>
          <cell r="B71" t="str">
            <v>Std Gas Flow</v>
          </cell>
          <cell r="C71" t="str">
            <v>Std Gas Flow</v>
          </cell>
          <cell r="D71" t="str">
            <v>Std Gas Flow</v>
          </cell>
        </row>
        <row r="72">
          <cell r="A72" t="str">
            <v>Heat Flow</v>
          </cell>
          <cell r="B72" t="str">
            <v>Tagged Name</v>
          </cell>
          <cell r="C72" t="str">
            <v>Surface Tension</v>
          </cell>
          <cell r="D72" t="str">
            <v>Surface Tension</v>
          </cell>
        </row>
        <row r="73">
          <cell r="A73" t="str">
            <v>Heat Of Vapourisation</v>
          </cell>
          <cell r="B73" t="str">
            <v>Temperature</v>
          </cell>
          <cell r="C73" t="str">
            <v>Tagged Name</v>
          </cell>
          <cell r="D73" t="str">
            <v>Tagged Name</v>
          </cell>
        </row>
        <row r="74">
          <cell r="A74" t="str">
            <v>Heavy Liquid Fraction</v>
          </cell>
          <cell r="B74" t="str">
            <v>Thermal Conductivity</v>
          </cell>
          <cell r="C74" t="str">
            <v>Temperature</v>
          </cell>
          <cell r="D74" t="str">
            <v>Temperature</v>
          </cell>
        </row>
        <row r="75">
          <cell r="A75" t="str">
            <v>Higher Heating Value</v>
          </cell>
          <cell r="B75" t="str">
            <v>Type Name</v>
          </cell>
          <cell r="C75" t="str">
            <v>Thermal Conductivity</v>
          </cell>
          <cell r="D75" t="str">
            <v>Thermal Conductivity</v>
          </cell>
        </row>
        <row r="76">
          <cell r="A76" t="str">
            <v>Higher Heating Value (Gas)</v>
          </cell>
          <cell r="B76" t="str">
            <v>Unique ID</v>
          </cell>
          <cell r="C76" t="str">
            <v>Type Name</v>
          </cell>
          <cell r="D76" t="str">
            <v>Type Name</v>
          </cell>
        </row>
        <row r="77">
          <cell r="A77" t="str">
            <v>Is Energy Stream</v>
          </cell>
          <cell r="B77" t="str">
            <v>Viscosity</v>
          </cell>
          <cell r="C77" t="str">
            <v>Unique ID</v>
          </cell>
          <cell r="D77" t="str">
            <v>Unique ID</v>
          </cell>
        </row>
        <row r="78">
          <cell r="A78" t="str">
            <v>Is Valid</v>
          </cell>
          <cell r="B78" t="str">
            <v>Visible Type Name</v>
          </cell>
          <cell r="C78" t="str">
            <v>Viscosity</v>
          </cell>
          <cell r="D78" t="str">
            <v>Viscosity</v>
          </cell>
        </row>
        <row r="79">
          <cell r="A79" t="str">
            <v>Kinematic Viscosity</v>
          </cell>
          <cell r="B79" t="str">
            <v>Watson K</v>
          </cell>
          <cell r="C79" t="str">
            <v>Visible Type Name</v>
          </cell>
          <cell r="D79" t="str">
            <v>Visible Type Name</v>
          </cell>
        </row>
        <row r="80">
          <cell r="A80" t="str">
            <v>Light Liquid Fraction</v>
          </cell>
          <cell r="B80" t="str">
            <v>Z Factor</v>
          </cell>
          <cell r="C80" t="str">
            <v>Watson K</v>
          </cell>
          <cell r="D80" t="str">
            <v>Z Factor</v>
          </cell>
        </row>
        <row r="81">
          <cell r="A81" t="str">
            <v>Liq Vol Flow - Sum (Std Cond)</v>
          </cell>
          <cell r="C81" t="str">
            <v>Z Factor</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ORPTAX_DATA_CACHE%"/>
      <sheetName val="(A) Book to Tax Recon"/>
      <sheetName val="Sch M"/>
      <sheetName val="(A1) Lead"/>
      <sheetName val="(B) Book-Tax Ratio"/>
      <sheetName val="(C) Headcount"/>
      <sheetName val="(C1) Headcount sum"/>
      <sheetName val="(D) SCA"/>
      <sheetName val="(E) 2012 CWIP Reconciliation"/>
      <sheetName val="(F) Taxes"/>
      <sheetName val="(G) O&amp;M MSC"/>
      <sheetName val="(H) RECON - Reconciliation"/>
      <sheetName val="ASSIGN msc COSTS"/>
      <sheetName val="(I) MSC   - Mixed Service Costs"/>
      <sheetName val="(J) DED   - Deductibles"/>
      <sheetName val="(K) BOOK  - Book Treatment"/>
      <sheetName val="(L) TOOLS - Tools"/>
      <sheetName val="(M) LAND  - Land"/>
      <sheetName val="(N) S - Stores"/>
      <sheetName val="(O) - Fleet"/>
      <sheetName val="(P)    - Disb &amp; Trans Ops Contr"/>
      <sheetName val="(Q)    - Direct Labor"/>
      <sheetName val="(R)  - Direct Costs"/>
      <sheetName val="Data"/>
      <sheetName val="Narrative"/>
      <sheetName val="Support"/>
      <sheetName val="Prep Point Sheets"/>
      <sheetName val="Carryforward"/>
      <sheetName val="Research"/>
    </sheetNames>
    <sheetDataSet>
      <sheetData sheetId="0">
        <row r="7">
          <cell r="B7">
            <v>100101</v>
          </cell>
        </row>
      </sheetData>
      <sheetData sheetId="1"/>
      <sheetData sheetId="2"/>
      <sheetData sheetId="3"/>
      <sheetData sheetId="4"/>
      <sheetData sheetId="5">
        <row r="34">
          <cell r="F34">
            <v>8469886.5323767997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List"/>
      <sheetName val="CC Summary"/>
      <sheetName val="Instructions"/>
      <sheetName val="run"/>
      <sheetName val="Diagram"/>
      <sheetName val="HRSG Data"/>
      <sheetName val="Emissions"/>
      <sheetName val="CycleDeckData"/>
      <sheetName val="Inlet Cooling S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2021"/>
      <sheetName val="Pres 2020"/>
      <sheetName val="Analysis Summary"/>
      <sheetName val="BOBJ Upload"/>
      <sheetName val="BOBJ Company Loadout"/>
      <sheetName val="Consolidated Buildup"/>
      <sheetName val="FERC (1293-1294)"/>
      <sheetName val="5 Year Outlook"/>
      <sheetName val="CAFD Table"/>
      <sheetName val="Purchase Accounting"/>
      <sheetName val="Holding Company"/>
      <sheetName val="Operating Company"/>
      <sheetName val="Op Co. Tax"/>
      <sheetName val="Hold Co. Tax"/>
      <sheetName val="O&amp;M Expense "/>
      <sheetName val="TBC FERC BS"/>
      <sheetName val="TBC FERC IS"/>
      <sheetName val="Variance Analysis"/>
      <sheetName val="TBC Consolidated"/>
      <sheetName val="TBC Detail"/>
      <sheetName val="TBC CJI3"/>
      <sheetName val="TBC REV"/>
      <sheetName val="TBC CAPEX"/>
      <sheetName val="TBC CAPEX CJI3"/>
      <sheetName val="TBC Depreciation"/>
      <sheetName val="TBC Tax Depreciation"/>
      <sheetName val="Schedules &gt;&gt;"/>
      <sheetName val="State Tax Depreciaiton"/>
      <sheetName val="Federal Tax Depreciation"/>
      <sheetName val="Goodwill Tax Amortization"/>
      <sheetName val="Tax Basis and Schedule"/>
      <sheetName val="Taxes"/>
      <sheetName val="Depreciation"/>
      <sheetName val="Plant Balances and Depreciation"/>
      <sheetName val="CAPEX_Data Inputs"/>
      <sheetName val="CAPEX"/>
      <sheetName val="Debt Schedules"/>
      <sheetName val=" Deal Costs"/>
      <sheetName val="Revenue Forecast"/>
      <sheetName val="Derivative"/>
      <sheetName val="ARO"/>
      <sheetName val="PPC Amortization Table"/>
      <sheetName val="Purchase Co. Prem&amp;Issue Costs"/>
      <sheetName val="TSH LC Fees"/>
      <sheetName val="TBC LC Fees"/>
      <sheetName val="Reg Asset Amortization Sched."/>
      <sheetName val="EADIT - Annual Journal Entries"/>
      <sheetName val="OPEX"/>
      <sheetName val="Prepaids"/>
      <sheetName val="Other"/>
      <sheetName val="O&amp;M A&amp;G Support"/>
    </sheetNames>
    <sheetDataSet>
      <sheetData sheetId="0"/>
      <sheetData sheetId="1"/>
      <sheetData sheetId="2">
        <row r="26">
          <cell r="D26"/>
          <cell r="E26"/>
        </row>
      </sheetData>
      <sheetData sheetId="3"/>
      <sheetData sheetId="4"/>
      <sheetData sheetId="5"/>
      <sheetData sheetId="6"/>
      <sheetData sheetId="7"/>
      <sheetData sheetId="8"/>
      <sheetData sheetId="9"/>
      <sheetData sheetId="10"/>
      <sheetData sheetId="11">
        <row r="95">
          <cell r="H95">
            <v>6613213.6999999993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7">
          <cell r="K7">
            <v>-1278271.9643757655</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Log"/>
      <sheetName val="Ramp Up"/>
      <sheetName val="Assumptions "/>
      <sheetName val="O&amp;M Summary- FPL"/>
      <sheetName val="Executive Summary"/>
      <sheetName val="Detailed 30 Yr Budget Summary"/>
      <sheetName val="Input"/>
      <sheetName val="O&amp;M Summary"/>
      <sheetName val="Fixed Production Costs"/>
      <sheetName val="CC-Prod Variable"/>
      <sheetName val="Prod-Payroll "/>
      <sheetName val="Maintenance"/>
      <sheetName val="Admin (Site G&amp;A)"/>
      <sheetName val="Shared EWIS Server"/>
      <sheetName val="Capital"/>
      <sheetName val="Salary"/>
      <sheetName val="Payroll"/>
      <sheetName val="CC-Environmental"/>
      <sheetName val="motor EOL Distribution"/>
      <sheetName val="inverter EOL Distribution"/>
      <sheetName val="panel EOL Distribution"/>
      <sheetName val="transformer EOL Distribution"/>
      <sheetName val="SPWR Inventory"/>
      <sheetName val="Inventory"/>
      <sheetName val="Transmission"/>
      <sheetName val="Water"/>
      <sheetName val="Seperate EWIS Servers"/>
      <sheetName val="land maint"/>
      <sheetName val="electrical"/>
      <sheetName val="Solar Tool List"/>
      <sheetName val="Data Tables"/>
      <sheetName val="security camer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E3" t="str">
            <v>Fixed Tilt</v>
          </cell>
          <cell r="F3" t="str">
            <v>T0</v>
          </cell>
          <cell r="G3" t="str">
            <v>T20</v>
          </cell>
        </row>
        <row r="20">
          <cell r="E20" t="str">
            <v>&lt;500</v>
          </cell>
          <cell r="F20">
            <v>500</v>
          </cell>
          <cell r="G20">
            <v>1000</v>
          </cell>
        </row>
        <row r="24">
          <cell r="E24">
            <v>61586.016000000003</v>
          </cell>
          <cell r="F24">
            <v>61586.016000000003</v>
          </cell>
          <cell r="G24">
            <v>61586.016000000003</v>
          </cell>
        </row>
        <row r="38">
          <cell r="B38" t="str">
            <v>High</v>
          </cell>
        </row>
        <row r="39">
          <cell r="B39" t="str">
            <v>Low</v>
          </cell>
        </row>
        <row r="40">
          <cell r="B40" t="str">
            <v>Med</v>
          </cell>
        </row>
      </sheetData>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BRE"/>
      <sheetName val="PWREF-Cash"/>
      <sheetName val="PRWEF_Accrual"/>
      <sheetName val="compair"/>
      <sheetName val="YTD 2000"/>
      <sheetName val="Expensesdk"/>
      <sheetName val="Expense Escalation-Old-dk"/>
      <sheetName val="Occupancy"/>
      <sheetName val="2000GROSSUPDK"/>
      <sheetName val="Expense Historydk"/>
      <sheetName val="Escalation Invoice-Old"/>
      <sheetName val="Expense Reconciliation-Newdk"/>
      <sheetName val="Escalation Invoice #1"/>
      <sheetName val="Tax Escalation-Old"/>
      <sheetName val="Tax Invoice"/>
      <sheetName val="2001 Estimated Expensesdmk"/>
      <sheetName val="2001 Estimated Escalations"/>
      <sheetName val="2000 Estimated Invoice"/>
      <sheetName val="2000opexescfinal Argus Model"/>
      <sheetName val="base year lis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structions for Use"/>
      <sheetName val="Control Sheet"/>
      <sheetName val="Mgmt_App_Plan_Bridge"/>
      <sheetName val="Forecast_Detail"/>
      <sheetName val="E&amp;C Risk Tracker"/>
      <sheetName val="EOP_Fcst"/>
      <sheetName val="One_Pager"/>
      <sheetName val="Apprvd Bdgt_To Date"/>
      <sheetName val="AFUDC"/>
      <sheetName val="Ref Sheets -&gt;"/>
      <sheetName val="Budget Transfer"/>
      <sheetName val="PPE_Project Breakdown"/>
      <sheetName val="Check Off WOs"/>
      <sheetName val="JM_RiskTracker"/>
      <sheetName val="Defined SAStrings"/>
      <sheetName val="Ctab From Linked WOString to SA"/>
      <sheetName val="Pictures of POs"/>
      <sheetName val="Lis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F3" t="str">
            <v>Civil/Structural/Demo</v>
          </cell>
        </row>
        <row r="4">
          <cell r="F4" t="str">
            <v>ESP Supply</v>
          </cell>
        </row>
        <row r="5">
          <cell r="F5" t="str">
            <v>ESP Erection</v>
          </cell>
        </row>
        <row r="6">
          <cell r="F6" t="str">
            <v>Equipment/Mechanical</v>
          </cell>
        </row>
        <row r="7">
          <cell r="F7" t="str">
            <v>Ductwork/Insulation</v>
          </cell>
        </row>
        <row r="8">
          <cell r="F8" t="str">
            <v>Electrical/Instrument</v>
          </cell>
        </row>
        <row r="9">
          <cell r="F9" t="str">
            <v>Engineering</v>
          </cell>
        </row>
        <row r="10">
          <cell r="F10" t="str">
            <v>Startup/Operations</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종단가"/>
      <sheetName val="부표,총괄"/>
      <sheetName val="공단단가"/>
      <sheetName val="공종노임"/>
      <sheetName val="적용노임(00.1)"/>
      <sheetName val="노임단가"/>
      <sheetName val="품셈"/>
      <sheetName val="부표"/>
      <sheetName val="내역서"/>
      <sheetName val="강관별표총괄"/>
      <sheetName val="강관별표"/>
      <sheetName val="노임"/>
      <sheetName val="강관품셈"/>
      <sheetName val="강관품셈총괄"/>
      <sheetName val="파일설계서"/>
      <sheetName val="강관부표"/>
      <sheetName val="강수량총괄"/>
      <sheetName val="수량산출서"/>
      <sheetName val="예산서"/>
      <sheetName val="수량총괄표"/>
      <sheetName val="규격표"/>
      <sheetName val="철근콘크"/>
      <sheetName val="거푸집"/>
      <sheetName val="터파기"/>
      <sheetName val="되메우기"/>
      <sheetName val="부지복구"/>
      <sheetName val="운반거리"/>
      <sheetName val="농지정리"/>
      <sheetName val="차량운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2020 with FERC name"/>
      <sheetName val="2020"/>
      <sheetName val="2020 heads"/>
      <sheetName val="Push Downs"/>
      <sheetName val="Legacy to NEET"/>
      <sheetName val="Legacy Org to WBS Suffix"/>
      <sheetName val="FERCs"/>
      <sheetName val="TBC 2020 Budget"/>
    </sheetNames>
    <sheetDataSet>
      <sheetData sheetId="0"/>
      <sheetData sheetId="1"/>
      <sheetData sheetId="2">
        <row r="12">
          <cell r="J12">
            <v>1235775.5638720461</v>
          </cell>
        </row>
      </sheetData>
      <sheetData sheetId="3"/>
      <sheetData sheetId="4">
        <row r="1">
          <cell r="A1" t="str">
            <v>Trans Bay GAAP Account</v>
          </cell>
        </row>
      </sheetData>
      <sheetData sheetId="5"/>
      <sheetData sheetId="6">
        <row r="1">
          <cell r="E1" t="str">
            <v>FERC</v>
          </cell>
        </row>
      </sheetData>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Cover Sheet"/>
      <sheetName val="input"/>
      <sheetName val="Insurance"/>
      <sheetName val="Operating costs"/>
      <sheetName val="Electrical Energy Calc."/>
      <sheetName val="Assumptions"/>
      <sheetName val="Assumptions-Major Maintenance"/>
      <sheetName val="East Region Expense Assumption"/>
      <sheetName val="Employees"/>
      <sheetName val="Major Maintenance"/>
      <sheetName val="  Repair &amp; Replace 1CT-1ST"/>
      <sheetName val="Other Capital Expenditures"/>
      <sheetName val="Fleet Support"/>
      <sheetName val="ISO support Backup"/>
      <sheetName val="IM EXPENSES"/>
      <sheetName val="345KV Underground Costs"/>
      <sheetName val="Water Balance"/>
      <sheetName val="Site Layout"/>
      <sheetName val="Capital Costs Graph"/>
      <sheetName val="Base Operating Costs Graph"/>
      <sheetName val="OH Operating Expenses Graph"/>
      <sheetName val="Air Emissions"/>
      <sheetName val="Environmental O &amp; 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TBC &amp; PA LRF"/>
      <sheetName val="LRF-TSH"/>
      <sheetName val="Instructions"/>
      <sheetName val="Notes"/>
      <sheetName val="Inputs"/>
      <sheetName val="BOBJ Template"/>
      <sheetName val="Financials"/>
      <sheetName val="TBC Detail"/>
      <sheetName val="TBC Detail_Raw"/>
      <sheetName val="CAFD"/>
      <sheetName val="One-Offs"/>
      <sheetName val="BPC-Cons_IS"/>
      <sheetName val="BPC-BS"/>
      <sheetName val="BPC-IS"/>
      <sheetName val="BPC-NQH"/>
      <sheetName val="Expenses"/>
      <sheetName val="CAPEX"/>
      <sheetName val="Dep &amp; ARO"/>
      <sheetName val="Taxes"/>
      <sheetName val="PPC Amort"/>
      <sheetName val="Debt Schedules"/>
      <sheetName val="Federal Tax Dep"/>
      <sheetName val="State Tax Dep"/>
      <sheetName val="Derivative"/>
      <sheetName val="Purchase Acctg"/>
      <sheetName val="Plant Bal. &amp; Dep."/>
      <sheetName val="Purchase Co. Prem&amp;Issue Costs"/>
      <sheetName val="Other Schedules"/>
    </sheetNames>
    <sheetDataSet>
      <sheetData sheetId="0"/>
      <sheetData sheetId="1"/>
      <sheetData sheetId="2"/>
      <sheetData sheetId="3"/>
      <sheetData sheetId="4"/>
      <sheetData sheetId="5">
        <row r="3">
          <cell r="C3">
            <v>44228</v>
          </cell>
        </row>
        <row r="6">
          <cell r="C6">
            <v>45992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별표집계"/>
      <sheetName val="표지"/>
      <sheetName val="총괄표"/>
      <sheetName val="예산서"/>
      <sheetName val="송전내역"/>
      <sheetName val="토목내역"/>
      <sheetName val="DANGA"/>
      <sheetName val="자재단가"/>
      <sheetName val="송전품"/>
      <sheetName val="송전품부표"/>
      <sheetName val="운반"/>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증감대비"/>
      <sheetName val="XXXXXX"/>
      <sheetName val="laroux"/>
      <sheetName val="공종단가"/>
      <sheetName val="재료비"/>
      <sheetName val="운반비단가"/>
      <sheetName val="가공송전산출서"/>
      <sheetName val="토목분야산출서"/>
      <sheetName val="직종별노임"/>
      <sheetName val="노임변동률"/>
    </sheetNames>
    <sheetDataSet>
      <sheetData sheetId="0"/>
      <sheetData sheetId="1" refreshError="1"/>
      <sheetData sheetId="2" refreshError="1"/>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부총"/>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수량산출서"/>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E328-0BA8-430D-802F-9C5C7A994EDB}">
  <dimension ref="A1"/>
  <sheetViews>
    <sheetView workbookViewId="0"/>
  </sheetViews>
  <sheetFormatPr defaultRowHeight="1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4"/>
  <sheetViews>
    <sheetView zoomScaleNormal="100" zoomScaleSheetLayoutView="70" workbookViewId="0">
      <selection activeCell="A2" sqref="A2"/>
    </sheetView>
  </sheetViews>
  <sheetFormatPr defaultColWidth="8.77734375" defaultRowHeight="12.75"/>
  <cols>
    <col min="1" max="1" width="5.77734375" style="15" customWidth="1"/>
    <col min="2" max="2" width="56" style="15" customWidth="1"/>
    <col min="3" max="3" width="47.44140625" style="15" bestFit="1" customWidth="1"/>
    <col min="4" max="4" width="16.21875" style="15" customWidth="1"/>
    <col min="5" max="5" width="5.77734375" style="15" customWidth="1"/>
    <col min="6" max="6" width="7.21875" style="15" customWidth="1"/>
    <col min="7" max="7" width="16.77734375" style="15" customWidth="1"/>
    <col min="8" max="8" width="4.77734375" style="15" customWidth="1"/>
    <col min="9" max="9" width="16.21875" style="15" customWidth="1"/>
    <col min="10" max="10" width="2.77734375" style="15" customWidth="1"/>
    <col min="11" max="11" width="11.44140625" style="15" customWidth="1"/>
    <col min="12" max="12" width="14.44140625" style="15" bestFit="1" customWidth="1"/>
    <col min="13" max="13" width="14.77734375" style="15" bestFit="1" customWidth="1"/>
    <col min="14" max="14" width="12.21875" style="15" bestFit="1" customWidth="1"/>
    <col min="15" max="16384" width="8.77734375" style="15"/>
  </cols>
  <sheetData>
    <row r="1" spans="1:11">
      <c r="A1" s="39"/>
      <c r="B1" s="39"/>
      <c r="C1" s="39"/>
      <c r="D1" s="39"/>
      <c r="E1" s="39"/>
      <c r="F1" s="39"/>
      <c r="G1" s="39"/>
      <c r="H1" s="39"/>
      <c r="I1" s="39"/>
      <c r="J1" s="39"/>
      <c r="K1" s="106" t="s">
        <v>0</v>
      </c>
    </row>
    <row r="2" spans="1:11">
      <c r="A2" s="39"/>
      <c r="B2" s="39" t="s">
        <v>1</v>
      </c>
      <c r="C2" s="39"/>
      <c r="D2" s="39"/>
      <c r="E2" s="39"/>
      <c r="F2" s="39"/>
      <c r="G2" s="39"/>
      <c r="H2" s="39"/>
      <c r="I2" s="39"/>
      <c r="J2" s="39"/>
      <c r="K2" s="39"/>
    </row>
    <row r="3" spans="1:11">
      <c r="A3" s="31"/>
      <c r="B3" s="27" t="s">
        <v>2</v>
      </c>
      <c r="C3" s="371" t="s">
        <v>3</v>
      </c>
      <c r="D3" s="107" t="s">
        <v>4</v>
      </c>
      <c r="E3" s="27"/>
      <c r="F3" s="27"/>
      <c r="G3" s="27"/>
      <c r="H3" s="27"/>
      <c r="I3" s="108"/>
      <c r="J3" s="109"/>
      <c r="K3" s="21" t="s">
        <v>5</v>
      </c>
    </row>
    <row r="4" spans="1:11">
      <c r="A4" s="31"/>
      <c r="C4" s="28"/>
      <c r="D4" s="30" t="s">
        <v>6</v>
      </c>
      <c r="E4" s="28"/>
      <c r="F4" s="28"/>
      <c r="G4" s="28"/>
      <c r="H4" s="27"/>
      <c r="I4" s="27"/>
      <c r="J4" s="29"/>
      <c r="K4" s="29"/>
    </row>
    <row r="5" spans="1:11" ht="15.75">
      <c r="A5" s="31"/>
      <c r="B5" s="110"/>
      <c r="C5" s="29"/>
      <c r="D5" s="431" t="s">
        <v>7</v>
      </c>
      <c r="E5" s="29"/>
      <c r="F5" s="29"/>
      <c r="G5" s="29"/>
      <c r="H5" s="29"/>
      <c r="I5" s="29"/>
      <c r="J5" s="29"/>
      <c r="K5" s="29"/>
    </row>
    <row r="6" spans="1:11" ht="13.5">
      <c r="B6" s="110"/>
      <c r="J6" s="111"/>
      <c r="K6" s="111"/>
    </row>
    <row r="7" spans="1:11">
      <c r="A7" s="107"/>
      <c r="C7" s="29"/>
      <c r="D7" s="112"/>
      <c r="E7" s="29"/>
      <c r="F7" s="29"/>
      <c r="G7" s="29"/>
      <c r="H7" s="29"/>
      <c r="I7" s="29"/>
      <c r="J7" s="29"/>
      <c r="K7" s="29"/>
    </row>
    <row r="8" spans="1:11">
      <c r="A8" s="107"/>
      <c r="B8" s="113" t="s">
        <v>8</v>
      </c>
      <c r="C8" s="113" t="s">
        <v>9</v>
      </c>
      <c r="D8" s="113" t="s">
        <v>10</v>
      </c>
      <c r="E8" s="28" t="s">
        <v>11</v>
      </c>
      <c r="F8" s="28"/>
      <c r="G8" s="112" t="s">
        <v>12</v>
      </c>
      <c r="H8" s="28"/>
      <c r="I8" s="112" t="s">
        <v>13</v>
      </c>
      <c r="J8" s="29"/>
      <c r="K8" s="29"/>
    </row>
    <row r="9" spans="1:11">
      <c r="A9" s="107" t="s">
        <v>14</v>
      </c>
      <c r="B9" s="29"/>
      <c r="C9" s="29"/>
      <c r="D9" s="111"/>
      <c r="E9" s="29"/>
      <c r="F9" s="29"/>
      <c r="G9" s="29"/>
      <c r="H9" s="29"/>
      <c r="I9" s="107" t="s">
        <v>15</v>
      </c>
      <c r="J9" s="29"/>
      <c r="K9" s="29"/>
    </row>
    <row r="10" spans="1:11" ht="13.5" thickBot="1">
      <c r="A10" s="562" t="s">
        <v>16</v>
      </c>
      <c r="B10" s="29"/>
      <c r="C10" s="29"/>
      <c r="D10" s="29"/>
      <c r="E10" s="29"/>
      <c r="F10" s="29"/>
      <c r="G10" s="29"/>
      <c r="H10" s="29"/>
      <c r="I10" s="562" t="s">
        <v>17</v>
      </c>
      <c r="J10" s="29"/>
      <c r="K10" s="29"/>
    </row>
    <row r="11" spans="1:11">
      <c r="A11" s="107">
        <v>1</v>
      </c>
      <c r="B11" s="29" t="s">
        <v>18</v>
      </c>
      <c r="C11" s="29" t="s">
        <v>19</v>
      </c>
      <c r="D11" s="28"/>
      <c r="E11" s="29"/>
      <c r="F11" s="29"/>
      <c r="G11" s="29"/>
      <c r="H11" s="29"/>
      <c r="I11" s="114">
        <f>+I172</f>
        <v>24506217.691887595</v>
      </c>
      <c r="J11" s="29"/>
      <c r="K11" s="29"/>
    </row>
    <row r="12" spans="1:11">
      <c r="A12" s="107"/>
      <c r="B12" s="29"/>
      <c r="C12" s="29"/>
      <c r="D12" s="29"/>
      <c r="E12" s="29"/>
      <c r="F12" s="29"/>
      <c r="G12" s="29"/>
      <c r="H12" s="29"/>
      <c r="I12" s="28"/>
      <c r="J12" s="29"/>
      <c r="K12" s="29"/>
    </row>
    <row r="13" spans="1:11" ht="13.5" thickBot="1">
      <c r="A13" s="107" t="s">
        <v>11</v>
      </c>
      <c r="B13" s="29" t="s">
        <v>20</v>
      </c>
      <c r="C13" s="28" t="s">
        <v>21</v>
      </c>
      <c r="D13" s="562" t="s">
        <v>22</v>
      </c>
      <c r="E13" s="28"/>
      <c r="F13" s="563" t="s">
        <v>23</v>
      </c>
      <c r="G13" s="563"/>
      <c r="H13" s="29"/>
      <c r="I13" s="28"/>
      <c r="J13" s="29"/>
      <c r="K13" s="29"/>
    </row>
    <row r="14" spans="1:11">
      <c r="A14" s="107">
        <f>+A11+1</f>
        <v>2</v>
      </c>
      <c r="B14" s="29" t="s">
        <v>24</v>
      </c>
      <c r="C14" s="28" t="str">
        <f>"(page 4, line "&amp;A222&amp;")"</f>
        <v>(page 4, line 29)</v>
      </c>
      <c r="D14" s="115">
        <f>I222</f>
        <v>0</v>
      </c>
      <c r="E14" s="28"/>
      <c r="F14" s="28" t="s">
        <v>25</v>
      </c>
      <c r="G14" s="26">
        <f>I191</f>
        <v>1</v>
      </c>
      <c r="H14" s="37"/>
      <c r="I14" s="26">
        <f>+G14*D14</f>
        <v>0</v>
      </c>
      <c r="J14" s="29"/>
      <c r="K14" s="29"/>
    </row>
    <row r="15" spans="1:11">
      <c r="A15" s="107">
        <f>+A14+1</f>
        <v>3</v>
      </c>
      <c r="B15" s="29" t="s">
        <v>26</v>
      </c>
      <c r="C15" s="28" t="str">
        <f>"(page 4, line "&amp;A227&amp;")"</f>
        <v>(page 4, line 33)</v>
      </c>
      <c r="D15" s="115">
        <f>I227</f>
        <v>0</v>
      </c>
      <c r="E15" s="28"/>
      <c r="F15" s="28" t="s">
        <v>25</v>
      </c>
      <c r="G15" s="26">
        <f>+G14</f>
        <v>1</v>
      </c>
      <c r="H15" s="37"/>
      <c r="I15" s="26">
        <f>+G15*D15</f>
        <v>0</v>
      </c>
      <c r="J15" s="29"/>
      <c r="K15" s="29"/>
    </row>
    <row r="16" spans="1:11">
      <c r="A16" s="107">
        <f>+A15+1</f>
        <v>4</v>
      </c>
      <c r="B16" s="29" t="s">
        <v>27</v>
      </c>
      <c r="C16" s="28" t="s">
        <v>28</v>
      </c>
      <c r="D16" s="115">
        <f>+'5-P3 Support'!G67</f>
        <v>0</v>
      </c>
      <c r="E16" s="28"/>
      <c r="F16" s="28" t="s">
        <v>25</v>
      </c>
      <c r="G16" s="26">
        <f>+G15</f>
        <v>1</v>
      </c>
      <c r="H16" s="37"/>
      <c r="I16" s="26">
        <f>+D16*G16</f>
        <v>0</v>
      </c>
      <c r="J16" s="29"/>
      <c r="K16" s="29"/>
    </row>
    <row r="17" spans="1:13">
      <c r="A17" s="107">
        <f>+A16+1</f>
        <v>5</v>
      </c>
      <c r="B17" s="28" t="s">
        <v>29</v>
      </c>
      <c r="C17" s="116" t="s">
        <v>30</v>
      </c>
      <c r="D17" s="151">
        <v>0</v>
      </c>
      <c r="E17" s="28"/>
      <c r="F17" s="28" t="s">
        <v>25</v>
      </c>
      <c r="G17" s="26">
        <f>+G15</f>
        <v>1</v>
      </c>
      <c r="H17" s="37"/>
      <c r="I17" s="26">
        <f>+G17*D17</f>
        <v>0</v>
      </c>
      <c r="J17" s="29"/>
      <c r="K17" s="29"/>
    </row>
    <row r="18" spans="1:13" ht="13.5" thickBot="1">
      <c r="A18" s="107">
        <f>+A17+1</f>
        <v>6</v>
      </c>
      <c r="B18" s="28" t="s">
        <v>31</v>
      </c>
      <c r="C18" s="116"/>
      <c r="D18" s="151">
        <v>0</v>
      </c>
      <c r="E18" s="28"/>
      <c r="F18" s="28" t="s">
        <v>25</v>
      </c>
      <c r="G18" s="26">
        <f>+G17</f>
        <v>1</v>
      </c>
      <c r="H18" s="37"/>
      <c r="I18" s="564">
        <f>+G18*D18</f>
        <v>0</v>
      </c>
      <c r="J18" s="29"/>
      <c r="K18" s="29"/>
    </row>
    <row r="19" spans="1:13">
      <c r="A19" s="107">
        <f>+A18+1</f>
        <v>7</v>
      </c>
      <c r="B19" s="29" t="s">
        <v>32</v>
      </c>
      <c r="C19" s="29" t="s">
        <v>33</v>
      </c>
      <c r="D19" s="273">
        <f>SUM(D14:D18)</f>
        <v>0</v>
      </c>
      <c r="E19" s="28"/>
      <c r="F19" s="28"/>
      <c r="G19" s="38"/>
      <c r="H19" s="37"/>
      <c r="I19" s="26">
        <f>SUM(I14:I18)</f>
        <v>0</v>
      </c>
      <c r="J19" s="29"/>
      <c r="K19" s="29"/>
    </row>
    <row r="20" spans="1:13">
      <c r="A20" s="107"/>
      <c r="B20" s="31"/>
      <c r="C20" s="29"/>
      <c r="D20" s="28" t="s">
        <v>11</v>
      </c>
      <c r="E20" s="29"/>
      <c r="F20" s="29"/>
      <c r="G20" s="118"/>
      <c r="H20" s="29"/>
      <c r="I20" s="31"/>
      <c r="J20" s="29"/>
      <c r="K20" s="29"/>
    </row>
    <row r="21" spans="1:13" ht="13.5" thickBot="1">
      <c r="A21" s="107">
        <f>+A19+1</f>
        <v>8</v>
      </c>
      <c r="B21" s="29" t="s">
        <v>34</v>
      </c>
      <c r="C21" s="29" t="s">
        <v>35</v>
      </c>
      <c r="D21" s="117" t="s">
        <v>11</v>
      </c>
      <c r="E21" s="28"/>
      <c r="F21" s="28"/>
      <c r="G21" s="28"/>
      <c r="H21" s="28"/>
      <c r="I21" s="119">
        <f>I11-I19</f>
        <v>24506217.691887595</v>
      </c>
      <c r="J21" s="29"/>
      <c r="K21" s="29"/>
      <c r="M21" s="120"/>
    </row>
    <row r="22" spans="1:13" ht="13.5" thickTop="1">
      <c r="A22" s="107"/>
      <c r="B22" s="31"/>
      <c r="C22" s="29"/>
      <c r="D22" s="117"/>
      <c r="E22" s="28"/>
      <c r="F22" s="28"/>
      <c r="G22" s="28"/>
      <c r="H22" s="28"/>
      <c r="I22" s="31"/>
      <c r="J22" s="29"/>
      <c r="K22" s="29"/>
      <c r="M22" s="121"/>
    </row>
    <row r="23" spans="1:13">
      <c r="A23" s="122">
        <f>+A21+1</f>
        <v>9</v>
      </c>
      <c r="B23" s="123" t="s">
        <v>36</v>
      </c>
      <c r="C23" s="336" t="s">
        <v>37</v>
      </c>
      <c r="D23" s="115">
        <f>'3-Project True-up'!K39</f>
        <v>11391762.738241311</v>
      </c>
      <c r="E23" s="123"/>
      <c r="F23" s="123" t="s">
        <v>38</v>
      </c>
      <c r="G23" s="124">
        <v>1</v>
      </c>
      <c r="H23" s="123"/>
      <c r="I23" s="18">
        <f>+G23*D23</f>
        <v>11391762.738241311</v>
      </c>
      <c r="K23" s="29"/>
    </row>
    <row r="24" spans="1:13">
      <c r="A24" s="122"/>
      <c r="B24" s="123"/>
      <c r="C24" s="123"/>
      <c r="D24" s="123"/>
      <c r="E24" s="123"/>
      <c r="F24" s="123"/>
      <c r="G24" s="123"/>
      <c r="H24" s="123"/>
      <c r="I24" s="125"/>
      <c r="K24" s="29"/>
    </row>
    <row r="25" spans="1:13" ht="13.5" thickBot="1">
      <c r="A25" s="122">
        <f>+A23+1</f>
        <v>10</v>
      </c>
      <c r="B25" s="123" t="s">
        <v>34</v>
      </c>
      <c r="C25" s="123" t="s">
        <v>39</v>
      </c>
      <c r="D25" s="123"/>
      <c r="E25" s="125"/>
      <c r="F25" s="125"/>
      <c r="G25" s="125"/>
      <c r="H25" s="125"/>
      <c r="I25" s="126">
        <f>+I21+I23</f>
        <v>35897980.430128902</v>
      </c>
      <c r="K25" s="29"/>
    </row>
    <row r="26" spans="1:13" ht="13.5" thickTop="1">
      <c r="A26" s="107"/>
      <c r="B26" s="28"/>
      <c r="C26" s="29"/>
      <c r="D26" s="29"/>
      <c r="E26" s="29"/>
      <c r="F26" s="31"/>
      <c r="G26" s="27"/>
      <c r="H26" s="29"/>
      <c r="I26" s="28"/>
      <c r="J26" s="29"/>
      <c r="K26" s="29"/>
    </row>
    <row r="27" spans="1:13">
      <c r="A27" s="107"/>
      <c r="B27" s="29"/>
      <c r="C27" s="29"/>
      <c r="D27" s="29"/>
      <c r="E27" s="29"/>
      <c r="F27" s="31"/>
      <c r="G27" s="27"/>
      <c r="H27" s="29"/>
      <c r="I27" s="28"/>
      <c r="J27" s="29"/>
      <c r="K27" s="29"/>
    </row>
    <row r="28" spans="1:13">
      <c r="A28" s="107"/>
      <c r="B28" s="28"/>
      <c r="C28" s="29"/>
      <c r="D28" s="29"/>
      <c r="E28" s="29"/>
      <c r="F28" s="29"/>
      <c r="G28" s="27"/>
      <c r="H28" s="29"/>
      <c r="I28" s="28"/>
      <c r="J28" s="29"/>
      <c r="K28" s="29"/>
    </row>
    <row r="29" spans="1:13">
      <c r="A29" s="107"/>
      <c r="B29" s="28"/>
      <c r="C29" s="29"/>
      <c r="D29" s="29"/>
      <c r="E29" s="29"/>
      <c r="F29" s="29"/>
      <c r="G29" s="27"/>
      <c r="H29" s="29"/>
      <c r="I29" s="28"/>
      <c r="J29" s="29"/>
      <c r="K29" s="29"/>
    </row>
    <row r="30" spans="1:13">
      <c r="A30" s="107"/>
      <c r="B30" s="28"/>
      <c r="C30" s="29"/>
      <c r="D30" s="29"/>
      <c r="E30" s="29"/>
      <c r="F30" s="29"/>
      <c r="G30" s="27"/>
      <c r="H30" s="29"/>
      <c r="I30" s="28"/>
      <c r="J30" s="29"/>
      <c r="K30" s="29"/>
    </row>
    <row r="31" spans="1:13">
      <c r="A31" s="107"/>
      <c r="B31" s="27"/>
      <c r="C31" s="29"/>
      <c r="D31" s="29"/>
      <c r="E31" s="29"/>
      <c r="F31" s="29"/>
      <c r="G31" s="29"/>
      <c r="H31" s="29"/>
      <c r="I31" s="28"/>
      <c r="J31" s="29"/>
      <c r="K31" s="29"/>
    </row>
    <row r="32" spans="1:13">
      <c r="A32" s="107"/>
      <c r="B32" s="29"/>
      <c r="C32" s="29"/>
      <c r="D32" s="29"/>
      <c r="E32" s="29"/>
      <c r="F32" s="29"/>
      <c r="G32" s="29"/>
      <c r="H32" s="29"/>
      <c r="I32" s="28"/>
      <c r="J32" s="29"/>
      <c r="K32" s="29"/>
    </row>
    <row r="33" spans="1:11">
      <c r="A33" s="107"/>
      <c r="B33" s="29"/>
      <c r="C33" s="29"/>
      <c r="D33" s="127"/>
      <c r="E33" s="29"/>
      <c r="F33" s="29"/>
      <c r="G33" s="29"/>
      <c r="H33" s="29"/>
      <c r="I33" s="31"/>
      <c r="J33" s="29"/>
      <c r="K33" s="29"/>
    </row>
    <row r="34" spans="1:11">
      <c r="A34" s="107"/>
      <c r="B34" s="29"/>
      <c r="C34" s="29"/>
      <c r="D34" s="127"/>
      <c r="E34" s="29"/>
      <c r="F34" s="29"/>
      <c r="G34" s="29"/>
      <c r="H34" s="29"/>
      <c r="I34" s="31"/>
      <c r="J34" s="29"/>
      <c r="K34" s="29"/>
    </row>
    <row r="35" spans="1:11">
      <c r="A35" s="107"/>
      <c r="B35" s="29"/>
      <c r="C35" s="29"/>
      <c r="D35" s="128"/>
      <c r="E35" s="29"/>
      <c r="F35" s="29"/>
      <c r="G35" s="29"/>
      <c r="H35" s="29"/>
      <c r="I35" s="31"/>
      <c r="J35" s="29"/>
      <c r="K35" s="29"/>
    </row>
    <row r="36" spans="1:11">
      <c r="A36" s="107"/>
      <c r="B36" s="29"/>
      <c r="C36" s="29"/>
      <c r="D36" s="129"/>
      <c r="E36" s="29"/>
      <c r="F36" s="29"/>
      <c r="G36" s="29"/>
      <c r="H36" s="29"/>
      <c r="I36" s="130"/>
      <c r="J36" s="29"/>
      <c r="K36" s="29"/>
    </row>
    <row r="37" spans="1:11">
      <c r="A37" s="107"/>
      <c r="B37" s="29"/>
      <c r="C37" s="131"/>
      <c r="D37" s="127"/>
      <c r="E37" s="29"/>
      <c r="F37" s="29"/>
      <c r="G37" s="29"/>
      <c r="H37" s="29"/>
      <c r="I37" s="132"/>
      <c r="J37" s="29"/>
      <c r="K37" s="29"/>
    </row>
    <row r="38" spans="1:11">
      <c r="A38" s="107"/>
      <c r="B38" s="29"/>
      <c r="C38" s="131"/>
      <c r="D38" s="127"/>
      <c r="E38" s="29"/>
      <c r="F38" s="31"/>
      <c r="G38" s="29"/>
      <c r="H38" s="29"/>
      <c r="I38" s="132"/>
      <c r="J38" s="29"/>
      <c r="K38" s="29"/>
    </row>
    <row r="39" spans="1:11">
      <c r="A39" s="107"/>
      <c r="B39" s="29"/>
      <c r="C39" s="131"/>
      <c r="D39" s="127"/>
      <c r="E39" s="29"/>
      <c r="F39" s="31"/>
      <c r="G39" s="29"/>
      <c r="H39" s="29"/>
      <c r="I39" s="132"/>
      <c r="J39" s="29"/>
      <c r="K39" s="29"/>
    </row>
    <row r="40" spans="1:11">
      <c r="A40" s="107"/>
      <c r="B40" s="29"/>
      <c r="C40" s="29"/>
      <c r="D40" s="29"/>
      <c r="E40" s="29"/>
      <c r="F40" s="31"/>
      <c r="G40" s="29"/>
      <c r="H40" s="29"/>
      <c r="I40" s="31"/>
      <c r="J40" s="29"/>
      <c r="K40" s="29"/>
    </row>
    <row r="41" spans="1:11">
      <c r="A41" s="107"/>
      <c r="B41" s="29"/>
      <c r="C41" s="29"/>
      <c r="D41" s="29"/>
      <c r="E41" s="29"/>
      <c r="F41" s="31"/>
      <c r="G41" s="29"/>
      <c r="H41" s="29"/>
      <c r="I41" s="31"/>
      <c r="J41" s="29"/>
      <c r="K41" s="29"/>
    </row>
    <row r="42" spans="1:11">
      <c r="A42" s="107"/>
      <c r="B42" s="29"/>
      <c r="C42" s="29"/>
      <c r="D42" s="133"/>
      <c r="E42" s="133"/>
      <c r="F42" s="133"/>
      <c r="G42" s="133"/>
      <c r="H42" s="133"/>
      <c r="I42" s="133"/>
      <c r="J42" s="133"/>
      <c r="K42" s="29"/>
    </row>
    <row r="43" spans="1:11">
      <c r="A43" s="107"/>
      <c r="B43" s="29"/>
      <c r="C43" s="29"/>
      <c r="D43" s="133"/>
      <c r="E43" s="133"/>
      <c r="F43" s="133"/>
      <c r="G43" s="133"/>
      <c r="H43" s="133"/>
      <c r="I43" s="133"/>
      <c r="J43" s="133"/>
      <c r="K43" s="29"/>
    </row>
    <row r="44" spans="1:11">
      <c r="A44" s="107"/>
      <c r="B44" s="29"/>
      <c r="C44" s="29"/>
      <c r="D44" s="133"/>
      <c r="E44" s="133"/>
      <c r="F44" s="133"/>
      <c r="G44" s="133"/>
      <c r="H44" s="133"/>
      <c r="I44" s="133"/>
      <c r="J44" s="133"/>
      <c r="K44" s="29"/>
    </row>
    <row r="45" spans="1:11">
      <c r="A45" s="107"/>
      <c r="B45" s="29"/>
      <c r="C45" s="29"/>
      <c r="D45" s="133"/>
      <c r="E45" s="133"/>
      <c r="F45" s="133"/>
      <c r="G45" s="133"/>
      <c r="H45" s="133"/>
      <c r="I45" s="133"/>
      <c r="J45" s="133"/>
      <c r="K45" s="29"/>
    </row>
    <row r="46" spans="1:11">
      <c r="A46" s="107"/>
      <c r="B46" s="29"/>
      <c r="C46" s="29"/>
      <c r="D46" s="133"/>
      <c r="E46" s="133"/>
      <c r="F46" s="133"/>
      <c r="G46" s="133"/>
      <c r="H46" s="133"/>
      <c r="I46" s="133"/>
      <c r="J46" s="133"/>
      <c r="K46" s="29"/>
    </row>
    <row r="47" spans="1:11">
      <c r="A47" s="107"/>
      <c r="B47" s="29"/>
      <c r="C47" s="29"/>
      <c r="D47" s="133"/>
      <c r="E47" s="133"/>
      <c r="F47" s="133"/>
      <c r="G47" s="133"/>
      <c r="H47" s="133"/>
      <c r="I47" s="133"/>
      <c r="J47" s="133"/>
      <c r="K47" s="29"/>
    </row>
    <row r="48" spans="1:11">
      <c r="A48" s="107"/>
      <c r="B48" s="29"/>
      <c r="C48" s="29"/>
      <c r="D48" s="133"/>
      <c r="E48" s="133"/>
      <c r="F48" s="133"/>
      <c r="G48" s="133"/>
      <c r="H48" s="133"/>
      <c r="I48" s="133"/>
      <c r="J48" s="133"/>
      <c r="K48" s="29"/>
    </row>
    <row r="49" spans="1:11">
      <c r="A49" s="107"/>
      <c r="B49" s="29"/>
      <c r="C49" s="29"/>
      <c r="D49" s="133"/>
      <c r="E49" s="133"/>
      <c r="F49" s="133"/>
      <c r="G49" s="133"/>
      <c r="H49" s="133"/>
      <c r="I49" s="133"/>
      <c r="J49" s="133"/>
      <c r="K49" s="29"/>
    </row>
    <row r="50" spans="1:11">
      <c r="A50" s="107"/>
      <c r="B50" s="29"/>
      <c r="C50" s="29"/>
      <c r="D50" s="133"/>
      <c r="E50" s="133"/>
      <c r="F50" s="133"/>
      <c r="G50" s="133"/>
      <c r="H50" s="133"/>
      <c r="I50" s="133"/>
      <c r="J50" s="133"/>
      <c r="K50" s="29"/>
    </row>
    <row r="51" spans="1:11">
      <c r="A51" s="107"/>
      <c r="B51" s="29"/>
      <c r="C51" s="29"/>
      <c r="D51" s="133"/>
      <c r="E51" s="133"/>
      <c r="F51" s="133"/>
      <c r="G51" s="133"/>
      <c r="H51" s="133"/>
      <c r="I51" s="133"/>
      <c r="J51" s="133"/>
      <c r="K51" s="29"/>
    </row>
    <row r="52" spans="1:11">
      <c r="A52" s="31"/>
      <c r="B52" s="29"/>
      <c r="C52" s="29"/>
      <c r="D52" s="29"/>
      <c r="E52" s="29"/>
      <c r="F52" s="29"/>
      <c r="G52" s="29"/>
      <c r="H52" s="29"/>
      <c r="I52" s="32"/>
      <c r="J52" s="29"/>
      <c r="K52" s="134" t="s">
        <v>40</v>
      </c>
    </row>
    <row r="53" spans="1:11">
      <c r="A53" s="31"/>
      <c r="B53" s="29"/>
      <c r="C53" s="29"/>
      <c r="D53" s="29"/>
      <c r="E53" s="29"/>
      <c r="F53" s="29"/>
      <c r="G53" s="29"/>
      <c r="H53" s="29"/>
      <c r="I53" s="29"/>
      <c r="J53" s="29"/>
      <c r="K53" s="29"/>
    </row>
    <row r="54" spans="1:11">
      <c r="A54" s="31"/>
      <c r="B54" s="29" t="s">
        <v>2</v>
      </c>
      <c r="C54" s="29"/>
      <c r="D54" s="113" t="s">
        <v>4</v>
      </c>
      <c r="E54" s="29"/>
      <c r="F54" s="29"/>
      <c r="G54" s="29"/>
      <c r="H54" s="29"/>
      <c r="I54" s="39"/>
      <c r="J54" s="29"/>
      <c r="K54" s="134" t="str">
        <f>K3</f>
        <v>For  the 12 months ended 12/31/2025</v>
      </c>
    </row>
    <row r="55" spans="1:11">
      <c r="A55" s="31"/>
      <c r="B55" s="135"/>
      <c r="C55" s="28"/>
      <c r="D55" s="30" t="s">
        <v>6</v>
      </c>
      <c r="E55" s="28"/>
      <c r="F55" s="28"/>
      <c r="G55" s="28"/>
      <c r="H55" s="28"/>
      <c r="I55" s="28"/>
      <c r="J55" s="28"/>
      <c r="K55" s="28"/>
    </row>
    <row r="56" spans="1:11">
      <c r="A56" s="31"/>
      <c r="B56" s="29"/>
      <c r="C56" s="28"/>
      <c r="D56" s="442" t="str">
        <f>D5</f>
        <v>NextEra Energy Transmission MidAtlantic, Inc.</v>
      </c>
      <c r="E56" s="28"/>
      <c r="F56" s="28"/>
      <c r="G56" s="28" t="s">
        <v>11</v>
      </c>
      <c r="H56" s="28"/>
      <c r="I56" s="28"/>
      <c r="J56" s="28"/>
      <c r="K56" s="28"/>
    </row>
    <row r="57" spans="1:11">
      <c r="A57" s="677"/>
      <c r="B57" s="677"/>
      <c r="C57" s="677"/>
      <c r="D57" s="677"/>
      <c r="E57" s="677"/>
      <c r="F57" s="677"/>
      <c r="G57" s="677"/>
      <c r="H57" s="677"/>
      <c r="I57" s="677"/>
      <c r="J57" s="677"/>
      <c r="K57" s="677"/>
    </row>
    <row r="58" spans="1:11">
      <c r="A58" s="31"/>
      <c r="B58" s="113" t="s">
        <v>8</v>
      </c>
      <c r="C58" s="113" t="s">
        <v>9</v>
      </c>
      <c r="D58" s="113" t="s">
        <v>10</v>
      </c>
      <c r="E58" s="28" t="s">
        <v>11</v>
      </c>
      <c r="F58" s="28"/>
      <c r="G58" s="112" t="s">
        <v>12</v>
      </c>
      <c r="H58" s="28"/>
      <c r="I58" s="112" t="s">
        <v>13</v>
      </c>
      <c r="J58" s="28"/>
      <c r="K58" s="113"/>
    </row>
    <row r="59" spans="1:11">
      <c r="A59" s="31"/>
      <c r="B59" s="29"/>
      <c r="C59" s="136"/>
      <c r="D59" s="28"/>
      <c r="E59" s="28"/>
      <c r="F59" s="28"/>
      <c r="G59" s="107"/>
      <c r="H59" s="28"/>
      <c r="I59" s="137" t="s">
        <v>41</v>
      </c>
      <c r="J59" s="28"/>
      <c r="K59" s="113"/>
    </row>
    <row r="60" spans="1:11">
      <c r="A60" s="107" t="s">
        <v>14</v>
      </c>
      <c r="B60" s="29"/>
      <c r="C60" s="138" t="s">
        <v>42</v>
      </c>
      <c r="D60" s="137" t="s">
        <v>43</v>
      </c>
      <c r="E60" s="139"/>
      <c r="F60" s="137" t="s">
        <v>44</v>
      </c>
      <c r="G60" s="31"/>
      <c r="H60" s="139"/>
      <c r="I60" s="107" t="s">
        <v>45</v>
      </c>
      <c r="J60" s="28"/>
      <c r="K60" s="113"/>
    </row>
    <row r="61" spans="1:11" ht="13.5" thickBot="1">
      <c r="A61" s="562" t="s">
        <v>16</v>
      </c>
      <c r="B61" s="140" t="s">
        <v>46</v>
      </c>
      <c r="C61" s="28"/>
      <c r="D61" s="28"/>
      <c r="E61" s="28"/>
      <c r="F61" s="28"/>
      <c r="G61" s="28"/>
      <c r="H61" s="28"/>
      <c r="I61" s="28"/>
      <c r="J61" s="28"/>
      <c r="K61" s="28"/>
    </row>
    <row r="62" spans="1:11">
      <c r="A62" s="107"/>
      <c r="B62" s="29" t="s">
        <v>47</v>
      </c>
      <c r="C62" s="28"/>
      <c r="D62" s="28"/>
      <c r="E62" s="28"/>
      <c r="F62" s="28"/>
      <c r="G62" s="28"/>
      <c r="H62" s="28"/>
      <c r="I62" s="28"/>
      <c r="J62" s="28"/>
      <c r="K62" s="28"/>
    </row>
    <row r="63" spans="1:11">
      <c r="A63" s="107">
        <v>1</v>
      </c>
      <c r="B63" s="29" t="s">
        <v>48</v>
      </c>
      <c r="C63" s="37" t="s">
        <v>49</v>
      </c>
      <c r="D63" s="141">
        <v>0</v>
      </c>
      <c r="E63" s="28"/>
      <c r="F63" s="28" t="s">
        <v>50</v>
      </c>
      <c r="G63" s="142" t="s">
        <v>11</v>
      </c>
      <c r="H63" s="28"/>
      <c r="I63" s="18">
        <v>0</v>
      </c>
      <c r="J63" s="28"/>
      <c r="K63" s="28"/>
    </row>
    <row r="64" spans="1:11">
      <c r="A64" s="107">
        <f>+A63+1</f>
        <v>2</v>
      </c>
      <c r="B64" s="29" t="s">
        <v>51</v>
      </c>
      <c r="C64" s="37" t="s">
        <v>52</v>
      </c>
      <c r="D64" s="151">
        <f>'4- Rate Base'!C24</f>
        <v>76288908.015384614</v>
      </c>
      <c r="E64" s="28"/>
      <c r="F64" s="28" t="s">
        <v>25</v>
      </c>
      <c r="G64" s="26">
        <f>I191</f>
        <v>1</v>
      </c>
      <c r="H64" s="37"/>
      <c r="I64" s="18">
        <f>+G64*D64</f>
        <v>76288908.015384614</v>
      </c>
      <c r="J64" s="28"/>
      <c r="K64" s="28"/>
    </row>
    <row r="65" spans="1:11">
      <c r="A65" s="107">
        <f t="shared" ref="A65:A104" si="0">+A64+1</f>
        <v>3</v>
      </c>
      <c r="B65" s="29" t="s">
        <v>53</v>
      </c>
      <c r="C65" s="37" t="s">
        <v>54</v>
      </c>
      <c r="D65" s="141">
        <v>0</v>
      </c>
      <c r="E65" s="28"/>
      <c r="F65" s="28" t="s">
        <v>50</v>
      </c>
      <c r="G65" s="115">
        <v>0</v>
      </c>
      <c r="H65" s="37"/>
      <c r="I65" s="18">
        <v>0</v>
      </c>
      <c r="J65" s="28"/>
      <c r="K65" s="28"/>
    </row>
    <row r="66" spans="1:11">
      <c r="A66" s="107">
        <f t="shared" si="0"/>
        <v>4</v>
      </c>
      <c r="B66" s="29" t="s">
        <v>55</v>
      </c>
      <c r="C66" s="37" t="s">
        <v>56</v>
      </c>
      <c r="D66" s="151">
        <f>'4- Rate Base'!D24</f>
        <v>578</v>
      </c>
      <c r="E66" s="28"/>
      <c r="F66" s="28" t="s">
        <v>57</v>
      </c>
      <c r="G66" s="26">
        <f>I199</f>
        <v>1</v>
      </c>
      <c r="H66" s="37"/>
      <c r="I66" s="18">
        <f>+G66*D66</f>
        <v>578</v>
      </c>
      <c r="J66" s="28"/>
      <c r="K66" s="28"/>
    </row>
    <row r="67" spans="1:11" ht="13.5" thickBot="1">
      <c r="A67" s="107">
        <f t="shared" si="0"/>
        <v>5</v>
      </c>
      <c r="B67" s="29" t="s">
        <v>58</v>
      </c>
      <c r="C67" s="28" t="s">
        <v>59</v>
      </c>
      <c r="D67" s="565">
        <v>0</v>
      </c>
      <c r="E67" s="28"/>
      <c r="F67" s="28" t="s">
        <v>60</v>
      </c>
      <c r="G67" s="26">
        <f>K203</f>
        <v>1</v>
      </c>
      <c r="H67" s="37"/>
      <c r="I67" s="566">
        <f>+G67*D67</f>
        <v>0</v>
      </c>
      <c r="J67" s="28"/>
      <c r="K67" s="28"/>
    </row>
    <row r="68" spans="1:11">
      <c r="A68" s="107">
        <f t="shared" si="0"/>
        <v>6</v>
      </c>
      <c r="B68" s="27" t="s">
        <v>61</v>
      </c>
      <c r="C68" s="28" t="s">
        <v>62</v>
      </c>
      <c r="D68" s="18">
        <f>SUM(D63:D67)</f>
        <v>76289486.015384614</v>
      </c>
      <c r="E68" s="28"/>
      <c r="F68" s="28" t="s">
        <v>63</v>
      </c>
      <c r="G68" s="143">
        <f>IF(I68&gt;0,I68/D68,0)</f>
        <v>1</v>
      </c>
      <c r="H68" s="37"/>
      <c r="I68" s="18">
        <f>SUM(I63:I67)</f>
        <v>76289486.015384614</v>
      </c>
      <c r="J68" s="28"/>
      <c r="K68" s="144"/>
    </row>
    <row r="69" spans="1:11">
      <c r="A69" s="107"/>
      <c r="B69" s="29"/>
      <c r="C69" s="28"/>
      <c r="D69" s="18"/>
      <c r="E69" s="28"/>
      <c r="F69" s="28"/>
      <c r="G69" s="144"/>
      <c r="H69" s="28"/>
      <c r="I69" s="18"/>
      <c r="J69" s="28"/>
      <c r="K69" s="144"/>
    </row>
    <row r="70" spans="1:11">
      <c r="A70" s="107">
        <f>+A68+1</f>
        <v>7</v>
      </c>
      <c r="B70" s="29" t="s">
        <v>64</v>
      </c>
      <c r="C70" s="28"/>
      <c r="D70" s="18"/>
      <c r="E70" s="28"/>
      <c r="F70" s="28"/>
      <c r="G70" s="28"/>
      <c r="H70" s="28"/>
      <c r="I70" s="18"/>
      <c r="J70" s="28"/>
      <c r="K70" s="28"/>
    </row>
    <row r="71" spans="1:11">
      <c r="A71" s="107">
        <f t="shared" si="0"/>
        <v>8</v>
      </c>
      <c r="B71" s="29" t="s">
        <v>48</v>
      </c>
      <c r="C71" s="28" t="s">
        <v>65</v>
      </c>
      <c r="D71" s="141">
        <v>0</v>
      </c>
      <c r="E71" s="28"/>
      <c r="F71" s="28" t="s">
        <v>50</v>
      </c>
      <c r="G71" s="142" t="s">
        <v>11</v>
      </c>
      <c r="H71" s="28"/>
      <c r="I71" s="18">
        <v>0</v>
      </c>
      <c r="J71" s="28"/>
      <c r="K71" s="28"/>
    </row>
    <row r="72" spans="1:11">
      <c r="A72" s="107">
        <f t="shared" si="0"/>
        <v>9</v>
      </c>
      <c r="B72" s="29" t="s">
        <v>51</v>
      </c>
      <c r="C72" s="28" t="s">
        <v>66</v>
      </c>
      <c r="D72" s="151">
        <f>'4- Rate Base'!I24</f>
        <v>3187961.2023076927</v>
      </c>
      <c r="E72" s="28"/>
      <c r="F72" s="28" t="s">
        <v>25</v>
      </c>
      <c r="G72" s="26">
        <f>+G64</f>
        <v>1</v>
      </c>
      <c r="H72" s="37"/>
      <c r="I72" s="18">
        <f>+G72*D72</f>
        <v>3187961.2023076927</v>
      </c>
      <c r="J72" s="28"/>
      <c r="K72" s="28"/>
    </row>
    <row r="73" spans="1:11">
      <c r="A73" s="107">
        <f t="shared" si="0"/>
        <v>10</v>
      </c>
      <c r="B73" s="29" t="s">
        <v>53</v>
      </c>
      <c r="C73" s="28" t="s">
        <v>67</v>
      </c>
      <c r="D73" s="141">
        <v>0</v>
      </c>
      <c r="E73" s="28"/>
      <c r="F73" s="28" t="s">
        <v>50</v>
      </c>
      <c r="G73" s="26">
        <f>+G65</f>
        <v>0</v>
      </c>
      <c r="H73" s="37"/>
      <c r="I73" s="151">
        <f>+G73*D73</f>
        <v>0</v>
      </c>
      <c r="J73" s="28"/>
      <c r="K73" s="28"/>
    </row>
    <row r="74" spans="1:11">
      <c r="A74" s="107">
        <f t="shared" si="0"/>
        <v>11</v>
      </c>
      <c r="B74" s="29" t="s">
        <v>55</v>
      </c>
      <c r="C74" s="28" t="s">
        <v>68</v>
      </c>
      <c r="D74" s="151">
        <f>'4- Rate Base'!J24</f>
        <v>408.40538461538449</v>
      </c>
      <c r="E74" s="28"/>
      <c r="F74" s="28" t="s">
        <v>57</v>
      </c>
      <c r="G74" s="26">
        <f>+G66</f>
        <v>1</v>
      </c>
      <c r="H74" s="37"/>
      <c r="I74" s="18">
        <f>+G74*D74</f>
        <v>408.40538461538449</v>
      </c>
      <c r="J74" s="28"/>
      <c r="K74" s="28"/>
    </row>
    <row r="75" spans="1:11" ht="13.5" thickBot="1">
      <c r="A75" s="107">
        <f t="shared" si="0"/>
        <v>12</v>
      </c>
      <c r="B75" s="29" t="s">
        <v>58</v>
      </c>
      <c r="C75" s="28" t="s">
        <v>59</v>
      </c>
      <c r="D75" s="565">
        <v>0</v>
      </c>
      <c r="E75" s="28"/>
      <c r="F75" s="28" t="s">
        <v>60</v>
      </c>
      <c r="G75" s="26">
        <f>+G67</f>
        <v>1</v>
      </c>
      <c r="H75" s="37"/>
      <c r="I75" s="566">
        <f>+G75*D75</f>
        <v>0</v>
      </c>
      <c r="J75" s="28"/>
      <c r="K75" s="28"/>
    </row>
    <row r="76" spans="1:11">
      <c r="A76" s="107">
        <f t="shared" si="0"/>
        <v>13</v>
      </c>
      <c r="B76" s="29" t="s">
        <v>69</v>
      </c>
      <c r="C76" s="28" t="s">
        <v>70</v>
      </c>
      <c r="D76" s="18">
        <f>SUM(D71:D75)</f>
        <v>3188369.6076923083</v>
      </c>
      <c r="E76" s="28"/>
      <c r="F76" s="28"/>
      <c r="G76" s="26"/>
      <c r="H76" s="37"/>
      <c r="I76" s="18">
        <f>SUM(I71:I75)</f>
        <v>3188369.6076923083</v>
      </c>
      <c r="J76" s="28"/>
      <c r="K76" s="28"/>
    </row>
    <row r="77" spans="1:11">
      <c r="A77" s="107"/>
      <c r="B77" s="31"/>
      <c r="C77" s="28" t="s">
        <v>11</v>
      </c>
      <c r="D77" s="18"/>
      <c r="E77" s="28"/>
      <c r="F77" s="28"/>
      <c r="G77" s="143"/>
      <c r="H77" s="28"/>
      <c r="I77" s="18"/>
      <c r="J77" s="28"/>
      <c r="K77" s="144"/>
    </row>
    <row r="78" spans="1:11">
      <c r="A78" s="107">
        <f>+A76+1</f>
        <v>14</v>
      </c>
      <c r="B78" s="29" t="s">
        <v>71</v>
      </c>
      <c r="C78" s="28"/>
      <c r="D78" s="18"/>
      <c r="E78" s="28"/>
      <c r="F78" s="28"/>
      <c r="G78" s="26"/>
      <c r="H78" s="28"/>
      <c r="I78" s="18"/>
      <c r="J78" s="28"/>
      <c r="K78" s="28"/>
    </row>
    <row r="79" spans="1:11">
      <c r="A79" s="107">
        <f t="shared" si="0"/>
        <v>15</v>
      </c>
      <c r="B79" s="29" t="s">
        <v>48</v>
      </c>
      <c r="C79" s="28" t="str">
        <f>"(line "&amp;A63&amp;"minus line "&amp;A71&amp;")"</f>
        <v>(line 1minus line 8)</v>
      </c>
      <c r="D79" s="18">
        <f>D63-D71</f>
        <v>0</v>
      </c>
      <c r="E79" s="37"/>
      <c r="F79" s="37"/>
      <c r="G79" s="143"/>
      <c r="H79" s="37"/>
      <c r="I79" s="18">
        <f>I63-I71</f>
        <v>0</v>
      </c>
      <c r="J79" s="28"/>
      <c r="K79" s="144"/>
    </row>
    <row r="80" spans="1:11">
      <c r="A80" s="107">
        <f t="shared" si="0"/>
        <v>16</v>
      </c>
      <c r="B80" s="29" t="s">
        <v>51</v>
      </c>
      <c r="C80" s="28" t="s">
        <v>72</v>
      </c>
      <c r="D80" s="18">
        <f>D64-D72</f>
        <v>73100946.813076928</v>
      </c>
      <c r="E80" s="37"/>
      <c r="F80" s="37"/>
      <c r="G80" s="26"/>
      <c r="H80" s="37"/>
      <c r="I80" s="18">
        <f>I64-I72</f>
        <v>73100946.813076928</v>
      </c>
      <c r="J80" s="28"/>
      <c r="K80" s="144"/>
    </row>
    <row r="81" spans="1:11">
      <c r="A81" s="107">
        <f t="shared" si="0"/>
        <v>17</v>
      </c>
      <c r="B81" s="29" t="s">
        <v>53</v>
      </c>
      <c r="C81" s="28" t="str">
        <f>"(line "&amp;A65&amp;" minus line "&amp;A73&amp;")"</f>
        <v>(line 3 minus line 10)</v>
      </c>
      <c r="D81" s="18">
        <f>D65-D73</f>
        <v>0</v>
      </c>
      <c r="E81" s="37"/>
      <c r="F81" s="37"/>
      <c r="G81" s="143"/>
      <c r="H81" s="37"/>
      <c r="I81" s="151">
        <f>I65-I73</f>
        <v>0</v>
      </c>
      <c r="J81" s="28"/>
      <c r="K81" s="144"/>
    </row>
    <row r="82" spans="1:11">
      <c r="A82" s="107">
        <f t="shared" si="0"/>
        <v>18</v>
      </c>
      <c r="B82" s="29" t="s">
        <v>55</v>
      </c>
      <c r="C82" s="28" t="s">
        <v>73</v>
      </c>
      <c r="D82" s="18">
        <f>D66-D74</f>
        <v>169.59461538461551</v>
      </c>
      <c r="E82" s="37"/>
      <c r="F82" s="37"/>
      <c r="G82" s="143"/>
      <c r="H82" s="37"/>
      <c r="I82" s="18">
        <f>I66-I74</f>
        <v>169.59461538461551</v>
      </c>
      <c r="J82" s="28"/>
      <c r="K82" s="144"/>
    </row>
    <row r="83" spans="1:11" ht="13.5" thickBot="1">
      <c r="A83" s="107">
        <f t="shared" si="0"/>
        <v>19</v>
      </c>
      <c r="B83" s="29" t="s">
        <v>58</v>
      </c>
      <c r="C83" s="28" t="str">
        <f>"(line "&amp;A67&amp;" minus line "&amp;A75&amp;")"</f>
        <v>(line 5 minus line 12)</v>
      </c>
      <c r="D83" s="566">
        <f>D67-D75</f>
        <v>0</v>
      </c>
      <c r="E83" s="37"/>
      <c r="F83" s="37"/>
      <c r="G83" s="143"/>
      <c r="H83" s="37"/>
      <c r="I83" s="566">
        <f>I67-I75</f>
        <v>0</v>
      </c>
      <c r="J83" s="28"/>
      <c r="K83" s="144"/>
    </row>
    <row r="84" spans="1:11">
      <c r="A84" s="107">
        <f t="shared" si="0"/>
        <v>20</v>
      </c>
      <c r="B84" s="29" t="s">
        <v>74</v>
      </c>
      <c r="C84" s="28" t="s">
        <v>75</v>
      </c>
      <c r="D84" s="18">
        <f>SUM(D79:D83)</f>
        <v>73101116.407692313</v>
      </c>
      <c r="E84" s="37"/>
      <c r="F84" s="37" t="s">
        <v>76</v>
      </c>
      <c r="G84" s="143">
        <f>IF(I84&gt;0,I84/D84,0)</f>
        <v>1</v>
      </c>
      <c r="H84" s="37"/>
      <c r="I84" s="18">
        <f>SUM(I79:I83)</f>
        <v>73101116.407692313</v>
      </c>
      <c r="J84" s="28"/>
      <c r="K84" s="28"/>
    </row>
    <row r="85" spans="1:11">
      <c r="A85" s="107"/>
      <c r="B85" s="31"/>
      <c r="C85" s="28"/>
      <c r="D85" s="18"/>
      <c r="E85" s="28"/>
      <c r="F85" s="31"/>
      <c r="G85" s="31"/>
      <c r="H85" s="28"/>
      <c r="I85" s="18"/>
      <c r="J85" s="28"/>
      <c r="K85" s="144"/>
    </row>
    <row r="86" spans="1:11">
      <c r="A86" s="107">
        <f>+A84+1</f>
        <v>21</v>
      </c>
      <c r="B86" s="27" t="s">
        <v>77</v>
      </c>
      <c r="C86" s="28"/>
      <c r="D86" s="18"/>
      <c r="E86" s="28"/>
      <c r="F86" s="28"/>
      <c r="G86" s="28"/>
      <c r="H86" s="28"/>
      <c r="I86" s="18"/>
      <c r="J86" s="28"/>
      <c r="K86" s="28"/>
    </row>
    <row r="87" spans="1:11">
      <c r="A87" s="107">
        <f t="shared" si="0"/>
        <v>22</v>
      </c>
      <c r="B87" s="29" t="s">
        <v>78</v>
      </c>
      <c r="C87" s="28" t="s">
        <v>79</v>
      </c>
      <c r="D87" s="151">
        <f>-'4- Rate Base'!E44</f>
        <v>0</v>
      </c>
      <c r="E87" s="28"/>
      <c r="F87" s="28" t="s">
        <v>50</v>
      </c>
      <c r="G87" s="145" t="s">
        <v>80</v>
      </c>
      <c r="H87" s="37"/>
      <c r="I87" s="18">
        <v>0</v>
      </c>
      <c r="J87" s="28"/>
      <c r="K87" s="144"/>
    </row>
    <row r="88" spans="1:11">
      <c r="A88" s="107">
        <f t="shared" si="0"/>
        <v>23</v>
      </c>
      <c r="B88" s="29" t="s">
        <v>81</v>
      </c>
      <c r="C88" s="28" t="s">
        <v>82</v>
      </c>
      <c r="D88" s="44">
        <f>-'4- Rate Base'!F44</f>
        <v>-2700581.3064294877</v>
      </c>
      <c r="E88" s="28"/>
      <c r="F88" s="28" t="s">
        <v>83</v>
      </c>
      <c r="G88" s="147">
        <f>+G84</f>
        <v>1</v>
      </c>
      <c r="H88" s="37"/>
      <c r="I88" s="18">
        <f>D88*G88</f>
        <v>-2700581.3064294877</v>
      </c>
      <c r="J88" s="28"/>
      <c r="K88" s="144"/>
    </row>
    <row r="89" spans="1:11">
      <c r="A89" s="107">
        <f t="shared" si="0"/>
        <v>24</v>
      </c>
      <c r="B89" s="29" t="s">
        <v>84</v>
      </c>
      <c r="C89" s="28" t="s">
        <v>85</v>
      </c>
      <c r="D89" s="44">
        <f>-'4- Rate Base'!G44</f>
        <v>0</v>
      </c>
      <c r="E89" s="28"/>
      <c r="F89" s="28" t="s">
        <v>83</v>
      </c>
      <c r="G89" s="147">
        <f>+G88</f>
        <v>1</v>
      </c>
      <c r="H89" s="37"/>
      <c r="I89" s="18">
        <f>D89*G89</f>
        <v>0</v>
      </c>
      <c r="J89" s="28"/>
      <c r="K89" s="144"/>
    </row>
    <row r="90" spans="1:11">
      <c r="A90" s="107">
        <f t="shared" si="0"/>
        <v>25</v>
      </c>
      <c r="B90" s="29" t="s">
        <v>86</v>
      </c>
      <c r="C90" s="28" t="s">
        <v>87</v>
      </c>
      <c r="D90" s="44">
        <f>-'4- Rate Base'!H44</f>
        <v>704452.5</v>
      </c>
      <c r="E90" s="28"/>
      <c r="F90" s="28" t="s">
        <v>83</v>
      </c>
      <c r="G90" s="147">
        <f>+G89</f>
        <v>1</v>
      </c>
      <c r="H90" s="37"/>
      <c r="I90" s="18">
        <f>D90*G90</f>
        <v>704452.5</v>
      </c>
      <c r="J90" s="28"/>
      <c r="K90" s="144"/>
    </row>
    <row r="91" spans="1:11">
      <c r="A91" s="107">
        <f t="shared" si="0"/>
        <v>26</v>
      </c>
      <c r="B91" s="31" t="s">
        <v>88</v>
      </c>
      <c r="C91" s="31" t="s">
        <v>89</v>
      </c>
      <c r="D91" s="44">
        <f>-'4- Rate Base'!I44</f>
        <v>0</v>
      </c>
      <c r="E91" s="28"/>
      <c r="F91" s="28" t="s">
        <v>83</v>
      </c>
      <c r="G91" s="147">
        <f>+G89</f>
        <v>1</v>
      </c>
      <c r="H91" s="37"/>
      <c r="I91" s="35">
        <f>D91*G91</f>
        <v>0</v>
      </c>
      <c r="J91" s="28"/>
      <c r="K91" s="144"/>
    </row>
    <row r="92" spans="1:11">
      <c r="A92" s="107" t="s">
        <v>90</v>
      </c>
      <c r="B92" s="31" t="s">
        <v>91</v>
      </c>
      <c r="C92" s="31" t="s">
        <v>92</v>
      </c>
      <c r="D92" s="44">
        <f>-'4- Rate Base'!I59</f>
        <v>0</v>
      </c>
      <c r="E92" s="28"/>
      <c r="F92" s="28" t="s">
        <v>38</v>
      </c>
      <c r="G92" s="319">
        <f>G93</f>
        <v>1</v>
      </c>
      <c r="H92" s="37"/>
      <c r="I92" s="44">
        <f>+G92*D92</f>
        <v>0</v>
      </c>
      <c r="J92" s="28"/>
      <c r="K92" s="144"/>
    </row>
    <row r="93" spans="1:11">
      <c r="A93" s="107">
        <f>+A91+1</f>
        <v>27</v>
      </c>
      <c r="B93" s="123" t="s">
        <v>93</v>
      </c>
      <c r="C93" s="125" t="s">
        <v>94</v>
      </c>
      <c r="D93" s="44">
        <f>'4- Rate Base'!E24</f>
        <v>26872336.810502313</v>
      </c>
      <c r="E93" s="125"/>
      <c r="F93" s="125" t="str">
        <f>+F94</f>
        <v>DA</v>
      </c>
      <c r="G93" s="148">
        <v>1</v>
      </c>
      <c r="H93" s="125"/>
      <c r="I93" s="35">
        <f>+G93*D93</f>
        <v>26872336.810502313</v>
      </c>
      <c r="K93" s="144"/>
    </row>
    <row r="94" spans="1:11">
      <c r="A94" s="107">
        <f t="shared" si="0"/>
        <v>28</v>
      </c>
      <c r="B94" s="123" t="s">
        <v>95</v>
      </c>
      <c r="C94" s="125" t="s">
        <v>96</v>
      </c>
      <c r="D94" s="44">
        <f>+'4- Rate Base'!C44</f>
        <v>0</v>
      </c>
      <c r="E94" s="125"/>
      <c r="F94" s="125" t="str">
        <f>+F95</f>
        <v>DA</v>
      </c>
      <c r="G94" s="148">
        <v>1</v>
      </c>
      <c r="H94" s="125"/>
      <c r="I94" s="35">
        <f>+G94*D94</f>
        <v>0</v>
      </c>
      <c r="K94" s="144"/>
    </row>
    <row r="95" spans="1:11" ht="13.5" thickBot="1">
      <c r="A95" s="107">
        <f t="shared" si="0"/>
        <v>29</v>
      </c>
      <c r="B95" s="123" t="s">
        <v>97</v>
      </c>
      <c r="C95" s="125" t="s">
        <v>98</v>
      </c>
      <c r="D95" s="567">
        <f>+'4- Rate Base'!D44</f>
        <v>0</v>
      </c>
      <c r="E95" s="125"/>
      <c r="F95" s="125" t="s">
        <v>38</v>
      </c>
      <c r="G95" s="149">
        <v>1</v>
      </c>
      <c r="H95" s="125"/>
      <c r="I95" s="566">
        <f>+G95*D95</f>
        <v>0</v>
      </c>
      <c r="K95" s="144"/>
    </row>
    <row r="96" spans="1:11">
      <c r="A96" s="107">
        <f t="shared" si="0"/>
        <v>30</v>
      </c>
      <c r="B96" s="29" t="s">
        <v>99</v>
      </c>
      <c r="C96" s="28" t="s">
        <v>100</v>
      </c>
      <c r="D96" s="18">
        <f>SUM(D87:D95)</f>
        <v>24876208.004072826</v>
      </c>
      <c r="E96" s="28"/>
      <c r="F96" s="28"/>
      <c r="G96" s="37"/>
      <c r="H96" s="37"/>
      <c r="I96" s="18">
        <f>SUM(I87:I95)</f>
        <v>24876208.004072826</v>
      </c>
      <c r="J96" s="28"/>
      <c r="K96" s="28"/>
    </row>
    <row r="97" spans="1:11">
      <c r="A97" s="107"/>
      <c r="B97" s="31"/>
      <c r="C97" s="28"/>
      <c r="D97" s="18"/>
      <c r="E97" s="28"/>
      <c r="F97" s="28"/>
      <c r="G97" s="144"/>
      <c r="H97" s="28"/>
      <c r="I97" s="18"/>
      <c r="J97" s="28"/>
      <c r="K97" s="144"/>
    </row>
    <row r="98" spans="1:11">
      <c r="A98" s="107">
        <f>+A96+1</f>
        <v>31</v>
      </c>
      <c r="B98" s="27" t="s">
        <v>101</v>
      </c>
      <c r="C98" s="150" t="s">
        <v>102</v>
      </c>
      <c r="D98" s="151">
        <f>+'4- Rate Base'!F24</f>
        <v>0</v>
      </c>
      <c r="E98" s="28"/>
      <c r="F98" s="28" t="s">
        <v>25</v>
      </c>
      <c r="G98" s="26">
        <f>+G72</f>
        <v>1</v>
      </c>
      <c r="H98" s="37"/>
      <c r="I98" s="18">
        <f>+G98*D98</f>
        <v>0</v>
      </c>
      <c r="J98" s="28"/>
      <c r="K98" s="28"/>
    </row>
    <row r="99" spans="1:11">
      <c r="A99" s="107"/>
      <c r="B99" s="29"/>
      <c r="C99" s="28"/>
      <c r="D99" s="18"/>
      <c r="E99" s="28"/>
      <c r="F99" s="28"/>
      <c r="G99" s="26"/>
      <c r="H99" s="37"/>
      <c r="I99" s="18"/>
      <c r="J99" s="28"/>
      <c r="K99" s="28"/>
    </row>
    <row r="100" spans="1:11">
      <c r="A100" s="107">
        <f>+A98+1</f>
        <v>32</v>
      </c>
      <c r="B100" s="29" t="s">
        <v>103</v>
      </c>
      <c r="C100" s="28" t="s">
        <v>104</v>
      </c>
      <c r="D100" s="18"/>
      <c r="E100" s="28"/>
      <c r="F100" s="28"/>
      <c r="G100" s="26"/>
      <c r="H100" s="37"/>
      <c r="I100" s="18"/>
      <c r="J100" s="28"/>
      <c r="K100" s="28"/>
    </row>
    <row r="101" spans="1:11">
      <c r="A101" s="107">
        <f t="shared" si="0"/>
        <v>33</v>
      </c>
      <c r="B101" s="29" t="s">
        <v>105</v>
      </c>
      <c r="C101" s="31" t="s">
        <v>106</v>
      </c>
      <c r="D101" s="151">
        <f>(D134-D131)/8</f>
        <v>1085549.6250000002</v>
      </c>
      <c r="E101" s="28"/>
      <c r="F101" s="28"/>
      <c r="G101" s="115"/>
      <c r="H101" s="37"/>
      <c r="I101" s="151">
        <f>(I134-I131)/8</f>
        <v>1085549.6250000002</v>
      </c>
      <c r="J101" s="29"/>
      <c r="K101" s="144"/>
    </row>
    <row r="102" spans="1:11">
      <c r="A102" s="107">
        <f t="shared" si="0"/>
        <v>34</v>
      </c>
      <c r="B102" s="29" t="s">
        <v>107</v>
      </c>
      <c r="C102" s="150" t="s">
        <v>108</v>
      </c>
      <c r="D102" s="151">
        <f>+'4- Rate Base'!G24</f>
        <v>0</v>
      </c>
      <c r="E102" s="28"/>
      <c r="F102" s="28" t="s">
        <v>25</v>
      </c>
      <c r="G102" s="26">
        <f>+G119</f>
        <v>1</v>
      </c>
      <c r="H102" s="37"/>
      <c r="I102" s="18">
        <f>+G102*D102</f>
        <v>0</v>
      </c>
      <c r="J102" s="28" t="s">
        <v>11</v>
      </c>
      <c r="K102" s="144"/>
    </row>
    <row r="103" spans="1:11" ht="13.5" thickBot="1">
      <c r="A103" s="107">
        <f t="shared" si="0"/>
        <v>35</v>
      </c>
      <c r="B103" s="29" t="s">
        <v>109</v>
      </c>
      <c r="C103" s="37" t="s">
        <v>110</v>
      </c>
      <c r="D103" s="567">
        <f>+'4- Rate Base'!H24</f>
        <v>0</v>
      </c>
      <c r="E103" s="28"/>
      <c r="F103" s="28" t="s">
        <v>111</v>
      </c>
      <c r="G103" s="26">
        <f>+G68</f>
        <v>1</v>
      </c>
      <c r="H103" s="37"/>
      <c r="I103" s="566">
        <f>+G103*D103</f>
        <v>0</v>
      </c>
      <c r="J103" s="28"/>
      <c r="K103" s="144"/>
    </row>
    <row r="104" spans="1:11">
      <c r="A104" s="107">
        <f t="shared" si="0"/>
        <v>36</v>
      </c>
      <c r="B104" s="29" t="s">
        <v>112</v>
      </c>
      <c r="C104" s="29" t="s">
        <v>113</v>
      </c>
      <c r="D104" s="18">
        <f>SUM(D101:D103)</f>
        <v>1085549.6250000002</v>
      </c>
      <c r="E104" s="29"/>
      <c r="F104" s="29"/>
      <c r="G104" s="39"/>
      <c r="H104" s="39"/>
      <c r="I104" s="18">
        <f>I101+I102+I103</f>
        <v>1085549.6250000002</v>
      </c>
      <c r="J104" s="29"/>
      <c r="K104" s="29"/>
    </row>
    <row r="105" spans="1:11" ht="13.5" thickBot="1">
      <c r="A105" s="107"/>
      <c r="B105" s="31"/>
      <c r="C105" s="28"/>
      <c r="D105" s="566"/>
      <c r="E105" s="28"/>
      <c r="F105" s="28"/>
      <c r="G105" s="28"/>
      <c r="H105" s="28"/>
      <c r="I105" s="566"/>
      <c r="J105" s="28"/>
      <c r="K105" s="28"/>
    </row>
    <row r="106" spans="1:11" ht="13.5" thickBot="1">
      <c r="A106" s="107">
        <f>+A104+1</f>
        <v>37</v>
      </c>
      <c r="B106" s="29" t="s">
        <v>114</v>
      </c>
      <c r="C106" s="28" t="s">
        <v>115</v>
      </c>
      <c r="D106" s="152">
        <f>+D104+D98+D96+D84</f>
        <v>99062874.036765143</v>
      </c>
      <c r="E106" s="37"/>
      <c r="F106" s="37"/>
      <c r="G106" s="153"/>
      <c r="H106" s="37"/>
      <c r="I106" s="152">
        <f>+I104+I98+I96+I84</f>
        <v>99062874.036765143</v>
      </c>
      <c r="J106" s="28"/>
      <c r="K106" s="144"/>
    </row>
    <row r="107" spans="1:11" ht="13.5" thickTop="1">
      <c r="A107" s="107"/>
      <c r="B107" s="29"/>
      <c r="C107" s="28"/>
      <c r="D107" s="37"/>
      <c r="E107" s="37"/>
      <c r="F107" s="37"/>
      <c r="G107" s="153"/>
      <c r="H107" s="37"/>
      <c r="I107" s="37"/>
      <c r="J107" s="28"/>
      <c r="K107" s="144"/>
    </row>
    <row r="108" spans="1:11">
      <c r="A108" s="107"/>
      <c r="B108" s="29"/>
      <c r="C108" s="28"/>
      <c r="D108" s="37"/>
      <c r="E108" s="37"/>
      <c r="F108" s="37"/>
      <c r="G108" s="153"/>
      <c r="H108" s="37"/>
      <c r="I108" s="37"/>
      <c r="J108" s="28"/>
      <c r="K108" s="144"/>
    </row>
    <row r="109" spans="1:11">
      <c r="A109" s="107"/>
      <c r="B109" s="29"/>
      <c r="C109" s="28"/>
      <c r="D109" s="28"/>
      <c r="E109" s="28"/>
      <c r="F109" s="28"/>
      <c r="G109" s="28"/>
      <c r="H109" s="28"/>
      <c r="I109" s="28"/>
      <c r="J109" s="28"/>
      <c r="K109" s="154" t="s">
        <v>116</v>
      </c>
    </row>
    <row r="110" spans="1:11">
      <c r="A110" s="107"/>
      <c r="B110" s="29"/>
      <c r="C110" s="28"/>
      <c r="D110" s="28"/>
      <c r="E110" s="28"/>
      <c r="F110" s="28"/>
      <c r="G110" s="28"/>
      <c r="H110" s="28"/>
      <c r="I110" s="28"/>
      <c r="J110" s="28"/>
      <c r="K110" s="154"/>
    </row>
    <row r="111" spans="1:11">
      <c r="A111" s="107"/>
      <c r="B111" s="29" t="s">
        <v>2</v>
      </c>
      <c r="C111" s="28"/>
      <c r="D111" s="30" t="s">
        <v>4</v>
      </c>
      <c r="E111" s="28"/>
      <c r="F111" s="28"/>
      <c r="G111" s="28"/>
      <c r="H111" s="28"/>
      <c r="I111" s="39"/>
      <c r="J111" s="28"/>
      <c r="K111" s="154" t="str">
        <f>K3</f>
        <v>For  the 12 months ended 12/31/2025</v>
      </c>
    </row>
    <row r="112" spans="1:11">
      <c r="A112" s="107"/>
      <c r="B112" s="29"/>
      <c r="C112" s="28"/>
      <c r="D112" s="30" t="s">
        <v>6</v>
      </c>
      <c r="E112" s="28"/>
      <c r="F112" s="28"/>
      <c r="G112" s="28"/>
      <c r="H112" s="28"/>
      <c r="I112" s="28"/>
      <c r="J112" s="28"/>
      <c r="K112" s="28"/>
    </row>
    <row r="113" spans="1:11">
      <c r="A113" s="107"/>
      <c r="B113" s="31"/>
      <c r="C113" s="28"/>
      <c r="D113" s="442" t="str">
        <f>D5</f>
        <v>NextEra Energy Transmission MidAtlantic, Inc.</v>
      </c>
      <c r="E113" s="28"/>
      <c r="F113" s="28"/>
      <c r="G113" s="28"/>
      <c r="H113" s="28"/>
      <c r="I113" s="28"/>
      <c r="J113" s="28"/>
      <c r="K113" s="28"/>
    </row>
    <row r="114" spans="1:11">
      <c r="A114" s="678"/>
      <c r="B114" s="678"/>
      <c r="C114" s="678"/>
      <c r="D114" s="678"/>
      <c r="E114" s="678"/>
      <c r="F114" s="678"/>
      <c r="G114" s="678"/>
      <c r="H114" s="678"/>
      <c r="I114" s="678"/>
      <c r="J114" s="678"/>
      <c r="K114" s="678"/>
    </row>
    <row r="115" spans="1:11">
      <c r="A115" s="107"/>
      <c r="B115" s="113" t="s">
        <v>8</v>
      </c>
      <c r="C115" s="113" t="s">
        <v>9</v>
      </c>
      <c r="D115" s="113" t="s">
        <v>10</v>
      </c>
      <c r="E115" s="28" t="s">
        <v>11</v>
      </c>
      <c r="F115" s="28"/>
      <c r="G115" s="112" t="s">
        <v>12</v>
      </c>
      <c r="H115" s="28"/>
      <c r="I115" s="112" t="s">
        <v>13</v>
      </c>
      <c r="J115" s="28"/>
      <c r="K115" s="28"/>
    </row>
    <row r="116" spans="1:11">
      <c r="A116" s="107" t="s">
        <v>14</v>
      </c>
      <c r="B116" s="29"/>
      <c r="C116" s="136"/>
      <c r="D116" s="28"/>
      <c r="E116" s="28"/>
      <c r="F116" s="28"/>
      <c r="G116" s="107"/>
      <c r="H116" s="28"/>
      <c r="I116" s="137" t="s">
        <v>41</v>
      </c>
      <c r="J116" s="28"/>
      <c r="K116" s="137"/>
    </row>
    <row r="117" spans="1:11" ht="13.5" thickBot="1">
      <c r="A117" s="562" t="s">
        <v>16</v>
      </c>
      <c r="B117" s="29"/>
      <c r="C117" s="138" t="s">
        <v>42</v>
      </c>
      <c r="D117" s="137" t="s">
        <v>43</v>
      </c>
      <c r="E117" s="139"/>
      <c r="F117" s="137" t="s">
        <v>44</v>
      </c>
      <c r="G117" s="31"/>
      <c r="H117" s="139"/>
      <c r="I117" s="107" t="s">
        <v>45</v>
      </c>
      <c r="J117" s="28"/>
      <c r="K117" s="137"/>
    </row>
    <row r="118" spans="1:11">
      <c r="A118" s="107"/>
      <c r="B118" s="29" t="s">
        <v>117</v>
      </c>
      <c r="C118" s="28"/>
      <c r="D118" s="28"/>
      <c r="E118" s="28"/>
      <c r="F118" s="28"/>
      <c r="G118" s="28"/>
      <c r="H118" s="28"/>
      <c r="I118" s="28"/>
      <c r="J118" s="28"/>
      <c r="K118" s="28"/>
    </row>
    <row r="119" spans="1:11">
      <c r="A119" s="107">
        <v>1</v>
      </c>
      <c r="B119" s="29" t="s">
        <v>118</v>
      </c>
      <c r="C119" s="28" t="s">
        <v>119</v>
      </c>
      <c r="D119" s="151">
        <f>'5-P3 Support'!C24</f>
        <v>5077012.5200000014</v>
      </c>
      <c r="E119" s="28"/>
      <c r="F119" s="28" t="s">
        <v>25</v>
      </c>
      <c r="G119" s="26">
        <f>+I191</f>
        <v>1</v>
      </c>
      <c r="H119" s="37"/>
      <c r="I119" s="18">
        <f t="shared" ref="I119:I129" si="1">+G119*D119</f>
        <v>5077012.5200000014</v>
      </c>
      <c r="J119" s="29"/>
      <c r="K119" s="28"/>
    </row>
    <row r="120" spans="1:11">
      <c r="A120" s="122">
        <f>+A119+1</f>
        <v>2</v>
      </c>
      <c r="B120" s="123" t="s">
        <v>120</v>
      </c>
      <c r="C120" s="28" t="s">
        <v>121</v>
      </c>
      <c r="D120" s="151">
        <f>'5-P3 Support'!D24</f>
        <v>0</v>
      </c>
      <c r="E120" s="125"/>
      <c r="F120" s="125" t="str">
        <f>+F119</f>
        <v>TP</v>
      </c>
      <c r="G120" s="115">
        <f>+G119</f>
        <v>1</v>
      </c>
      <c r="H120" s="125"/>
      <c r="I120" s="151">
        <f>+G120*D120</f>
        <v>0</v>
      </c>
      <c r="K120" s="28"/>
    </row>
    <row r="121" spans="1:11">
      <c r="A121" s="122">
        <f t="shared" ref="A121:A167" si="2">+A120+1</f>
        <v>3</v>
      </c>
      <c r="B121" s="29" t="s">
        <v>122</v>
      </c>
      <c r="C121" s="28" t="s">
        <v>123</v>
      </c>
      <c r="D121" s="151">
        <f>'5-P3 Support'!E24</f>
        <v>0</v>
      </c>
      <c r="E121" s="28"/>
      <c r="F121" s="28" t="str">
        <f>+F120</f>
        <v>TP</v>
      </c>
      <c r="G121" s="26">
        <f>+G120</f>
        <v>1</v>
      </c>
      <c r="H121" s="37"/>
      <c r="I121" s="18">
        <f t="shared" si="1"/>
        <v>0</v>
      </c>
      <c r="J121" s="29"/>
      <c r="K121" s="28"/>
    </row>
    <row r="122" spans="1:11">
      <c r="A122" s="122">
        <f t="shared" si="2"/>
        <v>4</v>
      </c>
      <c r="B122" s="29" t="s">
        <v>124</v>
      </c>
      <c r="C122" s="28" t="s">
        <v>125</v>
      </c>
      <c r="D122" s="151">
        <f>'5-P3 Support'!F24</f>
        <v>3607384.48</v>
      </c>
      <c r="E122" s="28"/>
      <c r="F122" s="28" t="s">
        <v>57</v>
      </c>
      <c r="G122" s="26">
        <f>+G74</f>
        <v>1</v>
      </c>
      <c r="H122" s="37"/>
      <c r="I122" s="18">
        <f t="shared" si="1"/>
        <v>3607384.48</v>
      </c>
      <c r="J122" s="28"/>
      <c r="K122" s="28" t="s">
        <v>11</v>
      </c>
    </row>
    <row r="123" spans="1:11">
      <c r="A123" s="122">
        <f t="shared" si="2"/>
        <v>5</v>
      </c>
      <c r="B123" s="29" t="s">
        <v>126</v>
      </c>
      <c r="C123" s="28" t="s">
        <v>127</v>
      </c>
      <c r="D123" s="151">
        <f>'5-P3 Support'!G24</f>
        <v>0</v>
      </c>
      <c r="E123" s="28"/>
      <c r="F123" s="28" t="s">
        <v>57</v>
      </c>
      <c r="G123" s="26">
        <f>+G122</f>
        <v>1</v>
      </c>
      <c r="H123" s="37"/>
      <c r="I123" s="18">
        <f t="shared" si="1"/>
        <v>0</v>
      </c>
      <c r="J123" s="28"/>
      <c r="K123" s="28"/>
    </row>
    <row r="124" spans="1:11">
      <c r="A124" s="122">
        <f t="shared" si="2"/>
        <v>6</v>
      </c>
      <c r="B124" s="29" t="s">
        <v>128</v>
      </c>
      <c r="C124" s="28" t="s">
        <v>129</v>
      </c>
      <c r="D124" s="151">
        <f>'5-P3 Support'!H24</f>
        <v>0</v>
      </c>
      <c r="E124" s="28"/>
      <c r="F124" s="28" t="s">
        <v>57</v>
      </c>
      <c r="G124" s="26">
        <f>+G123</f>
        <v>1</v>
      </c>
      <c r="H124" s="37"/>
      <c r="I124" s="18">
        <f t="shared" si="1"/>
        <v>0</v>
      </c>
      <c r="J124" s="28"/>
      <c r="K124" s="28"/>
    </row>
    <row r="125" spans="1:11" s="14" customFormat="1">
      <c r="A125" s="122" t="s">
        <v>130</v>
      </c>
      <c r="B125" s="29" t="s">
        <v>131</v>
      </c>
      <c r="C125" s="28" t="s">
        <v>132</v>
      </c>
      <c r="D125" s="161">
        <f>+'7 - PBOP'!E16</f>
        <v>0</v>
      </c>
      <c r="E125" s="94"/>
      <c r="F125" s="28" t="s">
        <v>57</v>
      </c>
      <c r="G125" s="26">
        <f>+G124</f>
        <v>1</v>
      </c>
      <c r="H125" s="37"/>
      <c r="I125" s="18">
        <f>+G125*D125</f>
        <v>0</v>
      </c>
      <c r="J125" s="94"/>
      <c r="K125" s="94"/>
    </row>
    <row r="126" spans="1:11">
      <c r="A126" s="122">
        <f>+A124+1</f>
        <v>7</v>
      </c>
      <c r="B126" s="29" t="s">
        <v>133</v>
      </c>
      <c r="C126" s="28" t="s">
        <v>134</v>
      </c>
      <c r="D126" s="151">
        <f>'5-P3 Support'!I24</f>
        <v>0</v>
      </c>
      <c r="E126" s="28"/>
      <c r="F126" s="155" t="s">
        <v>25</v>
      </c>
      <c r="G126" s="115">
        <f>+G119</f>
        <v>1</v>
      </c>
      <c r="H126" s="37"/>
      <c r="I126" s="18">
        <f t="shared" si="1"/>
        <v>0</v>
      </c>
      <c r="J126" s="28"/>
      <c r="K126" s="28"/>
    </row>
    <row r="127" spans="1:11" s="14" customFormat="1">
      <c r="A127" s="122" t="s">
        <v>135</v>
      </c>
      <c r="B127" s="29" t="s">
        <v>136</v>
      </c>
      <c r="C127" s="28" t="s">
        <v>137</v>
      </c>
      <c r="D127" s="161">
        <f>+'7 - PBOP'!E13</f>
        <v>0</v>
      </c>
      <c r="E127" s="94"/>
      <c r="F127" s="28" t="s">
        <v>57</v>
      </c>
      <c r="G127" s="26">
        <f>+G125</f>
        <v>1</v>
      </c>
      <c r="H127" s="37"/>
      <c r="I127" s="18">
        <f>+G127*D127</f>
        <v>0</v>
      </c>
      <c r="J127" s="94"/>
      <c r="K127" s="94"/>
    </row>
    <row r="128" spans="1:11">
      <c r="A128" s="122">
        <f>+A126+1</f>
        <v>8</v>
      </c>
      <c r="B128" s="29" t="s">
        <v>58</v>
      </c>
      <c r="C128" s="28" t="s">
        <v>138</v>
      </c>
      <c r="D128" s="395">
        <v>0</v>
      </c>
      <c r="E128" s="28"/>
      <c r="F128" s="28" t="s">
        <v>60</v>
      </c>
      <c r="G128" s="26">
        <f>+G75</f>
        <v>1</v>
      </c>
      <c r="H128" s="37"/>
      <c r="I128" s="18">
        <f t="shared" si="1"/>
        <v>0</v>
      </c>
      <c r="J128" s="28"/>
      <c r="K128" s="28"/>
    </row>
    <row r="129" spans="1:11">
      <c r="A129" s="122">
        <f t="shared" si="2"/>
        <v>9</v>
      </c>
      <c r="B129" s="29" t="s">
        <v>139</v>
      </c>
      <c r="C129" s="28" t="s">
        <v>140</v>
      </c>
      <c r="D129" s="44">
        <f>'5-P3 Support'!J24</f>
        <v>0</v>
      </c>
      <c r="E129" s="28"/>
      <c r="F129" s="28" t="str">
        <f>+F131</f>
        <v>DA</v>
      </c>
      <c r="G129" s="156">
        <v>1</v>
      </c>
      <c r="H129" s="37"/>
      <c r="I129" s="35">
        <f t="shared" si="1"/>
        <v>0</v>
      </c>
      <c r="J129" s="28"/>
      <c r="K129" s="28"/>
    </row>
    <row r="130" spans="1:11">
      <c r="A130" s="122">
        <f t="shared" si="2"/>
        <v>10</v>
      </c>
      <c r="B130" s="123" t="s">
        <v>141</v>
      </c>
      <c r="C130" s="125"/>
      <c r="D130" s="44"/>
      <c r="E130" s="125"/>
      <c r="F130" s="125"/>
      <c r="G130" s="157"/>
      <c r="H130" s="125"/>
      <c r="I130" s="44"/>
      <c r="K130" s="28"/>
    </row>
    <row r="131" spans="1:11">
      <c r="A131" s="122">
        <f t="shared" si="2"/>
        <v>11</v>
      </c>
      <c r="B131" s="123" t="s">
        <v>142</v>
      </c>
      <c r="C131" s="125" t="s">
        <v>143</v>
      </c>
      <c r="D131" s="44">
        <f>'5-P3 Support'!K24</f>
        <v>0</v>
      </c>
      <c r="E131" s="125"/>
      <c r="F131" s="125" t="s">
        <v>38</v>
      </c>
      <c r="G131" s="158">
        <v>1</v>
      </c>
      <c r="H131" s="125"/>
      <c r="I131" s="44">
        <f>+G131*D131</f>
        <v>0</v>
      </c>
      <c r="K131" s="28"/>
    </row>
    <row r="132" spans="1:11">
      <c r="A132" s="122">
        <f t="shared" si="2"/>
        <v>12</v>
      </c>
      <c r="B132" s="123" t="s">
        <v>144</v>
      </c>
      <c r="C132" s="28" t="s">
        <v>145</v>
      </c>
      <c r="D132" s="44">
        <f>'5-P3 Support'!L24</f>
        <v>0</v>
      </c>
      <c r="E132" s="125"/>
      <c r="F132" s="125" t="s">
        <v>25</v>
      </c>
      <c r="G132" s="158">
        <f>+G119</f>
        <v>1</v>
      </c>
      <c r="H132" s="125"/>
      <c r="I132" s="44">
        <f>+G132*D132</f>
        <v>0</v>
      </c>
      <c r="K132" s="28"/>
    </row>
    <row r="133" spans="1:11" ht="13.5" thickBot="1">
      <c r="A133" s="122">
        <f t="shared" si="2"/>
        <v>13</v>
      </c>
      <c r="B133" s="123" t="s">
        <v>146</v>
      </c>
      <c r="C133" s="125" t="s">
        <v>147</v>
      </c>
      <c r="D133" s="567">
        <f>+D131+D132</f>
        <v>0</v>
      </c>
      <c r="E133" s="125"/>
      <c r="F133" s="125"/>
      <c r="G133" s="158"/>
      <c r="H133" s="125"/>
      <c r="I133" s="567"/>
      <c r="K133" s="28"/>
    </row>
    <row r="134" spans="1:11">
      <c r="A134" s="122">
        <f t="shared" si="2"/>
        <v>14</v>
      </c>
      <c r="B134" s="159" t="s">
        <v>148</v>
      </c>
      <c r="C134" s="95" t="s">
        <v>149</v>
      </c>
      <c r="D134" s="18">
        <f>+D119-D121-D120+D122-D123-D124-D125+D126+D127+D128+D129+D133</f>
        <v>8684397.0000000019</v>
      </c>
      <c r="E134" s="18"/>
      <c r="F134" s="18"/>
      <c r="G134" s="18"/>
      <c r="H134" s="18"/>
      <c r="I134" s="18">
        <f>+I119-I121-I120+I122-I123-I124-I125+I126+I127+I128+I129+I133</f>
        <v>8684397.0000000019</v>
      </c>
      <c r="J134" s="28"/>
      <c r="K134" s="28"/>
    </row>
    <row r="135" spans="1:11">
      <c r="A135" s="122"/>
      <c r="B135" s="31"/>
      <c r="C135" s="28"/>
      <c r="D135" s="18"/>
      <c r="E135" s="18"/>
      <c r="F135" s="18"/>
      <c r="G135" s="18"/>
      <c r="H135" s="18"/>
      <c r="I135" s="18"/>
      <c r="J135" s="28"/>
      <c r="K135" s="28"/>
    </row>
    <row r="136" spans="1:11">
      <c r="A136" s="122">
        <f>+A134+1</f>
        <v>15</v>
      </c>
      <c r="B136" s="29" t="s">
        <v>150</v>
      </c>
      <c r="C136" s="28"/>
      <c r="D136" s="18"/>
      <c r="E136" s="18"/>
      <c r="F136" s="18"/>
      <c r="G136" s="18"/>
      <c r="H136" s="18"/>
      <c r="I136" s="18"/>
      <c r="J136" s="28"/>
      <c r="K136" s="28"/>
    </row>
    <row r="137" spans="1:11">
      <c r="A137" s="122">
        <f t="shared" si="2"/>
        <v>16</v>
      </c>
      <c r="B137" s="29" t="s">
        <v>118</v>
      </c>
      <c r="C137" s="150" t="s">
        <v>151</v>
      </c>
      <c r="D137" s="151">
        <f>'5-P3 Support'!M24</f>
        <v>1927508.5719230834</v>
      </c>
      <c r="E137" s="18"/>
      <c r="F137" s="18" t="s">
        <v>25</v>
      </c>
      <c r="G137" s="18">
        <f>+G98</f>
        <v>1</v>
      </c>
      <c r="H137" s="18"/>
      <c r="I137" s="18">
        <f>+G137*D137</f>
        <v>1927508.5719230834</v>
      </c>
      <c r="J137" s="28"/>
      <c r="K137" s="144"/>
    </row>
    <row r="138" spans="1:11">
      <c r="A138" s="122">
        <f t="shared" si="2"/>
        <v>17</v>
      </c>
      <c r="B138" s="160" t="s">
        <v>55</v>
      </c>
      <c r="C138" s="150" t="s">
        <v>152</v>
      </c>
      <c r="D138" s="151">
        <f>'5-P3 Support'!C45</f>
        <v>0</v>
      </c>
      <c r="E138" s="18"/>
      <c r="F138" s="18" t="s">
        <v>57</v>
      </c>
      <c r="G138" s="18">
        <f>+G122</f>
        <v>1</v>
      </c>
      <c r="H138" s="18"/>
      <c r="I138" s="18">
        <f>+G138*D138</f>
        <v>0</v>
      </c>
      <c r="J138" s="28"/>
      <c r="K138" s="144"/>
    </row>
    <row r="139" spans="1:11">
      <c r="A139" s="122">
        <f t="shared" si="2"/>
        <v>18</v>
      </c>
      <c r="B139" s="29" t="s">
        <v>58</v>
      </c>
      <c r="C139" s="150" t="s">
        <v>153</v>
      </c>
      <c r="D139" s="146">
        <v>0</v>
      </c>
      <c r="E139" s="35"/>
      <c r="F139" s="35" t="s">
        <v>60</v>
      </c>
      <c r="G139" s="35">
        <f>+G128</f>
        <v>1</v>
      </c>
      <c r="H139" s="35"/>
      <c r="I139" s="35">
        <f>+G139*D139</f>
        <v>0</v>
      </c>
      <c r="J139" s="28"/>
      <c r="K139" s="144"/>
    </row>
    <row r="140" spans="1:11" ht="13.5" thickBot="1">
      <c r="A140" s="122">
        <f t="shared" si="2"/>
        <v>19</v>
      </c>
      <c r="B140" s="123" t="s">
        <v>154</v>
      </c>
      <c r="C140" s="28" t="s">
        <v>155</v>
      </c>
      <c r="D140" s="567">
        <f>'5-P3 Support'!D45</f>
        <v>0</v>
      </c>
      <c r="E140" s="18"/>
      <c r="F140" s="18" t="s">
        <v>38</v>
      </c>
      <c r="G140" s="156">
        <v>1</v>
      </c>
      <c r="H140" s="18"/>
      <c r="I140" s="566">
        <f>+G140*D140</f>
        <v>0</v>
      </c>
      <c r="J140" s="28"/>
      <c r="K140" s="144"/>
    </row>
    <row r="141" spans="1:11">
      <c r="A141" s="122">
        <f t="shared" si="2"/>
        <v>20</v>
      </c>
      <c r="B141" s="29" t="s">
        <v>156</v>
      </c>
      <c r="C141" s="28" t="s">
        <v>157</v>
      </c>
      <c r="D141" s="18">
        <f>SUM(D137:D140)</f>
        <v>1927508.5719230834</v>
      </c>
      <c r="E141" s="18"/>
      <c r="F141" s="18"/>
      <c r="G141" s="18"/>
      <c r="H141" s="18"/>
      <c r="I141" s="18">
        <f>SUM(I137:I140)</f>
        <v>1927508.5719230834</v>
      </c>
      <c r="J141" s="28"/>
      <c r="K141" s="28"/>
    </row>
    <row r="142" spans="1:11">
      <c r="A142" s="122"/>
      <c r="B142" s="29"/>
      <c r="C142" s="28"/>
      <c r="D142" s="18"/>
      <c r="E142" s="18"/>
      <c r="F142" s="18"/>
      <c r="G142" s="18"/>
      <c r="H142" s="18"/>
      <c r="I142" s="18"/>
      <c r="J142" s="28"/>
      <c r="K142" s="28"/>
    </row>
    <row r="143" spans="1:11">
      <c r="A143" s="122">
        <f>+A141+1</f>
        <v>21</v>
      </c>
      <c r="B143" s="29" t="s">
        <v>158</v>
      </c>
      <c r="C143" s="31" t="s">
        <v>159</v>
      </c>
      <c r="D143" s="18"/>
      <c r="E143" s="18"/>
      <c r="F143" s="18"/>
      <c r="G143" s="18"/>
      <c r="H143" s="18"/>
      <c r="I143" s="18"/>
      <c r="J143" s="28"/>
      <c r="K143" s="28"/>
    </row>
    <row r="144" spans="1:11">
      <c r="A144" s="122">
        <f t="shared" si="2"/>
        <v>22</v>
      </c>
      <c r="B144" s="29" t="s">
        <v>160</v>
      </c>
      <c r="C144" s="31"/>
      <c r="D144" s="18"/>
      <c r="E144" s="18"/>
      <c r="F144" s="18"/>
      <c r="G144" s="18"/>
      <c r="H144" s="18"/>
      <c r="I144" s="18"/>
      <c r="J144" s="28"/>
      <c r="K144" s="144"/>
    </row>
    <row r="145" spans="1:12">
      <c r="A145" s="122">
        <f t="shared" si="2"/>
        <v>23</v>
      </c>
      <c r="B145" s="29" t="s">
        <v>161</v>
      </c>
      <c r="C145" s="28" t="s">
        <v>162</v>
      </c>
      <c r="D145" s="151">
        <f>'5-P3 Support'!E45</f>
        <v>0</v>
      </c>
      <c r="E145" s="18"/>
      <c r="F145" s="18" t="s">
        <v>57</v>
      </c>
      <c r="G145" s="18">
        <f>+G138</f>
        <v>1</v>
      </c>
      <c r="H145" s="18"/>
      <c r="I145" s="18">
        <f>+G145*D145</f>
        <v>0</v>
      </c>
      <c r="J145" s="28"/>
      <c r="K145" s="144"/>
    </row>
    <row r="146" spans="1:12">
      <c r="A146" s="122">
        <f t="shared" si="2"/>
        <v>24</v>
      </c>
      <c r="B146" s="29" t="s">
        <v>163</v>
      </c>
      <c r="C146" s="28" t="s">
        <v>164</v>
      </c>
      <c r="D146" s="151">
        <f>'5-P3 Support'!F45</f>
        <v>0</v>
      </c>
      <c r="E146" s="18"/>
      <c r="F146" s="18" t="s">
        <v>57</v>
      </c>
      <c r="G146" s="18">
        <f>+G145</f>
        <v>1</v>
      </c>
      <c r="H146" s="18"/>
      <c r="I146" s="18">
        <f>+G146*D146</f>
        <v>0</v>
      </c>
      <c r="J146" s="28"/>
      <c r="K146" s="144"/>
    </row>
    <row r="147" spans="1:12">
      <c r="A147" s="122">
        <f t="shared" si="2"/>
        <v>25</v>
      </c>
      <c r="B147" s="29" t="s">
        <v>165</v>
      </c>
      <c r="C147" s="28" t="s">
        <v>11</v>
      </c>
      <c r="D147" s="18"/>
      <c r="E147" s="18"/>
      <c r="F147" s="18"/>
      <c r="G147" s="18"/>
      <c r="H147" s="18"/>
      <c r="I147" s="18"/>
      <c r="J147" s="28"/>
      <c r="K147" s="144"/>
    </row>
    <row r="148" spans="1:12">
      <c r="A148" s="122">
        <f t="shared" si="2"/>
        <v>26</v>
      </c>
      <c r="B148" s="29" t="s">
        <v>166</v>
      </c>
      <c r="C148" s="28" t="s">
        <v>167</v>
      </c>
      <c r="D148" s="151">
        <f>'5-P3 Support'!G45</f>
        <v>1783302.9600000002</v>
      </c>
      <c r="E148" s="18"/>
      <c r="F148" s="18" t="s">
        <v>111</v>
      </c>
      <c r="G148" s="18">
        <f>+G68</f>
        <v>1</v>
      </c>
      <c r="H148" s="18"/>
      <c r="I148" s="18">
        <f>+G148*D148</f>
        <v>1783302.9600000002</v>
      </c>
      <c r="J148" s="28"/>
      <c r="K148" s="144"/>
    </row>
    <row r="149" spans="1:12">
      <c r="A149" s="122">
        <f t="shared" si="2"/>
        <v>27</v>
      </c>
      <c r="B149" s="29" t="s">
        <v>168</v>
      </c>
      <c r="C149" s="28" t="s">
        <v>169</v>
      </c>
      <c r="D149" s="151">
        <f>'5-P3 Support'!H45</f>
        <v>0</v>
      </c>
      <c r="E149" s="18"/>
      <c r="F149" s="151" t="s">
        <v>50</v>
      </c>
      <c r="G149" s="161" t="s">
        <v>80</v>
      </c>
      <c r="H149" s="18"/>
      <c r="I149" s="18">
        <v>0</v>
      </c>
      <c r="J149" s="28"/>
      <c r="K149" s="144"/>
    </row>
    <row r="150" spans="1:12">
      <c r="A150" s="122">
        <f t="shared" si="2"/>
        <v>28</v>
      </c>
      <c r="B150" s="29" t="s">
        <v>170</v>
      </c>
      <c r="C150" s="28" t="s">
        <v>171</v>
      </c>
      <c r="D150" s="151">
        <f>'5-P3 Support'!I45</f>
        <v>0</v>
      </c>
      <c r="E150" s="18"/>
      <c r="F150" s="18" t="s">
        <v>111</v>
      </c>
      <c r="G150" s="18">
        <f>+G148</f>
        <v>1</v>
      </c>
      <c r="H150" s="18"/>
      <c r="I150" s="18">
        <f>+G150*D150</f>
        <v>0</v>
      </c>
      <c r="J150" s="28"/>
      <c r="K150" s="144"/>
    </row>
    <row r="151" spans="1:12" ht="13.5" thickBot="1">
      <c r="A151" s="122">
        <f t="shared" si="2"/>
        <v>29</v>
      </c>
      <c r="B151" s="29" t="s">
        <v>172</v>
      </c>
      <c r="C151" s="28" t="s">
        <v>173</v>
      </c>
      <c r="D151" s="567">
        <f>'5-P3 Support'!J45</f>
        <v>0</v>
      </c>
      <c r="E151" s="18"/>
      <c r="F151" s="18" t="s">
        <v>111</v>
      </c>
      <c r="G151" s="18">
        <f>+G148</f>
        <v>1</v>
      </c>
      <c r="H151" s="18"/>
      <c r="I151" s="566">
        <f>+G151*D151</f>
        <v>0</v>
      </c>
      <c r="J151" s="28"/>
      <c r="K151" s="144"/>
    </row>
    <row r="152" spans="1:12">
      <c r="A152" s="122">
        <f t="shared" si="2"/>
        <v>30</v>
      </c>
      <c r="B152" s="29" t="s">
        <v>174</v>
      </c>
      <c r="C152" s="28" t="s">
        <v>175</v>
      </c>
      <c r="D152" s="18">
        <f>SUM(D145:D151)</f>
        <v>1783302.9600000002</v>
      </c>
      <c r="E152" s="18"/>
      <c r="F152" s="18"/>
      <c r="G152" s="18"/>
      <c r="H152" s="18"/>
      <c r="I152" s="18">
        <f>SUM(I145:I151)</f>
        <v>1783302.9600000002</v>
      </c>
      <c r="J152" s="28"/>
      <c r="K152" s="28"/>
    </row>
    <row r="153" spans="1:12">
      <c r="A153" s="122"/>
      <c r="B153" s="29"/>
      <c r="C153" s="28"/>
      <c r="D153" s="28"/>
      <c r="E153" s="28"/>
      <c r="F153" s="28"/>
      <c r="G153" s="118"/>
      <c r="H153" s="28"/>
      <c r="I153" s="28"/>
      <c r="J153" s="28"/>
      <c r="L153" s="18"/>
    </row>
    <row r="154" spans="1:12">
      <c r="A154" s="122">
        <f>+A152+1</f>
        <v>31</v>
      </c>
      <c r="B154" s="29" t="s">
        <v>176</v>
      </c>
      <c r="C154" s="28" t="str">
        <f>"(Note "&amp;A$251&amp;")"</f>
        <v>(Note G)</v>
      </c>
      <c r="D154" s="28"/>
      <c r="E154" s="28"/>
      <c r="F154" s="31"/>
      <c r="G154" s="33"/>
      <c r="H154" s="28"/>
      <c r="I154" s="31"/>
      <c r="J154" s="28"/>
      <c r="L154" s="18"/>
    </row>
    <row r="155" spans="1:12">
      <c r="A155" s="122">
        <f t="shared" si="2"/>
        <v>32</v>
      </c>
      <c r="B155" s="34" t="s">
        <v>177</v>
      </c>
      <c r="C155" s="28" t="s">
        <v>178</v>
      </c>
      <c r="D155" s="429">
        <f>IF(D252&gt;0,1-(((1-D253)*(1-D252))/(1-D253*D252*D254)),0)</f>
        <v>0.24870999999999999</v>
      </c>
      <c r="E155" s="28"/>
      <c r="F155" s="31"/>
      <c r="G155" s="33"/>
      <c r="H155" s="28"/>
      <c r="I155" s="31"/>
      <c r="J155" s="28"/>
      <c r="L155" s="18"/>
    </row>
    <row r="156" spans="1:12">
      <c r="A156" s="122">
        <f t="shared" si="2"/>
        <v>33</v>
      </c>
      <c r="B156" s="31" t="s">
        <v>179</v>
      </c>
      <c r="C156" s="28" t="s">
        <v>180</v>
      </c>
      <c r="D156" s="429">
        <f>IF(I210&gt;0,(D155/(1-D155))*(1-I210/I213),0)</f>
        <v>0.23019510997718337</v>
      </c>
      <c r="E156" s="28"/>
      <c r="F156" s="31"/>
      <c r="G156" s="33"/>
      <c r="H156" s="28"/>
      <c r="I156" s="31"/>
      <c r="J156" s="28"/>
      <c r="K156" s="31"/>
    </row>
    <row r="157" spans="1:12">
      <c r="A157" s="122">
        <f t="shared" si="2"/>
        <v>34</v>
      </c>
      <c r="B157" s="29" t="s">
        <v>181</v>
      </c>
      <c r="C157" s="28" t="s">
        <v>182</v>
      </c>
      <c r="D157" s="28"/>
      <c r="E157" s="28"/>
      <c r="F157" s="31"/>
      <c r="G157" s="33"/>
      <c r="H157" s="28"/>
      <c r="I157" s="31"/>
      <c r="J157" s="28"/>
      <c r="K157" s="31"/>
    </row>
    <row r="158" spans="1:12">
      <c r="A158" s="122">
        <f t="shared" si="2"/>
        <v>35</v>
      </c>
      <c r="B158" s="29"/>
      <c r="D158" s="28"/>
      <c r="E158" s="28"/>
      <c r="F158" s="31"/>
      <c r="G158" s="33"/>
      <c r="H158" s="28"/>
      <c r="I158" s="31"/>
      <c r="J158" s="28"/>
      <c r="K158" s="31"/>
    </row>
    <row r="159" spans="1:12">
      <c r="A159" s="122">
        <f>+A158+1</f>
        <v>36</v>
      </c>
      <c r="B159" s="34" t="str">
        <f>"      1 / (1 - T)  =  (T from line "&amp;A155&amp;")"</f>
        <v xml:space="preserve">      1 / (1 - T)  =  (T from line 32)</v>
      </c>
      <c r="C159" s="28"/>
      <c r="D159" s="429">
        <f>1/(1-D155)</f>
        <v>1.3310439377603855</v>
      </c>
      <c r="E159" s="28"/>
      <c r="F159" s="31"/>
      <c r="G159" s="33"/>
      <c r="H159" s="28"/>
      <c r="I159" s="18"/>
      <c r="J159" s="28"/>
      <c r="K159" s="31"/>
    </row>
    <row r="160" spans="1:12">
      <c r="A160" s="122">
        <f t="shared" si="2"/>
        <v>37</v>
      </c>
      <c r="B160" s="29" t="s">
        <v>183</v>
      </c>
      <c r="C160" s="28" t="s">
        <v>184</v>
      </c>
      <c r="D160" s="151">
        <f>-'5-P3 Support'!K45</f>
        <v>0</v>
      </c>
      <c r="E160" s="28"/>
      <c r="F160" s="31"/>
      <c r="G160" s="33"/>
      <c r="H160" s="28"/>
      <c r="I160" s="18"/>
      <c r="J160" s="28"/>
      <c r="K160" s="31"/>
    </row>
    <row r="161" spans="1:11">
      <c r="A161" s="122">
        <f t="shared" si="2"/>
        <v>38</v>
      </c>
      <c r="B161" s="29" t="s">
        <v>185</v>
      </c>
      <c r="C161" s="28" t="s">
        <v>186</v>
      </c>
      <c r="D161" s="151">
        <f>-'5-P3 Support'!L45</f>
        <v>0</v>
      </c>
      <c r="E161" s="28"/>
      <c r="F161" s="31"/>
      <c r="G161" s="35"/>
      <c r="H161" s="28"/>
      <c r="I161" s="18"/>
      <c r="J161" s="28"/>
      <c r="K161" s="31"/>
    </row>
    <row r="162" spans="1:11">
      <c r="A162" s="122">
        <f t="shared" si="2"/>
        <v>39</v>
      </c>
      <c r="B162" s="29" t="s">
        <v>187</v>
      </c>
      <c r="C162" s="28" t="s">
        <v>188</v>
      </c>
      <c r="D162" s="151">
        <f>+'5-P3 Support'!M45</f>
        <v>13749.683639999997</v>
      </c>
      <c r="E162" s="28"/>
      <c r="F162" s="31"/>
      <c r="G162" s="33"/>
      <c r="H162" s="28"/>
      <c r="I162" s="18"/>
      <c r="J162" s="28"/>
      <c r="K162" s="31"/>
    </row>
    <row r="163" spans="1:11">
      <c r="A163" s="122">
        <f t="shared" si="2"/>
        <v>40</v>
      </c>
      <c r="B163" s="34" t="s">
        <v>189</v>
      </c>
      <c r="C163" s="36" t="s">
        <v>190</v>
      </c>
      <c r="D163" s="265">
        <f>+D156*D170</f>
        <v>2262797.3095824327</v>
      </c>
      <c r="E163" s="37"/>
      <c r="F163" s="37" t="s">
        <v>50</v>
      </c>
      <c r="G163" s="38"/>
      <c r="H163" s="37"/>
      <c r="I163" s="265">
        <f>+D156*I170</f>
        <v>2262797.3095824327</v>
      </c>
      <c r="J163" s="28"/>
      <c r="K163" s="116" t="s">
        <v>11</v>
      </c>
    </row>
    <row r="164" spans="1:11">
      <c r="A164" s="122">
        <f t="shared" si="2"/>
        <v>41</v>
      </c>
      <c r="B164" s="31" t="s">
        <v>191</v>
      </c>
      <c r="C164" s="36" t="s">
        <v>192</v>
      </c>
      <c r="D164" s="265">
        <f>+D$159*D160</f>
        <v>0</v>
      </c>
      <c r="E164" s="37"/>
      <c r="F164" s="39" t="s">
        <v>83</v>
      </c>
      <c r="G164" s="26">
        <f>G84</f>
        <v>1</v>
      </c>
      <c r="H164" s="37"/>
      <c r="I164" s="265">
        <f>+G164*D164</f>
        <v>0</v>
      </c>
      <c r="J164" s="28"/>
      <c r="K164" s="116"/>
    </row>
    <row r="165" spans="1:11">
      <c r="A165" s="122">
        <f t="shared" si="2"/>
        <v>42</v>
      </c>
      <c r="B165" s="31" t="s">
        <v>193</v>
      </c>
      <c r="C165" s="36" t="s">
        <v>194</v>
      </c>
      <c r="D165" s="265">
        <f>+D$159*D161</f>
        <v>0</v>
      </c>
      <c r="E165" s="37"/>
      <c r="F165" s="39" t="s">
        <v>83</v>
      </c>
      <c r="G165" s="26">
        <f>G164</f>
        <v>1</v>
      </c>
      <c r="H165" s="37"/>
      <c r="I165" s="265">
        <f>+G165*D165</f>
        <v>0</v>
      </c>
      <c r="J165" s="28"/>
      <c r="K165" s="116"/>
    </row>
    <row r="166" spans="1:11" ht="13.5" thickBot="1">
      <c r="A166" s="122">
        <f t="shared" si="2"/>
        <v>43</v>
      </c>
      <c r="B166" s="31" t="s">
        <v>195</v>
      </c>
      <c r="C166" s="36" t="s">
        <v>196</v>
      </c>
      <c r="D166" s="568">
        <f>+D$159*D162</f>
        <v>18301.433055145149</v>
      </c>
      <c r="E166" s="37"/>
      <c r="F166" s="39" t="s">
        <v>83</v>
      </c>
      <c r="G166" s="26">
        <f>G165</f>
        <v>1</v>
      </c>
      <c r="H166" s="37"/>
      <c r="I166" s="568">
        <f>+G166*D166</f>
        <v>18301.433055145149</v>
      </c>
      <c r="J166" s="28"/>
      <c r="K166" s="116"/>
    </row>
    <row r="167" spans="1:11">
      <c r="A167" s="122">
        <f t="shared" si="2"/>
        <v>44</v>
      </c>
      <c r="B167" s="40" t="s">
        <v>197</v>
      </c>
      <c r="C167" s="31" t="s">
        <v>198</v>
      </c>
      <c r="D167" s="161">
        <f>SUM(D163:D166)</f>
        <v>2281098.7426375779</v>
      </c>
      <c r="E167" s="37"/>
      <c r="F167" s="37" t="s">
        <v>11</v>
      </c>
      <c r="G167" s="38" t="s">
        <v>11</v>
      </c>
      <c r="H167" s="37"/>
      <c r="I167" s="161">
        <f>SUM(I163:I166)</f>
        <v>2281098.7426375779</v>
      </c>
      <c r="J167" s="28"/>
      <c r="K167" s="28"/>
    </row>
    <row r="168" spans="1:11">
      <c r="A168" s="122"/>
      <c r="B168" s="31"/>
      <c r="C168" s="162"/>
      <c r="D168" s="18"/>
      <c r="E168" s="28"/>
      <c r="F168" s="28"/>
      <c r="G168" s="118"/>
      <c r="H168" s="28"/>
      <c r="I168" s="18"/>
      <c r="J168" s="28"/>
      <c r="K168" s="28"/>
    </row>
    <row r="169" spans="1:11">
      <c r="A169" s="122">
        <f>+A167+1</f>
        <v>45</v>
      </c>
      <c r="B169" s="29" t="s">
        <v>199</v>
      </c>
      <c r="J169" s="28"/>
      <c r="K169" s="31"/>
    </row>
    <row r="170" spans="1:11">
      <c r="A170" s="122">
        <v>9</v>
      </c>
      <c r="B170" s="40" t="s">
        <v>200</v>
      </c>
      <c r="C170" s="34" t="s">
        <v>201</v>
      </c>
      <c r="D170" s="18">
        <f>+$I213*D106</f>
        <v>9829910.417326929</v>
      </c>
      <c r="E170" s="37"/>
      <c r="F170" s="37" t="s">
        <v>50</v>
      </c>
      <c r="G170" s="163"/>
      <c r="H170" s="37"/>
      <c r="I170" s="18">
        <f>+$I213*I106</f>
        <v>9829910.417326929</v>
      </c>
      <c r="K170" s="144"/>
    </row>
    <row r="171" spans="1:11">
      <c r="A171" s="122"/>
      <c r="B171" s="29"/>
      <c r="C171" s="31"/>
      <c r="D171" s="35"/>
      <c r="E171" s="37"/>
      <c r="F171" s="37"/>
      <c r="G171" s="163"/>
      <c r="H171" s="37"/>
      <c r="I171" s="35"/>
      <c r="J171" s="28"/>
      <c r="K171" s="144"/>
    </row>
    <row r="172" spans="1:11" ht="13.5" thickBot="1">
      <c r="A172" s="122">
        <f>A170+1</f>
        <v>10</v>
      </c>
      <c r="B172" s="29" t="s">
        <v>202</v>
      </c>
      <c r="C172" s="28" t="s">
        <v>203</v>
      </c>
      <c r="D172" s="164">
        <f>+D170+D167+D152+D141+D134</f>
        <v>24506217.691887595</v>
      </c>
      <c r="E172" s="37"/>
      <c r="F172" s="37"/>
      <c r="G172" s="37"/>
      <c r="H172" s="37"/>
      <c r="I172" s="164">
        <f>+I170+I167+I152+I141+I134</f>
        <v>24506217.691887595</v>
      </c>
      <c r="J172" s="29"/>
      <c r="K172" s="29"/>
    </row>
    <row r="173" spans="1:11" ht="13.5" thickTop="1">
      <c r="A173" s="122"/>
      <c r="B173" s="29"/>
      <c r="C173" s="514"/>
      <c r="D173" s="511"/>
      <c r="E173" s="37"/>
      <c r="F173" s="37"/>
      <c r="G173" s="37"/>
      <c r="H173" s="37"/>
      <c r="I173" s="35"/>
      <c r="J173" s="29"/>
      <c r="K173" s="29"/>
    </row>
    <row r="174" spans="1:11">
      <c r="A174" s="122"/>
      <c r="B174" s="39"/>
      <c r="C174" s="513"/>
      <c r="D174" s="512"/>
      <c r="E174" s="511"/>
      <c r="F174" s="37"/>
      <c r="G174" s="37"/>
      <c r="H174" s="37"/>
      <c r="I174" s="37"/>
      <c r="J174" s="29"/>
      <c r="K174" s="29"/>
    </row>
    <row r="175" spans="1:11">
      <c r="A175" s="107"/>
      <c r="B175" s="31"/>
      <c r="C175" s="31"/>
      <c r="D175" s="512"/>
      <c r="E175" s="512"/>
      <c r="F175" s="31"/>
      <c r="G175" s="31"/>
      <c r="H175" s="31"/>
      <c r="I175" s="31"/>
      <c r="J175" s="28"/>
      <c r="K175" s="154" t="s">
        <v>204</v>
      </c>
    </row>
    <row r="176" spans="1:11">
      <c r="A176" s="107"/>
      <c r="B176" s="31"/>
      <c r="C176" s="515"/>
      <c r="D176" s="516"/>
      <c r="E176" s="512"/>
      <c r="F176" s="31"/>
      <c r="G176" s="31"/>
      <c r="H176" s="31"/>
      <c r="I176" s="31"/>
      <c r="J176" s="28"/>
      <c r="K176" s="28"/>
    </row>
    <row r="177" spans="1:14">
      <c r="A177" s="107"/>
      <c r="B177" s="29" t="s">
        <v>2</v>
      </c>
      <c r="C177" s="31"/>
      <c r="D177" s="130" t="s">
        <v>4</v>
      </c>
      <c r="E177" s="31"/>
      <c r="F177" s="31"/>
      <c r="G177" s="31"/>
      <c r="H177" s="31"/>
      <c r="I177" s="39"/>
      <c r="J177" s="28"/>
      <c r="K177" s="165" t="str">
        <f>K3</f>
        <v>For  the 12 months ended 12/31/2025</v>
      </c>
    </row>
    <row r="178" spans="1:14">
      <c r="A178" s="107"/>
      <c r="B178" s="29"/>
      <c r="C178" s="31"/>
      <c r="D178" s="130" t="s">
        <v>6</v>
      </c>
      <c r="E178" s="31"/>
      <c r="F178" s="31"/>
      <c r="G178" s="31"/>
      <c r="H178" s="31"/>
      <c r="I178" s="31"/>
      <c r="J178" s="28"/>
      <c r="K178" s="28"/>
    </row>
    <row r="179" spans="1:14">
      <c r="A179" s="107"/>
      <c r="B179" s="31"/>
      <c r="C179" s="31"/>
      <c r="D179" s="442" t="str">
        <f>D5</f>
        <v>NextEra Energy Transmission MidAtlantic, Inc.</v>
      </c>
      <c r="E179" s="31"/>
      <c r="F179" s="31"/>
      <c r="G179" s="31"/>
      <c r="H179" s="31"/>
      <c r="I179" s="31"/>
      <c r="J179" s="28"/>
      <c r="K179" s="28"/>
    </row>
    <row r="180" spans="1:14">
      <c r="A180" s="678"/>
      <c r="B180" s="678"/>
      <c r="C180" s="678"/>
      <c r="D180" s="678"/>
      <c r="E180" s="678"/>
      <c r="F180" s="678"/>
      <c r="G180" s="678"/>
      <c r="H180" s="678"/>
      <c r="I180" s="678"/>
      <c r="J180" s="678"/>
      <c r="K180" s="678"/>
    </row>
    <row r="181" spans="1:14" s="14" customFormat="1">
      <c r="A181" s="166"/>
      <c r="B181" s="113" t="s">
        <v>8</v>
      </c>
      <c r="C181" s="113" t="s">
        <v>9</v>
      </c>
      <c r="D181" s="113" t="s">
        <v>10</v>
      </c>
      <c r="E181" s="28" t="s">
        <v>11</v>
      </c>
      <c r="F181" s="28"/>
      <c r="G181" s="112" t="s">
        <v>12</v>
      </c>
      <c r="H181" s="28"/>
      <c r="I181" s="112" t="s">
        <v>13</v>
      </c>
      <c r="J181" s="94"/>
      <c r="K181" s="94"/>
    </row>
    <row r="182" spans="1:14">
      <c r="A182" s="107"/>
      <c r="B182" s="31"/>
      <c r="C182" s="29"/>
      <c r="D182" s="29"/>
      <c r="E182" s="29"/>
      <c r="F182" s="29"/>
      <c r="G182" s="29"/>
      <c r="H182" s="29"/>
      <c r="I182" s="29"/>
      <c r="J182" s="29"/>
      <c r="K182" s="29"/>
    </row>
    <row r="183" spans="1:14">
      <c r="A183" s="107"/>
      <c r="B183" s="31"/>
      <c r="C183" s="140" t="s">
        <v>205</v>
      </c>
      <c r="D183" s="31"/>
      <c r="E183" s="29"/>
      <c r="F183" s="29"/>
      <c r="G183" s="29"/>
      <c r="H183" s="29"/>
      <c r="I183" s="29"/>
      <c r="J183" s="28"/>
      <c r="K183" s="28"/>
    </row>
    <row r="184" spans="1:14">
      <c r="A184" s="107" t="s">
        <v>14</v>
      </c>
      <c r="B184" s="140"/>
      <c r="C184" s="29"/>
      <c r="D184" s="29"/>
      <c r="E184" s="29"/>
      <c r="F184" s="29"/>
      <c r="G184" s="29"/>
      <c r="H184" s="29"/>
      <c r="I184" s="29"/>
      <c r="J184" s="28"/>
      <c r="K184" s="28"/>
    </row>
    <row r="185" spans="1:14" ht="13.5" thickBot="1">
      <c r="A185" s="562" t="s">
        <v>16</v>
      </c>
      <c r="B185" s="27" t="s">
        <v>206</v>
      </c>
      <c r="C185" s="29"/>
      <c r="D185" s="29"/>
      <c r="E185" s="29"/>
      <c r="F185" s="29"/>
      <c r="G185" s="29"/>
      <c r="H185" s="31"/>
      <c r="I185" s="31"/>
      <c r="J185" s="28"/>
      <c r="K185" s="28"/>
    </row>
    <row r="186" spans="1:14">
      <c r="A186" s="107">
        <v>1</v>
      </c>
      <c r="B186" s="27" t="s">
        <v>207</v>
      </c>
      <c r="C186" s="29" t="s">
        <v>208</v>
      </c>
      <c r="D186" s="28"/>
      <c r="E186" s="28"/>
      <c r="F186" s="28"/>
      <c r="G186" s="28"/>
      <c r="H186" s="28"/>
      <c r="I186" s="151">
        <f>D64</f>
        <v>76288908.015384614</v>
      </c>
      <c r="J186" s="28"/>
      <c r="K186" s="28"/>
    </row>
    <row r="187" spans="1:14">
      <c r="A187" s="107">
        <f>+A186+1</f>
        <v>2</v>
      </c>
      <c r="B187" s="27" t="s">
        <v>209</v>
      </c>
      <c r="C187" s="31" t="s">
        <v>210</v>
      </c>
      <c r="D187" s="31"/>
      <c r="E187" s="31"/>
      <c r="F187" s="31"/>
      <c r="G187" s="31"/>
      <c r="H187" s="31"/>
      <c r="I187" s="141">
        <v>0</v>
      </c>
      <c r="J187" s="28"/>
      <c r="K187" s="28"/>
      <c r="M187" s="517"/>
    </row>
    <row r="188" spans="1:14" ht="13.5" thickBot="1">
      <c r="A188" s="107">
        <f>+A187+1</f>
        <v>3</v>
      </c>
      <c r="B188" s="569" t="s">
        <v>211</v>
      </c>
      <c r="C188" s="570" t="s">
        <v>212</v>
      </c>
      <c r="D188" s="39"/>
      <c r="E188" s="28"/>
      <c r="F188" s="28"/>
      <c r="G188" s="30"/>
      <c r="H188" s="28"/>
      <c r="I188" s="565">
        <v>0</v>
      </c>
      <c r="J188" s="28"/>
      <c r="K188" s="28"/>
    </row>
    <row r="189" spans="1:14">
      <c r="A189" s="107">
        <f t="shared" ref="A189:A220" si="3">+A188+1</f>
        <v>4</v>
      </c>
      <c r="B189" s="27" t="s">
        <v>213</v>
      </c>
      <c r="C189" s="29" t="s">
        <v>214</v>
      </c>
      <c r="D189" s="28"/>
      <c r="E189" s="28"/>
      <c r="F189" s="28"/>
      <c r="G189" s="30"/>
      <c r="H189" s="28"/>
      <c r="I189" s="151">
        <f>I186-I187-I188</f>
        <v>76288908.015384614</v>
      </c>
      <c r="J189" s="28"/>
      <c r="K189" s="28"/>
      <c r="M189" s="517"/>
      <c r="N189" s="518"/>
    </row>
    <row r="190" spans="1:14">
      <c r="A190" s="107"/>
      <c r="B190" s="31"/>
      <c r="C190" s="29"/>
      <c r="D190" s="28"/>
      <c r="E190" s="28"/>
      <c r="F190" s="28"/>
      <c r="G190" s="30"/>
      <c r="H190" s="28"/>
      <c r="I190" s="151"/>
      <c r="J190" s="28"/>
      <c r="K190" s="28"/>
      <c r="M190" s="517"/>
      <c r="N190" s="519"/>
    </row>
    <row r="191" spans="1:14">
      <c r="A191" s="107">
        <f>+A189+1</f>
        <v>5</v>
      </c>
      <c r="B191" s="27" t="s">
        <v>215</v>
      </c>
      <c r="C191" s="111" t="s">
        <v>216</v>
      </c>
      <c r="D191" s="111"/>
      <c r="E191" s="111"/>
      <c r="F191" s="111"/>
      <c r="G191" s="112"/>
      <c r="H191" s="28" t="s">
        <v>217</v>
      </c>
      <c r="I191" s="167">
        <f>IF(I186&gt;0,I189/I186,0)</f>
        <v>1</v>
      </c>
      <c r="J191" s="28"/>
      <c r="K191" s="28"/>
      <c r="M191" s="517"/>
      <c r="N191" s="518"/>
    </row>
    <row r="192" spans="1:14">
      <c r="A192" s="107"/>
      <c r="B192" s="31"/>
      <c r="C192" s="31"/>
      <c r="D192" s="31"/>
      <c r="E192" s="31"/>
      <c r="F192" s="31"/>
      <c r="G192" s="31"/>
      <c r="H192" s="31"/>
      <c r="I192" s="31"/>
      <c r="J192" s="31"/>
      <c r="K192" s="31"/>
      <c r="M192" s="517"/>
      <c r="N192" s="518"/>
    </row>
    <row r="193" spans="1:14">
      <c r="A193" s="107">
        <f>+A191+1</f>
        <v>6</v>
      </c>
      <c r="B193" s="29" t="s">
        <v>218</v>
      </c>
      <c r="C193" s="28"/>
      <c r="D193" s="28"/>
      <c r="E193" s="28"/>
      <c r="F193" s="28"/>
      <c r="G193" s="28"/>
      <c r="H193" s="28"/>
      <c r="I193" s="28"/>
      <c r="J193" s="28"/>
      <c r="K193" s="28"/>
      <c r="M193" s="520"/>
      <c r="N193" s="521"/>
    </row>
    <row r="194" spans="1:14" ht="13.5" thickBot="1">
      <c r="A194" s="107"/>
      <c r="B194" s="29"/>
      <c r="C194" s="571" t="s">
        <v>219</v>
      </c>
      <c r="D194" s="572" t="s">
        <v>220</v>
      </c>
      <c r="E194" s="572" t="s">
        <v>25</v>
      </c>
      <c r="F194" s="28"/>
      <c r="G194" s="572" t="s">
        <v>221</v>
      </c>
      <c r="H194" s="28"/>
      <c r="I194" s="28"/>
      <c r="J194" s="28"/>
      <c r="K194" s="28"/>
      <c r="M194" s="517"/>
      <c r="N194" s="518"/>
    </row>
    <row r="195" spans="1:14">
      <c r="A195" s="107">
        <f>+A193+1</f>
        <v>7</v>
      </c>
      <c r="B195" s="29" t="s">
        <v>48</v>
      </c>
      <c r="C195" s="28" t="s">
        <v>222</v>
      </c>
      <c r="D195" s="141">
        <v>0</v>
      </c>
      <c r="E195" s="26">
        <v>1</v>
      </c>
      <c r="F195" s="168"/>
      <c r="G195" s="18">
        <f>D195*E195</f>
        <v>0</v>
      </c>
      <c r="H195" s="37"/>
      <c r="I195" s="37"/>
      <c r="J195" s="28"/>
      <c r="K195" s="28"/>
      <c r="M195" s="517"/>
      <c r="N195" s="522"/>
    </row>
    <row r="196" spans="1:14">
      <c r="A196" s="107">
        <f t="shared" si="3"/>
        <v>8</v>
      </c>
      <c r="B196" s="29" t="s">
        <v>51</v>
      </c>
      <c r="C196" s="28" t="s">
        <v>223</v>
      </c>
      <c r="D196" s="141">
        <v>0</v>
      </c>
      <c r="E196" s="26">
        <f>+I191</f>
        <v>1</v>
      </c>
      <c r="F196" s="168"/>
      <c r="G196" s="18">
        <f>D196*E196</f>
        <v>0</v>
      </c>
      <c r="H196" s="37"/>
      <c r="I196" s="37"/>
      <c r="J196" s="28"/>
      <c r="K196" s="28"/>
      <c r="M196" s="517"/>
      <c r="N196" s="518"/>
    </row>
    <row r="197" spans="1:14">
      <c r="A197" s="107">
        <f t="shared" si="3"/>
        <v>9</v>
      </c>
      <c r="B197" s="29" t="s">
        <v>53</v>
      </c>
      <c r="C197" s="28" t="s">
        <v>224</v>
      </c>
      <c r="D197" s="141">
        <v>0</v>
      </c>
      <c r="E197" s="26">
        <v>1</v>
      </c>
      <c r="F197" s="168"/>
      <c r="G197" s="18">
        <f>D197*E197</f>
        <v>0</v>
      </c>
      <c r="H197" s="37"/>
      <c r="I197" s="169" t="s">
        <v>225</v>
      </c>
      <c r="J197" s="28"/>
      <c r="K197" s="28"/>
      <c r="M197" s="517"/>
      <c r="N197" s="519"/>
    </row>
    <row r="198" spans="1:14" ht="13.5" thickBot="1">
      <c r="A198" s="107">
        <f t="shared" si="3"/>
        <v>10</v>
      </c>
      <c r="B198" s="29" t="s">
        <v>226</v>
      </c>
      <c r="C198" s="28" t="s">
        <v>227</v>
      </c>
      <c r="D198" s="565">
        <v>0</v>
      </c>
      <c r="E198" s="26">
        <v>1</v>
      </c>
      <c r="F198" s="168"/>
      <c r="G198" s="566">
        <f>D198*E198</f>
        <v>0</v>
      </c>
      <c r="H198" s="37"/>
      <c r="I198" s="573" t="s">
        <v>228</v>
      </c>
      <c r="J198" s="28"/>
      <c r="K198" s="28"/>
      <c r="M198" s="517"/>
      <c r="N198" s="518"/>
    </row>
    <row r="199" spans="1:14">
      <c r="A199" s="107">
        <f t="shared" si="3"/>
        <v>11</v>
      </c>
      <c r="B199" s="29" t="s">
        <v>229</v>
      </c>
      <c r="C199" s="28" t="s">
        <v>230</v>
      </c>
      <c r="D199" s="18">
        <f>SUM(D195:D198)</f>
        <v>0</v>
      </c>
      <c r="E199" s="28"/>
      <c r="F199" s="28"/>
      <c r="G199" s="18">
        <f>SUM(G195:G198)</f>
        <v>0</v>
      </c>
      <c r="H199" s="170" t="s">
        <v>231</v>
      </c>
      <c r="I199" s="147">
        <v>1</v>
      </c>
      <c r="J199" s="30" t="s">
        <v>231</v>
      </c>
      <c r="K199" s="28" t="s">
        <v>232</v>
      </c>
      <c r="M199" s="517"/>
      <c r="N199" s="518"/>
    </row>
    <row r="200" spans="1:14">
      <c r="A200" s="107"/>
      <c r="B200" s="29" t="s">
        <v>11</v>
      </c>
      <c r="C200" s="28" t="s">
        <v>11</v>
      </c>
      <c r="D200" s="31"/>
      <c r="E200" s="28"/>
      <c r="F200" s="28"/>
      <c r="G200" s="31"/>
      <c r="H200" s="31"/>
      <c r="I200" s="31"/>
      <c r="J200" s="31"/>
      <c r="K200" s="28"/>
      <c r="M200" s="517"/>
      <c r="N200" s="518"/>
    </row>
    <row r="201" spans="1:14">
      <c r="A201" s="107">
        <f>+A199+1</f>
        <v>12</v>
      </c>
      <c r="B201" s="29" t="s">
        <v>233</v>
      </c>
      <c r="C201" s="28"/>
      <c r="D201" s="136" t="s">
        <v>220</v>
      </c>
      <c r="E201" s="28"/>
      <c r="F201" s="28"/>
      <c r="G201" s="30" t="s">
        <v>234</v>
      </c>
      <c r="H201" s="33"/>
      <c r="I201" s="144" t="s">
        <v>225</v>
      </c>
      <c r="J201" s="28"/>
      <c r="K201" s="28"/>
      <c r="M201" s="517"/>
      <c r="N201" s="518"/>
    </row>
    <row r="202" spans="1:14">
      <c r="A202" s="107">
        <f t="shared" si="3"/>
        <v>13</v>
      </c>
      <c r="B202" s="29" t="s">
        <v>235</v>
      </c>
      <c r="C202" s="28" t="s">
        <v>236</v>
      </c>
      <c r="D202" s="141">
        <f>+D80</f>
        <v>73100946.813076928</v>
      </c>
      <c r="E202" s="28"/>
      <c r="F202" s="31"/>
      <c r="G202" s="107" t="s">
        <v>237</v>
      </c>
      <c r="H202" s="171"/>
      <c r="I202" s="107" t="s">
        <v>238</v>
      </c>
      <c r="J202" s="28"/>
      <c r="K202" s="113" t="s">
        <v>60</v>
      </c>
      <c r="M202" s="517"/>
      <c r="N202" s="518"/>
    </row>
    <row r="203" spans="1:14">
      <c r="A203" s="107">
        <f t="shared" si="3"/>
        <v>14</v>
      </c>
      <c r="B203" s="29" t="s">
        <v>239</v>
      </c>
      <c r="C203" s="28" t="s">
        <v>240</v>
      </c>
      <c r="D203" s="141">
        <v>0</v>
      </c>
      <c r="E203" s="28"/>
      <c r="F203" s="31"/>
      <c r="G203" s="147">
        <f>IF(D205&gt;0,D202/D205,0)</f>
        <v>1</v>
      </c>
      <c r="H203" s="172" t="s">
        <v>241</v>
      </c>
      <c r="I203" s="147">
        <f>I199</f>
        <v>1</v>
      </c>
      <c r="J203" s="172" t="s">
        <v>231</v>
      </c>
      <c r="K203" s="147">
        <f>I203*G203</f>
        <v>1</v>
      </c>
      <c r="M203" s="517"/>
      <c r="N203" s="518"/>
    </row>
    <row r="204" spans="1:14" ht="13.5" thickBot="1">
      <c r="A204" s="107">
        <f t="shared" si="3"/>
        <v>15</v>
      </c>
      <c r="B204" s="570" t="s">
        <v>242</v>
      </c>
      <c r="C204" s="571" t="s">
        <v>243</v>
      </c>
      <c r="D204" s="565">
        <v>0</v>
      </c>
      <c r="E204" s="28"/>
      <c r="F204" s="28"/>
      <c r="G204" s="28" t="s">
        <v>11</v>
      </c>
      <c r="H204" s="28"/>
      <c r="I204" s="28"/>
      <c r="J204" s="28"/>
      <c r="K204" s="28"/>
      <c r="M204" s="517"/>
      <c r="N204" s="518"/>
    </row>
    <row r="205" spans="1:14">
      <c r="A205" s="107">
        <f t="shared" si="3"/>
        <v>16</v>
      </c>
      <c r="B205" s="29" t="s">
        <v>244</v>
      </c>
      <c r="C205" s="28" t="s">
        <v>245</v>
      </c>
      <c r="D205" s="18">
        <f>D202+D203+D204</f>
        <v>73100946.813076928</v>
      </c>
      <c r="E205" s="28"/>
      <c r="F205" s="28"/>
      <c r="G205" s="28"/>
      <c r="H205" s="28"/>
      <c r="I205" s="28"/>
      <c r="J205" s="28"/>
      <c r="K205" s="28"/>
      <c r="M205" s="523"/>
      <c r="N205" s="524"/>
    </row>
    <row r="206" spans="1:14">
      <c r="A206" s="107"/>
      <c r="B206" s="29"/>
      <c r="C206" s="28"/>
      <c r="D206" s="31"/>
      <c r="E206" s="28"/>
      <c r="F206" s="28"/>
      <c r="G206" s="28"/>
      <c r="H206" s="28"/>
      <c r="I206" s="28"/>
      <c r="J206" s="28"/>
      <c r="K206" s="28"/>
      <c r="M206" s="523"/>
      <c r="N206" s="518"/>
    </row>
    <row r="207" spans="1:14" ht="13.5" thickBot="1">
      <c r="A207" s="107">
        <f>+A205+1</f>
        <v>17</v>
      </c>
      <c r="B207" s="27" t="s">
        <v>246</v>
      </c>
      <c r="C207" s="28" t="s">
        <v>247</v>
      </c>
      <c r="D207" s="28"/>
      <c r="E207" s="28"/>
      <c r="F207" s="28"/>
      <c r="G207" s="28"/>
      <c r="H207" s="28"/>
      <c r="I207" s="572" t="s">
        <v>220</v>
      </c>
      <c r="J207" s="28"/>
      <c r="K207" s="28"/>
      <c r="M207" s="525"/>
      <c r="N207" s="521"/>
    </row>
    <row r="208" spans="1:14">
      <c r="A208" s="107">
        <f>+A207+1</f>
        <v>18</v>
      </c>
      <c r="B208" s="29"/>
      <c r="C208" s="28"/>
      <c r="D208" s="28"/>
      <c r="E208" s="28"/>
      <c r="F208" s="28"/>
      <c r="G208" s="30" t="s">
        <v>248</v>
      </c>
      <c r="H208" s="28"/>
      <c r="I208" s="28"/>
      <c r="J208" s="28"/>
      <c r="K208" s="28"/>
    </row>
    <row r="209" spans="1:11" ht="13.5" thickBot="1">
      <c r="A209" s="107">
        <f t="shared" si="3"/>
        <v>19</v>
      </c>
      <c r="B209" s="29"/>
      <c r="C209" s="28"/>
      <c r="D209" s="562" t="s">
        <v>220</v>
      </c>
      <c r="E209" s="562" t="s">
        <v>249</v>
      </c>
      <c r="F209" s="28"/>
      <c r="G209" s="130" t="str">
        <f>"(Notes "&amp;A259&amp;", "&amp;A265&amp;", &amp; "&amp;A266&amp;")"</f>
        <v>(Notes K, Q, &amp; R)</v>
      </c>
      <c r="H209" s="28"/>
      <c r="I209" s="562" t="s">
        <v>250</v>
      </c>
      <c r="J209" s="28"/>
      <c r="K209" s="28"/>
    </row>
    <row r="210" spans="1:11">
      <c r="A210" s="107">
        <f t="shared" si="3"/>
        <v>20</v>
      </c>
      <c r="B210" s="27" t="s">
        <v>251</v>
      </c>
      <c r="C210" s="31" t="s">
        <v>252</v>
      </c>
      <c r="D210" s="174">
        <f>'5-P3 Support'!F85</f>
        <v>39502703.926582411</v>
      </c>
      <c r="E210" s="406">
        <f>+'5-P3 Support'!G85</f>
        <v>0.40000000000000008</v>
      </c>
      <c r="F210" s="115"/>
      <c r="G210" s="429">
        <f>+'5-P3 Support'!I85</f>
        <v>7.5572512354092417E-2</v>
      </c>
      <c r="H210" s="198"/>
      <c r="I210" s="406">
        <f>+'5-P3 Support'!K85</f>
        <v>3.0229004941636974E-2</v>
      </c>
      <c r="J210" s="173" t="s">
        <v>253</v>
      </c>
      <c r="K210" s="31"/>
    </row>
    <row r="211" spans="1:11">
      <c r="A211" s="107">
        <f t="shared" si="3"/>
        <v>21</v>
      </c>
      <c r="B211" s="27" t="s">
        <v>254</v>
      </c>
      <c r="C211" s="31" t="s">
        <v>255</v>
      </c>
      <c r="D211" s="174">
        <f>+'5-P3 Support'!F86</f>
        <v>0</v>
      </c>
      <c r="E211" s="406">
        <f>+'5-P3 Support'!G86</f>
        <v>0</v>
      </c>
      <c r="F211" s="115"/>
      <c r="G211" s="429">
        <f>+'5-P3 Support'!I86</f>
        <v>0</v>
      </c>
      <c r="H211" s="198"/>
      <c r="I211" s="406">
        <f>+'5-P3 Support'!K86</f>
        <v>0</v>
      </c>
      <c r="J211" s="28"/>
      <c r="K211" s="31"/>
    </row>
    <row r="212" spans="1:11" ht="13.5" thickBot="1">
      <c r="A212" s="107">
        <f t="shared" si="3"/>
        <v>22</v>
      </c>
      <c r="B212" s="27" t="s">
        <v>256</v>
      </c>
      <c r="C212" s="31" t="s">
        <v>257</v>
      </c>
      <c r="D212" s="574">
        <f>+'5-P3 Support'!F87</f>
        <v>59254055.889873594</v>
      </c>
      <c r="E212" s="575">
        <f>+'5-P3 Support'!G87</f>
        <v>0.59999999999999987</v>
      </c>
      <c r="F212" s="32"/>
      <c r="G212" s="428">
        <f>+'5-P3 Support'!I87</f>
        <v>0.115</v>
      </c>
      <c r="H212" s="198"/>
      <c r="I212" s="575">
        <f>+'5-P3 Support'!K87</f>
        <v>6.8999999999999992E-2</v>
      </c>
      <c r="J212" s="28"/>
      <c r="K212" s="31"/>
    </row>
    <row r="213" spans="1:11">
      <c r="A213" s="107">
        <f t="shared" si="3"/>
        <v>23</v>
      </c>
      <c r="B213" s="29" t="s">
        <v>258</v>
      </c>
      <c r="C213" s="31" t="s">
        <v>259</v>
      </c>
      <c r="D213" s="174">
        <f>+'5-P3 Support'!F88</f>
        <v>98756759.816456005</v>
      </c>
      <c r="E213" s="28" t="s">
        <v>11</v>
      </c>
      <c r="F213" s="28"/>
      <c r="G213" s="198"/>
      <c r="H213" s="198"/>
      <c r="I213" s="406">
        <f>+'5-P3 Support'!K88</f>
        <v>9.9229004941636972E-2</v>
      </c>
      <c r="J213" s="173" t="s">
        <v>260</v>
      </c>
      <c r="K213" s="31"/>
    </row>
    <row r="214" spans="1:11">
      <c r="A214" s="107"/>
      <c r="B214" s="31"/>
      <c r="C214" s="31"/>
      <c r="D214" s="31"/>
      <c r="E214" s="28"/>
      <c r="F214" s="28"/>
      <c r="G214" s="28"/>
      <c r="H214" s="28"/>
      <c r="I214" s="198"/>
      <c r="J214" s="31"/>
      <c r="K214" s="31"/>
    </row>
    <row r="215" spans="1:11">
      <c r="A215" s="107">
        <f>+A213+1</f>
        <v>24</v>
      </c>
      <c r="B215" s="27" t="s">
        <v>261</v>
      </c>
      <c r="C215" s="27"/>
      <c r="D215" s="27"/>
      <c r="E215" s="27"/>
      <c r="F215" s="27"/>
      <c r="G215" s="27"/>
      <c r="H215" s="27"/>
      <c r="I215" s="27"/>
      <c r="J215" s="27"/>
      <c r="K215" s="27"/>
    </row>
    <row r="216" spans="1:11" ht="13.5" thickBot="1">
      <c r="A216" s="107"/>
      <c r="B216" s="27"/>
      <c r="C216" s="27"/>
      <c r="D216" s="27"/>
      <c r="E216" s="27"/>
      <c r="F216" s="27"/>
      <c r="G216" s="27"/>
      <c r="H216" s="27"/>
      <c r="I216" s="562"/>
      <c r="J216" s="107"/>
      <c r="K216" s="31"/>
    </row>
    <row r="217" spans="1:11">
      <c r="A217" s="107">
        <f>+A215+1</f>
        <v>25</v>
      </c>
      <c r="B217" s="27" t="s">
        <v>262</v>
      </c>
      <c r="C217" s="27" t="s">
        <v>263</v>
      </c>
      <c r="D217" s="27"/>
      <c r="E217" s="27"/>
      <c r="F217" s="27"/>
      <c r="G217" s="576" t="s">
        <v>11</v>
      </c>
      <c r="H217" s="577"/>
      <c r="I217" s="175"/>
      <c r="J217" s="175"/>
      <c r="K217" s="31"/>
    </row>
    <row r="218" spans="1:11">
      <c r="A218" s="107">
        <f t="shared" si="3"/>
        <v>26</v>
      </c>
      <c r="B218" s="31" t="s">
        <v>264</v>
      </c>
      <c r="C218" s="27" t="s">
        <v>265</v>
      </c>
      <c r="D218" s="27"/>
      <c r="E218" s="31"/>
      <c r="F218" s="27"/>
      <c r="G218" s="31"/>
      <c r="H218" s="577"/>
      <c r="I218" s="176">
        <v>0</v>
      </c>
      <c r="J218" s="177"/>
      <c r="K218" s="31"/>
    </row>
    <row r="219" spans="1:11" ht="13.5" thickBot="1">
      <c r="A219" s="107">
        <f t="shared" si="3"/>
        <v>27</v>
      </c>
      <c r="B219" s="578" t="s">
        <v>266</v>
      </c>
      <c r="C219" s="28" t="s">
        <v>267</v>
      </c>
      <c r="D219" s="31"/>
      <c r="E219" s="27"/>
      <c r="F219" s="27"/>
      <c r="G219" s="27"/>
      <c r="H219" s="27"/>
      <c r="I219" s="579">
        <f>+'5-P3 Support'!C68</f>
        <v>0</v>
      </c>
      <c r="J219" s="178"/>
      <c r="K219" s="31"/>
    </row>
    <row r="220" spans="1:11">
      <c r="A220" s="107">
        <f t="shared" si="3"/>
        <v>28</v>
      </c>
      <c r="B220" s="31" t="s">
        <v>268</v>
      </c>
      <c r="C220" s="29"/>
      <c r="D220" s="31"/>
      <c r="E220" s="27"/>
      <c r="F220" s="27"/>
      <c r="G220" s="27"/>
      <c r="H220" s="27"/>
      <c r="I220" s="179">
        <f>I218-I219</f>
        <v>0</v>
      </c>
      <c r="J220" s="177"/>
      <c r="K220" s="31"/>
    </row>
    <row r="221" spans="1:11">
      <c r="A221" s="107"/>
      <c r="B221" s="31"/>
      <c r="C221" s="29"/>
      <c r="D221" s="31"/>
      <c r="E221" s="27"/>
      <c r="F221" s="27"/>
      <c r="G221" s="27"/>
      <c r="H221" s="27"/>
      <c r="I221" s="180"/>
      <c r="J221" s="175"/>
      <c r="K221" s="31"/>
    </row>
    <row r="222" spans="1:11">
      <c r="A222" s="107">
        <f>+A220+1</f>
        <v>29</v>
      </c>
      <c r="B222" s="27" t="s">
        <v>269</v>
      </c>
      <c r="C222" s="29" t="s">
        <v>270</v>
      </c>
      <c r="D222" s="31"/>
      <c r="E222" s="27"/>
      <c r="F222" s="27"/>
      <c r="G222" s="181"/>
      <c r="H222" s="27"/>
      <c r="I222" s="182">
        <f>+'5-P3 Support'!D68</f>
        <v>0</v>
      </c>
      <c r="J222" s="175"/>
      <c r="K222" s="183"/>
    </row>
    <row r="223" spans="1:11">
      <c r="A223" s="107"/>
      <c r="B223" s="31"/>
      <c r="C223" s="27"/>
      <c r="D223" s="27"/>
      <c r="E223" s="27"/>
      <c r="F223" s="27"/>
      <c r="G223" s="27"/>
      <c r="H223" s="27"/>
      <c r="I223" s="180"/>
      <c r="J223" s="175"/>
      <c r="K223" s="183"/>
    </row>
    <row r="224" spans="1:11">
      <c r="A224" s="107">
        <f>+A222+1</f>
        <v>30</v>
      </c>
      <c r="B224" s="27" t="s">
        <v>271</v>
      </c>
      <c r="C224" s="27" t="s">
        <v>272</v>
      </c>
      <c r="D224" s="27"/>
      <c r="E224" s="27"/>
      <c r="F224" s="27"/>
      <c r="G224" s="27"/>
      <c r="H224" s="27"/>
      <c r="I224" s="31"/>
      <c r="J224" s="31"/>
      <c r="K224" s="183"/>
    </row>
    <row r="225" spans="1:11">
      <c r="A225" s="107">
        <f>+A224+1</f>
        <v>31</v>
      </c>
      <c r="B225" s="184" t="s">
        <v>273</v>
      </c>
      <c r="C225" s="28" t="s">
        <v>274</v>
      </c>
      <c r="D225" s="28"/>
      <c r="E225" s="28"/>
      <c r="F225" s="28"/>
      <c r="G225" s="28"/>
      <c r="H225" s="28"/>
      <c r="I225" s="185">
        <f>+'5-P3 Support'!E68</f>
        <v>0</v>
      </c>
      <c r="J225" s="186"/>
      <c r="K225" s="183"/>
    </row>
    <row r="226" spans="1:11" ht="26.25" thickBot="1">
      <c r="A226" s="107">
        <f>+A225+1</f>
        <v>32</v>
      </c>
      <c r="B226" s="580" t="s">
        <v>275</v>
      </c>
      <c r="C226" s="28" t="s">
        <v>276</v>
      </c>
      <c r="D226" s="27"/>
      <c r="E226" s="27"/>
      <c r="F226" s="27"/>
      <c r="G226" s="27"/>
      <c r="H226" s="27"/>
      <c r="I226" s="581">
        <f>+'5-P3 Support'!F68</f>
        <v>0</v>
      </c>
      <c r="J226" s="31"/>
      <c r="K226" s="187"/>
    </row>
    <row r="227" spans="1:11">
      <c r="A227" s="107">
        <f>+A226+1</f>
        <v>33</v>
      </c>
      <c r="B227" s="39" t="s">
        <v>268</v>
      </c>
      <c r="C227" s="107"/>
      <c r="D227" s="28"/>
      <c r="E227" s="28"/>
      <c r="F227" s="28"/>
      <c r="G227" s="28"/>
      <c r="H227" s="27"/>
      <c r="I227" s="188">
        <f>+I225-I226</f>
        <v>0</v>
      </c>
      <c r="J227" s="186"/>
      <c r="K227" s="186"/>
    </row>
    <row r="228" spans="1:11">
      <c r="A228" s="107"/>
      <c r="B228" s="39"/>
      <c r="C228" s="107"/>
      <c r="D228" s="28"/>
      <c r="E228" s="28"/>
      <c r="F228" s="28"/>
      <c r="G228" s="28"/>
      <c r="H228" s="27"/>
      <c r="I228" s="188"/>
      <c r="J228" s="186"/>
      <c r="K228" s="186"/>
    </row>
    <row r="229" spans="1:11">
      <c r="A229" s="107"/>
      <c r="D229" s="28"/>
      <c r="E229" s="28"/>
      <c r="F229" s="28"/>
      <c r="G229" s="28"/>
      <c r="H229" s="27"/>
      <c r="I229" s="188"/>
      <c r="J229" s="186"/>
      <c r="K229" s="186"/>
    </row>
    <row r="230" spans="1:11">
      <c r="A230" s="107"/>
      <c r="B230" s="39"/>
      <c r="C230" s="107"/>
      <c r="D230" s="28"/>
      <c r="E230" s="28"/>
      <c r="F230" s="28"/>
      <c r="G230" s="28"/>
      <c r="H230" s="27"/>
      <c r="I230" s="188"/>
      <c r="J230" s="186"/>
      <c r="K230" s="186"/>
    </row>
    <row r="231" spans="1:11">
      <c r="A231" s="107"/>
      <c r="B231" s="39"/>
      <c r="C231" s="107"/>
      <c r="D231" s="28"/>
      <c r="E231" s="28"/>
      <c r="F231" s="28"/>
      <c r="G231" s="28"/>
      <c r="H231" s="27"/>
      <c r="I231" s="188"/>
      <c r="J231" s="186"/>
      <c r="K231" s="186"/>
    </row>
    <row r="232" spans="1:11">
      <c r="A232" s="107"/>
      <c r="B232" s="189"/>
      <c r="C232" s="107"/>
      <c r="D232" s="28"/>
      <c r="E232" s="28"/>
      <c r="F232" s="28"/>
      <c r="G232" s="28"/>
      <c r="H232" s="27"/>
      <c r="I232" s="180"/>
      <c r="J232" s="186"/>
      <c r="K232" s="186"/>
    </row>
    <row r="233" spans="1:11">
      <c r="A233" s="107"/>
      <c r="B233" s="189"/>
      <c r="C233" s="107"/>
      <c r="D233" s="28"/>
      <c r="E233" s="28"/>
      <c r="F233" s="28"/>
      <c r="G233" s="28"/>
      <c r="H233" s="27"/>
      <c r="I233" s="180"/>
      <c r="J233" s="186"/>
      <c r="K233" s="186"/>
    </row>
    <row r="234" spans="1:11">
      <c r="A234" s="107"/>
      <c r="B234" s="29"/>
      <c r="C234" s="29"/>
      <c r="D234" s="28"/>
      <c r="E234" s="28"/>
      <c r="F234" s="28"/>
      <c r="G234" s="28"/>
      <c r="H234" s="29"/>
      <c r="I234" s="28"/>
      <c r="J234" s="29"/>
      <c r="K234" s="154" t="s">
        <v>277</v>
      </c>
    </row>
    <row r="235" spans="1:11">
      <c r="A235" s="107"/>
      <c r="B235" s="29"/>
      <c r="C235" s="29"/>
      <c r="D235" s="28"/>
      <c r="E235" s="28"/>
      <c r="F235" s="28"/>
      <c r="G235" s="28"/>
      <c r="H235" s="29"/>
      <c r="I235" s="28"/>
      <c r="J235" s="29"/>
      <c r="K235" s="28"/>
    </row>
    <row r="236" spans="1:11">
      <c r="A236" s="107"/>
      <c r="B236" s="189" t="s">
        <v>2</v>
      </c>
      <c r="C236" s="107"/>
      <c r="D236" s="30" t="s">
        <v>4</v>
      </c>
      <c r="E236" s="28"/>
      <c r="F236" s="28"/>
      <c r="G236" s="28"/>
      <c r="H236" s="27"/>
      <c r="I236" s="39"/>
      <c r="J236" s="175"/>
      <c r="K236" s="190" t="str">
        <f>K3</f>
        <v>For  the 12 months ended 12/31/2025</v>
      </c>
    </row>
    <row r="237" spans="1:11">
      <c r="A237" s="107"/>
      <c r="B237" s="189"/>
      <c r="C237" s="107"/>
      <c r="D237" s="30" t="s">
        <v>6</v>
      </c>
      <c r="E237" s="28"/>
      <c r="F237" s="28"/>
      <c r="G237" s="28"/>
      <c r="H237" s="27"/>
      <c r="I237" s="191"/>
      <c r="J237" s="175"/>
      <c r="K237" s="186"/>
    </row>
    <row r="238" spans="1:11">
      <c r="A238" s="107"/>
      <c r="B238" s="189"/>
      <c r="C238" s="107"/>
      <c r="D238" s="442" t="str">
        <f>D5</f>
        <v>NextEra Energy Transmission MidAtlantic, Inc.</v>
      </c>
      <c r="E238" s="28"/>
      <c r="F238" s="28"/>
      <c r="G238" s="28"/>
      <c r="H238" s="27"/>
      <c r="I238" s="191"/>
      <c r="J238" s="175"/>
      <c r="K238" s="186"/>
    </row>
    <row r="239" spans="1:11">
      <c r="A239" s="678"/>
      <c r="B239" s="678"/>
      <c r="C239" s="678"/>
      <c r="D239" s="678"/>
      <c r="E239" s="678"/>
      <c r="F239" s="678"/>
      <c r="G239" s="678"/>
      <c r="H239" s="678"/>
      <c r="I239" s="678"/>
      <c r="J239" s="678"/>
      <c r="K239" s="678"/>
    </row>
    <row r="240" spans="1:11">
      <c r="A240" s="107"/>
      <c r="B240" s="189"/>
      <c r="C240" s="107"/>
      <c r="D240" s="28"/>
      <c r="E240" s="28"/>
      <c r="F240" s="28"/>
      <c r="G240" s="28"/>
      <c r="H240" s="27"/>
      <c r="I240" s="191"/>
      <c r="J240" s="175"/>
      <c r="K240" s="186"/>
    </row>
    <row r="241" spans="1:13">
      <c r="A241" s="107"/>
      <c r="B241" s="27" t="s">
        <v>278</v>
      </c>
      <c r="C241" s="107"/>
      <c r="D241" s="28"/>
      <c r="E241" s="28"/>
      <c r="F241" s="28"/>
      <c r="G241" s="28"/>
      <c r="H241" s="27"/>
      <c r="I241" s="28"/>
      <c r="J241" s="27"/>
      <c r="K241" s="28"/>
    </row>
    <row r="242" spans="1:13">
      <c r="A242" s="107"/>
      <c r="B242" s="192" t="s">
        <v>279</v>
      </c>
      <c r="C242" s="107"/>
      <c r="D242" s="28"/>
      <c r="E242" s="28"/>
      <c r="F242" s="28"/>
      <c r="G242" s="28"/>
      <c r="H242" s="27"/>
      <c r="I242" s="28"/>
      <c r="J242" s="27"/>
      <c r="K242" s="28"/>
    </row>
    <row r="243" spans="1:13">
      <c r="A243" s="107" t="s">
        <v>280</v>
      </c>
      <c r="B243" s="27"/>
      <c r="C243" s="27"/>
      <c r="D243" s="28"/>
      <c r="E243" s="28"/>
      <c r="F243" s="28"/>
      <c r="G243" s="28"/>
      <c r="H243" s="27"/>
      <c r="I243" s="28"/>
      <c r="J243" s="27"/>
      <c r="K243" s="28"/>
    </row>
    <row r="244" spans="1:13" ht="13.5" thickBot="1">
      <c r="A244" s="562" t="s">
        <v>281</v>
      </c>
      <c r="B244" s="679"/>
      <c r="C244" s="679"/>
      <c r="D244" s="193"/>
      <c r="E244" s="193"/>
      <c r="F244" s="193"/>
      <c r="G244" s="193"/>
      <c r="H244" s="194"/>
      <c r="I244" s="193"/>
      <c r="J244" s="194"/>
      <c r="K244" s="193"/>
      <c r="M244" s="501"/>
    </row>
    <row r="245" spans="1:13">
      <c r="A245" s="194" t="s">
        <v>282</v>
      </c>
      <c r="B245" s="668" t="s">
        <v>283</v>
      </c>
      <c r="C245" s="668"/>
      <c r="D245" s="668"/>
      <c r="E245" s="668"/>
      <c r="F245" s="668"/>
      <c r="G245" s="668"/>
      <c r="H245" s="668"/>
      <c r="I245" s="668"/>
      <c r="J245" s="668"/>
      <c r="K245" s="668"/>
    </row>
    <row r="246" spans="1:13" ht="29.25" customHeight="1">
      <c r="A246" s="194" t="s">
        <v>284</v>
      </c>
      <c r="B246" s="668" t="s">
        <v>285</v>
      </c>
      <c r="C246" s="668"/>
      <c r="D246" s="668"/>
      <c r="E246" s="668"/>
      <c r="F246" s="668"/>
      <c r="G246" s="668"/>
      <c r="H246" s="668"/>
      <c r="I246" s="668"/>
      <c r="J246" s="668"/>
      <c r="K246" s="668"/>
    </row>
    <row r="247" spans="1:13">
      <c r="A247" s="194" t="s">
        <v>286</v>
      </c>
      <c r="B247" s="668" t="s">
        <v>287</v>
      </c>
      <c r="C247" s="668"/>
      <c r="D247" s="668"/>
      <c r="E247" s="668"/>
      <c r="F247" s="668"/>
      <c r="G247" s="668"/>
      <c r="H247" s="668"/>
      <c r="I247" s="668"/>
      <c r="J247" s="668"/>
      <c r="K247" s="668"/>
    </row>
    <row r="248" spans="1:13" ht="29.25" customHeight="1">
      <c r="A248" s="194" t="s">
        <v>288</v>
      </c>
      <c r="B248" s="668" t="s">
        <v>289</v>
      </c>
      <c r="C248" s="668"/>
      <c r="D248" s="668"/>
      <c r="E248" s="668"/>
      <c r="F248" s="668"/>
      <c r="G248" s="668"/>
      <c r="H248" s="668"/>
      <c r="I248" s="668"/>
      <c r="J248" s="668"/>
      <c r="K248" s="668"/>
    </row>
    <row r="249" spans="1:13" ht="29.25" customHeight="1">
      <c r="A249" s="194" t="s">
        <v>290</v>
      </c>
      <c r="B249" s="668" t="s">
        <v>291</v>
      </c>
      <c r="C249" s="668"/>
      <c r="D249" s="668"/>
      <c r="E249" s="668"/>
      <c r="F249" s="668"/>
      <c r="G249" s="668"/>
      <c r="H249" s="668"/>
      <c r="I249" s="668"/>
      <c r="J249" s="668"/>
      <c r="K249" s="668"/>
    </row>
    <row r="250" spans="1:13" ht="30" customHeight="1">
      <c r="A250" s="194" t="s">
        <v>292</v>
      </c>
      <c r="B250" s="668" t="s">
        <v>293</v>
      </c>
      <c r="C250" s="668"/>
      <c r="D250" s="668"/>
      <c r="E250" s="668"/>
      <c r="F250" s="668"/>
      <c r="G250" s="668"/>
      <c r="H250" s="668"/>
      <c r="I250" s="668"/>
      <c r="J250" s="668"/>
      <c r="K250" s="668"/>
    </row>
    <row r="251" spans="1:13" ht="45.75" customHeight="1">
      <c r="A251" s="668" t="s">
        <v>294</v>
      </c>
      <c r="B251" s="668" t="s">
        <v>295</v>
      </c>
      <c r="C251" s="668"/>
      <c r="D251" s="668"/>
      <c r="E251" s="668"/>
      <c r="F251" s="668"/>
      <c r="G251" s="668"/>
      <c r="H251" s="668"/>
      <c r="I251" s="668"/>
      <c r="J251" s="668"/>
      <c r="K251" s="668"/>
      <c r="L251" s="502"/>
    </row>
    <row r="252" spans="1:13">
      <c r="A252" s="668"/>
      <c r="B252" s="250" t="s">
        <v>296</v>
      </c>
      <c r="C252" s="250" t="s">
        <v>297</v>
      </c>
      <c r="D252" s="529">
        <v>0.21</v>
      </c>
      <c r="E252" s="250"/>
      <c r="F252" s="250"/>
      <c r="G252" s="250"/>
      <c r="H252" s="250"/>
      <c r="I252" s="250"/>
      <c r="J252" s="250"/>
      <c r="K252" s="250"/>
    </row>
    <row r="253" spans="1:13">
      <c r="A253" s="668"/>
      <c r="B253" s="250"/>
      <c r="C253" s="250" t="s">
        <v>298</v>
      </c>
      <c r="D253" s="531">
        <v>4.9000000000000002E-2</v>
      </c>
      <c r="E253" s="250" t="s">
        <v>299</v>
      </c>
      <c r="F253" s="250"/>
      <c r="G253" s="250"/>
      <c r="H253" s="250"/>
      <c r="I253" s="250"/>
      <c r="J253" s="250"/>
      <c r="K253" s="250"/>
    </row>
    <row r="254" spans="1:13">
      <c r="A254" s="668"/>
      <c r="B254" s="250"/>
      <c r="C254" s="250" t="s">
        <v>300</v>
      </c>
      <c r="D254" s="530">
        <v>0</v>
      </c>
      <c r="E254" s="250" t="s">
        <v>301</v>
      </c>
      <c r="F254" s="250"/>
      <c r="G254" s="250"/>
      <c r="H254" s="250"/>
      <c r="I254" s="250"/>
      <c r="J254" s="250"/>
      <c r="K254" s="250"/>
    </row>
    <row r="255" spans="1:13">
      <c r="A255" s="668"/>
      <c r="B255" s="250"/>
      <c r="C255" s="250"/>
      <c r="D255" s="402"/>
      <c r="E255" s="250"/>
      <c r="F255" s="250"/>
      <c r="G255" s="250"/>
      <c r="H255" s="250"/>
      <c r="I255" s="250"/>
      <c r="J255" s="250"/>
      <c r="K255" s="250"/>
    </row>
    <row r="256" spans="1:13" ht="19.5" customHeight="1">
      <c r="A256" s="194" t="s">
        <v>302</v>
      </c>
      <c r="B256" s="668" t="s">
        <v>303</v>
      </c>
      <c r="C256" s="668"/>
      <c r="D256" s="668"/>
      <c r="E256" s="668"/>
      <c r="F256" s="668"/>
      <c r="G256" s="668"/>
      <c r="H256" s="668"/>
      <c r="I256" s="668"/>
      <c r="J256" s="668"/>
      <c r="K256" s="668"/>
    </row>
    <row r="257" spans="1:14" ht="31.5" customHeight="1">
      <c r="A257" s="194" t="s">
        <v>304</v>
      </c>
      <c r="B257" s="668" t="s">
        <v>305</v>
      </c>
      <c r="C257" s="668"/>
      <c r="D257" s="668"/>
      <c r="E257" s="668"/>
      <c r="F257" s="668"/>
      <c r="G257" s="668"/>
      <c r="H257" s="668"/>
      <c r="I257" s="668"/>
      <c r="J257" s="668"/>
      <c r="K257" s="668"/>
    </row>
    <row r="258" spans="1:14">
      <c r="A258" s="194" t="s">
        <v>306</v>
      </c>
      <c r="B258" s="668" t="s">
        <v>307</v>
      </c>
      <c r="C258" s="668"/>
      <c r="D258" s="668"/>
      <c r="E258" s="668"/>
      <c r="F258" s="668"/>
      <c r="G258" s="668"/>
      <c r="H258" s="668"/>
      <c r="I258" s="668"/>
      <c r="J258" s="668"/>
      <c r="K258" s="668"/>
    </row>
    <row r="259" spans="1:14">
      <c r="A259" s="194" t="s">
        <v>308</v>
      </c>
      <c r="B259" s="668" t="s">
        <v>309</v>
      </c>
      <c r="C259" s="668"/>
      <c r="D259" s="668"/>
      <c r="E259" s="668"/>
      <c r="F259" s="668"/>
      <c r="G259" s="668"/>
      <c r="H259" s="668"/>
      <c r="I259" s="668"/>
      <c r="J259" s="668"/>
      <c r="K259" s="668"/>
    </row>
    <row r="260" spans="1:14">
      <c r="A260" s="194" t="s">
        <v>310</v>
      </c>
      <c r="B260" s="668" t="s">
        <v>311</v>
      </c>
      <c r="C260" s="668"/>
      <c r="D260" s="668"/>
      <c r="E260" s="668"/>
      <c r="F260" s="668"/>
      <c r="G260" s="668"/>
      <c r="H260" s="668"/>
      <c r="I260" s="668"/>
      <c r="J260" s="668"/>
      <c r="K260" s="668"/>
    </row>
    <row r="261" spans="1:14">
      <c r="A261" s="194" t="s">
        <v>312</v>
      </c>
      <c r="B261" s="668" t="s">
        <v>313</v>
      </c>
      <c r="C261" s="668"/>
      <c r="D261" s="668"/>
      <c r="E261" s="668"/>
      <c r="F261" s="668"/>
      <c r="G261" s="668"/>
      <c r="H261" s="668"/>
      <c r="I261" s="668"/>
      <c r="J261" s="668"/>
      <c r="K261" s="668"/>
    </row>
    <row r="262" spans="1:14">
      <c r="A262" s="194" t="s">
        <v>314</v>
      </c>
      <c r="B262" s="668" t="s">
        <v>315</v>
      </c>
      <c r="C262" s="668"/>
      <c r="D262" s="668"/>
      <c r="E262" s="668"/>
      <c r="F262" s="668"/>
      <c r="G262" s="668"/>
      <c r="H262" s="668"/>
      <c r="I262" s="668"/>
      <c r="J262" s="668"/>
      <c r="K262" s="668"/>
    </row>
    <row r="263" spans="1:14" ht="33.75" customHeight="1">
      <c r="A263" s="194" t="s">
        <v>316</v>
      </c>
      <c r="B263" s="673" t="s">
        <v>317</v>
      </c>
      <c r="C263" s="674"/>
      <c r="D263" s="674"/>
      <c r="E263" s="674"/>
      <c r="F263" s="674"/>
      <c r="G263" s="674"/>
      <c r="H263" s="674"/>
      <c r="I263" s="674"/>
      <c r="J263" s="674"/>
      <c r="K263" s="674"/>
    </row>
    <row r="264" spans="1:14">
      <c r="A264" s="251" t="s">
        <v>318</v>
      </c>
      <c r="B264" s="675" t="s">
        <v>283</v>
      </c>
      <c r="C264" s="676"/>
      <c r="D264" s="676"/>
      <c r="E264" s="676"/>
      <c r="F264" s="676"/>
      <c r="G264" s="676"/>
      <c r="H264" s="676"/>
      <c r="I264" s="676"/>
      <c r="J264" s="676"/>
      <c r="K264" s="676"/>
    </row>
    <row r="265" spans="1:14" ht="28.5" customHeight="1">
      <c r="A265" s="252" t="s">
        <v>319</v>
      </c>
      <c r="B265" s="669" t="s">
        <v>320</v>
      </c>
      <c r="C265" s="669"/>
      <c r="D265" s="669"/>
      <c r="E265" s="669"/>
      <c r="F265" s="669"/>
      <c r="G265" s="669"/>
      <c r="H265" s="669"/>
      <c r="I265" s="669"/>
      <c r="J265" s="669"/>
      <c r="K265" s="669"/>
    </row>
    <row r="266" spans="1:14">
      <c r="A266" s="252" t="s">
        <v>321</v>
      </c>
      <c r="B266" s="671" t="s">
        <v>322</v>
      </c>
      <c r="C266" s="671"/>
      <c r="D266" s="671"/>
      <c r="E266" s="671"/>
      <c r="F266" s="671"/>
      <c r="G266" s="671"/>
      <c r="H266" s="671"/>
      <c r="I266" s="671"/>
      <c r="J266" s="671"/>
      <c r="K266" s="671"/>
      <c r="M266" s="14"/>
      <c r="N266" s="14"/>
    </row>
    <row r="267" spans="1:14" ht="18.75" customHeight="1">
      <c r="A267" s="252" t="s">
        <v>323</v>
      </c>
      <c r="B267" s="670" t="s">
        <v>324</v>
      </c>
      <c r="C267" s="670"/>
      <c r="D267" s="670"/>
      <c r="E267" s="670"/>
      <c r="F267" s="670"/>
      <c r="G267" s="670"/>
      <c r="H267" s="670"/>
      <c r="I267" s="670"/>
      <c r="J267" s="670"/>
      <c r="K267" s="670"/>
      <c r="M267" s="14"/>
      <c r="N267" s="14"/>
    </row>
    <row r="268" spans="1:14" s="14" customFormat="1" ht="29.25" customHeight="1">
      <c r="A268" s="252" t="s">
        <v>325</v>
      </c>
      <c r="B268" s="672" t="s">
        <v>326</v>
      </c>
      <c r="C268" s="672"/>
      <c r="D268" s="672"/>
      <c r="E268" s="672"/>
      <c r="F268" s="672"/>
      <c r="G268" s="672"/>
      <c r="H268" s="672"/>
      <c r="I268" s="672"/>
      <c r="J268" s="672"/>
      <c r="K268" s="672"/>
    </row>
    <row r="269" spans="1:14" s="14" customFormat="1">
      <c r="A269" s="252" t="s">
        <v>327</v>
      </c>
      <c r="B269" s="253" t="s">
        <v>328</v>
      </c>
      <c r="C269" s="253"/>
      <c r="D269" s="253"/>
      <c r="E269" s="253"/>
      <c r="F269" s="253"/>
      <c r="G269" s="253"/>
      <c r="H269" s="250"/>
      <c r="I269" s="254"/>
      <c r="J269" s="255"/>
      <c r="K269" s="255"/>
      <c r="M269" s="15"/>
      <c r="N269" s="15"/>
    </row>
    <row r="270" spans="1:14" s="14" customFormat="1">
      <c r="A270" s="256" t="s">
        <v>329</v>
      </c>
      <c r="B270" s="256" t="s">
        <v>330</v>
      </c>
      <c r="C270" s="256"/>
      <c r="D270" s="256"/>
      <c r="E270" s="256"/>
      <c r="F270" s="256"/>
      <c r="G270" s="256"/>
      <c r="H270" s="256"/>
      <c r="I270" s="256"/>
      <c r="J270" s="256"/>
      <c r="K270" s="256"/>
      <c r="M270" s="15"/>
      <c r="N270" s="15"/>
    </row>
    <row r="271" spans="1:14">
      <c r="A271" s="15" t="s">
        <v>331</v>
      </c>
      <c r="B271" s="15" t="s">
        <v>332</v>
      </c>
    </row>
    <row r="272" spans="1:14" ht="15">
      <c r="A272" s="344" t="s">
        <v>333</v>
      </c>
      <c r="B272" s="15" t="s">
        <v>334</v>
      </c>
    </row>
    <row r="273" spans="1:2">
      <c r="A273" s="15" t="s">
        <v>335</v>
      </c>
      <c r="B273" s="451" t="s">
        <v>336</v>
      </c>
    </row>
    <row r="274" spans="1:2">
      <c r="B274" s="451" t="s">
        <v>337</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 right="0" top="0" bottom="0" header="0" footer="0"/>
      <pageSetup scale="51" fitToHeight="6" orientation="landscape" r:id="rId1"/>
    </customSheetView>
  </customSheetViews>
  <mergeCells count="26">
    <mergeCell ref="A57:K57"/>
    <mergeCell ref="A114:K114"/>
    <mergeCell ref="A180:K180"/>
    <mergeCell ref="B250:K250"/>
    <mergeCell ref="A239:K239"/>
    <mergeCell ref="B244:C244"/>
    <mergeCell ref="B245:K245"/>
    <mergeCell ref="B246:K246"/>
    <mergeCell ref="B247:K247"/>
    <mergeCell ref="B248:K248"/>
    <mergeCell ref="B249:K249"/>
    <mergeCell ref="B268:K268"/>
    <mergeCell ref="B260:K260"/>
    <mergeCell ref="B261:K261"/>
    <mergeCell ref="B262:K262"/>
    <mergeCell ref="B263:K263"/>
    <mergeCell ref="B264:K264"/>
    <mergeCell ref="A251:A255"/>
    <mergeCell ref="B265:K265"/>
    <mergeCell ref="B267:K267"/>
    <mergeCell ref="B251:K251"/>
    <mergeCell ref="B256:K256"/>
    <mergeCell ref="B257:K257"/>
    <mergeCell ref="B258:K258"/>
    <mergeCell ref="B259:K259"/>
    <mergeCell ref="B266:K266"/>
  </mergeCells>
  <phoneticPr fontId="0" type="noConversion"/>
  <pageMargins left="0.25" right="0.25" top="0.75" bottom="0.75" header="0.3" footer="0.3"/>
  <pageSetup scale="58" fitToHeight="0" orientation="landscape" r:id="rId2"/>
  <rowBreaks count="4" manualBreakCount="4">
    <brk id="50" max="10" man="1"/>
    <brk id="108" max="16383" man="1"/>
    <brk id="173" max="10" man="1"/>
    <brk id="232" max="10" man="1"/>
  </rowBreaks>
  <customProperties>
    <customPr name="_pios_id" r:id="rId3"/>
  </customProperties>
  <ignoredErrors>
    <ignoredError sqref="C1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9"/>
  <sheetViews>
    <sheetView topLeftCell="A66" zoomScale="85" zoomScaleNormal="85" zoomScaleSheetLayoutView="80" workbookViewId="0">
      <selection activeCell="T91" sqref="T91"/>
    </sheetView>
  </sheetViews>
  <sheetFormatPr defaultColWidth="8.77734375" defaultRowHeight="12.75"/>
  <cols>
    <col min="1" max="1" width="6" style="24" customWidth="1"/>
    <col min="2" max="2" width="1.44140625" style="24" customWidth="1"/>
    <col min="3" max="3" width="36" style="24" customWidth="1"/>
    <col min="4" max="4" width="13.77734375" style="24" customWidth="1"/>
    <col min="5" max="5" width="17.5546875" style="24" customWidth="1"/>
    <col min="6" max="6" width="13.109375" style="24" customWidth="1"/>
    <col min="7" max="7" width="14.44140625" style="24" customWidth="1"/>
    <col min="8" max="8" width="16.21875" style="24" customWidth="1"/>
    <col min="9" max="9" width="13.77734375" style="24" customWidth="1"/>
    <col min="10" max="10" width="14.44140625" style="24" customWidth="1"/>
    <col min="11" max="11" width="13.5546875" style="24" customWidth="1"/>
    <col min="12" max="13" width="15.77734375" style="24" customWidth="1"/>
    <col min="14" max="15" width="14.44140625" style="24" customWidth="1"/>
    <col min="16" max="16" width="12.77734375" style="24" customWidth="1"/>
    <col min="17" max="17" width="13.77734375" style="24" customWidth="1"/>
    <col min="18" max="18" width="9.21875" style="24" customWidth="1"/>
    <col min="19" max="19" width="13" style="24" customWidth="1"/>
    <col min="20" max="20" width="11.21875" style="44" bestFit="1" customWidth="1"/>
    <col min="21" max="16384" width="8.77734375" style="24"/>
  </cols>
  <sheetData>
    <row r="1" spans="1:21">
      <c r="Q1" s="48"/>
    </row>
    <row r="2" spans="1:21">
      <c r="Q2" s="48"/>
    </row>
    <row r="4" spans="1:21">
      <c r="Q4" s="48"/>
    </row>
    <row r="5" spans="1:21">
      <c r="D5" s="19"/>
      <c r="E5" s="19"/>
      <c r="F5" s="19"/>
      <c r="G5" s="20" t="s">
        <v>338</v>
      </c>
      <c r="H5" s="19"/>
      <c r="I5" s="19"/>
      <c r="J5" s="19"/>
      <c r="K5" s="19"/>
      <c r="L5" s="39"/>
      <c r="M5" s="49"/>
      <c r="N5" s="49"/>
      <c r="O5" s="49"/>
      <c r="P5" s="49"/>
      <c r="Q5" s="49"/>
      <c r="R5" s="25"/>
      <c r="S5" s="25" t="s">
        <v>339</v>
      </c>
      <c r="T5" s="381"/>
      <c r="U5" s="25"/>
    </row>
    <row r="6" spans="1:21">
      <c r="D6" s="19"/>
      <c r="E6" s="22" t="s">
        <v>11</v>
      </c>
      <c r="F6" s="22"/>
      <c r="G6" s="20" t="s">
        <v>340</v>
      </c>
      <c r="H6" s="22"/>
      <c r="I6" s="22"/>
      <c r="J6" s="22"/>
      <c r="K6" s="19"/>
      <c r="P6" s="25"/>
      <c r="Q6" s="19"/>
      <c r="R6" s="25"/>
      <c r="S6" s="51"/>
      <c r="T6" s="381"/>
      <c r="U6" s="25"/>
    </row>
    <row r="7" spans="1:21">
      <c r="C7" s="25"/>
      <c r="D7" s="25"/>
      <c r="E7" s="25"/>
      <c r="F7" s="25"/>
      <c r="G7" s="442" t="str">
        <f>'Attachment H'!$D$5</f>
        <v>NextEra Energy Transmission MidAtlantic, Inc.</v>
      </c>
      <c r="H7" s="25"/>
      <c r="I7" s="25"/>
      <c r="J7" s="25"/>
      <c r="K7" s="25"/>
      <c r="P7" s="25"/>
      <c r="Q7" s="25"/>
      <c r="R7" s="25"/>
      <c r="S7" s="50"/>
      <c r="T7" s="381"/>
      <c r="U7" s="25"/>
    </row>
    <row r="8" spans="1:21">
      <c r="A8" s="20"/>
      <c r="C8" s="25"/>
      <c r="D8" s="25"/>
      <c r="E8" s="25"/>
      <c r="F8" s="25"/>
      <c r="H8" s="25"/>
      <c r="I8" s="25"/>
      <c r="J8" s="25"/>
      <c r="K8" s="25"/>
      <c r="L8" s="25"/>
      <c r="M8" s="25"/>
      <c r="N8" s="25"/>
      <c r="O8" s="25"/>
      <c r="P8" s="25"/>
      <c r="Q8" s="25"/>
      <c r="R8" s="25"/>
      <c r="S8" s="50"/>
      <c r="T8" s="381"/>
      <c r="U8" s="25"/>
    </row>
    <row r="9" spans="1:21">
      <c r="A9" s="20"/>
      <c r="C9" s="25"/>
      <c r="D9" s="25"/>
      <c r="E9" s="25"/>
      <c r="F9" s="25"/>
      <c r="G9" s="52"/>
      <c r="H9" s="25"/>
      <c r="I9" s="25"/>
      <c r="J9" s="25"/>
      <c r="K9" s="25"/>
      <c r="L9" s="25"/>
      <c r="M9" s="25"/>
      <c r="N9" s="25"/>
      <c r="O9" s="25"/>
      <c r="P9" s="25"/>
      <c r="Q9" s="25"/>
      <c r="R9" s="25"/>
      <c r="S9" s="50"/>
      <c r="T9" s="381"/>
      <c r="U9" s="25"/>
    </row>
    <row r="10" spans="1:21">
      <c r="A10" s="20"/>
      <c r="C10" s="25" t="s">
        <v>341</v>
      </c>
      <c r="D10" s="25"/>
      <c r="E10" s="25"/>
      <c r="F10" s="25"/>
      <c r="G10" s="52"/>
      <c r="H10" s="25"/>
      <c r="I10" s="25"/>
      <c r="J10" s="25"/>
      <c r="K10" s="25"/>
      <c r="L10" s="25"/>
      <c r="M10" s="25"/>
      <c r="N10" s="25"/>
      <c r="O10" s="25"/>
      <c r="P10" s="25"/>
      <c r="Q10" s="25"/>
      <c r="R10" s="25"/>
      <c r="S10" s="50"/>
      <c r="T10" s="381"/>
      <c r="U10" s="25"/>
    </row>
    <row r="11" spans="1:21">
      <c r="A11" s="20"/>
      <c r="C11" s="25"/>
      <c r="D11" s="25"/>
      <c r="E11" s="25"/>
      <c r="F11" s="25"/>
      <c r="G11" s="52"/>
      <c r="L11" s="25"/>
      <c r="M11" s="25"/>
      <c r="N11" s="25"/>
      <c r="O11" s="25"/>
      <c r="P11" s="25"/>
      <c r="Q11" s="25"/>
      <c r="R11" s="25"/>
      <c r="S11" s="25"/>
      <c r="T11" s="317"/>
      <c r="U11" s="25"/>
    </row>
    <row r="12" spans="1:21">
      <c r="A12" s="20"/>
      <c r="C12" s="25"/>
      <c r="D12" s="25"/>
      <c r="E12" s="25"/>
      <c r="F12" s="25"/>
      <c r="G12" s="25"/>
      <c r="L12" s="22"/>
      <c r="M12" s="22"/>
      <c r="N12" s="22"/>
      <c r="O12" s="22"/>
      <c r="P12" s="25"/>
      <c r="Q12" s="25"/>
      <c r="R12" s="25"/>
      <c r="S12" s="25"/>
      <c r="T12" s="317"/>
      <c r="U12" s="25"/>
    </row>
    <row r="13" spans="1:21">
      <c r="C13" s="53" t="s">
        <v>8</v>
      </c>
      <c r="D13" s="53"/>
      <c r="E13" s="53" t="s">
        <v>9</v>
      </c>
      <c r="F13" s="53"/>
      <c r="I13" s="53" t="s">
        <v>10</v>
      </c>
      <c r="L13" s="54" t="s">
        <v>12</v>
      </c>
      <c r="M13" s="54"/>
      <c r="N13" s="54"/>
      <c r="O13" s="54"/>
      <c r="P13" s="22"/>
      <c r="Q13" s="54"/>
      <c r="R13" s="22"/>
      <c r="S13" s="54"/>
      <c r="U13" s="25"/>
    </row>
    <row r="14" spans="1:21">
      <c r="C14" s="25"/>
      <c r="D14" s="25"/>
      <c r="E14" s="55" t="s">
        <v>1</v>
      </c>
      <c r="F14" s="55"/>
      <c r="I14" s="22"/>
      <c r="P14" s="22"/>
      <c r="R14" s="22"/>
      <c r="S14" s="53"/>
      <c r="T14" s="90"/>
      <c r="U14" s="25"/>
    </row>
    <row r="15" spans="1:21">
      <c r="A15" s="20" t="s">
        <v>14</v>
      </c>
      <c r="C15" s="25"/>
      <c r="D15" s="25"/>
      <c r="E15" s="56" t="s">
        <v>342</v>
      </c>
      <c r="F15" s="56"/>
      <c r="I15" s="57" t="s">
        <v>41</v>
      </c>
      <c r="L15" s="57" t="s">
        <v>23</v>
      </c>
      <c r="M15" s="57"/>
      <c r="N15" s="57"/>
      <c r="O15" s="57"/>
      <c r="P15" s="22"/>
      <c r="R15" s="25"/>
      <c r="S15" s="58"/>
      <c r="T15" s="90"/>
      <c r="U15" s="25"/>
    </row>
    <row r="16" spans="1:21">
      <c r="A16" s="20" t="s">
        <v>16</v>
      </c>
      <c r="C16" s="59"/>
      <c r="D16" s="59"/>
      <c r="E16" s="22"/>
      <c r="F16" s="22"/>
      <c r="I16" s="22"/>
      <c r="L16" s="22"/>
      <c r="M16" s="22"/>
      <c r="N16" s="22"/>
      <c r="O16" s="22"/>
      <c r="P16" s="22"/>
      <c r="Q16" s="22"/>
      <c r="R16" s="25"/>
      <c r="S16" s="22"/>
      <c r="U16" s="25"/>
    </row>
    <row r="17" spans="1:21">
      <c r="A17" s="60"/>
      <c r="C17" s="25"/>
      <c r="D17" s="25"/>
      <c r="E17" s="22"/>
      <c r="F17" s="22"/>
      <c r="I17" s="22"/>
      <c r="L17" s="22"/>
      <c r="M17" s="22"/>
      <c r="N17" s="22"/>
      <c r="O17" s="22"/>
      <c r="P17" s="22"/>
      <c r="Q17" s="22"/>
      <c r="R17" s="25"/>
      <c r="S17" s="22"/>
      <c r="U17" s="25"/>
    </row>
    <row r="18" spans="1:21">
      <c r="A18" s="23">
        <v>1</v>
      </c>
      <c r="C18" s="25" t="s">
        <v>343</v>
      </c>
      <c r="D18" s="25"/>
      <c r="E18" s="61" t="s">
        <v>344</v>
      </c>
      <c r="F18" s="23"/>
      <c r="I18" s="44">
        <f>+'Attachment H'!I64</f>
        <v>76288908.015384614</v>
      </c>
      <c r="P18" s="22"/>
      <c r="Q18" s="22"/>
      <c r="R18" s="25"/>
      <c r="S18" s="22"/>
      <c r="U18" s="25"/>
    </row>
    <row r="19" spans="1:21">
      <c r="A19" s="23">
        <v>2</v>
      </c>
      <c r="C19" s="25" t="s">
        <v>345</v>
      </c>
      <c r="D19" s="25"/>
      <c r="E19" s="61" t="s">
        <v>346</v>
      </c>
      <c r="F19" s="23"/>
      <c r="I19" s="44">
        <f>+'Attachment H'!I80+'Attachment H'!I93+'Attachment H'!I95</f>
        <v>99973283.623579234</v>
      </c>
      <c r="P19" s="22"/>
      <c r="Q19" s="22"/>
      <c r="R19" s="25"/>
      <c r="S19" s="22"/>
      <c r="U19" s="25"/>
    </row>
    <row r="20" spans="1:21">
      <c r="A20" s="23"/>
      <c r="E20" s="61"/>
      <c r="F20" s="23"/>
      <c r="P20" s="22"/>
      <c r="Q20" s="22"/>
      <c r="R20" s="25"/>
      <c r="S20" s="22"/>
      <c r="U20" s="25"/>
    </row>
    <row r="21" spans="1:21">
      <c r="A21" s="23"/>
      <c r="C21" s="25" t="s">
        <v>347</v>
      </c>
      <c r="D21" s="25"/>
      <c r="E21" s="61"/>
      <c r="F21" s="23"/>
      <c r="I21" s="22"/>
      <c r="L21" s="22"/>
      <c r="M21" s="22"/>
      <c r="N21" s="22"/>
      <c r="O21" s="22"/>
      <c r="P21" s="22"/>
      <c r="Q21" s="22"/>
      <c r="R21" s="22"/>
      <c r="S21" s="22"/>
      <c r="U21" s="25"/>
    </row>
    <row r="22" spans="1:21">
      <c r="A22" s="23">
        <v>3</v>
      </c>
      <c r="C22" s="25" t="s">
        <v>348</v>
      </c>
      <c r="D22" s="25"/>
      <c r="E22" s="61" t="s">
        <v>349</v>
      </c>
      <c r="F22" s="23"/>
      <c r="I22" s="62">
        <f>+'Attachment H'!I134</f>
        <v>8684397.0000000019</v>
      </c>
      <c r="P22" s="22"/>
      <c r="Q22" s="22"/>
      <c r="R22" s="22"/>
      <c r="S22" s="22"/>
      <c r="U22" s="25"/>
    </row>
    <row r="23" spans="1:21">
      <c r="A23" s="23">
        <v>4</v>
      </c>
      <c r="C23" s="25" t="s">
        <v>350</v>
      </c>
      <c r="D23" s="25"/>
      <c r="E23" s="61" t="s">
        <v>351</v>
      </c>
      <c r="F23" s="23"/>
      <c r="I23" s="45">
        <f>IF(I18=0,0,I22/I18)</f>
        <v>0.11383564434096612</v>
      </c>
      <c r="L23" s="582">
        <f>I23</f>
        <v>0.11383564434096612</v>
      </c>
      <c r="M23" s="583"/>
      <c r="N23" s="583"/>
      <c r="O23" s="583"/>
      <c r="P23" s="22"/>
      <c r="Q23" s="63"/>
      <c r="R23" s="64"/>
      <c r="S23" s="65"/>
      <c r="U23" s="25"/>
    </row>
    <row r="24" spans="1:21">
      <c r="A24" s="23"/>
      <c r="C24" s="25"/>
      <c r="D24" s="25"/>
      <c r="E24" s="61"/>
      <c r="F24" s="23"/>
      <c r="I24" s="66"/>
      <c r="L24" s="583"/>
      <c r="M24" s="583"/>
      <c r="N24" s="583"/>
      <c r="O24" s="583"/>
      <c r="P24" s="22"/>
      <c r="Q24" s="63"/>
      <c r="R24" s="64"/>
      <c r="S24" s="65"/>
      <c r="U24" s="25"/>
    </row>
    <row r="25" spans="1:21">
      <c r="A25" s="54"/>
      <c r="C25" s="25" t="s">
        <v>352</v>
      </c>
      <c r="D25" s="25"/>
      <c r="E25" s="197"/>
      <c r="F25" s="47"/>
      <c r="I25" s="22"/>
      <c r="L25" s="22"/>
      <c r="M25" s="22"/>
      <c r="N25" s="22"/>
      <c r="O25" s="22"/>
      <c r="P25" s="22"/>
      <c r="Q25" s="63"/>
      <c r="R25" s="64"/>
      <c r="S25" s="65"/>
      <c r="U25" s="25"/>
    </row>
    <row r="26" spans="1:21">
      <c r="A26" s="54" t="s">
        <v>353</v>
      </c>
      <c r="C26" s="25" t="s">
        <v>354</v>
      </c>
      <c r="D26" s="25"/>
      <c r="E26" s="61" t="s">
        <v>355</v>
      </c>
      <c r="F26" s="23"/>
      <c r="I26" s="62">
        <f>+'Attachment H'!I138+'Attachment H'!I139</f>
        <v>0</v>
      </c>
      <c r="P26" s="22"/>
      <c r="Q26" s="63"/>
      <c r="R26" s="64"/>
      <c r="S26" s="65"/>
      <c r="U26" s="25"/>
    </row>
    <row r="27" spans="1:21">
      <c r="A27" s="54" t="s">
        <v>356</v>
      </c>
      <c r="C27" s="25" t="s">
        <v>357</v>
      </c>
      <c r="D27" s="25"/>
      <c r="E27" s="61" t="s">
        <v>358</v>
      </c>
      <c r="F27" s="23"/>
      <c r="I27" s="45">
        <f>IF(I26=0,0,I26/I18)</f>
        <v>0</v>
      </c>
      <c r="J27" s="45"/>
      <c r="K27" s="45"/>
      <c r="L27" s="584">
        <f>I27</f>
        <v>0</v>
      </c>
      <c r="M27" s="583"/>
      <c r="N27" s="583"/>
      <c r="O27" s="583"/>
      <c r="P27" s="22"/>
      <c r="Q27" s="63"/>
      <c r="R27" s="64"/>
      <c r="S27" s="65"/>
      <c r="U27" s="25"/>
    </row>
    <row r="28" spans="1:21">
      <c r="A28" s="23"/>
      <c r="C28" s="25"/>
      <c r="D28" s="25"/>
      <c r="E28" s="61"/>
      <c r="F28" s="23"/>
      <c r="I28" s="45"/>
      <c r="J28" s="45"/>
      <c r="K28" s="45"/>
      <c r="L28" s="584"/>
      <c r="M28" s="583"/>
      <c r="N28" s="583"/>
      <c r="O28" s="583"/>
      <c r="P28" s="22"/>
      <c r="Q28" s="63"/>
      <c r="R28" s="64"/>
      <c r="S28" s="65"/>
      <c r="U28" s="25"/>
    </row>
    <row r="29" spans="1:21">
      <c r="A29" s="54"/>
      <c r="C29" s="25" t="s">
        <v>359</v>
      </c>
      <c r="D29" s="25"/>
      <c r="E29" s="197"/>
      <c r="F29" s="47"/>
      <c r="I29" s="45"/>
      <c r="J29" s="45"/>
      <c r="K29" s="45"/>
      <c r="L29" s="45"/>
      <c r="M29" s="22"/>
      <c r="N29" s="22"/>
      <c r="O29" s="22"/>
      <c r="P29" s="22"/>
      <c r="Q29" s="22"/>
      <c r="R29" s="22"/>
      <c r="S29" s="22"/>
      <c r="U29" s="25"/>
    </row>
    <row r="30" spans="1:21">
      <c r="A30" s="54" t="s">
        <v>360</v>
      </c>
      <c r="C30" s="25" t="s">
        <v>361</v>
      </c>
      <c r="D30" s="25"/>
      <c r="E30" s="61" t="s">
        <v>362</v>
      </c>
      <c r="F30" s="23"/>
      <c r="I30" s="45">
        <f>+'Attachment H'!I152</f>
        <v>1783302.9600000002</v>
      </c>
      <c r="J30" s="45"/>
      <c r="K30" s="45"/>
      <c r="L30" s="45"/>
      <c r="P30" s="22"/>
      <c r="Q30" s="58"/>
      <c r="R30" s="22"/>
      <c r="S30" s="23"/>
      <c r="T30" s="90"/>
      <c r="U30" s="25"/>
    </row>
    <row r="31" spans="1:21">
      <c r="A31" s="54" t="s">
        <v>363</v>
      </c>
      <c r="C31" s="25" t="s">
        <v>364</v>
      </c>
      <c r="D31" s="25"/>
      <c r="E31" s="61" t="s">
        <v>365</v>
      </c>
      <c r="F31" s="23"/>
      <c r="I31" s="45">
        <f>IF(I30=0,0,I30/I18)</f>
        <v>2.3375651931475738E-2</v>
      </c>
      <c r="J31" s="45"/>
      <c r="K31" s="45"/>
      <c r="L31" s="584">
        <f>I31</f>
        <v>2.3375651931475738E-2</v>
      </c>
      <c r="M31" s="583"/>
      <c r="N31" s="583"/>
      <c r="O31" s="583"/>
      <c r="P31" s="22"/>
      <c r="Q31" s="63"/>
      <c r="R31" s="22"/>
      <c r="S31" s="65"/>
      <c r="T31" s="90"/>
      <c r="U31" s="25"/>
    </row>
    <row r="32" spans="1:21">
      <c r="A32" s="54"/>
      <c r="C32" s="25"/>
      <c r="D32" s="25"/>
      <c r="E32" s="61"/>
      <c r="F32" s="23"/>
      <c r="I32" s="22"/>
      <c r="L32" s="22"/>
      <c r="M32" s="22"/>
      <c r="N32" s="22"/>
      <c r="O32" s="22"/>
      <c r="P32" s="22"/>
      <c r="U32" s="25"/>
    </row>
    <row r="33" spans="1:21">
      <c r="A33" s="54" t="s">
        <v>366</v>
      </c>
      <c r="C33" s="25" t="s">
        <v>367</v>
      </c>
      <c r="D33" s="25"/>
      <c r="E33" s="61" t="s">
        <v>368</v>
      </c>
      <c r="F33" s="23"/>
      <c r="I33" s="44">
        <f>-'Attachment H'!I19</f>
        <v>0</v>
      </c>
      <c r="L33" s="22"/>
      <c r="M33" s="22"/>
      <c r="N33" s="22"/>
      <c r="O33" s="22"/>
      <c r="P33" s="22"/>
      <c r="U33" s="25"/>
    </row>
    <row r="34" spans="1:21">
      <c r="A34" s="54" t="s">
        <v>369</v>
      </c>
      <c r="C34" s="25" t="s">
        <v>370</v>
      </c>
      <c r="D34" s="25"/>
      <c r="E34" s="61" t="s">
        <v>371</v>
      </c>
      <c r="F34" s="23"/>
      <c r="I34" s="67">
        <f>IF(L18=0,0,I33/I18)</f>
        <v>0</v>
      </c>
      <c r="L34" s="45">
        <f>+I34</f>
        <v>0</v>
      </c>
      <c r="M34" s="22"/>
      <c r="N34" s="22"/>
      <c r="O34" s="22"/>
      <c r="P34" s="22"/>
      <c r="U34" s="25"/>
    </row>
    <row r="35" spans="1:21">
      <c r="A35" s="54"/>
      <c r="C35" s="25"/>
      <c r="D35" s="25"/>
      <c r="E35" s="61"/>
      <c r="F35" s="23"/>
      <c r="I35" s="22"/>
      <c r="L35" s="22"/>
      <c r="M35" s="22"/>
      <c r="N35" s="22"/>
      <c r="O35" s="22"/>
      <c r="P35" s="22"/>
      <c r="U35" s="25"/>
    </row>
    <row r="36" spans="1:21">
      <c r="A36" s="68" t="s">
        <v>372</v>
      </c>
      <c r="B36" s="69"/>
      <c r="C36" s="59" t="s">
        <v>373</v>
      </c>
      <c r="D36" s="59"/>
      <c r="E36" s="70" t="s">
        <v>374</v>
      </c>
      <c r="F36" s="55"/>
      <c r="I36" s="64"/>
      <c r="L36" s="382">
        <f>L23+L27+L31+L34</f>
        <v>0.13721129627244186</v>
      </c>
      <c r="M36" s="72"/>
      <c r="N36" s="72"/>
      <c r="O36" s="72"/>
      <c r="P36" s="22"/>
      <c r="U36" s="25"/>
    </row>
    <row r="37" spans="1:21">
      <c r="A37" s="54"/>
      <c r="C37" s="25"/>
      <c r="D37" s="25"/>
      <c r="E37" s="61"/>
      <c r="F37" s="23"/>
      <c r="I37" s="22"/>
      <c r="L37" s="22"/>
      <c r="M37" s="22"/>
      <c r="N37" s="22"/>
      <c r="O37" s="22"/>
      <c r="P37" s="22"/>
      <c r="Q37" s="22"/>
      <c r="R37" s="22"/>
      <c r="S37" s="73"/>
      <c r="U37" s="25"/>
    </row>
    <row r="38" spans="1:21">
      <c r="A38" s="54"/>
      <c r="B38" s="46"/>
      <c r="C38" s="22" t="s">
        <v>375</v>
      </c>
      <c r="D38" s="22"/>
      <c r="E38" s="61"/>
      <c r="F38" s="23"/>
      <c r="I38" s="22"/>
      <c r="L38" s="22"/>
      <c r="M38" s="22"/>
      <c r="N38" s="22"/>
      <c r="O38" s="22"/>
      <c r="P38" s="585"/>
      <c r="Q38" s="46"/>
      <c r="T38" s="90"/>
      <c r="U38" s="22" t="s">
        <v>11</v>
      </c>
    </row>
    <row r="39" spans="1:21">
      <c r="A39" s="54" t="s">
        <v>376</v>
      </c>
      <c r="B39" s="46"/>
      <c r="C39" s="22" t="s">
        <v>377</v>
      </c>
      <c r="D39" s="22"/>
      <c r="E39" s="61" t="s">
        <v>378</v>
      </c>
      <c r="F39" s="23"/>
      <c r="I39" s="44">
        <f>+'Attachment H'!I167</f>
        <v>2281098.7426375779</v>
      </c>
      <c r="L39" s="22"/>
      <c r="M39" s="22"/>
      <c r="N39" s="22"/>
      <c r="O39" s="22"/>
      <c r="P39" s="585"/>
      <c r="Q39" s="46"/>
      <c r="T39" s="90"/>
      <c r="U39" s="22"/>
    </row>
    <row r="40" spans="1:21">
      <c r="A40" s="54" t="s">
        <v>379</v>
      </c>
      <c r="B40" s="46"/>
      <c r="C40" s="22" t="s">
        <v>380</v>
      </c>
      <c r="D40" s="22"/>
      <c r="E40" s="61" t="s">
        <v>381</v>
      </c>
      <c r="F40" s="23"/>
      <c r="I40" s="45">
        <f>IF(I19=0,0,I39/I19)</f>
        <v>2.2817083324244924E-2</v>
      </c>
      <c r="L40" s="584">
        <f>I40</f>
        <v>2.2817083324244924E-2</v>
      </c>
      <c r="M40" s="583"/>
      <c r="N40" s="583"/>
      <c r="O40" s="583"/>
      <c r="P40" s="585"/>
      <c r="Q40" s="46"/>
      <c r="R40" s="22"/>
      <c r="S40" s="22"/>
      <c r="T40" s="90"/>
      <c r="U40" s="22"/>
    </row>
    <row r="41" spans="1:21">
      <c r="A41" s="54"/>
      <c r="C41" s="22"/>
      <c r="D41" s="22"/>
      <c r="E41" s="61"/>
      <c r="F41" s="23"/>
      <c r="I41" s="22"/>
      <c r="L41" s="22"/>
      <c r="M41" s="22"/>
      <c r="N41" s="22"/>
      <c r="O41" s="22"/>
      <c r="P41" s="22"/>
      <c r="R41" s="25"/>
      <c r="S41" s="22"/>
      <c r="T41" s="317"/>
      <c r="U41" s="25"/>
    </row>
    <row r="42" spans="1:21">
      <c r="A42" s="54"/>
      <c r="C42" s="25" t="s">
        <v>199</v>
      </c>
      <c r="D42" s="25"/>
      <c r="E42" s="74"/>
      <c r="F42" s="75"/>
      <c r="P42" s="22"/>
      <c r="R42" s="22"/>
      <c r="S42" s="22"/>
      <c r="U42" s="25"/>
    </row>
    <row r="43" spans="1:21">
      <c r="A43" s="54" t="s">
        <v>382</v>
      </c>
      <c r="C43" s="25" t="s">
        <v>383</v>
      </c>
      <c r="D43" s="25"/>
      <c r="E43" s="61" t="s">
        <v>384</v>
      </c>
      <c r="F43" s="23"/>
      <c r="I43" s="44">
        <f>+'Attachment H'!I170</f>
        <v>9829910.417326929</v>
      </c>
      <c r="L43" s="22"/>
      <c r="M43" s="22"/>
      <c r="N43" s="22"/>
      <c r="O43" s="22"/>
      <c r="P43" s="22"/>
      <c r="R43" s="22"/>
      <c r="S43" s="22"/>
      <c r="U43" s="25"/>
    </row>
    <row r="44" spans="1:21">
      <c r="A44" s="54" t="s">
        <v>385</v>
      </c>
      <c r="B44" s="46"/>
      <c r="C44" s="22" t="s">
        <v>386</v>
      </c>
      <c r="D44" s="22"/>
      <c r="E44" s="61" t="s">
        <v>387</v>
      </c>
      <c r="F44" s="23"/>
      <c r="I44" s="45">
        <f>IF(I19=0,0,I43/I19)</f>
        <v>9.8325373150077194E-2</v>
      </c>
      <c r="L44" s="584">
        <f>I44</f>
        <v>9.8325373150077194E-2</v>
      </c>
      <c r="M44" s="583"/>
      <c r="N44" s="583"/>
      <c r="O44" s="583"/>
      <c r="P44" s="22"/>
      <c r="S44" s="76"/>
      <c r="T44" s="90"/>
      <c r="U44" s="22"/>
    </row>
    <row r="45" spans="1:21">
      <c r="A45" s="54"/>
      <c r="C45" s="25"/>
      <c r="D45" s="25"/>
      <c r="E45" s="61"/>
      <c r="F45" s="23"/>
      <c r="I45" s="22"/>
      <c r="L45" s="22"/>
      <c r="M45" s="22"/>
      <c r="N45" s="22"/>
      <c r="O45" s="22"/>
      <c r="P45" s="22"/>
      <c r="Q45" s="75"/>
      <c r="R45" s="22"/>
      <c r="S45" s="22"/>
      <c r="U45" s="25"/>
    </row>
    <row r="46" spans="1:21">
      <c r="A46" s="68" t="s">
        <v>388</v>
      </c>
      <c r="B46" s="69"/>
      <c r="C46" s="59" t="s">
        <v>389</v>
      </c>
      <c r="D46" s="59"/>
      <c r="E46" s="70" t="s">
        <v>390</v>
      </c>
      <c r="F46" s="55"/>
      <c r="I46" s="45">
        <f>+I44+I40</f>
        <v>0.12114245647432212</v>
      </c>
      <c r="L46" s="71">
        <f>L40+L44</f>
        <v>0.12114245647432212</v>
      </c>
      <c r="M46" s="72"/>
      <c r="N46" s="72"/>
      <c r="O46" s="72"/>
      <c r="P46" s="22"/>
      <c r="Q46" s="75"/>
      <c r="R46" s="22"/>
      <c r="S46" s="22"/>
      <c r="U46" s="25"/>
    </row>
    <row r="47" spans="1:21">
      <c r="P47" s="586"/>
      <c r="Q47" s="586"/>
      <c r="R47" s="22"/>
      <c r="S47" s="22"/>
      <c r="U47" s="25"/>
    </row>
    <row r="48" spans="1:21">
      <c r="P48" s="586"/>
      <c r="Q48" s="586"/>
      <c r="R48" s="22"/>
      <c r="S48" s="22"/>
      <c r="U48" s="25"/>
    </row>
    <row r="49" spans="1:21">
      <c r="A49" s="77"/>
      <c r="C49" s="54"/>
      <c r="D49" s="54"/>
      <c r="E49" s="47"/>
      <c r="F49" s="47"/>
      <c r="G49" s="22"/>
      <c r="J49" s="66"/>
      <c r="P49" s="22"/>
      <c r="Q49" s="63"/>
      <c r="R49" s="49"/>
      <c r="S49" s="22"/>
      <c r="T49" s="90"/>
      <c r="U49" s="22"/>
    </row>
    <row r="50" spans="1:21">
      <c r="A50" s="20"/>
      <c r="G50" s="22"/>
      <c r="P50" s="22"/>
      <c r="Q50" s="22"/>
      <c r="R50" s="22"/>
      <c r="S50" s="22"/>
      <c r="T50" s="90"/>
      <c r="U50" s="22" t="s">
        <v>11</v>
      </c>
    </row>
    <row r="51" spans="1:21">
      <c r="Q51" s="48"/>
    </row>
    <row r="52" spans="1:21">
      <c r="Q52" s="48"/>
    </row>
    <row r="54" spans="1:21">
      <c r="A54" s="20"/>
      <c r="G54" s="22"/>
      <c r="P54" s="22"/>
      <c r="Q54" s="48"/>
      <c r="R54" s="22"/>
      <c r="S54" s="25"/>
      <c r="U54" s="25"/>
    </row>
    <row r="55" spans="1:21">
      <c r="A55" s="20"/>
      <c r="C55" s="25"/>
      <c r="D55" s="25"/>
      <c r="G55" s="47" t="str">
        <f>+G5</f>
        <v>Attachment 1</v>
      </c>
      <c r="H55" s="47"/>
      <c r="P55" s="22"/>
      <c r="Q55" s="48"/>
      <c r="R55" s="22"/>
      <c r="S55" s="24" t="s">
        <v>391</v>
      </c>
      <c r="U55" s="25"/>
    </row>
    <row r="56" spans="1:21">
      <c r="A56" s="20"/>
      <c r="C56" s="25"/>
      <c r="D56" s="25"/>
      <c r="G56" s="47" t="str">
        <f>+G6</f>
        <v>Project Revenue Requirement Worksheet</v>
      </c>
      <c r="H56" s="47"/>
      <c r="L56" s="22"/>
      <c r="M56" s="22"/>
      <c r="N56" s="22"/>
      <c r="O56" s="22"/>
      <c r="P56" s="22"/>
      <c r="R56" s="22"/>
      <c r="S56" s="25"/>
      <c r="U56" s="25"/>
    </row>
    <row r="57" spans="1:21" ht="14.25" customHeight="1">
      <c r="A57" s="20"/>
      <c r="G57" s="442" t="str">
        <f>'Attachment H'!$D$5</f>
        <v>NextEra Energy Transmission MidAtlantic, Inc.</v>
      </c>
      <c r="P57" s="22"/>
      <c r="R57" s="22"/>
      <c r="S57" s="25"/>
      <c r="U57" s="25"/>
    </row>
    <row r="58" spans="1:21">
      <c r="A58" s="20"/>
      <c r="H58" s="47"/>
      <c r="P58" s="22"/>
      <c r="Q58" s="22"/>
      <c r="R58" s="22"/>
      <c r="S58" s="25"/>
      <c r="U58" s="25"/>
    </row>
    <row r="59" spans="1:21">
      <c r="A59" s="20"/>
      <c r="E59" s="25"/>
      <c r="F59" s="25"/>
      <c r="G59" s="25"/>
      <c r="H59" s="25"/>
      <c r="I59" s="25"/>
      <c r="J59" s="25"/>
      <c r="K59" s="25"/>
      <c r="L59" s="25"/>
      <c r="M59" s="25"/>
      <c r="N59" s="25"/>
      <c r="O59" s="25"/>
      <c r="P59" s="25"/>
      <c r="Q59" s="25"/>
      <c r="R59" s="22"/>
      <c r="S59" s="25"/>
      <c r="U59" s="25"/>
    </row>
    <row r="60" spans="1:21">
      <c r="A60" s="20"/>
      <c r="E60" s="59"/>
      <c r="F60" s="59"/>
      <c r="H60" s="25"/>
      <c r="I60" s="25"/>
      <c r="J60" s="25"/>
      <c r="K60" s="25"/>
      <c r="L60" s="25"/>
      <c r="M60" s="25"/>
      <c r="N60" s="25"/>
      <c r="O60" s="25"/>
      <c r="P60" s="22"/>
      <c r="Q60" s="22"/>
      <c r="R60" s="22"/>
      <c r="S60" s="25"/>
      <c r="U60" s="25"/>
    </row>
    <row r="61" spans="1:21">
      <c r="A61" s="20"/>
      <c r="E61" s="59"/>
      <c r="F61" s="59"/>
      <c r="H61" s="25"/>
      <c r="I61" s="25"/>
      <c r="J61" s="25"/>
      <c r="K61" s="25"/>
      <c r="L61" s="25"/>
      <c r="M61" s="25"/>
      <c r="N61" s="25"/>
      <c r="O61" s="25"/>
      <c r="P61" s="22"/>
      <c r="Q61" s="22"/>
      <c r="R61" s="22"/>
      <c r="S61" s="25"/>
      <c r="U61" s="25"/>
    </row>
    <row r="62" spans="1:21">
      <c r="A62" s="20"/>
      <c r="C62" s="78">
        <v>-1</v>
      </c>
      <c r="D62" s="78">
        <v>-2</v>
      </c>
      <c r="E62" s="78">
        <v>-3</v>
      </c>
      <c r="F62" s="78">
        <v>-4</v>
      </c>
      <c r="G62" s="78">
        <v>-5</v>
      </c>
      <c r="H62" s="78">
        <v>-6</v>
      </c>
      <c r="I62" s="78">
        <v>-7</v>
      </c>
      <c r="J62" s="78">
        <v>-8</v>
      </c>
      <c r="K62" s="78">
        <v>-9</v>
      </c>
      <c r="L62" s="78">
        <v>-10</v>
      </c>
      <c r="M62" s="78">
        <v>-11</v>
      </c>
      <c r="N62" s="78">
        <v>-12</v>
      </c>
      <c r="O62" s="78" t="s">
        <v>392</v>
      </c>
      <c r="P62" s="78">
        <v>-13</v>
      </c>
      <c r="Q62" s="196" t="s">
        <v>393</v>
      </c>
      <c r="R62" s="196" t="s">
        <v>394</v>
      </c>
      <c r="S62" s="196" t="s">
        <v>395</v>
      </c>
      <c r="U62" s="25"/>
    </row>
    <row r="63" spans="1:21" ht="53.25" customHeight="1">
      <c r="A63" s="587" t="s">
        <v>396</v>
      </c>
      <c r="B63" s="588"/>
      <c r="C63" s="589" t="s">
        <v>397</v>
      </c>
      <c r="D63" s="590" t="s">
        <v>398</v>
      </c>
      <c r="E63" s="591" t="s">
        <v>399</v>
      </c>
      <c r="F63" s="591" t="s">
        <v>373</v>
      </c>
      <c r="G63" s="592" t="s">
        <v>400</v>
      </c>
      <c r="H63" s="591" t="s">
        <v>401</v>
      </c>
      <c r="I63" s="591" t="s">
        <v>389</v>
      </c>
      <c r="J63" s="592" t="s">
        <v>402</v>
      </c>
      <c r="K63" s="591" t="s">
        <v>403</v>
      </c>
      <c r="L63" s="593" t="s">
        <v>404</v>
      </c>
      <c r="M63" s="593" t="s">
        <v>405</v>
      </c>
      <c r="N63" s="593" t="s">
        <v>406</v>
      </c>
      <c r="O63" s="593" t="s">
        <v>407</v>
      </c>
      <c r="P63" s="593" t="s">
        <v>408</v>
      </c>
      <c r="Q63" s="593" t="s">
        <v>409</v>
      </c>
      <c r="R63" s="593" t="s">
        <v>410</v>
      </c>
      <c r="S63" s="593" t="s">
        <v>411</v>
      </c>
      <c r="U63" s="25"/>
    </row>
    <row r="64" spans="1:21" ht="46.5" customHeight="1">
      <c r="A64" s="594"/>
      <c r="B64" s="595"/>
      <c r="C64" s="595"/>
      <c r="D64" s="595"/>
      <c r="E64" s="596" t="s">
        <v>412</v>
      </c>
      <c r="F64" s="596" t="s">
        <v>413</v>
      </c>
      <c r="G64" s="597" t="s">
        <v>414</v>
      </c>
      <c r="H64" s="596" t="s">
        <v>415</v>
      </c>
      <c r="I64" s="596" t="s">
        <v>416</v>
      </c>
      <c r="J64" s="597" t="s">
        <v>417</v>
      </c>
      <c r="K64" s="596" t="s">
        <v>418</v>
      </c>
      <c r="L64" s="597" t="s">
        <v>419</v>
      </c>
      <c r="M64" s="596" t="s">
        <v>420</v>
      </c>
      <c r="N64" s="598" t="s">
        <v>421</v>
      </c>
      <c r="O64" s="599" t="s">
        <v>422</v>
      </c>
      <c r="P64" s="600" t="s">
        <v>423</v>
      </c>
      <c r="Q64" s="599" t="s">
        <v>424</v>
      </c>
      <c r="R64" s="601" t="s">
        <v>159</v>
      </c>
      <c r="S64" s="599" t="s">
        <v>425</v>
      </c>
      <c r="U64" s="25"/>
    </row>
    <row r="65" spans="1:21">
      <c r="A65" s="79"/>
      <c r="B65" s="25"/>
      <c r="C65" s="25"/>
      <c r="D65" s="25"/>
      <c r="E65" s="25"/>
      <c r="F65" s="25"/>
      <c r="G65" s="80"/>
      <c r="H65" s="25"/>
      <c r="I65" s="25"/>
      <c r="J65" s="80"/>
      <c r="K65" s="25"/>
      <c r="L65" s="80"/>
      <c r="M65" s="602"/>
      <c r="N65" s="80"/>
      <c r="O65" s="80"/>
      <c r="P65" s="25"/>
      <c r="Q65" s="603"/>
      <c r="R65" s="22"/>
      <c r="S65" s="81"/>
      <c r="U65" s="25"/>
    </row>
    <row r="66" spans="1:21">
      <c r="A66" s="82" t="s">
        <v>426</v>
      </c>
      <c r="B66" s="83"/>
      <c r="C66" s="84" t="s">
        <v>427</v>
      </c>
      <c r="D66" s="85" t="s">
        <v>428</v>
      </c>
      <c r="E66" s="86">
        <f>+'4- Rate Base'!$C$24*0.903</f>
        <v>68888883.937892303</v>
      </c>
      <c r="F66" s="45">
        <f t="shared" ref="F66:F84" si="0">$L$36</f>
        <v>0.13721129627244186</v>
      </c>
      <c r="G66" s="87">
        <f t="shared" ref="G66:G84" si="1">E66*F66</f>
        <v>9452333.0638800021</v>
      </c>
      <c r="H66" s="86">
        <f>(+'4- Rate Base'!$C$24-'4- Rate Base'!$I$24)*0.903</f>
        <v>66010154.97220847</v>
      </c>
      <c r="I66" s="45">
        <f>$L$46</f>
        <v>0.12114245647432212</v>
      </c>
      <c r="J66" s="270">
        <f>H66*I66</f>
        <v>7996632.3255840223</v>
      </c>
      <c r="K66" s="146">
        <f>+'5-P3 Support'!$M$24*0.903</f>
        <v>1740540.2404465443</v>
      </c>
      <c r="L66" s="270">
        <f>G66+J66+K66</f>
        <v>19189505.62991057</v>
      </c>
      <c r="M66" s="295">
        <v>0</v>
      </c>
      <c r="N66" s="270">
        <f>+'2-Incentive ROE'!K$40*'1-Project Rev Req'!M66/100</f>
        <v>0</v>
      </c>
      <c r="O66" s="270">
        <f>+L66+N66</f>
        <v>19189505.62991057</v>
      </c>
      <c r="P66" s="146">
        <v>0</v>
      </c>
      <c r="Q66" s="270">
        <f t="shared" ref="Q66:Q84" si="2">+L66+N66-P66</f>
        <v>19189505.62991057</v>
      </c>
      <c r="R66" s="146">
        <f>'3-Project True-up'!$K18</f>
        <v>9486536.6686785333</v>
      </c>
      <c r="S66" s="270">
        <f>+Q66+R66</f>
        <v>28676042.298589103</v>
      </c>
    </row>
    <row r="67" spans="1:21">
      <c r="A67" s="82" t="s">
        <v>429</v>
      </c>
      <c r="B67" s="83"/>
      <c r="C67" s="84" t="s">
        <v>430</v>
      </c>
      <c r="D67" s="85" t="s">
        <v>431</v>
      </c>
      <c r="E67" s="86">
        <f>+'4- Rate Base'!$C$24*0.097</f>
        <v>7400024.0774923079</v>
      </c>
      <c r="F67" s="45">
        <f t="shared" si="0"/>
        <v>0.13721129627244186</v>
      </c>
      <c r="G67" s="87">
        <f t="shared" si="1"/>
        <v>1015366.8961200003</v>
      </c>
      <c r="H67" s="86">
        <f>(+'4- Rate Base'!$C$24-'4- Rate Base'!$I$24)*0.097</f>
        <v>7090791.8408684619</v>
      </c>
      <c r="I67" s="45">
        <f t="shared" ref="I67:I84" si="3">$L$46</f>
        <v>0.12114245647432212</v>
      </c>
      <c r="J67" s="270">
        <f t="shared" ref="J67:J84" si="4">H67*I67</f>
        <v>858995.94195088604</v>
      </c>
      <c r="K67" s="146">
        <f>+'5-P3 Support'!$M$24*0.097</f>
        <v>186968.33147653908</v>
      </c>
      <c r="L67" s="270">
        <f t="shared" ref="L67:L84" si="5">G67+J67+K67</f>
        <v>2061331.1695474254</v>
      </c>
      <c r="M67" s="295">
        <v>0</v>
      </c>
      <c r="N67" s="270">
        <f>+'2-Incentive ROE'!K$40*'1-Project Rev Req'!M67/100</f>
        <v>0</v>
      </c>
      <c r="O67" s="270">
        <f t="shared" ref="O67:O84" si="6">+L67+N67</f>
        <v>2061331.1695474254</v>
      </c>
      <c r="P67" s="146">
        <v>0</v>
      </c>
      <c r="Q67" s="270">
        <f t="shared" si="2"/>
        <v>2061331.1695474254</v>
      </c>
      <c r="R67" s="146">
        <f>'3-Project True-up'!$K19</f>
        <v>1052495.2590765213</v>
      </c>
      <c r="S67" s="270">
        <f>+Q67+R67</f>
        <v>3113826.4286239464</v>
      </c>
    </row>
    <row r="68" spans="1:21">
      <c r="A68" s="82" t="s">
        <v>432</v>
      </c>
      <c r="B68" s="83"/>
      <c r="C68" s="84" t="s">
        <v>433</v>
      </c>
      <c r="D68" s="85" t="s">
        <v>434</v>
      </c>
      <c r="E68" s="86">
        <v>0</v>
      </c>
      <c r="F68" s="45">
        <f t="shared" si="0"/>
        <v>0.13721129627244186</v>
      </c>
      <c r="G68" s="87">
        <f t="shared" si="1"/>
        <v>0</v>
      </c>
      <c r="H68" s="86">
        <f>'4- Rate Base'!E24*0.97036</f>
        <v>26075840.747439023</v>
      </c>
      <c r="I68" s="45">
        <f t="shared" si="3"/>
        <v>0.12114245647432212</v>
      </c>
      <c r="J68" s="270">
        <f>H68*I68</f>
        <v>3158891.4027779871</v>
      </c>
      <c r="K68" s="146">
        <v>0</v>
      </c>
      <c r="L68" s="270">
        <f>G68+J68+K68</f>
        <v>3158891.4027779871</v>
      </c>
      <c r="M68" s="295">
        <v>0</v>
      </c>
      <c r="N68" s="270">
        <f>+'2-Incentive ROE'!K$40*'1-Project Rev Req'!M68/100</f>
        <v>0</v>
      </c>
      <c r="O68" s="270">
        <f t="shared" si="6"/>
        <v>3158891.4027779871</v>
      </c>
      <c r="P68" s="146">
        <v>0</v>
      </c>
      <c r="Q68" s="270">
        <f t="shared" si="2"/>
        <v>3158891.4027779871</v>
      </c>
      <c r="R68" s="146">
        <f>'3-Project True-up'!$K20</f>
        <v>827455.86926344433</v>
      </c>
      <c r="S68" s="270">
        <f>+Q68+R68</f>
        <v>3986347.2720414316</v>
      </c>
    </row>
    <row r="69" spans="1:21">
      <c r="A69" s="82" t="s">
        <v>435</v>
      </c>
      <c r="B69" s="83"/>
      <c r="C69" s="84" t="s">
        <v>433</v>
      </c>
      <c r="D69" s="85" t="s">
        <v>436</v>
      </c>
      <c r="E69" s="86">
        <v>0</v>
      </c>
      <c r="F69" s="45">
        <f t="shared" si="0"/>
        <v>0.13721129627244186</v>
      </c>
      <c r="G69" s="87">
        <f t="shared" si="1"/>
        <v>0</v>
      </c>
      <c r="H69" s="86">
        <f>'4- Rate Base'!E24*0.02964</f>
        <v>796496.06306328857</v>
      </c>
      <c r="I69" s="45">
        <f t="shared" si="3"/>
        <v>0.12114245647432212</v>
      </c>
      <c r="J69" s="270">
        <f t="shared" si="4"/>
        <v>96489.489651613359</v>
      </c>
      <c r="K69" s="146">
        <v>0</v>
      </c>
      <c r="L69" s="270">
        <f t="shared" si="5"/>
        <v>96489.489651613359</v>
      </c>
      <c r="M69" s="295">
        <v>0</v>
      </c>
      <c r="N69" s="270">
        <f>+'2-Incentive ROE'!K$40*'1-Project Rev Req'!M69/100</f>
        <v>0</v>
      </c>
      <c r="O69" s="270">
        <f t="shared" si="6"/>
        <v>96489.489651613359</v>
      </c>
      <c r="P69" s="146">
        <v>0</v>
      </c>
      <c r="Q69" s="270">
        <f t="shared" si="2"/>
        <v>96489.489651613359</v>
      </c>
      <c r="R69" s="146">
        <f>'3-Project True-up'!$K21</f>
        <v>25274.941222812653</v>
      </c>
      <c r="S69" s="270">
        <f>+Q69+R69</f>
        <v>121764.43087442601</v>
      </c>
    </row>
    <row r="70" spans="1:21">
      <c r="A70" s="82" t="s">
        <v>437</v>
      </c>
      <c r="B70" s="83"/>
      <c r="C70" s="84" t="s">
        <v>433</v>
      </c>
      <c r="D70" s="85" t="s">
        <v>438</v>
      </c>
      <c r="E70" s="86">
        <v>0</v>
      </c>
      <c r="F70" s="45">
        <f t="shared" si="0"/>
        <v>0.13721129627244186</v>
      </c>
      <c r="G70" s="87">
        <f t="shared" si="1"/>
        <v>0</v>
      </c>
      <c r="H70" s="86">
        <v>0</v>
      </c>
      <c r="I70" s="45">
        <f t="shared" si="3"/>
        <v>0.12114245647432212</v>
      </c>
      <c r="J70" s="270">
        <f t="shared" si="4"/>
        <v>0</v>
      </c>
      <c r="K70" s="146">
        <v>0</v>
      </c>
      <c r="L70" s="270">
        <f t="shared" si="5"/>
        <v>0</v>
      </c>
      <c r="M70" s="295">
        <v>0</v>
      </c>
      <c r="N70" s="270">
        <f>+'2-Incentive ROE'!K$40*'1-Project Rev Req'!M70/100</f>
        <v>0</v>
      </c>
      <c r="O70" s="270">
        <f t="shared" si="6"/>
        <v>0</v>
      </c>
      <c r="P70" s="146">
        <v>0</v>
      </c>
      <c r="Q70" s="270">
        <f t="shared" si="2"/>
        <v>0</v>
      </c>
      <c r="R70" s="146">
        <v>0</v>
      </c>
      <c r="S70" s="270">
        <f>+Q70+R70</f>
        <v>0</v>
      </c>
    </row>
    <row r="71" spans="1:21">
      <c r="A71" s="82" t="s">
        <v>439</v>
      </c>
      <c r="B71" s="83"/>
      <c r="C71" s="84" t="s">
        <v>433</v>
      </c>
      <c r="D71" s="85" t="s">
        <v>440</v>
      </c>
      <c r="E71" s="86">
        <v>0</v>
      </c>
      <c r="F71" s="45">
        <f t="shared" si="0"/>
        <v>0.13721129627244186</v>
      </c>
      <c r="G71" s="87">
        <f t="shared" si="1"/>
        <v>0</v>
      </c>
      <c r="H71" s="86">
        <v>0</v>
      </c>
      <c r="I71" s="45">
        <f t="shared" si="3"/>
        <v>0.12114245647432212</v>
      </c>
      <c r="J71" s="270">
        <f t="shared" si="4"/>
        <v>0</v>
      </c>
      <c r="K71" s="146">
        <v>0</v>
      </c>
      <c r="L71" s="270">
        <f t="shared" si="5"/>
        <v>0</v>
      </c>
      <c r="M71" s="295">
        <v>0</v>
      </c>
      <c r="N71" s="270">
        <f>+'2-Incentive ROE'!K$40*'1-Project Rev Req'!M71/100</f>
        <v>0</v>
      </c>
      <c r="O71" s="270">
        <f t="shared" si="6"/>
        <v>0</v>
      </c>
      <c r="P71" s="146">
        <v>0</v>
      </c>
      <c r="Q71" s="270">
        <f t="shared" si="2"/>
        <v>0</v>
      </c>
      <c r="R71" s="146">
        <v>0</v>
      </c>
      <c r="S71" s="270">
        <f t="shared" ref="S71:S85" si="7">L71+R71</f>
        <v>0</v>
      </c>
    </row>
    <row r="72" spans="1:21">
      <c r="A72" s="82" t="s">
        <v>441</v>
      </c>
      <c r="B72" s="83"/>
      <c r="C72" s="84" t="s">
        <v>433</v>
      </c>
      <c r="D72" s="85" t="s">
        <v>442</v>
      </c>
      <c r="E72" s="86">
        <v>0</v>
      </c>
      <c r="F72" s="45">
        <f t="shared" si="0"/>
        <v>0.13721129627244186</v>
      </c>
      <c r="G72" s="87">
        <f t="shared" si="1"/>
        <v>0</v>
      </c>
      <c r="H72" s="86">
        <v>0</v>
      </c>
      <c r="I72" s="45">
        <f t="shared" si="3"/>
        <v>0.12114245647432212</v>
      </c>
      <c r="J72" s="270">
        <f t="shared" si="4"/>
        <v>0</v>
      </c>
      <c r="K72" s="146">
        <v>0</v>
      </c>
      <c r="L72" s="270">
        <f t="shared" si="5"/>
        <v>0</v>
      </c>
      <c r="M72" s="295">
        <v>0</v>
      </c>
      <c r="N72" s="270">
        <f>+'2-Incentive ROE'!K$40*'1-Project Rev Req'!M72/100</f>
        <v>0</v>
      </c>
      <c r="O72" s="270">
        <f t="shared" si="6"/>
        <v>0</v>
      </c>
      <c r="P72" s="146">
        <v>0</v>
      </c>
      <c r="Q72" s="270">
        <f t="shared" si="2"/>
        <v>0</v>
      </c>
      <c r="R72" s="146">
        <v>0</v>
      </c>
      <c r="S72" s="270">
        <f t="shared" si="7"/>
        <v>0</v>
      </c>
    </row>
    <row r="73" spans="1:21">
      <c r="A73" s="82" t="s">
        <v>443</v>
      </c>
      <c r="B73" s="83"/>
      <c r="C73" s="84" t="s">
        <v>433</v>
      </c>
      <c r="D73" s="85" t="s">
        <v>444</v>
      </c>
      <c r="E73" s="86">
        <v>0</v>
      </c>
      <c r="F73" s="45">
        <f t="shared" si="0"/>
        <v>0.13721129627244186</v>
      </c>
      <c r="G73" s="87">
        <f t="shared" si="1"/>
        <v>0</v>
      </c>
      <c r="H73" s="86">
        <v>0</v>
      </c>
      <c r="I73" s="45">
        <f t="shared" si="3"/>
        <v>0.12114245647432212</v>
      </c>
      <c r="J73" s="270">
        <f t="shared" si="4"/>
        <v>0</v>
      </c>
      <c r="K73" s="146">
        <v>0</v>
      </c>
      <c r="L73" s="270">
        <f t="shared" si="5"/>
        <v>0</v>
      </c>
      <c r="M73" s="295">
        <v>0</v>
      </c>
      <c r="N73" s="270">
        <f>+'2-Incentive ROE'!K$40*'1-Project Rev Req'!M73/100</f>
        <v>0</v>
      </c>
      <c r="O73" s="270">
        <f t="shared" si="6"/>
        <v>0</v>
      </c>
      <c r="P73" s="146">
        <v>0</v>
      </c>
      <c r="Q73" s="270">
        <f t="shared" si="2"/>
        <v>0</v>
      </c>
      <c r="R73" s="146">
        <v>0</v>
      </c>
      <c r="S73" s="270">
        <f t="shared" si="7"/>
        <v>0</v>
      </c>
    </row>
    <row r="74" spans="1:21">
      <c r="A74" s="82" t="s">
        <v>445</v>
      </c>
      <c r="B74" s="83"/>
      <c r="C74" s="84" t="s">
        <v>433</v>
      </c>
      <c r="D74" s="85" t="s">
        <v>446</v>
      </c>
      <c r="E74" s="86">
        <v>0</v>
      </c>
      <c r="F74" s="45">
        <f t="shared" si="0"/>
        <v>0.13721129627244186</v>
      </c>
      <c r="G74" s="87">
        <f t="shared" si="1"/>
        <v>0</v>
      </c>
      <c r="H74" s="86">
        <v>0</v>
      </c>
      <c r="I74" s="45">
        <f t="shared" si="3"/>
        <v>0.12114245647432212</v>
      </c>
      <c r="J74" s="270">
        <f t="shared" si="4"/>
        <v>0</v>
      </c>
      <c r="K74" s="146">
        <v>0</v>
      </c>
      <c r="L74" s="270">
        <f t="shared" si="5"/>
        <v>0</v>
      </c>
      <c r="M74" s="295">
        <v>0</v>
      </c>
      <c r="N74" s="270">
        <f>+'2-Incentive ROE'!K$40*'1-Project Rev Req'!M74/100</f>
        <v>0</v>
      </c>
      <c r="O74" s="270">
        <f t="shared" si="6"/>
        <v>0</v>
      </c>
      <c r="P74" s="146">
        <v>0</v>
      </c>
      <c r="Q74" s="270">
        <f t="shared" si="2"/>
        <v>0</v>
      </c>
      <c r="R74" s="146">
        <v>0</v>
      </c>
      <c r="S74" s="270">
        <f t="shared" si="7"/>
        <v>0</v>
      </c>
    </row>
    <row r="75" spans="1:21">
      <c r="A75" s="82" t="s">
        <v>447</v>
      </c>
      <c r="B75" s="83"/>
      <c r="C75" s="84" t="s">
        <v>433</v>
      </c>
      <c r="D75" s="85" t="s">
        <v>448</v>
      </c>
      <c r="E75" s="86">
        <v>0</v>
      </c>
      <c r="F75" s="45">
        <f t="shared" si="0"/>
        <v>0.13721129627244186</v>
      </c>
      <c r="G75" s="87">
        <f t="shared" si="1"/>
        <v>0</v>
      </c>
      <c r="H75" s="86">
        <v>0</v>
      </c>
      <c r="I75" s="45">
        <f t="shared" si="3"/>
        <v>0.12114245647432212</v>
      </c>
      <c r="J75" s="270">
        <f t="shared" si="4"/>
        <v>0</v>
      </c>
      <c r="K75" s="146">
        <v>0</v>
      </c>
      <c r="L75" s="270">
        <f t="shared" si="5"/>
        <v>0</v>
      </c>
      <c r="M75" s="295">
        <v>0</v>
      </c>
      <c r="N75" s="270">
        <f>+'2-Incentive ROE'!K$40*'1-Project Rev Req'!M75/100</f>
        <v>0</v>
      </c>
      <c r="O75" s="270">
        <f t="shared" si="6"/>
        <v>0</v>
      </c>
      <c r="P75" s="146">
        <v>0</v>
      </c>
      <c r="Q75" s="270">
        <f t="shared" si="2"/>
        <v>0</v>
      </c>
      <c r="R75" s="146">
        <v>0</v>
      </c>
      <c r="S75" s="270">
        <f t="shared" si="7"/>
        <v>0</v>
      </c>
    </row>
    <row r="76" spans="1:21">
      <c r="A76" s="82" t="s">
        <v>449</v>
      </c>
      <c r="B76" s="83"/>
      <c r="C76" s="84" t="s">
        <v>433</v>
      </c>
      <c r="D76" s="85" t="s">
        <v>450</v>
      </c>
      <c r="E76" s="86">
        <v>0</v>
      </c>
      <c r="F76" s="45">
        <f t="shared" si="0"/>
        <v>0.13721129627244186</v>
      </c>
      <c r="G76" s="87">
        <f t="shared" si="1"/>
        <v>0</v>
      </c>
      <c r="H76" s="86">
        <v>0</v>
      </c>
      <c r="I76" s="45">
        <f t="shared" si="3"/>
        <v>0.12114245647432212</v>
      </c>
      <c r="J76" s="270">
        <f t="shared" si="4"/>
        <v>0</v>
      </c>
      <c r="K76" s="146">
        <v>0</v>
      </c>
      <c r="L76" s="270">
        <f t="shared" si="5"/>
        <v>0</v>
      </c>
      <c r="M76" s="295">
        <v>0</v>
      </c>
      <c r="N76" s="270">
        <f>+'2-Incentive ROE'!K$40*'1-Project Rev Req'!M76/100</f>
        <v>0</v>
      </c>
      <c r="O76" s="270">
        <f t="shared" si="6"/>
        <v>0</v>
      </c>
      <c r="P76" s="146">
        <v>0</v>
      </c>
      <c r="Q76" s="270">
        <f t="shared" si="2"/>
        <v>0</v>
      </c>
      <c r="R76" s="146">
        <v>0</v>
      </c>
      <c r="S76" s="270">
        <f t="shared" si="7"/>
        <v>0</v>
      </c>
    </row>
    <row r="77" spans="1:21">
      <c r="A77" s="82"/>
      <c r="B77" s="83"/>
      <c r="C77" s="84"/>
      <c r="D77" s="85"/>
      <c r="E77" s="86">
        <v>0</v>
      </c>
      <c r="F77" s="45">
        <f t="shared" si="0"/>
        <v>0.13721129627244186</v>
      </c>
      <c r="G77" s="87">
        <f t="shared" si="1"/>
        <v>0</v>
      </c>
      <c r="H77" s="86">
        <v>0</v>
      </c>
      <c r="I77" s="45">
        <f t="shared" si="3"/>
        <v>0.12114245647432212</v>
      </c>
      <c r="J77" s="270">
        <f t="shared" si="4"/>
        <v>0</v>
      </c>
      <c r="K77" s="146">
        <v>0</v>
      </c>
      <c r="L77" s="270">
        <f t="shared" si="5"/>
        <v>0</v>
      </c>
      <c r="M77" s="295">
        <v>0</v>
      </c>
      <c r="N77" s="270">
        <f>+'2-Incentive ROE'!K$40*'1-Project Rev Req'!M77/100</f>
        <v>0</v>
      </c>
      <c r="O77" s="270">
        <f t="shared" si="6"/>
        <v>0</v>
      </c>
      <c r="P77" s="146">
        <v>0</v>
      </c>
      <c r="Q77" s="270">
        <f t="shared" si="2"/>
        <v>0</v>
      </c>
      <c r="R77" s="146">
        <v>0</v>
      </c>
      <c r="S77" s="270">
        <f t="shared" si="7"/>
        <v>0</v>
      </c>
    </row>
    <row r="78" spans="1:21">
      <c r="A78" s="82"/>
      <c r="B78" s="83"/>
      <c r="C78" s="84"/>
      <c r="D78" s="85"/>
      <c r="E78" s="86">
        <v>0</v>
      </c>
      <c r="F78" s="45">
        <f t="shared" si="0"/>
        <v>0.13721129627244186</v>
      </c>
      <c r="G78" s="87">
        <f t="shared" si="1"/>
        <v>0</v>
      </c>
      <c r="H78" s="86">
        <v>0</v>
      </c>
      <c r="I78" s="45">
        <f t="shared" si="3"/>
        <v>0.12114245647432212</v>
      </c>
      <c r="J78" s="270">
        <f t="shared" si="4"/>
        <v>0</v>
      </c>
      <c r="K78" s="146">
        <v>0</v>
      </c>
      <c r="L78" s="270">
        <f t="shared" si="5"/>
        <v>0</v>
      </c>
      <c r="M78" s="295">
        <v>0</v>
      </c>
      <c r="N78" s="270">
        <f>+'2-Incentive ROE'!K$40*'1-Project Rev Req'!M78/100</f>
        <v>0</v>
      </c>
      <c r="O78" s="270">
        <f t="shared" si="6"/>
        <v>0</v>
      </c>
      <c r="P78" s="146">
        <v>0</v>
      </c>
      <c r="Q78" s="270">
        <f t="shared" si="2"/>
        <v>0</v>
      </c>
      <c r="R78" s="146">
        <v>0</v>
      </c>
      <c r="S78" s="270">
        <f t="shared" si="7"/>
        <v>0</v>
      </c>
    </row>
    <row r="79" spans="1:21">
      <c r="A79" s="82"/>
      <c r="B79" s="83"/>
      <c r="C79" s="84"/>
      <c r="D79" s="85"/>
      <c r="E79" s="86">
        <v>0</v>
      </c>
      <c r="F79" s="45">
        <f t="shared" si="0"/>
        <v>0.13721129627244186</v>
      </c>
      <c r="G79" s="87">
        <f t="shared" si="1"/>
        <v>0</v>
      </c>
      <c r="H79" s="86">
        <v>0</v>
      </c>
      <c r="I79" s="45">
        <f t="shared" si="3"/>
        <v>0.12114245647432212</v>
      </c>
      <c r="J79" s="270">
        <f t="shared" si="4"/>
        <v>0</v>
      </c>
      <c r="K79" s="146">
        <v>0</v>
      </c>
      <c r="L79" s="270">
        <f t="shared" si="5"/>
        <v>0</v>
      </c>
      <c r="M79" s="295">
        <v>0</v>
      </c>
      <c r="N79" s="270">
        <f>+'2-Incentive ROE'!K$40*'1-Project Rev Req'!M79/100</f>
        <v>0</v>
      </c>
      <c r="O79" s="270">
        <f t="shared" si="6"/>
        <v>0</v>
      </c>
      <c r="P79" s="146">
        <v>0</v>
      </c>
      <c r="Q79" s="270">
        <f t="shared" si="2"/>
        <v>0</v>
      </c>
      <c r="R79" s="146">
        <v>0</v>
      </c>
      <c r="S79" s="270">
        <f t="shared" si="7"/>
        <v>0</v>
      </c>
    </row>
    <row r="80" spans="1:21">
      <c r="A80" s="82"/>
      <c r="B80" s="83"/>
      <c r="C80" s="84"/>
      <c r="D80" s="85"/>
      <c r="E80" s="86">
        <v>0</v>
      </c>
      <c r="F80" s="45">
        <f t="shared" si="0"/>
        <v>0.13721129627244186</v>
      </c>
      <c r="G80" s="87">
        <f t="shared" si="1"/>
        <v>0</v>
      </c>
      <c r="H80" s="86">
        <v>0</v>
      </c>
      <c r="I80" s="45">
        <f t="shared" si="3"/>
        <v>0.12114245647432212</v>
      </c>
      <c r="J80" s="270">
        <f t="shared" si="4"/>
        <v>0</v>
      </c>
      <c r="K80" s="146">
        <v>0</v>
      </c>
      <c r="L80" s="270">
        <f t="shared" si="5"/>
        <v>0</v>
      </c>
      <c r="M80" s="295">
        <v>0</v>
      </c>
      <c r="N80" s="270">
        <f>+'2-Incentive ROE'!K$40*'1-Project Rev Req'!M80/100</f>
        <v>0</v>
      </c>
      <c r="O80" s="270">
        <f t="shared" si="6"/>
        <v>0</v>
      </c>
      <c r="P80" s="146">
        <v>0</v>
      </c>
      <c r="Q80" s="270">
        <f t="shared" si="2"/>
        <v>0</v>
      </c>
      <c r="R80" s="146">
        <v>0</v>
      </c>
      <c r="S80" s="270">
        <f t="shared" si="7"/>
        <v>0</v>
      </c>
    </row>
    <row r="81" spans="1:21">
      <c r="A81" s="88"/>
      <c r="C81" s="41"/>
      <c r="D81" s="41"/>
      <c r="E81" s="86">
        <v>0</v>
      </c>
      <c r="F81" s="45">
        <f t="shared" si="0"/>
        <v>0.13721129627244186</v>
      </c>
      <c r="G81" s="87">
        <f t="shared" si="1"/>
        <v>0</v>
      </c>
      <c r="H81" s="86">
        <v>0</v>
      </c>
      <c r="I81" s="45">
        <f t="shared" si="3"/>
        <v>0.12114245647432212</v>
      </c>
      <c r="J81" s="270">
        <f t="shared" si="4"/>
        <v>0</v>
      </c>
      <c r="K81" s="146">
        <v>0</v>
      </c>
      <c r="L81" s="270">
        <f t="shared" si="5"/>
        <v>0</v>
      </c>
      <c r="M81" s="295">
        <v>0</v>
      </c>
      <c r="N81" s="270">
        <f>+'2-Incentive ROE'!K$40*'1-Project Rev Req'!M81/100</f>
        <v>0</v>
      </c>
      <c r="O81" s="270">
        <f t="shared" si="6"/>
        <v>0</v>
      </c>
      <c r="P81" s="146">
        <v>0</v>
      </c>
      <c r="Q81" s="270">
        <f t="shared" si="2"/>
        <v>0</v>
      </c>
      <c r="R81" s="146">
        <v>0</v>
      </c>
      <c r="S81" s="270">
        <f t="shared" si="7"/>
        <v>0</v>
      </c>
    </row>
    <row r="82" spans="1:21">
      <c r="A82" s="88"/>
      <c r="C82" s="41"/>
      <c r="D82" s="41"/>
      <c r="E82" s="86">
        <v>0</v>
      </c>
      <c r="F82" s="45">
        <f t="shared" si="0"/>
        <v>0.13721129627244186</v>
      </c>
      <c r="G82" s="87">
        <f t="shared" si="1"/>
        <v>0</v>
      </c>
      <c r="H82" s="86">
        <v>0</v>
      </c>
      <c r="I82" s="45">
        <f t="shared" si="3"/>
        <v>0.12114245647432212</v>
      </c>
      <c r="J82" s="270">
        <f t="shared" si="4"/>
        <v>0</v>
      </c>
      <c r="K82" s="146">
        <v>0</v>
      </c>
      <c r="L82" s="270">
        <f t="shared" si="5"/>
        <v>0</v>
      </c>
      <c r="M82" s="295">
        <v>0</v>
      </c>
      <c r="N82" s="270">
        <f>+'2-Incentive ROE'!K$40*'1-Project Rev Req'!M82/100</f>
        <v>0</v>
      </c>
      <c r="O82" s="270">
        <f t="shared" si="6"/>
        <v>0</v>
      </c>
      <c r="P82" s="146">
        <v>0</v>
      </c>
      <c r="Q82" s="270">
        <f t="shared" si="2"/>
        <v>0</v>
      </c>
      <c r="R82" s="146">
        <v>0</v>
      </c>
      <c r="S82" s="270">
        <f t="shared" si="7"/>
        <v>0</v>
      </c>
    </row>
    <row r="83" spans="1:21">
      <c r="A83" s="88"/>
      <c r="C83" s="41"/>
      <c r="D83" s="41"/>
      <c r="E83" s="86">
        <v>0</v>
      </c>
      <c r="F83" s="45">
        <f t="shared" si="0"/>
        <v>0.13721129627244186</v>
      </c>
      <c r="G83" s="87">
        <f t="shared" si="1"/>
        <v>0</v>
      </c>
      <c r="H83" s="86">
        <v>0</v>
      </c>
      <c r="I83" s="45">
        <f t="shared" si="3"/>
        <v>0.12114245647432212</v>
      </c>
      <c r="J83" s="270">
        <f t="shared" si="4"/>
        <v>0</v>
      </c>
      <c r="K83" s="146">
        <v>0</v>
      </c>
      <c r="L83" s="270">
        <f t="shared" si="5"/>
        <v>0</v>
      </c>
      <c r="M83" s="295">
        <v>0</v>
      </c>
      <c r="N83" s="270">
        <f>+'2-Incentive ROE'!K$40*'1-Project Rev Req'!M83/100</f>
        <v>0</v>
      </c>
      <c r="O83" s="270">
        <f t="shared" si="6"/>
        <v>0</v>
      </c>
      <c r="P83" s="146">
        <v>0</v>
      </c>
      <c r="Q83" s="270">
        <f t="shared" si="2"/>
        <v>0</v>
      </c>
      <c r="R83" s="146">
        <v>0</v>
      </c>
      <c r="S83" s="270">
        <f t="shared" si="7"/>
        <v>0</v>
      </c>
    </row>
    <row r="84" spans="1:21">
      <c r="A84" s="88"/>
      <c r="C84" s="41"/>
      <c r="D84" s="41"/>
      <c r="E84" s="86">
        <v>0</v>
      </c>
      <c r="F84" s="45">
        <f t="shared" si="0"/>
        <v>0.13721129627244186</v>
      </c>
      <c r="G84" s="87">
        <f t="shared" si="1"/>
        <v>0</v>
      </c>
      <c r="H84" s="86">
        <v>0</v>
      </c>
      <c r="I84" s="45">
        <f t="shared" si="3"/>
        <v>0.12114245647432212</v>
      </c>
      <c r="J84" s="270">
        <f t="shared" si="4"/>
        <v>0</v>
      </c>
      <c r="K84" s="146">
        <v>0</v>
      </c>
      <c r="L84" s="270">
        <f t="shared" si="5"/>
        <v>0</v>
      </c>
      <c r="M84" s="295">
        <v>0</v>
      </c>
      <c r="N84" s="270">
        <f>+'2-Incentive ROE'!K$40*'1-Project Rev Req'!M84/100</f>
        <v>0</v>
      </c>
      <c r="O84" s="270">
        <f t="shared" si="6"/>
        <v>0</v>
      </c>
      <c r="P84" s="146">
        <v>0</v>
      </c>
      <c r="Q84" s="270">
        <f t="shared" si="2"/>
        <v>0</v>
      </c>
      <c r="R84" s="146">
        <v>0</v>
      </c>
      <c r="S84" s="270">
        <f t="shared" si="7"/>
        <v>0</v>
      </c>
    </row>
    <row r="85" spans="1:21">
      <c r="A85" s="89"/>
      <c r="B85" s="42"/>
      <c r="C85" s="42"/>
      <c r="D85" s="42"/>
      <c r="E85" s="42"/>
      <c r="F85" s="42"/>
      <c r="G85" s="43"/>
      <c r="H85" s="42"/>
      <c r="I85" s="42"/>
      <c r="J85" s="271"/>
      <c r="K85" s="407"/>
      <c r="L85" s="271"/>
      <c r="M85" s="408"/>
      <c r="N85" s="409"/>
      <c r="O85" s="409"/>
      <c r="P85" s="410"/>
      <c r="Q85" s="409"/>
      <c r="R85" s="407"/>
      <c r="S85" s="271">
        <f t="shared" si="7"/>
        <v>0</v>
      </c>
    </row>
    <row r="86" spans="1:21">
      <c r="A86" s="54" t="s">
        <v>388</v>
      </c>
      <c r="B86" s="46"/>
      <c r="C86" s="25" t="s">
        <v>451</v>
      </c>
      <c r="D86" s="25"/>
      <c r="E86" s="90"/>
      <c r="F86" s="47"/>
      <c r="G86" s="22"/>
      <c r="H86" s="90"/>
      <c r="I86" s="22"/>
      <c r="J86" s="44"/>
      <c r="K86" s="44"/>
      <c r="L86" s="44"/>
      <c r="M86" s="44"/>
      <c r="N86" s="44"/>
      <c r="O86" s="44"/>
      <c r="P86" s="44">
        <f>SUM(P66:P85)</f>
        <v>0</v>
      </c>
      <c r="Q86" s="44"/>
      <c r="R86" s="44"/>
      <c r="S86" s="44">
        <f>SUM(S66:S85)</f>
        <v>35897980.43012891</v>
      </c>
      <c r="U86" s="640"/>
    </row>
    <row r="87" spans="1:21">
      <c r="E87" s="44"/>
      <c r="F87" s="44"/>
      <c r="G87" s="44"/>
      <c r="H87" s="44"/>
      <c r="I87" s="44"/>
      <c r="J87" s="44"/>
      <c r="K87" s="44"/>
      <c r="L87" s="45"/>
      <c r="U87" s="640"/>
    </row>
    <row r="88" spans="1:21">
      <c r="A88" s="91"/>
      <c r="E88" s="44"/>
      <c r="F88" s="44"/>
      <c r="G88" s="44"/>
      <c r="H88" s="44"/>
      <c r="I88" s="44"/>
      <c r="J88" s="44"/>
      <c r="K88" s="44"/>
      <c r="L88" s="45"/>
      <c r="M88" s="76"/>
      <c r="N88" s="76"/>
      <c r="O88" s="76"/>
      <c r="U88" s="640"/>
    </row>
    <row r="89" spans="1:21">
      <c r="K89" s="46"/>
      <c r="L89" s="46"/>
      <c r="M89" s="46"/>
      <c r="N89" s="46"/>
      <c r="O89" s="46"/>
      <c r="U89" s="640"/>
    </row>
    <row r="90" spans="1:21">
      <c r="K90" s="46"/>
      <c r="L90" s="46"/>
      <c r="M90" s="46"/>
      <c r="N90" s="46"/>
      <c r="O90" s="46"/>
      <c r="U90" s="640"/>
    </row>
    <row r="91" spans="1:21">
      <c r="A91" s="24" t="s">
        <v>280</v>
      </c>
      <c r="U91" s="640"/>
    </row>
    <row r="92" spans="1:21" ht="13.5" thickBot="1">
      <c r="A92" s="604" t="s">
        <v>281</v>
      </c>
      <c r="U92" s="640"/>
    </row>
    <row r="93" spans="1:21">
      <c r="A93" s="92" t="s">
        <v>452</v>
      </c>
      <c r="C93" s="682" t="s">
        <v>453</v>
      </c>
      <c r="D93" s="682"/>
      <c r="E93" s="682"/>
      <c r="F93" s="682"/>
      <c r="G93" s="682"/>
      <c r="H93" s="682"/>
      <c r="I93" s="682"/>
      <c r="J93" s="682"/>
      <c r="K93" s="682"/>
      <c r="L93" s="682"/>
      <c r="M93" s="682"/>
      <c r="N93" s="682"/>
      <c r="O93" s="682"/>
      <c r="P93" s="682"/>
      <c r="Q93" s="682"/>
      <c r="U93" s="640"/>
    </row>
    <row r="94" spans="1:21">
      <c r="A94" s="92" t="s">
        <v>454</v>
      </c>
      <c r="C94" s="682" t="s">
        <v>455</v>
      </c>
      <c r="D94" s="682"/>
      <c r="E94" s="682"/>
      <c r="F94" s="682"/>
      <c r="G94" s="682"/>
      <c r="H94" s="682"/>
      <c r="I94" s="682"/>
      <c r="J94" s="682"/>
      <c r="K94" s="682"/>
      <c r="L94" s="682"/>
      <c r="M94" s="682"/>
      <c r="N94" s="682"/>
      <c r="O94" s="682"/>
      <c r="P94" s="682"/>
      <c r="Q94" s="682"/>
      <c r="U94" s="640"/>
    </row>
    <row r="95" spans="1:21">
      <c r="A95" s="92" t="s">
        <v>286</v>
      </c>
      <c r="C95" s="683" t="s">
        <v>456</v>
      </c>
      <c r="D95" s="683"/>
      <c r="E95" s="683"/>
      <c r="F95" s="683"/>
      <c r="G95" s="683"/>
      <c r="H95" s="683"/>
      <c r="I95" s="683"/>
      <c r="J95" s="683"/>
      <c r="K95" s="683"/>
      <c r="L95" s="683"/>
      <c r="M95" s="683"/>
      <c r="N95" s="683"/>
      <c r="O95" s="683"/>
      <c r="P95" s="683"/>
      <c r="Q95" s="683"/>
      <c r="U95" s="640"/>
    </row>
    <row r="96" spans="1:21">
      <c r="C96" s="24" t="s">
        <v>457</v>
      </c>
      <c r="U96" s="640"/>
    </row>
    <row r="97" spans="1:21">
      <c r="A97" s="92" t="s">
        <v>288</v>
      </c>
      <c r="C97" s="683" t="s">
        <v>458</v>
      </c>
      <c r="D97" s="683"/>
      <c r="E97" s="683"/>
      <c r="F97" s="683"/>
      <c r="G97" s="683"/>
      <c r="H97" s="683"/>
      <c r="I97" s="683"/>
      <c r="J97" s="683"/>
      <c r="K97" s="683"/>
      <c r="L97" s="683"/>
      <c r="M97" s="683"/>
      <c r="N97" s="683"/>
      <c r="O97" s="683"/>
      <c r="P97" s="683"/>
      <c r="Q97" s="683"/>
      <c r="U97" s="640"/>
    </row>
    <row r="98" spans="1:21">
      <c r="A98" s="47" t="s">
        <v>290</v>
      </c>
      <c r="C98" s="681" t="s">
        <v>459</v>
      </c>
      <c r="D98" s="681"/>
      <c r="E98" s="681"/>
      <c r="F98" s="681"/>
      <c r="G98" s="681"/>
      <c r="H98" s="681"/>
      <c r="I98" s="681"/>
      <c r="J98" s="681"/>
      <c r="K98" s="681"/>
      <c r="L98" s="681"/>
      <c r="M98" s="681"/>
      <c r="N98" s="681"/>
      <c r="O98" s="681"/>
      <c r="P98" s="681"/>
      <c r="Q98" s="681"/>
      <c r="U98" s="640"/>
    </row>
    <row r="99" spans="1:21">
      <c r="A99" s="47" t="s">
        <v>292</v>
      </c>
      <c r="C99" s="681" t="s">
        <v>460</v>
      </c>
      <c r="D99" s="681"/>
      <c r="E99" s="681"/>
      <c r="F99" s="681"/>
      <c r="G99" s="681"/>
      <c r="H99" s="681"/>
      <c r="I99" s="681"/>
      <c r="J99" s="681"/>
      <c r="K99" s="681"/>
      <c r="L99" s="681"/>
      <c r="M99" s="681"/>
      <c r="N99" s="681"/>
      <c r="O99" s="681"/>
      <c r="P99" s="681"/>
      <c r="Q99" s="681"/>
    </row>
    <row r="100" spans="1:21">
      <c r="A100" s="47" t="s">
        <v>294</v>
      </c>
      <c r="C100" s="681" t="s">
        <v>461</v>
      </c>
      <c r="D100" s="681"/>
      <c r="E100" s="681"/>
      <c r="F100" s="681"/>
      <c r="G100" s="681"/>
      <c r="H100" s="681"/>
      <c r="I100" s="681"/>
      <c r="J100" s="681"/>
      <c r="K100" s="681"/>
      <c r="L100" s="681"/>
      <c r="M100" s="681"/>
      <c r="N100" s="681"/>
      <c r="O100" s="681"/>
      <c r="P100" s="681"/>
      <c r="Q100" s="681"/>
    </row>
    <row r="101" spans="1:21">
      <c r="A101" s="47" t="s">
        <v>302</v>
      </c>
      <c r="C101" s="681" t="s">
        <v>462</v>
      </c>
      <c r="D101" s="681"/>
      <c r="E101" s="681"/>
      <c r="F101" s="681"/>
      <c r="G101" s="681"/>
      <c r="H101" s="681"/>
      <c r="I101" s="681"/>
      <c r="J101" s="681"/>
      <c r="K101" s="681"/>
      <c r="L101" s="681"/>
      <c r="M101" s="681"/>
      <c r="N101" s="681"/>
      <c r="O101" s="681"/>
      <c r="P101" s="681"/>
      <c r="Q101" s="681"/>
    </row>
    <row r="102" spans="1:21">
      <c r="A102" s="47" t="s">
        <v>304</v>
      </c>
      <c r="C102" s="24" t="s">
        <v>463</v>
      </c>
    </row>
    <row r="103" spans="1:21">
      <c r="A103" s="54" t="s">
        <v>306</v>
      </c>
      <c r="C103" s="454" t="s">
        <v>464</v>
      </c>
      <c r="D103" s="454"/>
      <c r="E103" s="454"/>
      <c r="F103" s="454"/>
      <c r="G103" s="454"/>
      <c r="H103" s="454"/>
      <c r="I103" s="454"/>
      <c r="J103" s="454"/>
      <c r="K103" s="454"/>
      <c r="L103" s="454"/>
      <c r="M103" s="454"/>
      <c r="N103" s="454"/>
      <c r="O103" s="454"/>
      <c r="P103" s="22"/>
      <c r="Q103" s="49"/>
    </row>
    <row r="104" spans="1:21">
      <c r="A104" s="54" t="s">
        <v>308</v>
      </c>
      <c r="C104" s="24" t="s">
        <v>465</v>
      </c>
      <c r="D104" s="54"/>
      <c r="E104" s="47"/>
      <c r="F104" s="47"/>
      <c r="G104" s="22"/>
      <c r="J104" s="66"/>
      <c r="P104" s="22"/>
      <c r="Q104" s="63"/>
    </row>
    <row r="105" spans="1:21">
      <c r="A105" s="47" t="s">
        <v>312</v>
      </c>
      <c r="C105" s="15" t="s">
        <v>466</v>
      </c>
    </row>
    <row r="106" spans="1:21">
      <c r="A106" s="47" t="s">
        <v>467</v>
      </c>
      <c r="C106" s="24" t="s">
        <v>468</v>
      </c>
    </row>
    <row r="107" spans="1:21">
      <c r="A107" s="47" t="s">
        <v>316</v>
      </c>
      <c r="C107" s="24" t="s">
        <v>469</v>
      </c>
    </row>
    <row r="108" spans="1:21">
      <c r="C108" s="24" t="s">
        <v>470</v>
      </c>
    </row>
    <row r="109" spans="1:21" ht="15.75">
      <c r="C109" s="680"/>
      <c r="D109" s="680"/>
      <c r="E109" s="680"/>
      <c r="F109" s="680"/>
      <c r="G109" s="680"/>
    </row>
  </sheetData>
  <customSheetViews>
    <customSheetView guid="{F04A2B9A-C6FE-4FEB-AD1E-2CF9AC309BE4}" scale="50" showPageBreaks="1" printArea="1" view="pageBreakPreview">
      <selection activeCell="G20" sqref="G20"/>
      <rowBreaks count="1" manualBreakCount="1">
        <brk id="50" max="13" man="1"/>
      </rowBreaks>
      <pageMargins left="0" right="0" top="0" bottom="0" header="0" footer="0"/>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1" fitToHeight="0" orientation="landscape" r:id="rId2"/>
  <rowBreaks count="1" manualBreakCount="1">
    <brk id="50" max="18" man="1"/>
  </rowBreaks>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8"/>
  <sheetViews>
    <sheetView topLeftCell="A32" zoomScale="70" zoomScaleNormal="70" zoomScaleSheetLayoutView="75" workbookViewId="0"/>
  </sheetViews>
  <sheetFormatPr defaultRowHeight="15.75"/>
  <cols>
    <col min="1" max="1" width="5.5546875" style="218" customWidth="1"/>
    <col min="2" max="2" width="21.5546875" style="224" customWidth="1"/>
    <col min="3" max="3" width="32.44140625" style="224" customWidth="1"/>
    <col min="4" max="4" width="25.21875" style="224" customWidth="1"/>
    <col min="5" max="5" width="14.6640625" style="224" bestFit="1" customWidth="1"/>
    <col min="6" max="6" width="6.5546875" style="224" customWidth="1"/>
    <col min="7" max="7" width="9" style="224" bestFit="1" customWidth="1"/>
    <col min="8" max="8" width="6.33203125" style="224" bestFit="1" customWidth="1"/>
    <col min="9" max="9" width="12.21875" style="224" customWidth="1"/>
    <col min="10" max="10" width="24.109375" style="229" bestFit="1" customWidth="1"/>
    <col min="11" max="11" width="16.33203125" bestFit="1" customWidth="1"/>
  </cols>
  <sheetData>
    <row r="1" spans="1:11">
      <c r="C1" s="219"/>
      <c r="D1" s="219"/>
      <c r="E1" s="219"/>
      <c r="F1" s="220"/>
      <c r="G1" s="219"/>
      <c r="H1" s="219"/>
      <c r="I1" s="219"/>
      <c r="J1" s="288"/>
    </row>
    <row r="2" spans="1:11">
      <c r="B2" s="218"/>
      <c r="C2" s="219"/>
      <c r="D2" s="219"/>
      <c r="E2" s="219"/>
      <c r="F2" s="220"/>
      <c r="G2" s="219"/>
      <c r="H2" s="219"/>
      <c r="I2" s="219"/>
      <c r="J2" s="288"/>
    </row>
    <row r="3" spans="1:11">
      <c r="C3" s="219"/>
      <c r="D3" s="221" t="s">
        <v>11</v>
      </c>
      <c r="E3" s="221"/>
      <c r="F3" s="220" t="s">
        <v>471</v>
      </c>
      <c r="H3" s="221"/>
      <c r="I3" s="221"/>
      <c r="J3" s="219"/>
      <c r="K3" s="403" t="s">
        <v>472</v>
      </c>
    </row>
    <row r="4" spans="1:11">
      <c r="B4" s="223"/>
      <c r="C4" s="223"/>
      <c r="D4" s="223"/>
      <c r="E4" s="223"/>
      <c r="F4" s="269" t="s">
        <v>473</v>
      </c>
      <c r="H4" s="223"/>
      <c r="I4" s="223"/>
      <c r="J4" s="223"/>
      <c r="K4" s="222"/>
    </row>
    <row r="5" spans="1:11">
      <c r="B5" s="223"/>
      <c r="C5" s="223"/>
      <c r="D5" s="223"/>
      <c r="F5" s="455" t="str">
        <f>'Attachment H'!$D$5</f>
        <v>NextEra Energy Transmission MidAtlantic, Inc.</v>
      </c>
      <c r="H5" s="223"/>
      <c r="I5" s="223"/>
      <c r="J5" s="223"/>
      <c r="K5" s="223"/>
    </row>
    <row r="7" spans="1:11">
      <c r="A7" s="218">
        <v>1</v>
      </c>
      <c r="B7" s="224" t="s">
        <v>474</v>
      </c>
      <c r="C7" s="224" t="s">
        <v>475</v>
      </c>
      <c r="J7" s="224"/>
      <c r="K7" s="262">
        <f>+'Attachment H'!I106</f>
        <v>99062874.036765143</v>
      </c>
    </row>
    <row r="8" spans="1:11">
      <c r="J8" s="224"/>
      <c r="K8" s="229"/>
    </row>
    <row r="9" spans="1:11" ht="16.5" thickBot="1">
      <c r="A9" s="226">
        <f>+A7+1</f>
        <v>2</v>
      </c>
      <c r="B9" s="227" t="s">
        <v>476</v>
      </c>
      <c r="C9" s="228"/>
      <c r="D9" s="228"/>
      <c r="E9" s="228"/>
      <c r="F9" s="228"/>
      <c r="G9" s="228"/>
      <c r="H9" s="228"/>
      <c r="I9" s="228"/>
      <c r="J9" s="605" t="s">
        <v>220</v>
      </c>
      <c r="K9" s="229"/>
    </row>
    <row r="10" spans="1:11">
      <c r="A10" s="226"/>
      <c r="B10" s="230"/>
      <c r="C10" s="228"/>
      <c r="D10" s="228"/>
      <c r="E10" s="228"/>
      <c r="F10" s="228"/>
      <c r="G10" s="228"/>
      <c r="H10" s="231" t="s">
        <v>248</v>
      </c>
      <c r="I10" s="228"/>
      <c r="J10" s="228"/>
      <c r="K10" s="229"/>
    </row>
    <row r="11" spans="1:11" ht="16.5" thickBot="1">
      <c r="A11" s="226"/>
      <c r="B11" s="230"/>
      <c r="C11" s="228"/>
      <c r="D11" s="228"/>
      <c r="E11" s="606" t="s">
        <v>220</v>
      </c>
      <c r="F11" s="606" t="s">
        <v>249</v>
      </c>
      <c r="G11" s="228"/>
      <c r="H11" s="606"/>
      <c r="I11" s="228"/>
      <c r="J11" s="606" t="s">
        <v>250</v>
      </c>
      <c r="K11" s="229"/>
    </row>
    <row r="12" spans="1:11">
      <c r="A12" s="226">
        <f>+A9+1</f>
        <v>3</v>
      </c>
      <c r="B12" s="227" t="s">
        <v>251</v>
      </c>
      <c r="C12" s="232" t="s">
        <v>477</v>
      </c>
      <c r="D12" s="232"/>
      <c r="E12" s="233">
        <v>0</v>
      </c>
      <c r="F12" s="297">
        <v>0</v>
      </c>
      <c r="G12" s="225"/>
      <c r="H12" s="297">
        <v>0</v>
      </c>
      <c r="I12" s="225"/>
      <c r="J12" s="225">
        <f>F12*H12</f>
        <v>0</v>
      </c>
      <c r="K12" s="229"/>
    </row>
    <row r="13" spans="1:11">
      <c r="A13" s="226">
        <f>+A12+1</f>
        <v>4</v>
      </c>
      <c r="B13" s="227" t="s">
        <v>478</v>
      </c>
      <c r="C13" s="232" t="s">
        <v>477</v>
      </c>
      <c r="D13" s="232"/>
      <c r="E13" s="233">
        <v>0</v>
      </c>
      <c r="F13" s="297">
        <v>0</v>
      </c>
      <c r="G13" s="225"/>
      <c r="H13" s="225">
        <v>0</v>
      </c>
      <c r="I13" s="225"/>
      <c r="J13" s="225">
        <f>F13*H13</f>
        <v>0</v>
      </c>
      <c r="K13" s="229"/>
    </row>
    <row r="14" spans="1:11" ht="32.25" thickBot="1">
      <c r="A14" s="226">
        <f>+A13+1</f>
        <v>5</v>
      </c>
      <c r="B14" s="227" t="s">
        <v>256</v>
      </c>
      <c r="C14" s="232" t="s">
        <v>479</v>
      </c>
      <c r="D14" s="285" t="s">
        <v>480</v>
      </c>
      <c r="E14" s="607">
        <v>0</v>
      </c>
      <c r="F14" s="297">
        <v>0</v>
      </c>
      <c r="G14" s="225"/>
      <c r="H14" s="302">
        <f>+'Attachment H'!G212+0.01</f>
        <v>0.125</v>
      </c>
      <c r="I14" s="225"/>
      <c r="J14" s="608">
        <f>F14*H14</f>
        <v>0</v>
      </c>
      <c r="K14" s="229"/>
    </row>
    <row r="15" spans="1:11">
      <c r="A15" s="226">
        <f>+A14+1</f>
        <v>6</v>
      </c>
      <c r="B15" s="230" t="s">
        <v>481</v>
      </c>
      <c r="C15" s="232"/>
      <c r="D15" s="232"/>
      <c r="E15" s="234">
        <f>SUM(E12:E14)</f>
        <v>0</v>
      </c>
      <c r="F15" s="225" t="s">
        <v>11</v>
      </c>
      <c r="G15" s="225"/>
      <c r="H15" s="225"/>
      <c r="I15" s="225"/>
      <c r="J15" s="225">
        <f>SUM(J12:J14)</f>
        <v>0</v>
      </c>
      <c r="K15" s="229"/>
    </row>
    <row r="16" spans="1:11">
      <c r="A16" s="226">
        <f t="shared" ref="A16:A40" si="0">+A15+1</f>
        <v>7</v>
      </c>
      <c r="B16" s="230" t="s">
        <v>482</v>
      </c>
      <c r="C16" s="232"/>
      <c r="D16" s="232"/>
      <c r="E16" s="234"/>
      <c r="F16" s="228"/>
      <c r="G16" s="228"/>
      <c r="H16" s="228"/>
      <c r="I16" s="228"/>
      <c r="J16" s="225"/>
      <c r="K16" s="225">
        <f>+J15*K7</f>
        <v>0</v>
      </c>
    </row>
    <row r="17" spans="1:11">
      <c r="A17" s="226"/>
      <c r="J17" s="224"/>
      <c r="K17" s="229"/>
    </row>
    <row r="18" spans="1:11">
      <c r="A18" s="226">
        <f>+A16+1</f>
        <v>8</v>
      </c>
      <c r="B18" s="230" t="s">
        <v>176</v>
      </c>
      <c r="C18" s="228"/>
      <c r="D18" s="228"/>
      <c r="E18" s="228"/>
      <c r="F18" s="228"/>
      <c r="G18" s="232"/>
      <c r="H18" s="235"/>
      <c r="I18" s="228"/>
      <c r="J18" s="232"/>
      <c r="K18" s="229"/>
    </row>
    <row r="19" spans="1:11">
      <c r="A19" s="226">
        <f t="shared" si="0"/>
        <v>9</v>
      </c>
      <c r="B19" s="236" t="s">
        <v>483</v>
      </c>
      <c r="C19" s="228"/>
      <c r="D19" s="28"/>
      <c r="E19" s="272">
        <f>IF('Attachment H'!D252&gt;0,1-(((1-'Attachment H'!D253)*(1-'Attachment H'!D252))/(1-'Attachment H'!D252*'Attachment H'!D253*'Attachment H'!D254)),0)</f>
        <v>0.24870999999999999</v>
      </c>
      <c r="F19" s="272"/>
      <c r="G19" s="232"/>
      <c r="H19" s="235"/>
      <c r="I19" s="228"/>
      <c r="J19" s="232"/>
      <c r="K19" s="229"/>
    </row>
    <row r="20" spans="1:11">
      <c r="A20" s="226">
        <f t="shared" si="0"/>
        <v>10</v>
      </c>
      <c r="B20" s="232" t="s">
        <v>179</v>
      </c>
      <c r="C20" s="228"/>
      <c r="D20" s="28"/>
      <c r="E20" s="272">
        <f>IF(J15&gt;0,(E19/(1-E19))*(1-J12/J15),0)</f>
        <v>0</v>
      </c>
      <c r="F20" s="228"/>
      <c r="G20" s="232"/>
      <c r="H20" s="235"/>
      <c r="I20" s="228"/>
      <c r="J20" s="232"/>
      <c r="K20" s="229"/>
    </row>
    <row r="21" spans="1:11">
      <c r="A21" s="226">
        <f t="shared" si="0"/>
        <v>11</v>
      </c>
      <c r="B21" s="228" t="s">
        <v>484</v>
      </c>
      <c r="C21" s="228"/>
      <c r="D21" s="28"/>
      <c r="E21" s="228"/>
      <c r="F21" s="228"/>
      <c r="G21" s="232"/>
      <c r="H21" s="235"/>
      <c r="I21" s="228"/>
      <c r="J21" s="232"/>
      <c r="K21" s="229"/>
    </row>
    <row r="22" spans="1:11">
      <c r="A22" s="226">
        <f t="shared" si="0"/>
        <v>12</v>
      </c>
      <c r="B22" s="230" t="s">
        <v>485</v>
      </c>
      <c r="C22" s="228"/>
      <c r="D22" s="228"/>
      <c r="E22" s="228"/>
      <c r="F22" s="228"/>
      <c r="G22" s="232"/>
      <c r="H22" s="235"/>
      <c r="I22" s="228"/>
      <c r="J22" s="232"/>
      <c r="K22" s="229"/>
    </row>
    <row r="23" spans="1:11">
      <c r="A23" s="226">
        <f t="shared" si="0"/>
        <v>13</v>
      </c>
      <c r="B23" s="236" t="str">
        <f>"      1 / (1 - T)  =  (from line "&amp;A19&amp;")"</f>
        <v xml:space="preserve">      1 / (1 - T)  =  (from line 9)</v>
      </c>
      <c r="C23" s="228"/>
      <c r="D23" s="228"/>
      <c r="E23" s="272">
        <f>IF(E19&gt;0,1/(1-E19),0)</f>
        <v>1.3310439377603855</v>
      </c>
      <c r="F23" s="228"/>
      <c r="G23" s="232"/>
      <c r="H23" s="235"/>
      <c r="I23" s="228"/>
      <c r="J23" s="232"/>
      <c r="K23" s="229"/>
    </row>
    <row r="24" spans="1:11">
      <c r="A24" s="226">
        <f t="shared" si="0"/>
        <v>14</v>
      </c>
      <c r="B24" s="230" t="s">
        <v>486</v>
      </c>
      <c r="C24" s="228"/>
      <c r="D24" s="228" t="s">
        <v>487</v>
      </c>
      <c r="E24" s="237">
        <f>+'Attachment H'!D160</f>
        <v>0</v>
      </c>
      <c r="F24" s="228"/>
      <c r="G24" s="232"/>
      <c r="H24" s="235"/>
      <c r="I24" s="228"/>
      <c r="J24" s="232"/>
      <c r="K24" s="229"/>
    </row>
    <row r="25" spans="1:11">
      <c r="A25" s="226">
        <f t="shared" si="0"/>
        <v>15</v>
      </c>
      <c r="B25" s="230" t="s">
        <v>488</v>
      </c>
      <c r="C25" s="228"/>
      <c r="D25" s="228" t="s">
        <v>489</v>
      </c>
      <c r="E25" s="237">
        <f>+'Attachment H'!D161</f>
        <v>0</v>
      </c>
      <c r="F25" s="228"/>
      <c r="G25" s="232"/>
      <c r="H25" s="238"/>
      <c r="I25" s="228"/>
      <c r="J25" s="232"/>
      <c r="K25" s="229"/>
    </row>
    <row r="26" spans="1:11">
      <c r="A26" s="226">
        <f t="shared" si="0"/>
        <v>16</v>
      </c>
      <c r="B26" s="230" t="s">
        <v>490</v>
      </c>
      <c r="C26" s="228"/>
      <c r="D26" s="228" t="s">
        <v>491</v>
      </c>
      <c r="E26" s="237">
        <f>+'Attachment H'!D162</f>
        <v>13749.683639999997</v>
      </c>
      <c r="F26" s="228"/>
      <c r="G26" s="232"/>
      <c r="H26" s="235"/>
      <c r="I26" s="228"/>
      <c r="J26" s="232"/>
      <c r="K26" s="229"/>
    </row>
    <row r="27" spans="1:11">
      <c r="A27" s="226">
        <f t="shared" si="0"/>
        <v>17</v>
      </c>
      <c r="B27" s="236" t="str">
        <f>"Income Tax Calculation = line "&amp;A20&amp;" * line "&amp;A16&amp;""</f>
        <v>Income Tax Calculation = line 10 * line 7</v>
      </c>
      <c r="C27" s="239"/>
      <c r="E27" s="266">
        <f>+E20*K33</f>
        <v>0</v>
      </c>
      <c r="F27" s="240"/>
      <c r="G27" s="240" t="s">
        <v>50</v>
      </c>
      <c r="H27" s="241"/>
      <c r="I27" s="240"/>
      <c r="J27" s="266">
        <f>+E20*K16</f>
        <v>0</v>
      </c>
      <c r="K27" s="229"/>
    </row>
    <row r="28" spans="1:11">
      <c r="A28" s="226">
        <f t="shared" si="0"/>
        <v>18</v>
      </c>
      <c r="B28" s="232" t="str">
        <f>"ITC adjustment (line "&amp;A23&amp;" * line "&amp;A24&amp;")"</f>
        <v>ITC adjustment (line 13 * line 14)</v>
      </c>
      <c r="C28" s="239"/>
      <c r="D28" s="239"/>
      <c r="E28" s="266">
        <f>+E$23*E24</f>
        <v>0</v>
      </c>
      <c r="F28" s="240"/>
      <c r="G28" s="242" t="s">
        <v>83</v>
      </c>
      <c r="H28" s="225">
        <f>+'Attachment H'!G84</f>
        <v>1</v>
      </c>
      <c r="I28" s="240"/>
      <c r="J28" s="266">
        <f>+E28*H28</f>
        <v>0</v>
      </c>
      <c r="K28" s="229"/>
    </row>
    <row r="29" spans="1:11">
      <c r="A29" s="226">
        <f t="shared" si="0"/>
        <v>19</v>
      </c>
      <c r="B29" s="232" t="str">
        <f>"Excess Deferred Income Tax Adjustment (line "&amp;A23&amp;" * line "&amp;A25&amp;")"</f>
        <v>Excess Deferred Income Tax Adjustment (line 13 * line 15)</v>
      </c>
      <c r="C29" s="239"/>
      <c r="D29" s="239"/>
      <c r="E29" s="266">
        <f>+E$23*E25</f>
        <v>0</v>
      </c>
      <c r="F29" s="240"/>
      <c r="G29" s="242" t="s">
        <v>83</v>
      </c>
      <c r="H29" s="225">
        <f>H28</f>
        <v>1</v>
      </c>
      <c r="I29" s="240"/>
      <c r="J29" s="266">
        <f>+E29*H29</f>
        <v>0</v>
      </c>
      <c r="K29" s="229"/>
    </row>
    <row r="30" spans="1:11">
      <c r="A30" s="226">
        <f t="shared" si="0"/>
        <v>20</v>
      </c>
      <c r="B30" s="232" t="str">
        <f>"Permanent Differences Tax Adjustment (line "&amp;A23&amp;" * "&amp;A26&amp;")"</f>
        <v>Permanent Differences Tax Adjustment (line 13 * 16)</v>
      </c>
      <c r="C30" s="239"/>
      <c r="D30" s="239"/>
      <c r="E30" s="289">
        <f>+E$23*E26</f>
        <v>18301.433055145149</v>
      </c>
      <c r="F30" s="240"/>
      <c r="G30" s="242" t="s">
        <v>83</v>
      </c>
      <c r="H30" s="225">
        <f>H29</f>
        <v>1</v>
      </c>
      <c r="I30" s="240"/>
      <c r="J30" s="289">
        <f>+E30*H30</f>
        <v>18301.433055145149</v>
      </c>
      <c r="K30" s="229"/>
    </row>
    <row r="31" spans="1:11">
      <c r="A31" s="226">
        <f t="shared" si="0"/>
        <v>21</v>
      </c>
      <c r="B31" s="243" t="str">
        <f>"Total Income Taxes (sum lines "&amp;A27&amp;" - "&amp;A30&amp;")"</f>
        <v>Total Income Taxes (sum lines 17 - 20)</v>
      </c>
      <c r="C31" s="232"/>
      <c r="D31" s="232"/>
      <c r="E31" s="237">
        <f>SUM(E27:E30)</f>
        <v>18301.433055145149</v>
      </c>
      <c r="F31" s="240"/>
      <c r="G31" s="240" t="s">
        <v>11</v>
      </c>
      <c r="H31" s="241" t="s">
        <v>11</v>
      </c>
      <c r="I31" s="240"/>
      <c r="J31" s="237">
        <f>SUM(J27:J30)</f>
        <v>18301.433055145149</v>
      </c>
      <c r="K31" s="225">
        <f>+J31</f>
        <v>18301.433055145149</v>
      </c>
    </row>
    <row r="32" spans="1:11">
      <c r="A32" s="226"/>
      <c r="J32" s="224"/>
      <c r="K32" s="229"/>
    </row>
    <row r="33" spans="1:11">
      <c r="A33" s="226">
        <f>+A31+1</f>
        <v>22</v>
      </c>
      <c r="B33" s="232" t="s">
        <v>492</v>
      </c>
      <c r="D33" s="224" t="s">
        <v>493</v>
      </c>
      <c r="J33" s="224"/>
      <c r="K33" s="225">
        <f>+K31+K16</f>
        <v>18301.433055145149</v>
      </c>
    </row>
    <row r="34" spans="1:11">
      <c r="A34" s="226"/>
      <c r="J34" s="224"/>
      <c r="K34" s="229"/>
    </row>
    <row r="35" spans="1:11">
      <c r="A35" s="226">
        <f>+A33+1</f>
        <v>23</v>
      </c>
      <c r="B35" s="224" t="s">
        <v>494</v>
      </c>
      <c r="J35" s="224"/>
      <c r="K35" s="225">
        <f>+'Attachment H'!I170</f>
        <v>9829910.417326929</v>
      </c>
    </row>
    <row r="36" spans="1:11">
      <c r="A36" s="226">
        <f t="shared" si="0"/>
        <v>24</v>
      </c>
      <c r="B36" s="224" t="s">
        <v>495</v>
      </c>
      <c r="J36" s="224"/>
      <c r="K36" s="225">
        <f>+'Attachment H'!I167</f>
        <v>2281098.7426375779</v>
      </c>
    </row>
    <row r="37" spans="1:11">
      <c r="A37" s="226">
        <f t="shared" si="0"/>
        <v>25</v>
      </c>
      <c r="B37" s="232" t="s">
        <v>496</v>
      </c>
      <c r="D37" s="224" t="s">
        <v>497</v>
      </c>
      <c r="J37" s="224"/>
      <c r="K37" s="244">
        <f>SUM(K35:K36)</f>
        <v>12111009.159964507</v>
      </c>
    </row>
    <row r="38" spans="1:11">
      <c r="A38" s="226">
        <f t="shared" si="0"/>
        <v>26</v>
      </c>
      <c r="B38" s="232" t="s">
        <v>498</v>
      </c>
      <c r="D38" s="224" t="s">
        <v>499</v>
      </c>
      <c r="J38" s="224"/>
      <c r="K38" s="225">
        <f>+K33-K37</f>
        <v>-12092707.726909362</v>
      </c>
    </row>
    <row r="39" spans="1:11">
      <c r="A39" s="226">
        <f t="shared" si="0"/>
        <v>27</v>
      </c>
      <c r="B39" s="224" t="s">
        <v>500</v>
      </c>
      <c r="J39" s="224"/>
      <c r="K39" s="286">
        <f>+K7</f>
        <v>99062874.036765143</v>
      </c>
    </row>
    <row r="40" spans="1:11">
      <c r="A40" s="226">
        <f t="shared" si="0"/>
        <v>28</v>
      </c>
      <c r="B40" s="224" t="s">
        <v>501</v>
      </c>
      <c r="E40" s="224" t="s">
        <v>502</v>
      </c>
      <c r="J40" s="224"/>
      <c r="K40" s="287">
        <f>IF(K39=0,0,K38/K39)</f>
        <v>-0.12207103664710356</v>
      </c>
    </row>
    <row r="41" spans="1:11">
      <c r="J41" s="224"/>
      <c r="K41" s="229"/>
    </row>
    <row r="42" spans="1:11">
      <c r="A42" s="218" t="s">
        <v>503</v>
      </c>
      <c r="J42" s="224"/>
      <c r="K42" s="229"/>
    </row>
    <row r="43" spans="1:11">
      <c r="A43" s="282" t="s">
        <v>452</v>
      </c>
      <c r="B43" s="262" t="s">
        <v>504</v>
      </c>
      <c r="J43" s="224"/>
      <c r="K43" s="229"/>
    </row>
    <row r="44" spans="1:11">
      <c r="A44" s="282"/>
      <c r="B44" s="224" t="s">
        <v>505</v>
      </c>
      <c r="J44" s="224"/>
      <c r="K44" s="229"/>
    </row>
    <row r="45" spans="1:11">
      <c r="A45" s="282"/>
      <c r="B45" s="224" t="s">
        <v>506</v>
      </c>
      <c r="J45" s="224"/>
      <c r="K45" s="229"/>
    </row>
    <row r="46" spans="1:11">
      <c r="A46" s="282"/>
      <c r="B46" s="224" t="s">
        <v>507</v>
      </c>
      <c r="J46" s="224"/>
      <c r="K46" s="229"/>
    </row>
    <row r="47" spans="1:11">
      <c r="A47" s="282" t="s">
        <v>454</v>
      </c>
      <c r="B47" s="224" t="s">
        <v>508</v>
      </c>
      <c r="J47" s="224"/>
      <c r="K47" s="229"/>
    </row>
    <row r="48" spans="1:11">
      <c r="B48" s="224" t="s">
        <v>509</v>
      </c>
      <c r="J48" s="224"/>
      <c r="K48" s="229"/>
    </row>
    <row r="68" ht="24" customHeight="1"/>
  </sheetData>
  <phoneticPr fontId="0" type="noConversion"/>
  <pageMargins left="0.25" right="0.25" top="0.75" bottom="0.75" header="0.3" footer="0.3"/>
  <pageSetup scale="66" fitToHeight="0"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8"/>
  <sheetViews>
    <sheetView zoomScaleNormal="100" zoomScaleSheetLayoutView="75" workbookViewId="0"/>
  </sheetViews>
  <sheetFormatPr defaultColWidth="8.77734375" defaultRowHeight="12.75"/>
  <cols>
    <col min="1" max="1" width="6" style="24" customWidth="1"/>
    <col min="2" max="2" width="27.109375" style="24" customWidth="1"/>
    <col min="3" max="3" width="28.44140625" style="24" bestFit="1" customWidth="1"/>
    <col min="4" max="4" width="18.77734375" style="24" customWidth="1"/>
    <col min="5" max="5" width="14.109375" style="24" customWidth="1"/>
    <col min="6" max="6" width="15.21875" style="24" customWidth="1"/>
    <col min="7" max="7" width="18.21875" style="24" customWidth="1"/>
    <col min="8" max="8" width="14.44140625" style="24" customWidth="1"/>
    <col min="9" max="9" width="18.5546875" style="24" customWidth="1"/>
    <col min="10" max="10" width="13.77734375" style="24" customWidth="1"/>
    <col min="11" max="11" width="14.44140625" style="24" customWidth="1"/>
    <col min="12" max="12" width="13.5546875" style="24" customWidth="1"/>
    <col min="13" max="16384" width="8.77734375" style="24"/>
  </cols>
  <sheetData>
    <row r="1" spans="1:13">
      <c r="J1" s="19" t="s">
        <v>472</v>
      </c>
    </row>
    <row r="5" spans="1:13">
      <c r="A5" s="350"/>
      <c r="D5" s="19"/>
      <c r="E5" s="20" t="s">
        <v>510</v>
      </c>
      <c r="F5" s="19"/>
      <c r="G5" s="19"/>
      <c r="I5" s="19"/>
      <c r="J5" s="19"/>
      <c r="K5" s="19"/>
      <c r="L5" s="19"/>
    </row>
    <row r="6" spans="1:13">
      <c r="A6" s="350"/>
      <c r="D6" s="19"/>
      <c r="E6" s="294" t="s">
        <v>511</v>
      </c>
      <c r="F6" s="22"/>
      <c r="G6" s="22"/>
      <c r="I6" s="22"/>
      <c r="J6" s="22"/>
      <c r="K6" s="22"/>
      <c r="L6" s="19"/>
    </row>
    <row r="7" spans="1:13">
      <c r="A7" s="350"/>
      <c r="C7" s="25"/>
      <c r="D7" s="25"/>
      <c r="E7" s="442" t="str">
        <f>'Attachment H'!$D$5</f>
        <v>NextEra Energy Transmission MidAtlantic, Inc.</v>
      </c>
      <c r="F7" s="25"/>
      <c r="G7" s="25"/>
      <c r="I7" s="25"/>
      <c r="J7" s="25"/>
      <c r="K7" s="25"/>
      <c r="L7" s="25"/>
    </row>
    <row r="8" spans="1:13" s="281" customFormat="1">
      <c r="A8" s="351"/>
      <c r="B8" s="24"/>
      <c r="C8" s="24"/>
      <c r="D8" s="24"/>
      <c r="E8" s="59"/>
      <c r="F8" s="59"/>
      <c r="G8" s="59"/>
      <c r="H8" s="24"/>
      <c r="I8" s="25"/>
      <c r="J8" s="25"/>
      <c r="K8" s="25"/>
      <c r="L8" s="25"/>
    </row>
    <row r="9" spans="1:13" s="281" customFormat="1">
      <c r="A9" s="352"/>
      <c r="B9" s="15"/>
      <c r="C9" s="15"/>
      <c r="D9" s="15"/>
      <c r="E9" s="15"/>
      <c r="F9" s="15"/>
      <c r="G9" s="15"/>
      <c r="H9" s="15"/>
      <c r="I9" s="15"/>
      <c r="J9" s="15"/>
      <c r="K9" s="207"/>
      <c r="L9" s="15"/>
    </row>
    <row r="10" spans="1:13" s="281" customFormat="1">
      <c r="A10" s="352"/>
      <c r="B10" s="15"/>
      <c r="C10" s="15"/>
      <c r="D10" s="684" t="s">
        <v>512</v>
      </c>
      <c r="E10" s="685"/>
      <c r="F10" s="609"/>
      <c r="G10" s="610" t="s">
        <v>513</v>
      </c>
      <c r="H10" s="609"/>
      <c r="I10" s="611"/>
      <c r="J10" s="611"/>
      <c r="K10" s="612"/>
    </row>
    <row r="11" spans="1:13" s="281" customFormat="1" ht="15.75">
      <c r="A11" s="352">
        <v>1</v>
      </c>
      <c r="B11" s="15" t="s">
        <v>514</v>
      </c>
      <c r="C11" s="15"/>
      <c r="D11" s="686" t="s">
        <v>515</v>
      </c>
      <c r="E11" s="687"/>
      <c r="F11" s="398" t="s">
        <v>516</v>
      </c>
      <c r="G11" s="320" t="s">
        <v>517</v>
      </c>
      <c r="H11" s="398" t="s">
        <v>518</v>
      </c>
      <c r="I11" s="205"/>
      <c r="J11" s="205"/>
      <c r="K11" s="389"/>
    </row>
    <row r="12" spans="1:13" s="281" customFormat="1">
      <c r="A12" s="352">
        <v>2</v>
      </c>
      <c r="B12" s="491">
        <v>2024</v>
      </c>
      <c r="C12" s="15"/>
      <c r="D12" s="613"/>
      <c r="E12" s="613"/>
      <c r="F12" s="353">
        <v>9664663</v>
      </c>
      <c r="G12" s="321"/>
      <c r="H12" s="613"/>
      <c r="I12" s="613"/>
      <c r="J12" s="613"/>
      <c r="K12" s="609"/>
    </row>
    <row r="13" spans="1:13" s="281" customFormat="1">
      <c r="B13" s="614" t="s">
        <v>452</v>
      </c>
      <c r="C13" s="614" t="s">
        <v>454</v>
      </c>
      <c r="D13" s="320" t="s">
        <v>286</v>
      </c>
      <c r="E13" s="320" t="s">
        <v>288</v>
      </c>
      <c r="F13" s="610" t="s">
        <v>290</v>
      </c>
      <c r="G13" s="614" t="s">
        <v>292</v>
      </c>
      <c r="H13" s="322" t="s">
        <v>294</v>
      </c>
      <c r="I13" s="322" t="s">
        <v>302</v>
      </c>
      <c r="J13" s="322" t="s">
        <v>304</v>
      </c>
      <c r="K13" s="354" t="s">
        <v>306</v>
      </c>
      <c r="M13" s="207"/>
    </row>
    <row r="14" spans="1:13" s="281" customFormat="1">
      <c r="A14" s="352"/>
      <c r="B14" s="613"/>
      <c r="C14" s="610"/>
      <c r="D14" s="610"/>
      <c r="E14" s="615" t="s">
        <v>519</v>
      </c>
      <c r="F14" s="610"/>
      <c r="G14" s="610"/>
      <c r="H14" s="613"/>
      <c r="I14" s="610"/>
      <c r="J14" s="613"/>
      <c r="K14" s="613"/>
    </row>
    <row r="15" spans="1:13" s="281" customFormat="1">
      <c r="A15" s="352"/>
      <c r="B15" s="321"/>
      <c r="C15" s="322"/>
      <c r="D15" s="322" t="s">
        <v>520</v>
      </c>
      <c r="E15" s="354" t="s">
        <v>22</v>
      </c>
      <c r="F15" s="322" t="s">
        <v>521</v>
      </c>
      <c r="G15" s="322" t="s">
        <v>522</v>
      </c>
      <c r="H15" s="322" t="s">
        <v>523</v>
      </c>
      <c r="I15" s="322"/>
      <c r="J15" s="322" t="s">
        <v>524</v>
      </c>
      <c r="K15" s="322"/>
    </row>
    <row r="16" spans="1:13" s="281" customFormat="1">
      <c r="A16" s="352"/>
      <c r="B16" s="322" t="s">
        <v>525</v>
      </c>
      <c r="C16" s="322"/>
      <c r="D16" s="322" t="s">
        <v>526</v>
      </c>
      <c r="E16" s="354" t="s">
        <v>527</v>
      </c>
      <c r="F16" s="322" t="s">
        <v>528</v>
      </c>
      <c r="G16" s="322" t="s">
        <v>526</v>
      </c>
      <c r="H16" s="322" t="s">
        <v>529</v>
      </c>
      <c r="I16" s="610" t="s">
        <v>530</v>
      </c>
      <c r="J16" s="322" t="s">
        <v>531</v>
      </c>
      <c r="K16" s="322" t="s">
        <v>532</v>
      </c>
    </row>
    <row r="17" spans="1:11" s="281" customFormat="1" ht="15.75">
      <c r="A17" s="352"/>
      <c r="B17" s="320" t="s">
        <v>533</v>
      </c>
      <c r="C17" s="320" t="s">
        <v>534</v>
      </c>
      <c r="D17" s="320" t="s">
        <v>535</v>
      </c>
      <c r="E17" s="354" t="s">
        <v>517</v>
      </c>
      <c r="F17" s="356" t="s">
        <v>536</v>
      </c>
      <c r="G17" s="322" t="s">
        <v>537</v>
      </c>
      <c r="H17" s="320" t="s">
        <v>538</v>
      </c>
      <c r="I17" s="320" t="s">
        <v>539</v>
      </c>
      <c r="J17" s="320" t="s">
        <v>540</v>
      </c>
      <c r="K17" s="320" t="s">
        <v>541</v>
      </c>
    </row>
    <row r="18" spans="1:11" s="281" customFormat="1">
      <c r="A18" s="352">
        <v>3</v>
      </c>
      <c r="B18" s="321" t="s">
        <v>428</v>
      </c>
      <c r="C18" s="321" t="s">
        <v>542</v>
      </c>
      <c r="D18" s="616">
        <v>13896873.816</v>
      </c>
      <c r="E18" s="617">
        <f>IF(D$39=0,0,D18/D$39)</f>
        <v>0.90300000000000002</v>
      </c>
      <c r="F18" s="533">
        <v>8753160.150928326</v>
      </c>
      <c r="G18" s="618">
        <v>16908310.305758327</v>
      </c>
      <c r="H18" s="532">
        <f>+G18-F18</f>
        <v>8155150.1548300013</v>
      </c>
      <c r="I18" s="362">
        <v>0</v>
      </c>
      <c r="J18" s="532">
        <f>(H18+I18)*((J$41/12)*24)</f>
        <v>1331386.5138485322</v>
      </c>
      <c r="K18" s="532">
        <f>+H18+J18+I18</f>
        <v>9486536.6686785333</v>
      </c>
    </row>
    <row r="19" spans="1:11" s="281" customFormat="1">
      <c r="A19" s="352" t="s">
        <v>543</v>
      </c>
      <c r="B19" s="334" t="s">
        <v>431</v>
      </c>
      <c r="C19" s="334" t="s">
        <v>544</v>
      </c>
      <c r="D19" s="543">
        <v>1492798.1840000001</v>
      </c>
      <c r="E19" s="360">
        <f t="shared" ref="E19:E37" si="0">IF(D$39=0,0,D19/D$39)</f>
        <v>9.7000000000000003E-2</v>
      </c>
      <c r="F19" s="533">
        <v>911502.84907167451</v>
      </c>
      <c r="G19" s="545">
        <v>1816285.8246495654</v>
      </c>
      <c r="H19" s="544">
        <f t="shared" ref="H19:H37" si="1">+G19-F19</f>
        <v>904782.97557789087</v>
      </c>
      <c r="I19" s="362">
        <v>0</v>
      </c>
      <c r="J19" s="532">
        <f t="shared" ref="J19:J37" si="2">(H19+I19)*((J$41/12)*24)</f>
        <v>147712.28349863051</v>
      </c>
      <c r="K19" s="532">
        <f t="shared" ref="K19:K37" si="3">+H19+J19+I19</f>
        <v>1052495.2590765213</v>
      </c>
    </row>
    <row r="20" spans="1:11" s="281" customFormat="1">
      <c r="A20" s="352" t="s">
        <v>545</v>
      </c>
      <c r="B20" s="334" t="s">
        <v>434</v>
      </c>
      <c r="C20" s="334" t="s">
        <v>433</v>
      </c>
      <c r="D20" s="359">
        <v>0</v>
      </c>
      <c r="E20" s="360">
        <f t="shared" si="0"/>
        <v>0</v>
      </c>
      <c r="F20" s="357"/>
      <c r="G20" s="545">
        <v>711326.70394018153</v>
      </c>
      <c r="H20" s="544">
        <f t="shared" si="1"/>
        <v>711326.70394018153</v>
      </c>
      <c r="I20" s="362">
        <v>0</v>
      </c>
      <c r="J20" s="532">
        <f t="shared" si="2"/>
        <v>116129.16532326277</v>
      </c>
      <c r="K20" s="532">
        <f t="shared" si="3"/>
        <v>827455.86926344433</v>
      </c>
    </row>
    <row r="21" spans="1:11" s="281" customFormat="1">
      <c r="A21" s="352" t="s">
        <v>546</v>
      </c>
      <c r="B21" s="334" t="s">
        <v>436</v>
      </c>
      <c r="C21" s="334" t="s">
        <v>433</v>
      </c>
      <c r="D21" s="359">
        <v>0</v>
      </c>
      <c r="E21" s="360">
        <f t="shared" si="0"/>
        <v>0</v>
      </c>
      <c r="F21" s="357"/>
      <c r="G21" s="545">
        <v>21727.733526512817</v>
      </c>
      <c r="H21" s="544">
        <f>+G21-F21</f>
        <v>21727.733526512817</v>
      </c>
      <c r="I21" s="362">
        <v>0</v>
      </c>
      <c r="J21" s="532">
        <f t="shared" si="2"/>
        <v>3547.2076962998353</v>
      </c>
      <c r="K21" s="532">
        <f t="shared" si="3"/>
        <v>25274.941222812653</v>
      </c>
    </row>
    <row r="22" spans="1:11" s="281" customFormat="1">
      <c r="A22" s="352" t="s">
        <v>547</v>
      </c>
      <c r="B22" s="334" t="s">
        <v>438</v>
      </c>
      <c r="C22" s="334" t="s">
        <v>433</v>
      </c>
      <c r="D22" s="359">
        <v>0</v>
      </c>
      <c r="E22" s="360">
        <f t="shared" si="0"/>
        <v>0</v>
      </c>
      <c r="F22" s="357"/>
      <c r="G22" s="361">
        <v>0</v>
      </c>
      <c r="H22" s="360">
        <f t="shared" si="1"/>
        <v>0</v>
      </c>
      <c r="I22" s="362">
        <v>0</v>
      </c>
      <c r="J22" s="358">
        <f t="shared" si="2"/>
        <v>0</v>
      </c>
      <c r="K22" s="358">
        <f t="shared" si="3"/>
        <v>0</v>
      </c>
    </row>
    <row r="23" spans="1:11" s="281" customFormat="1">
      <c r="A23" s="352" t="s">
        <v>548</v>
      </c>
      <c r="B23" s="334" t="s">
        <v>440</v>
      </c>
      <c r="C23" s="334" t="s">
        <v>433</v>
      </c>
      <c r="D23" s="359">
        <v>0</v>
      </c>
      <c r="E23" s="360">
        <f t="shared" si="0"/>
        <v>0</v>
      </c>
      <c r="F23" s="357"/>
      <c r="G23" s="361">
        <v>0</v>
      </c>
      <c r="H23" s="360">
        <f t="shared" si="1"/>
        <v>0</v>
      </c>
      <c r="I23" s="362">
        <v>0</v>
      </c>
      <c r="J23" s="358">
        <f t="shared" si="2"/>
        <v>0</v>
      </c>
      <c r="K23" s="358">
        <f t="shared" si="3"/>
        <v>0</v>
      </c>
    </row>
    <row r="24" spans="1:11" s="281" customFormat="1">
      <c r="A24" s="352" t="s">
        <v>549</v>
      </c>
      <c r="B24" s="334" t="s">
        <v>442</v>
      </c>
      <c r="C24" s="334" t="s">
        <v>433</v>
      </c>
      <c r="D24" s="359">
        <v>0</v>
      </c>
      <c r="E24" s="360">
        <f t="shared" si="0"/>
        <v>0</v>
      </c>
      <c r="F24" s="357"/>
      <c r="G24" s="361">
        <v>0</v>
      </c>
      <c r="H24" s="360">
        <f t="shared" si="1"/>
        <v>0</v>
      </c>
      <c r="I24" s="362">
        <v>0</v>
      </c>
      <c r="J24" s="358">
        <f t="shared" si="2"/>
        <v>0</v>
      </c>
      <c r="K24" s="358">
        <f t="shared" si="3"/>
        <v>0</v>
      </c>
    </row>
    <row r="25" spans="1:11">
      <c r="A25" s="352" t="s">
        <v>550</v>
      </c>
      <c r="B25" s="334" t="s">
        <v>444</v>
      </c>
      <c r="C25" s="334" t="s">
        <v>433</v>
      </c>
      <c r="D25" s="359">
        <v>0</v>
      </c>
      <c r="E25" s="360">
        <f t="shared" si="0"/>
        <v>0</v>
      </c>
      <c r="F25" s="357"/>
      <c r="G25" s="361">
        <v>0</v>
      </c>
      <c r="H25" s="360">
        <f t="shared" si="1"/>
        <v>0</v>
      </c>
      <c r="I25" s="362">
        <v>0</v>
      </c>
      <c r="J25" s="358">
        <f t="shared" si="2"/>
        <v>0</v>
      </c>
      <c r="K25" s="358">
        <f t="shared" si="3"/>
        <v>0</v>
      </c>
    </row>
    <row r="26" spans="1:11">
      <c r="A26" s="352" t="s">
        <v>551</v>
      </c>
      <c r="B26" s="334" t="s">
        <v>446</v>
      </c>
      <c r="C26" s="334" t="s">
        <v>433</v>
      </c>
      <c r="D26" s="359">
        <v>0</v>
      </c>
      <c r="E26" s="360">
        <f t="shared" si="0"/>
        <v>0</v>
      </c>
      <c r="F26" s="357"/>
      <c r="G26" s="361">
        <v>0</v>
      </c>
      <c r="H26" s="360">
        <f t="shared" si="1"/>
        <v>0</v>
      </c>
      <c r="I26" s="362">
        <v>0</v>
      </c>
      <c r="J26" s="358">
        <f t="shared" si="2"/>
        <v>0</v>
      </c>
      <c r="K26" s="358">
        <f t="shared" si="3"/>
        <v>0</v>
      </c>
    </row>
    <row r="27" spans="1:11">
      <c r="A27" s="352" t="s">
        <v>552</v>
      </c>
      <c r="B27" s="334" t="s">
        <v>448</v>
      </c>
      <c r="C27" s="334" t="s">
        <v>433</v>
      </c>
      <c r="D27" s="359">
        <v>0</v>
      </c>
      <c r="E27" s="360">
        <f t="shared" si="0"/>
        <v>0</v>
      </c>
      <c r="F27" s="357"/>
      <c r="G27" s="361">
        <v>0</v>
      </c>
      <c r="H27" s="360">
        <f t="shared" si="1"/>
        <v>0</v>
      </c>
      <c r="I27" s="362">
        <v>0</v>
      </c>
      <c r="J27" s="358">
        <f t="shared" si="2"/>
        <v>0</v>
      </c>
      <c r="K27" s="358">
        <f t="shared" si="3"/>
        <v>0</v>
      </c>
    </row>
    <row r="28" spans="1:11" ht="12.75" customHeight="1">
      <c r="A28" s="352" t="s">
        <v>553</v>
      </c>
      <c r="B28" s="334" t="s">
        <v>450</v>
      </c>
      <c r="C28" s="334" t="s">
        <v>433</v>
      </c>
      <c r="D28" s="359">
        <v>0</v>
      </c>
      <c r="E28" s="360">
        <f t="shared" si="0"/>
        <v>0</v>
      </c>
      <c r="F28" s="357"/>
      <c r="G28" s="361">
        <v>0</v>
      </c>
      <c r="H28" s="360">
        <f t="shared" si="1"/>
        <v>0</v>
      </c>
      <c r="I28" s="362">
        <v>0</v>
      </c>
      <c r="J28" s="358">
        <f t="shared" si="2"/>
        <v>0</v>
      </c>
      <c r="K28" s="358">
        <f t="shared" si="3"/>
        <v>0</v>
      </c>
    </row>
    <row r="29" spans="1:11">
      <c r="A29" s="352"/>
      <c r="B29" s="334"/>
      <c r="C29" s="334"/>
      <c r="D29" s="359">
        <v>0</v>
      </c>
      <c r="E29" s="360">
        <f t="shared" si="0"/>
        <v>0</v>
      </c>
      <c r="F29" s="357"/>
      <c r="G29" s="361">
        <v>0</v>
      </c>
      <c r="H29" s="360">
        <f t="shared" si="1"/>
        <v>0</v>
      </c>
      <c r="I29" s="362">
        <v>0</v>
      </c>
      <c r="J29" s="358">
        <f t="shared" si="2"/>
        <v>0</v>
      </c>
      <c r="K29" s="358">
        <f t="shared" si="3"/>
        <v>0</v>
      </c>
    </row>
    <row r="30" spans="1:11">
      <c r="A30" s="352"/>
      <c r="B30" s="334"/>
      <c r="C30" s="334"/>
      <c r="D30" s="359">
        <v>0</v>
      </c>
      <c r="E30" s="360">
        <f t="shared" si="0"/>
        <v>0</v>
      </c>
      <c r="F30" s="357"/>
      <c r="G30" s="361">
        <v>0</v>
      </c>
      <c r="H30" s="360">
        <f t="shared" si="1"/>
        <v>0</v>
      </c>
      <c r="I30" s="362">
        <v>0</v>
      </c>
      <c r="J30" s="358">
        <f t="shared" si="2"/>
        <v>0</v>
      </c>
      <c r="K30" s="358">
        <f t="shared" si="3"/>
        <v>0</v>
      </c>
    </row>
    <row r="31" spans="1:11">
      <c r="A31" s="352"/>
      <c r="B31" s="334"/>
      <c r="C31" s="334"/>
      <c r="D31" s="359">
        <v>0</v>
      </c>
      <c r="E31" s="360">
        <f t="shared" si="0"/>
        <v>0</v>
      </c>
      <c r="F31" s="357"/>
      <c r="G31" s="361">
        <v>0</v>
      </c>
      <c r="H31" s="360">
        <f t="shared" si="1"/>
        <v>0</v>
      </c>
      <c r="I31" s="362">
        <v>0</v>
      </c>
      <c r="J31" s="358">
        <f t="shared" si="2"/>
        <v>0</v>
      </c>
      <c r="K31" s="358">
        <f t="shared" si="3"/>
        <v>0</v>
      </c>
    </row>
    <row r="32" spans="1:11">
      <c r="A32" s="352"/>
      <c r="B32" s="334"/>
      <c r="C32" s="334"/>
      <c r="D32" s="359">
        <v>0</v>
      </c>
      <c r="E32" s="360">
        <f t="shared" si="0"/>
        <v>0</v>
      </c>
      <c r="F32" s="357"/>
      <c r="G32" s="361">
        <v>0</v>
      </c>
      <c r="H32" s="360">
        <f t="shared" si="1"/>
        <v>0</v>
      </c>
      <c r="I32" s="362">
        <v>0</v>
      </c>
      <c r="J32" s="358">
        <f t="shared" si="2"/>
        <v>0</v>
      </c>
      <c r="K32" s="358">
        <f t="shared" si="3"/>
        <v>0</v>
      </c>
    </row>
    <row r="33" spans="1:12">
      <c r="A33" s="352"/>
      <c r="B33" s="334"/>
      <c r="C33" s="334"/>
      <c r="D33" s="359">
        <v>0</v>
      </c>
      <c r="E33" s="360">
        <f t="shared" si="0"/>
        <v>0</v>
      </c>
      <c r="F33" s="357"/>
      <c r="G33" s="361">
        <v>0</v>
      </c>
      <c r="H33" s="360">
        <f t="shared" si="1"/>
        <v>0</v>
      </c>
      <c r="I33" s="362">
        <v>0</v>
      </c>
      <c r="J33" s="358">
        <f t="shared" si="2"/>
        <v>0</v>
      </c>
      <c r="K33" s="358">
        <f t="shared" si="3"/>
        <v>0</v>
      </c>
    </row>
    <row r="34" spans="1:12">
      <c r="A34" s="352"/>
      <c r="B34" s="334"/>
      <c r="C34" s="334"/>
      <c r="D34" s="359">
        <v>0</v>
      </c>
      <c r="E34" s="360">
        <f t="shared" si="0"/>
        <v>0</v>
      </c>
      <c r="F34" s="357"/>
      <c r="G34" s="361">
        <v>0</v>
      </c>
      <c r="H34" s="360">
        <f t="shared" si="1"/>
        <v>0</v>
      </c>
      <c r="I34" s="362">
        <v>0</v>
      </c>
      <c r="J34" s="358">
        <f t="shared" si="2"/>
        <v>0</v>
      </c>
      <c r="K34" s="358">
        <f t="shared" si="3"/>
        <v>0</v>
      </c>
    </row>
    <row r="35" spans="1:12" ht="13.5" customHeight="1">
      <c r="A35" s="352"/>
      <c r="B35" s="334"/>
      <c r="C35" s="334"/>
      <c r="D35" s="359">
        <v>0</v>
      </c>
      <c r="E35" s="360">
        <f t="shared" si="0"/>
        <v>0</v>
      </c>
      <c r="F35" s="357"/>
      <c r="G35" s="361">
        <v>0</v>
      </c>
      <c r="H35" s="360">
        <f t="shared" si="1"/>
        <v>0</v>
      </c>
      <c r="I35" s="362">
        <v>0</v>
      </c>
      <c r="J35" s="358">
        <f t="shared" si="2"/>
        <v>0</v>
      </c>
      <c r="K35" s="358">
        <f t="shared" si="3"/>
        <v>0</v>
      </c>
    </row>
    <row r="36" spans="1:12" ht="13.5" customHeight="1">
      <c r="A36" s="352"/>
      <c r="B36" s="334"/>
      <c r="C36" s="334"/>
      <c r="D36" s="359">
        <v>0</v>
      </c>
      <c r="E36" s="360">
        <f t="shared" si="0"/>
        <v>0</v>
      </c>
      <c r="F36" s="357"/>
      <c r="G36" s="361">
        <v>0</v>
      </c>
      <c r="H36" s="360">
        <f t="shared" si="1"/>
        <v>0</v>
      </c>
      <c r="I36" s="362">
        <v>0</v>
      </c>
      <c r="J36" s="358">
        <f t="shared" si="2"/>
        <v>0</v>
      </c>
      <c r="K36" s="358">
        <f t="shared" si="3"/>
        <v>0</v>
      </c>
    </row>
    <row r="37" spans="1:12">
      <c r="A37" s="352"/>
      <c r="B37" s="334"/>
      <c r="C37" s="334"/>
      <c r="D37" s="359">
        <v>0</v>
      </c>
      <c r="E37" s="360">
        <f t="shared" si="0"/>
        <v>0</v>
      </c>
      <c r="F37" s="357"/>
      <c r="G37" s="361">
        <v>0</v>
      </c>
      <c r="H37" s="360">
        <f t="shared" si="1"/>
        <v>0</v>
      </c>
      <c r="I37" s="362">
        <v>0</v>
      </c>
      <c r="J37" s="358">
        <f t="shared" si="2"/>
        <v>0</v>
      </c>
      <c r="K37" s="358">
        <f t="shared" si="3"/>
        <v>0</v>
      </c>
    </row>
    <row r="38" spans="1:12">
      <c r="A38" s="352"/>
      <c r="B38" s="323"/>
      <c r="C38" s="323"/>
      <c r="D38" s="363"/>
      <c r="E38" s="364"/>
      <c r="F38" s="205"/>
      <c r="G38" s="324"/>
      <c r="H38" s="323"/>
      <c r="I38" s="323"/>
      <c r="J38" s="323"/>
      <c r="K38" s="323"/>
    </row>
    <row r="39" spans="1:12">
      <c r="A39" s="352">
        <v>4</v>
      </c>
      <c r="B39" s="15" t="s">
        <v>554</v>
      </c>
      <c r="C39" s="15"/>
      <c r="D39" s="542">
        <f>SUM(D18:D38)</f>
        <v>15389672</v>
      </c>
      <c r="E39" s="365">
        <f>SUM(E18:E38)</f>
        <v>1</v>
      </c>
      <c r="F39" s="542">
        <f>SUM(F18:F38)</f>
        <v>9664663</v>
      </c>
      <c r="G39" s="542">
        <f>SUM(G18:G38)</f>
        <v>19457650.567874588</v>
      </c>
      <c r="H39" s="542">
        <f>SUM(H18:H38)</f>
        <v>9792987.5678745862</v>
      </c>
      <c r="I39" s="365"/>
      <c r="J39" s="542">
        <f>SUM(J18:J38)</f>
        <v>1598775.1703667254</v>
      </c>
      <c r="K39" s="542">
        <f>SUM(K18:K38)</f>
        <v>11391762.738241311</v>
      </c>
    </row>
    <row r="40" spans="1:12">
      <c r="A40" s="352"/>
      <c r="B40" s="15"/>
      <c r="C40" s="15"/>
      <c r="D40" s="365"/>
      <c r="E40" s="365"/>
      <c r="F40" s="365"/>
      <c r="G40" s="365"/>
      <c r="H40" s="365"/>
      <c r="I40" s="365"/>
      <c r="J40" s="365"/>
      <c r="K40" s="365"/>
    </row>
    <row r="41" spans="1:12">
      <c r="A41" s="352"/>
      <c r="B41" s="15"/>
      <c r="C41" s="15"/>
      <c r="D41" s="365"/>
      <c r="E41" s="365"/>
      <c r="F41" s="365"/>
      <c r="G41" s="365" t="s">
        <v>555</v>
      </c>
      <c r="H41" s="365"/>
      <c r="I41" s="365"/>
      <c r="J41" s="493">
        <f>'6-True-Up Interest'!H17</f>
        <v>8.1628571428571425E-2</v>
      </c>
      <c r="K41" s="365"/>
    </row>
    <row r="42" spans="1:12">
      <c r="A42" s="352"/>
      <c r="B42" s="15"/>
      <c r="C42" s="15"/>
      <c r="D42" s="365"/>
      <c r="E42" s="365"/>
      <c r="F42" s="365"/>
      <c r="G42" s="365" t="s">
        <v>556</v>
      </c>
      <c r="H42" s="365"/>
      <c r="I42" s="365"/>
      <c r="J42" s="365">
        <f>+J39</f>
        <v>1598775.1703667254</v>
      </c>
      <c r="K42" s="365"/>
    </row>
    <row r="43" spans="1:12">
      <c r="A43" s="352"/>
      <c r="B43" s="15" t="s">
        <v>557</v>
      </c>
      <c r="C43" s="15"/>
      <c r="D43" s="15"/>
      <c r="E43" s="15"/>
      <c r="F43" s="15"/>
      <c r="G43" s="15"/>
      <c r="H43" s="15"/>
      <c r="I43" s="15"/>
      <c r="J43" s="15"/>
      <c r="K43" s="15"/>
      <c r="L43" s="15"/>
    </row>
    <row r="44" spans="1:12">
      <c r="A44" s="352"/>
      <c r="B44" s="15" t="s">
        <v>558</v>
      </c>
      <c r="C44" s="15"/>
      <c r="D44" s="15"/>
      <c r="E44" s="15"/>
      <c r="F44" s="15"/>
      <c r="G44" s="15"/>
      <c r="H44" s="15"/>
      <c r="I44" s="15"/>
      <c r="J44" s="15"/>
      <c r="K44" s="15"/>
      <c r="L44" s="15"/>
    </row>
    <row r="45" spans="1:12">
      <c r="A45" s="352"/>
      <c r="B45" s="15" t="s">
        <v>559</v>
      </c>
      <c r="C45" s="15"/>
      <c r="D45" s="15"/>
      <c r="E45" s="15"/>
      <c r="F45" s="15"/>
      <c r="G45" s="15"/>
      <c r="H45" s="15"/>
      <c r="I45" s="15"/>
      <c r="J45" s="15"/>
      <c r="K45" s="15"/>
      <c r="L45" s="15"/>
    </row>
    <row r="46" spans="1:12">
      <c r="A46" s="352"/>
      <c r="B46" s="15" t="s">
        <v>560</v>
      </c>
      <c r="C46" s="15"/>
      <c r="D46" s="15"/>
      <c r="E46" s="15"/>
      <c r="F46" s="15"/>
      <c r="G46" s="15"/>
      <c r="H46" s="15"/>
      <c r="I46" s="15"/>
      <c r="J46" s="15"/>
      <c r="K46" s="15"/>
      <c r="L46" s="15"/>
    </row>
    <row r="47" spans="1:12">
      <c r="A47" s="352"/>
      <c r="B47" s="24" t="s">
        <v>561</v>
      </c>
      <c r="C47" s="15"/>
      <c r="D47" s="15"/>
      <c r="E47" s="15"/>
      <c r="F47" s="15"/>
      <c r="G47" s="15"/>
      <c r="H47" s="15"/>
      <c r="I47" s="15"/>
      <c r="J47" s="15"/>
      <c r="K47" s="15"/>
      <c r="L47" s="15"/>
    </row>
    <row r="48" spans="1:12">
      <c r="A48" s="352"/>
      <c r="B48" s="24" t="s">
        <v>562</v>
      </c>
      <c r="C48" s="15"/>
      <c r="D48" s="15"/>
      <c r="E48" s="15"/>
      <c r="F48" s="15"/>
      <c r="G48" s="15"/>
      <c r="H48" s="15"/>
      <c r="I48" s="15"/>
      <c r="J48" s="15"/>
      <c r="K48" s="15"/>
      <c r="L48" s="15"/>
    </row>
    <row r="49" spans="1:12">
      <c r="A49" s="352"/>
      <c r="B49" s="15" t="s">
        <v>563</v>
      </c>
      <c r="C49" s="15"/>
      <c r="D49" s="15"/>
      <c r="E49" s="15"/>
      <c r="F49" s="15"/>
      <c r="G49" s="15"/>
      <c r="H49" s="15"/>
      <c r="I49" s="15"/>
      <c r="J49" s="15"/>
      <c r="K49" s="15"/>
      <c r="L49" s="15"/>
    </row>
    <row r="50" spans="1:12">
      <c r="A50" s="352"/>
      <c r="B50" s="325" t="s">
        <v>564</v>
      </c>
      <c r="C50" s="15"/>
      <c r="D50" s="15"/>
      <c r="E50" s="15"/>
      <c r="F50" s="15"/>
      <c r="G50" s="15"/>
      <c r="H50" s="15"/>
      <c r="I50" s="15"/>
      <c r="J50" s="15"/>
      <c r="K50" s="15"/>
      <c r="L50" s="15"/>
    </row>
    <row r="51" spans="1:12">
      <c r="A51" s="352"/>
      <c r="J51" s="15"/>
      <c r="K51" s="15"/>
      <c r="L51" s="15"/>
    </row>
    <row r="52" spans="1:12">
      <c r="A52" s="352"/>
      <c r="C52" s="15"/>
      <c r="D52" s="15"/>
      <c r="E52" s="15"/>
      <c r="F52" s="15"/>
      <c r="G52" s="15"/>
      <c r="H52" s="15"/>
      <c r="I52" s="15"/>
      <c r="J52" s="15"/>
      <c r="K52" s="15"/>
      <c r="L52" s="15"/>
    </row>
    <row r="53" spans="1:12">
      <c r="A53" s="352"/>
      <c r="C53" s="15"/>
      <c r="D53" s="15"/>
      <c r="E53" s="15"/>
      <c r="F53" s="15"/>
      <c r="G53" s="15"/>
      <c r="H53" s="15"/>
      <c r="I53" s="15"/>
      <c r="J53" s="15"/>
      <c r="K53" s="15"/>
      <c r="L53" s="15"/>
    </row>
    <row r="54" spans="1:12">
      <c r="A54" s="352"/>
      <c r="D54" s="26"/>
      <c r="E54" s="26"/>
      <c r="F54" s="26"/>
      <c r="G54" s="26"/>
      <c r="H54" s="26"/>
    </row>
    <row r="55" spans="1:12">
      <c r="A55" s="366" t="s">
        <v>565</v>
      </c>
      <c r="D55" s="26"/>
      <c r="E55" s="26"/>
      <c r="F55" s="26"/>
      <c r="G55" s="26"/>
      <c r="H55" s="26"/>
    </row>
    <row r="56" spans="1:12">
      <c r="A56" s="367"/>
      <c r="B56" s="47" t="s">
        <v>566</v>
      </c>
      <c r="C56" s="326" t="s">
        <v>567</v>
      </c>
      <c r="D56" s="47" t="s">
        <v>568</v>
      </c>
      <c r="E56" s="47" t="s">
        <v>569</v>
      </c>
      <c r="F56" s="47"/>
    </row>
    <row r="57" spans="1:12">
      <c r="A57" s="367"/>
      <c r="B57" s="619" t="str">
        <f>+A55</f>
        <v>Prior Period Adjustment</v>
      </c>
      <c r="C57" s="620" t="s">
        <v>17</v>
      </c>
      <c r="D57" s="620" t="s">
        <v>524</v>
      </c>
      <c r="E57" s="620" t="s">
        <v>22</v>
      </c>
    </row>
    <row r="58" spans="1:12">
      <c r="A58" s="367"/>
      <c r="B58" s="327" t="s">
        <v>570</v>
      </c>
      <c r="C58" s="328" t="s">
        <v>571</v>
      </c>
      <c r="D58" s="328" t="s">
        <v>572</v>
      </c>
      <c r="E58" s="328" t="s">
        <v>573</v>
      </c>
    </row>
    <row r="59" spans="1:12">
      <c r="A59" s="367" t="s">
        <v>353</v>
      </c>
      <c r="B59" s="329">
        <v>0</v>
      </c>
      <c r="C59" s="330">
        <v>0</v>
      </c>
      <c r="D59" s="330">
        <v>0</v>
      </c>
      <c r="E59" s="331">
        <f>+C59+D59</f>
        <v>0</v>
      </c>
    </row>
    <row r="60" spans="1:12">
      <c r="A60" s="367"/>
      <c r="B60" s="332"/>
      <c r="C60" s="43"/>
      <c r="D60" s="43"/>
      <c r="E60" s="271"/>
    </row>
    <row r="61" spans="1:12">
      <c r="A61" s="367"/>
      <c r="H61" s="18"/>
    </row>
    <row r="62" spans="1:12" ht="66" customHeight="1">
      <c r="A62" s="367"/>
      <c r="C62" s="15"/>
      <c r="D62" s="333"/>
      <c r="E62" s="333"/>
      <c r="F62" s="333"/>
      <c r="G62" s="333"/>
      <c r="H62" s="333"/>
      <c r="I62" s="333"/>
    </row>
    <row r="63" spans="1:12" ht="56.25" customHeight="1">
      <c r="A63" s="368" t="s">
        <v>557</v>
      </c>
      <c r="B63" s="92" t="s">
        <v>452</v>
      </c>
      <c r="C63" s="688" t="s">
        <v>574</v>
      </c>
      <c r="D63" s="688"/>
      <c r="E63" s="688"/>
      <c r="F63" s="688"/>
      <c r="G63" s="688"/>
      <c r="H63" s="688"/>
      <c r="I63" s="688"/>
      <c r="J63" s="688"/>
    </row>
    <row r="64" spans="1:12" ht="27" customHeight="1">
      <c r="A64" s="367"/>
      <c r="B64" s="318" t="s">
        <v>454</v>
      </c>
      <c r="C64" s="682" t="s">
        <v>575</v>
      </c>
      <c r="D64" s="682"/>
      <c r="E64" s="682"/>
      <c r="F64" s="682"/>
      <c r="G64" s="682"/>
      <c r="H64" s="682"/>
      <c r="I64" s="682"/>
    </row>
    <row r="68" ht="24" customHeight="1"/>
  </sheetData>
  <mergeCells count="4">
    <mergeCell ref="C64:I64"/>
    <mergeCell ref="D10:E10"/>
    <mergeCell ref="D11:E11"/>
    <mergeCell ref="C63:J63"/>
  </mergeCells>
  <phoneticPr fontId="0" type="noConversion"/>
  <pageMargins left="0.25" right="0.25" top="0.75" bottom="0.75" header="0.3" footer="0.3"/>
  <pageSetup scale="65" fitToHeight="0"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7"/>
  <sheetViews>
    <sheetView zoomScale="85" zoomScaleNormal="85" zoomScaleSheetLayoutView="85" workbookViewId="0">
      <selection activeCell="A2" sqref="A2"/>
    </sheetView>
  </sheetViews>
  <sheetFormatPr defaultColWidth="8.77734375" defaultRowHeight="12.75"/>
  <cols>
    <col min="1" max="1" width="4.77734375" style="13" customWidth="1"/>
    <col min="2" max="2" width="29" style="15" bestFit="1" customWidth="1"/>
    <col min="3" max="3" width="20" style="15" customWidth="1"/>
    <col min="4" max="4" width="19.21875" style="15" customWidth="1"/>
    <col min="5" max="5" width="16" style="15" customWidth="1"/>
    <col min="6" max="6" width="17.21875" style="15" customWidth="1"/>
    <col min="7" max="7" width="21.21875" style="15" customWidth="1"/>
    <col min="8" max="8" width="18" style="15" customWidth="1"/>
    <col min="9" max="9" width="20.77734375" style="15" customWidth="1"/>
    <col min="10" max="10" width="25.21875" style="15" customWidth="1"/>
    <col min="11" max="14" width="11.77734375" style="15" customWidth="1"/>
    <col min="15" max="15" width="8.77734375" style="15" customWidth="1"/>
    <col min="16" max="16384" width="8.77734375" style="15"/>
  </cols>
  <sheetData>
    <row r="1" spans="1:12">
      <c r="C1" s="1"/>
      <c r="D1" s="1"/>
      <c r="E1" s="1"/>
      <c r="G1" s="20" t="s">
        <v>576</v>
      </c>
      <c r="H1" s="1"/>
      <c r="I1" s="1"/>
      <c r="J1" s="7" t="s">
        <v>339</v>
      </c>
    </row>
    <row r="2" spans="1:12">
      <c r="A2" s="213"/>
      <c r="C2" s="1"/>
      <c r="D2" s="1"/>
      <c r="E2" s="1"/>
      <c r="F2" s="1"/>
      <c r="G2" s="245" t="s">
        <v>577</v>
      </c>
      <c r="H2" s="1"/>
      <c r="I2" s="1"/>
      <c r="J2" s="1"/>
      <c r="L2" s="208"/>
    </row>
    <row r="3" spans="1:12">
      <c r="A3" s="213"/>
      <c r="C3" s="1"/>
      <c r="D3" s="1"/>
      <c r="E3" s="1"/>
      <c r="F3" s="1"/>
      <c r="G3" s="442" t="str">
        <f>'Attachment H'!$D$5</f>
        <v>NextEra Energy Transmission MidAtlantic, Inc.</v>
      </c>
      <c r="H3" s="1"/>
      <c r="I3" s="1"/>
      <c r="J3" s="1"/>
    </row>
    <row r="4" spans="1:12">
      <c r="A4" s="213"/>
      <c r="C4" s="1"/>
      <c r="D4" s="1"/>
      <c r="E4" s="1"/>
      <c r="F4" s="1"/>
      <c r="G4" s="1"/>
      <c r="H4" s="1"/>
      <c r="I4" s="1"/>
      <c r="J4" s="1"/>
    </row>
    <row r="5" spans="1:12">
      <c r="A5" s="213"/>
      <c r="B5" s="2"/>
      <c r="C5" s="2"/>
      <c r="D5" s="2"/>
      <c r="E5" s="2"/>
      <c r="F5" s="2"/>
      <c r="G5" s="2"/>
      <c r="H5" s="2"/>
      <c r="I5" s="2"/>
      <c r="J5" s="2"/>
    </row>
    <row r="6" spans="1:12">
      <c r="A6" s="213"/>
      <c r="B6" s="2"/>
      <c r="C6" s="691" t="s">
        <v>578</v>
      </c>
      <c r="D6" s="691"/>
      <c r="E6" s="11" t="s">
        <v>579</v>
      </c>
      <c r="F6" s="11" t="s">
        <v>580</v>
      </c>
      <c r="G6" s="691" t="s">
        <v>581</v>
      </c>
      <c r="H6" s="691"/>
      <c r="I6" s="690" t="s">
        <v>582</v>
      </c>
      <c r="J6" s="690"/>
    </row>
    <row r="7" spans="1:12" s="12" customFormat="1" ht="25.5">
      <c r="A7" s="214" t="s">
        <v>583</v>
      </c>
      <c r="B7" s="3" t="s">
        <v>584</v>
      </c>
      <c r="C7" s="3" t="s">
        <v>41</v>
      </c>
      <c r="D7" s="3" t="s">
        <v>585</v>
      </c>
      <c r="E7" s="3" t="s">
        <v>586</v>
      </c>
      <c r="F7" s="3" t="s">
        <v>587</v>
      </c>
      <c r="G7" s="3" t="s">
        <v>107</v>
      </c>
      <c r="H7" s="3" t="s">
        <v>588</v>
      </c>
      <c r="I7" s="3" t="s">
        <v>41</v>
      </c>
      <c r="J7" s="3" t="s">
        <v>585</v>
      </c>
    </row>
    <row r="8" spans="1:12" s="14" customFormat="1">
      <c r="A8" s="213"/>
      <c r="B8" s="11" t="s">
        <v>566</v>
      </c>
      <c r="C8" s="11" t="s">
        <v>567</v>
      </c>
      <c r="D8" s="11" t="s">
        <v>568</v>
      </c>
      <c r="E8" s="3" t="s">
        <v>569</v>
      </c>
      <c r="F8" s="3" t="s">
        <v>589</v>
      </c>
      <c r="G8" s="3" t="s">
        <v>590</v>
      </c>
      <c r="H8" s="3" t="s">
        <v>591</v>
      </c>
      <c r="I8" s="4" t="s">
        <v>592</v>
      </c>
      <c r="J8" s="4" t="s">
        <v>593</v>
      </c>
    </row>
    <row r="9" spans="1:12" s="14" customFormat="1">
      <c r="A9" s="213"/>
      <c r="B9" s="105" t="s">
        <v>594</v>
      </c>
      <c r="C9" s="245">
        <v>2</v>
      </c>
      <c r="D9" s="245">
        <v>4</v>
      </c>
      <c r="E9" s="246">
        <v>27</v>
      </c>
      <c r="F9" s="246">
        <v>31</v>
      </c>
      <c r="G9" s="246">
        <v>34</v>
      </c>
      <c r="H9" s="246">
        <v>35</v>
      </c>
      <c r="I9" s="247">
        <v>9</v>
      </c>
      <c r="J9" s="247">
        <v>11</v>
      </c>
    </row>
    <row r="10" spans="1:12" s="14" customFormat="1" ht="25.5">
      <c r="A10" s="213"/>
      <c r="B10" s="11"/>
      <c r="C10" s="280" t="s">
        <v>595</v>
      </c>
      <c r="D10" s="280" t="s">
        <v>596</v>
      </c>
      <c r="E10" s="369" t="s">
        <v>412</v>
      </c>
      <c r="F10" s="280" t="s">
        <v>597</v>
      </c>
      <c r="G10" s="280" t="s">
        <v>598</v>
      </c>
      <c r="H10" s="280" t="s">
        <v>599</v>
      </c>
      <c r="I10" s="280" t="s">
        <v>600</v>
      </c>
      <c r="J10" s="280" t="s">
        <v>601</v>
      </c>
    </row>
    <row r="11" spans="1:12">
      <c r="A11" s="213">
        <v>1</v>
      </c>
      <c r="B11" s="5" t="s">
        <v>602</v>
      </c>
      <c r="C11" s="6">
        <f>'2025 Plant-in-Service'!$C$4-D11</f>
        <v>76133544.959999993</v>
      </c>
      <c r="D11" s="6">
        <v>578</v>
      </c>
      <c r="E11" s="6">
        <f>CWIP!$B$5</f>
        <v>13037239.380000001</v>
      </c>
      <c r="F11" s="6">
        <v>0</v>
      </c>
      <c r="G11" s="6">
        <v>0</v>
      </c>
      <c r="H11" s="348"/>
      <c r="I11" s="6">
        <f>-'2025 Plant-in-Service'!$C$5</f>
        <v>2221265.58</v>
      </c>
      <c r="J11" s="6">
        <f>-'2025 Plant-in-Service'!C6</f>
        <v>376.55</v>
      </c>
    </row>
    <row r="12" spans="1:12">
      <c r="A12" s="213">
        <v>2</v>
      </c>
      <c r="B12" s="5" t="s">
        <v>603</v>
      </c>
      <c r="C12" s="6">
        <f>'2025 Plant-in-Service'!$D$4-D12</f>
        <v>76184031.329999998</v>
      </c>
      <c r="D12" s="6">
        <v>578</v>
      </c>
      <c r="E12" s="6">
        <f>CWIP!$C$5</f>
        <v>15149957.080000002</v>
      </c>
      <c r="F12" s="6">
        <v>0</v>
      </c>
      <c r="G12" s="6">
        <v>0</v>
      </c>
      <c r="H12" s="348"/>
      <c r="I12" s="6">
        <f>-'2025 Plant-in-Service'!$D$5</f>
        <v>2381999.25</v>
      </c>
      <c r="J12" s="6">
        <f>-'2025 Plant-in-Service'!D6</f>
        <v>386.41</v>
      </c>
    </row>
    <row r="13" spans="1:12">
      <c r="A13" s="213">
        <v>3</v>
      </c>
      <c r="B13" s="1" t="s">
        <v>604</v>
      </c>
      <c r="C13" s="6">
        <f>'2025 Plant-in-Service'!$E$4-D13</f>
        <v>76192971.479999989</v>
      </c>
      <c r="D13" s="6">
        <v>578</v>
      </c>
      <c r="E13" s="6">
        <f>CWIP!$D$5</f>
        <v>16165369.760000002</v>
      </c>
      <c r="F13" s="6">
        <v>0</v>
      </c>
      <c r="G13" s="6">
        <v>0</v>
      </c>
      <c r="H13" s="348"/>
      <c r="I13" s="6">
        <f>-'2025 Plant-in-Service'!$E$5</f>
        <v>2543181.38</v>
      </c>
      <c r="J13" s="6">
        <f>-'2025 Plant-in-Service'!E6</f>
        <v>396.27</v>
      </c>
    </row>
    <row r="14" spans="1:12">
      <c r="A14" s="213">
        <v>4</v>
      </c>
      <c r="B14" s="1" t="s">
        <v>605</v>
      </c>
      <c r="C14" s="6">
        <f>'2025 Plant-in-Service'!$F$4-D14</f>
        <v>76077316.799999997</v>
      </c>
      <c r="D14" s="6">
        <v>578</v>
      </c>
      <c r="E14" s="6">
        <f>CWIP!$E$5</f>
        <v>17919791.91</v>
      </c>
      <c r="F14" s="6">
        <v>0</v>
      </c>
      <c r="G14" s="6">
        <v>0</v>
      </c>
      <c r="H14" s="348"/>
      <c r="I14" s="6">
        <f>-'2025 Plant-in-Service'!$F$5</f>
        <v>2708659.58</v>
      </c>
      <c r="J14" s="6">
        <f>-'2025 Plant-in-Service'!F6</f>
        <v>406.13</v>
      </c>
    </row>
    <row r="15" spans="1:12">
      <c r="A15" s="213">
        <v>5</v>
      </c>
      <c r="B15" s="1" t="s">
        <v>606</v>
      </c>
      <c r="C15" s="6">
        <f>'2025 Plant-in-Service'!$G$4-D15</f>
        <v>76088711.49000001</v>
      </c>
      <c r="D15" s="6">
        <v>578</v>
      </c>
      <c r="E15" s="6">
        <f>CWIP!$F$5</f>
        <v>19704102.77</v>
      </c>
      <c r="F15" s="6">
        <v>0</v>
      </c>
      <c r="G15" s="6">
        <v>0</v>
      </c>
      <c r="H15" s="348"/>
      <c r="I15" s="6">
        <f>-'2025 Plant-in-Service'!$G$5</f>
        <v>2868757.1</v>
      </c>
      <c r="J15" s="6">
        <f>-'2025 Plant-in-Service'!G6</f>
        <v>415.99</v>
      </c>
    </row>
    <row r="16" spans="1:12">
      <c r="A16" s="213">
        <v>6</v>
      </c>
      <c r="B16" s="1" t="s">
        <v>607</v>
      </c>
      <c r="C16" s="6">
        <f>'2025 Plant-in-Service'!$H$4-D16</f>
        <v>76098372.840000004</v>
      </c>
      <c r="D16" s="6">
        <v>578</v>
      </c>
      <c r="E16" s="6">
        <f>CWIP!$G$5</f>
        <v>21792821.255459167</v>
      </c>
      <c r="F16" s="6">
        <v>0</v>
      </c>
      <c r="G16" s="6">
        <v>0</v>
      </c>
      <c r="H16" s="348"/>
      <c r="I16" s="6">
        <f>-'2025 Plant-in-Service'!$H$5</f>
        <v>3028986.9</v>
      </c>
      <c r="J16" s="6">
        <f>-'2025 Plant-in-Service'!H6</f>
        <v>415.99</v>
      </c>
    </row>
    <row r="17" spans="1:10">
      <c r="A17" s="213">
        <v>7</v>
      </c>
      <c r="B17" s="1" t="s">
        <v>608</v>
      </c>
      <c r="C17" s="6">
        <f>'2025 Plant-in-Service'!$I$4-D17</f>
        <v>76086706.180000007</v>
      </c>
      <c r="D17" s="6">
        <v>578</v>
      </c>
      <c r="E17" s="6">
        <f>CWIP!$H$5</f>
        <v>23961539.740918335</v>
      </c>
      <c r="F17" s="6">
        <v>0</v>
      </c>
      <c r="G17" s="6">
        <v>0</v>
      </c>
      <c r="H17" s="348"/>
      <c r="I17" s="6">
        <f>-'2025 Plant-in-Service'!$I$5</f>
        <v>3189214.33</v>
      </c>
      <c r="J17" s="6">
        <f>-'2025 Plant-in-Service'!I6</f>
        <v>415.99</v>
      </c>
    </row>
    <row r="18" spans="1:10">
      <c r="A18" s="213">
        <v>8</v>
      </c>
      <c r="B18" s="1" t="s">
        <v>609</v>
      </c>
      <c r="C18" s="6">
        <f>'2025 Plant-in-Service'!$J$4-D18</f>
        <v>76075039.520000011</v>
      </c>
      <c r="D18" s="6">
        <v>578</v>
      </c>
      <c r="E18" s="6">
        <f>CWIP!$I$5</f>
        <v>26116758.226377502</v>
      </c>
      <c r="F18" s="6">
        <v>0</v>
      </c>
      <c r="G18" s="6">
        <v>0</v>
      </c>
      <c r="H18" s="348"/>
      <c r="I18" s="6">
        <f>-'2025 Plant-in-Service'!$J$5</f>
        <v>3349416.87</v>
      </c>
      <c r="J18" s="6">
        <f>-'2025 Plant-in-Service'!J6</f>
        <v>415.99</v>
      </c>
    </row>
    <row r="19" spans="1:10">
      <c r="A19" s="213">
        <v>9</v>
      </c>
      <c r="B19" s="1" t="s">
        <v>610</v>
      </c>
      <c r="C19" s="6">
        <f>'2025 Plant-in-Service'!$K$4-D19</f>
        <v>76063372.859999999</v>
      </c>
      <c r="D19" s="6">
        <v>578</v>
      </c>
      <c r="E19" s="6">
        <f>CWIP!$J$5</f>
        <v>28461976.71183667</v>
      </c>
      <c r="F19" s="6">
        <v>0</v>
      </c>
      <c r="G19" s="6">
        <v>0</v>
      </c>
      <c r="H19" s="348"/>
      <c r="I19" s="6">
        <f>-'2025 Plant-in-Service'!$K$5</f>
        <v>3509594.5100000002</v>
      </c>
      <c r="J19" s="6">
        <f>-'2025 Plant-in-Service'!K6</f>
        <v>415.99</v>
      </c>
    </row>
    <row r="20" spans="1:10">
      <c r="A20" s="213">
        <v>10</v>
      </c>
      <c r="B20" s="1" t="s">
        <v>611</v>
      </c>
      <c r="C20" s="6">
        <f>'2025 Plant-in-Service'!$L$4-D20</f>
        <v>76051706.200000003</v>
      </c>
      <c r="D20" s="6">
        <v>578</v>
      </c>
      <c r="E20" s="6">
        <f>CWIP!$K$5</f>
        <v>37592195.197295837</v>
      </c>
      <c r="F20" s="6">
        <v>0</v>
      </c>
      <c r="G20" s="6">
        <v>0</v>
      </c>
      <c r="H20" s="348"/>
      <c r="I20" s="6">
        <f>-'2025 Plant-in-Service'!$L$5</f>
        <v>3669747.2600000002</v>
      </c>
      <c r="J20" s="6">
        <f>-'2025 Plant-in-Service'!L6</f>
        <v>415.99</v>
      </c>
    </row>
    <row r="21" spans="1:10">
      <c r="A21" s="213">
        <v>11</v>
      </c>
      <c r="B21" s="1" t="s">
        <v>612</v>
      </c>
      <c r="C21" s="6">
        <f>'2025 Plant-in-Service'!$M$4-D21</f>
        <v>76040039.540000007</v>
      </c>
      <c r="D21" s="6">
        <v>578</v>
      </c>
      <c r="E21" s="6">
        <f>CWIP!$L$5</f>
        <v>40247763.682755008</v>
      </c>
      <c r="F21" s="6">
        <v>0</v>
      </c>
      <c r="G21" s="6">
        <v>0</v>
      </c>
      <c r="H21" s="348"/>
      <c r="I21" s="6">
        <f>-'2025 Plant-in-Service'!$M$5</f>
        <v>3829875.13</v>
      </c>
      <c r="J21" s="6">
        <f>-'2025 Plant-in-Service'!M6</f>
        <v>415.99</v>
      </c>
    </row>
    <row r="22" spans="1:10">
      <c r="A22" s="213">
        <v>12</v>
      </c>
      <c r="B22" s="1" t="s">
        <v>613</v>
      </c>
      <c r="C22" s="6">
        <f>'2025 Plant-in-Service'!$N$4-D22</f>
        <v>76028372.88000001</v>
      </c>
      <c r="D22" s="6">
        <v>578</v>
      </c>
      <c r="E22" s="6">
        <f>CWIP!$M$5</f>
        <v>43529582.168214172</v>
      </c>
      <c r="F22" s="6">
        <v>0</v>
      </c>
      <c r="G22" s="6">
        <v>0</v>
      </c>
      <c r="H22" s="348"/>
      <c r="I22" s="6">
        <f>-'2025 Plant-in-Service'!$N$5</f>
        <v>3989978.1100000003</v>
      </c>
      <c r="J22" s="6">
        <f>-'2025 Plant-in-Service'!N6</f>
        <v>415.99</v>
      </c>
    </row>
    <row r="23" spans="1:10">
      <c r="A23" s="213">
        <v>13</v>
      </c>
      <c r="B23" s="1" t="s">
        <v>614</v>
      </c>
      <c r="C23" s="6">
        <f>'2025 Plant-in-Service'!$O$4-D23</f>
        <v>78635618.120000005</v>
      </c>
      <c r="D23" s="6">
        <v>578</v>
      </c>
      <c r="E23" s="6">
        <f>CWIP!$N$5</f>
        <v>45661280.653673343</v>
      </c>
      <c r="F23" s="6">
        <v>0</v>
      </c>
      <c r="G23" s="6">
        <v>0</v>
      </c>
      <c r="H23" s="348"/>
      <c r="I23" s="6">
        <f>-'2025 Plant-in-Service'!$O$5</f>
        <v>4152819.63</v>
      </c>
      <c r="J23" s="6">
        <f>-'2025 Plant-in-Service'!O6</f>
        <v>415.99</v>
      </c>
    </row>
    <row r="24" spans="1:10" ht="13.5" thickBot="1">
      <c r="A24" s="213">
        <v>14</v>
      </c>
      <c r="B24" s="7" t="s">
        <v>615</v>
      </c>
      <c r="C24" s="394">
        <f t="shared" ref="C24:J24" si="0">SUM(C11:C23)/13</f>
        <v>76288908.015384614</v>
      </c>
      <c r="D24" s="394">
        <f t="shared" si="0"/>
        <v>578</v>
      </c>
      <c r="E24" s="394">
        <f t="shared" si="0"/>
        <v>26872336.810502313</v>
      </c>
      <c r="F24" s="394">
        <f t="shared" si="0"/>
        <v>0</v>
      </c>
      <c r="G24" s="394">
        <f t="shared" si="0"/>
        <v>0</v>
      </c>
      <c r="H24" s="394">
        <f t="shared" si="0"/>
        <v>0</v>
      </c>
      <c r="I24" s="394">
        <f t="shared" si="0"/>
        <v>3187961.2023076927</v>
      </c>
      <c r="J24" s="394">
        <f t="shared" si="0"/>
        <v>408.40538461538449</v>
      </c>
    </row>
    <row r="25" spans="1:10" ht="13.5" thickTop="1">
      <c r="A25" s="213"/>
      <c r="B25" s="1"/>
      <c r="C25" s="9"/>
      <c r="D25" s="16"/>
      <c r="E25" s="16"/>
      <c r="F25" s="16"/>
      <c r="G25" s="9"/>
      <c r="H25" s="9"/>
      <c r="I25" s="9"/>
    </row>
    <row r="26" spans="1:10">
      <c r="A26" s="213"/>
      <c r="B26" s="10"/>
      <c r="C26" s="690" t="s">
        <v>616</v>
      </c>
      <c r="D26" s="690"/>
      <c r="E26" s="690"/>
      <c r="F26" s="690"/>
      <c r="G26" s="690"/>
      <c r="H26" s="690"/>
      <c r="I26" s="690"/>
    </row>
    <row r="27" spans="1:10" ht="72" customHeight="1">
      <c r="A27" s="213" t="s">
        <v>583</v>
      </c>
      <c r="B27" s="11" t="s">
        <v>584</v>
      </c>
      <c r="C27" s="4" t="s">
        <v>617</v>
      </c>
      <c r="D27" s="4" t="s">
        <v>618</v>
      </c>
      <c r="E27" s="4" t="s">
        <v>619</v>
      </c>
      <c r="F27" s="4" t="s">
        <v>620</v>
      </c>
      <c r="G27" s="4" t="s">
        <v>621</v>
      </c>
      <c r="H27" s="4" t="s">
        <v>622</v>
      </c>
      <c r="I27" s="4" t="s">
        <v>623</v>
      </c>
    </row>
    <row r="28" spans="1:10" s="14" customFormat="1">
      <c r="A28" s="213"/>
      <c r="B28" s="11" t="s">
        <v>566</v>
      </c>
      <c r="C28" s="4" t="s">
        <v>567</v>
      </c>
      <c r="D28" s="4" t="s">
        <v>568</v>
      </c>
      <c r="E28" s="4" t="s">
        <v>569</v>
      </c>
      <c r="F28" s="4" t="s">
        <v>589</v>
      </c>
      <c r="G28" s="4" t="s">
        <v>590</v>
      </c>
      <c r="H28" s="4" t="s">
        <v>591</v>
      </c>
      <c r="I28" s="4" t="s">
        <v>592</v>
      </c>
    </row>
    <row r="29" spans="1:10" s="14" customFormat="1">
      <c r="A29" s="213"/>
      <c r="B29" s="105" t="s">
        <v>594</v>
      </c>
      <c r="C29" s="247">
        <v>28</v>
      </c>
      <c r="D29" s="247">
        <v>29</v>
      </c>
      <c r="E29" s="247">
        <v>22</v>
      </c>
      <c r="F29" s="247">
        <v>23</v>
      </c>
      <c r="G29" s="247">
        <v>24</v>
      </c>
      <c r="H29" s="247">
        <v>25</v>
      </c>
      <c r="I29" s="247">
        <v>26</v>
      </c>
    </row>
    <row r="30" spans="1:10" s="14" customFormat="1" ht="25.5">
      <c r="A30" s="213"/>
      <c r="B30" s="11"/>
      <c r="C30" s="3" t="s">
        <v>624</v>
      </c>
      <c r="D30" s="4" t="s">
        <v>625</v>
      </c>
      <c r="E30" s="4" t="s">
        <v>626</v>
      </c>
      <c r="F30" s="4" t="s">
        <v>627</v>
      </c>
      <c r="G30" s="4" t="s">
        <v>628</v>
      </c>
      <c r="H30" s="4" t="s">
        <v>629</v>
      </c>
      <c r="I30" s="4" t="s">
        <v>630</v>
      </c>
    </row>
    <row r="31" spans="1:10">
      <c r="A31" s="213">
        <v>15</v>
      </c>
      <c r="B31" s="5" t="s">
        <v>602</v>
      </c>
      <c r="C31" s="6">
        <v>0</v>
      </c>
      <c r="D31" s="6">
        <v>0</v>
      </c>
      <c r="E31" s="6">
        <v>0</v>
      </c>
      <c r="F31" s="6">
        <v>0</v>
      </c>
      <c r="G31" s="6">
        <v>0</v>
      </c>
      <c r="H31" s="6">
        <v>0</v>
      </c>
      <c r="I31" s="6">
        <v>0</v>
      </c>
    </row>
    <row r="32" spans="1:10">
      <c r="A32" s="213">
        <v>16</v>
      </c>
      <c r="B32" s="5" t="s">
        <v>603</v>
      </c>
      <c r="C32" s="6">
        <v>0</v>
      </c>
      <c r="D32" s="6">
        <v>0</v>
      </c>
      <c r="E32" s="296"/>
      <c r="F32" s="296"/>
      <c r="G32" s="296"/>
      <c r="H32" s="296"/>
      <c r="I32" s="6">
        <v>0</v>
      </c>
    </row>
    <row r="33" spans="1:15">
      <c r="A33" s="213">
        <v>17</v>
      </c>
      <c r="B33" s="1" t="s">
        <v>604</v>
      </c>
      <c r="C33" s="6">
        <v>0</v>
      </c>
      <c r="D33" s="6">
        <v>0</v>
      </c>
      <c r="E33" s="296"/>
      <c r="F33" s="296"/>
      <c r="G33" s="296"/>
      <c r="H33" s="296"/>
      <c r="I33" s="6">
        <v>0</v>
      </c>
    </row>
    <row r="34" spans="1:15">
      <c r="A34" s="213">
        <v>18</v>
      </c>
      <c r="B34" s="1" t="s">
        <v>605</v>
      </c>
      <c r="C34" s="6">
        <v>0</v>
      </c>
      <c r="D34" s="6">
        <v>0</v>
      </c>
      <c r="E34" s="296"/>
      <c r="F34" s="296"/>
      <c r="G34" s="296"/>
      <c r="H34" s="296"/>
      <c r="I34" s="6">
        <v>0</v>
      </c>
    </row>
    <row r="35" spans="1:15">
      <c r="A35" s="213">
        <v>19</v>
      </c>
      <c r="B35" s="1" t="s">
        <v>606</v>
      </c>
      <c r="C35" s="6">
        <v>0</v>
      </c>
      <c r="D35" s="6">
        <v>0</v>
      </c>
      <c r="E35" s="296"/>
      <c r="F35" s="296"/>
      <c r="G35" s="296"/>
      <c r="H35" s="296"/>
      <c r="I35" s="6">
        <v>0</v>
      </c>
    </row>
    <row r="36" spans="1:15">
      <c r="A36" s="213">
        <v>20</v>
      </c>
      <c r="B36" s="1" t="s">
        <v>607</v>
      </c>
      <c r="C36" s="6">
        <v>0</v>
      </c>
      <c r="D36" s="6">
        <v>0</v>
      </c>
      <c r="E36" s="296"/>
      <c r="F36" s="296"/>
      <c r="G36" s="296"/>
      <c r="H36" s="296"/>
      <c r="I36" s="6">
        <v>0</v>
      </c>
    </row>
    <row r="37" spans="1:15">
      <c r="A37" s="213">
        <v>21</v>
      </c>
      <c r="B37" s="1" t="s">
        <v>608</v>
      </c>
      <c r="C37" s="6">
        <v>0</v>
      </c>
      <c r="D37" s="6">
        <v>0</v>
      </c>
      <c r="E37" s="296"/>
      <c r="F37" s="296"/>
      <c r="G37" s="296"/>
      <c r="H37" s="296"/>
      <c r="I37" s="6">
        <v>0</v>
      </c>
    </row>
    <row r="38" spans="1:15">
      <c r="A38" s="213">
        <v>22</v>
      </c>
      <c r="B38" s="1" t="s">
        <v>609</v>
      </c>
      <c r="C38" s="6">
        <v>0</v>
      </c>
      <c r="D38" s="6">
        <v>0</v>
      </c>
      <c r="E38" s="296"/>
      <c r="F38" s="296"/>
      <c r="G38" s="296"/>
      <c r="H38" s="296"/>
      <c r="I38" s="6">
        <v>0</v>
      </c>
    </row>
    <row r="39" spans="1:15">
      <c r="A39" s="213">
        <v>23</v>
      </c>
      <c r="B39" s="1" t="s">
        <v>610</v>
      </c>
      <c r="C39" s="6">
        <v>0</v>
      </c>
      <c r="D39" s="6">
        <v>0</v>
      </c>
      <c r="E39" s="296"/>
      <c r="F39" s="296"/>
      <c r="G39" s="296"/>
      <c r="H39" s="296"/>
      <c r="I39" s="6">
        <v>0</v>
      </c>
    </row>
    <row r="40" spans="1:15">
      <c r="A40" s="213">
        <v>24</v>
      </c>
      <c r="B40" s="1" t="s">
        <v>611</v>
      </c>
      <c r="C40" s="6">
        <v>0</v>
      </c>
      <c r="D40" s="6">
        <v>0</v>
      </c>
      <c r="E40" s="296"/>
      <c r="F40" s="296"/>
      <c r="G40" s="296"/>
      <c r="H40" s="296"/>
      <c r="I40" s="6">
        <v>0</v>
      </c>
    </row>
    <row r="41" spans="1:15">
      <c r="A41" s="213">
        <v>25</v>
      </c>
      <c r="B41" s="1" t="s">
        <v>612</v>
      </c>
      <c r="C41" s="6">
        <v>0</v>
      </c>
      <c r="D41" s="6">
        <v>0</v>
      </c>
      <c r="E41" s="296"/>
      <c r="F41" s="296"/>
      <c r="G41" s="296"/>
      <c r="H41" s="296"/>
      <c r="I41" s="6">
        <v>0</v>
      </c>
    </row>
    <row r="42" spans="1:15">
      <c r="A42" s="213">
        <v>26</v>
      </c>
      <c r="B42" s="1" t="s">
        <v>613</v>
      </c>
      <c r="C42" s="6">
        <v>0</v>
      </c>
      <c r="D42" s="6">
        <v>0</v>
      </c>
      <c r="E42" s="296"/>
      <c r="F42" s="296"/>
      <c r="G42" s="296"/>
      <c r="H42" s="296"/>
      <c r="I42" s="6">
        <v>0</v>
      </c>
    </row>
    <row r="43" spans="1:15">
      <c r="A43" s="213">
        <v>27</v>
      </c>
      <c r="B43" s="1" t="s">
        <v>614</v>
      </c>
      <c r="C43" s="6">
        <v>0</v>
      </c>
      <c r="D43" s="6">
        <v>0</v>
      </c>
      <c r="E43" s="6">
        <v>0</v>
      </c>
      <c r="F43" s="6"/>
      <c r="G43" s="6">
        <v>0</v>
      </c>
      <c r="H43" s="6">
        <v>0</v>
      </c>
      <c r="I43" s="6">
        <v>0</v>
      </c>
    </row>
    <row r="44" spans="1:15" ht="13.5" thickBot="1">
      <c r="A44" s="213">
        <v>28</v>
      </c>
      <c r="B44" s="7" t="s">
        <v>631</v>
      </c>
      <c r="C44" s="394">
        <f t="shared" ref="C44:I44" si="1">SUM(C31:C43)/13</f>
        <v>0</v>
      </c>
      <c r="D44" s="8">
        <f t="shared" si="1"/>
        <v>0</v>
      </c>
      <c r="E44" s="8">
        <f>(E31+E43)/2</f>
        <v>0</v>
      </c>
      <c r="F44" s="394">
        <f>'4a-Projection ADIT'!J95</f>
        <v>2700581.3064294877</v>
      </c>
      <c r="G44" s="394">
        <f>+'4a-Projection ADIT'!J126</f>
        <v>0</v>
      </c>
      <c r="H44" s="394">
        <f>+'4a-Projection ADIT'!J33</f>
        <v>-704452.5</v>
      </c>
      <c r="I44" s="8">
        <f t="shared" si="1"/>
        <v>0</v>
      </c>
    </row>
    <row r="45" spans="1:15" ht="13.5" thickTop="1">
      <c r="A45" s="213"/>
      <c r="B45" s="1"/>
      <c r="I45" s="16"/>
    </row>
    <row r="46" spans="1:15">
      <c r="A46" s="213"/>
    </row>
    <row r="47" spans="1:15">
      <c r="F47" s="20" t="s">
        <v>576</v>
      </c>
    </row>
    <row r="48" spans="1:15">
      <c r="A48" s="213"/>
      <c r="B48" s="207"/>
      <c r="C48" s="303"/>
      <c r="D48" s="303"/>
      <c r="E48" s="303"/>
      <c r="F48" s="245" t="s">
        <v>577</v>
      </c>
      <c r="G48" s="303"/>
      <c r="L48" s="14"/>
      <c r="M48" s="14"/>
      <c r="N48" s="14"/>
      <c r="O48" s="14"/>
    </row>
    <row r="49" spans="1:16">
      <c r="A49" s="213"/>
      <c r="C49" s="303"/>
      <c r="D49" s="303"/>
      <c r="E49" s="303"/>
      <c r="F49" s="442" t="str">
        <f>'Attachment H'!$D$5</f>
        <v>NextEra Energy Transmission MidAtlantic, Inc.</v>
      </c>
      <c r="G49" s="303"/>
      <c r="K49" s="14"/>
      <c r="L49" s="14"/>
      <c r="M49" s="14"/>
      <c r="N49" s="14"/>
      <c r="O49" s="14"/>
    </row>
    <row r="50" spans="1:16">
      <c r="A50" s="213"/>
      <c r="B50" s="207" t="s">
        <v>632</v>
      </c>
      <c r="C50" s="303"/>
      <c r="D50" s="303"/>
      <c r="E50" s="303"/>
      <c r="F50" s="113"/>
      <c r="G50" s="303"/>
      <c r="K50" s="14"/>
      <c r="L50" s="14"/>
      <c r="M50" s="14"/>
      <c r="N50" s="14"/>
      <c r="O50" s="14"/>
    </row>
    <row r="51" spans="1:16">
      <c r="A51" s="213"/>
      <c r="B51" s="207" t="s">
        <v>566</v>
      </c>
      <c r="C51" s="207" t="s">
        <v>567</v>
      </c>
      <c r="D51" s="207" t="s">
        <v>568</v>
      </c>
      <c r="E51" s="207" t="s">
        <v>569</v>
      </c>
      <c r="F51" s="207" t="s">
        <v>589</v>
      </c>
      <c r="G51" s="207" t="s">
        <v>590</v>
      </c>
      <c r="H51" s="207" t="s">
        <v>591</v>
      </c>
      <c r="I51" s="207" t="s">
        <v>592</v>
      </c>
      <c r="J51" s="208" t="s">
        <v>391</v>
      </c>
      <c r="L51" s="14"/>
      <c r="M51" s="14"/>
      <c r="N51" s="14"/>
      <c r="O51" s="14"/>
      <c r="P51" s="14"/>
    </row>
    <row r="52" spans="1:16" ht="76.5">
      <c r="A52" s="213">
        <v>29</v>
      </c>
      <c r="B52" s="304" t="s">
        <v>633</v>
      </c>
      <c r="C52" s="203"/>
      <c r="D52" s="305" t="s">
        <v>17</v>
      </c>
      <c r="E52" s="305" t="s">
        <v>634</v>
      </c>
      <c r="F52" s="305" t="s">
        <v>635</v>
      </c>
      <c r="G52" s="305" t="s">
        <v>636</v>
      </c>
      <c r="H52" s="306" t="s">
        <v>637</v>
      </c>
      <c r="I52" s="306" t="s">
        <v>638</v>
      </c>
      <c r="J52" s="304"/>
      <c r="K52" s="304"/>
      <c r="L52" s="304"/>
      <c r="M52" s="14"/>
      <c r="N52" s="14"/>
      <c r="O52" s="14"/>
      <c r="P52" s="14"/>
    </row>
    <row r="53" spans="1:16">
      <c r="A53" s="213" t="s">
        <v>639</v>
      </c>
      <c r="C53" s="307" t="s">
        <v>640</v>
      </c>
      <c r="D53" s="308">
        <v>0</v>
      </c>
      <c r="E53" s="308">
        <v>0</v>
      </c>
      <c r="F53" s="309"/>
      <c r="G53" s="309"/>
      <c r="H53" s="308"/>
      <c r="I53" s="310">
        <f>+H53*E53*D53</f>
        <v>0</v>
      </c>
      <c r="M53" s="14"/>
      <c r="N53" s="14"/>
      <c r="O53" s="14"/>
      <c r="P53" s="14"/>
    </row>
    <row r="54" spans="1:16">
      <c r="A54" s="213" t="s">
        <v>641</v>
      </c>
      <c r="C54" s="307" t="s">
        <v>642</v>
      </c>
      <c r="D54" s="311">
        <v>0</v>
      </c>
      <c r="E54" s="308">
        <v>0</v>
      </c>
      <c r="F54" s="309"/>
      <c r="G54" s="309"/>
      <c r="H54" s="308"/>
      <c r="I54" s="310">
        <f>+H54*E54*D54</f>
        <v>0</v>
      </c>
      <c r="M54" s="14"/>
      <c r="N54" s="14"/>
      <c r="O54" s="14"/>
      <c r="P54" s="14"/>
    </row>
    <row r="55" spans="1:16">
      <c r="A55" s="213" t="s">
        <v>643</v>
      </c>
      <c r="C55" s="307" t="s">
        <v>644</v>
      </c>
      <c r="D55" s="311"/>
      <c r="E55" s="308"/>
      <c r="F55" s="309"/>
      <c r="G55" s="309"/>
      <c r="H55" s="308"/>
      <c r="I55" s="310"/>
      <c r="M55" s="14"/>
      <c r="N55" s="14"/>
      <c r="O55" s="14"/>
      <c r="P55" s="14"/>
    </row>
    <row r="56" spans="1:16">
      <c r="A56" s="213" t="s">
        <v>645</v>
      </c>
      <c r="C56" s="307" t="s">
        <v>646</v>
      </c>
      <c r="D56" s="311"/>
      <c r="E56" s="308"/>
      <c r="F56" s="309"/>
      <c r="G56" s="309"/>
      <c r="H56" s="308"/>
      <c r="I56" s="310"/>
      <c r="M56" s="14"/>
      <c r="N56" s="14"/>
      <c r="O56" s="14"/>
      <c r="P56" s="14"/>
    </row>
    <row r="57" spans="1:16">
      <c r="A57" s="213" t="s">
        <v>647</v>
      </c>
      <c r="C57" s="307" t="s">
        <v>648</v>
      </c>
      <c r="D57" s="311"/>
      <c r="E57" s="308"/>
      <c r="F57" s="309"/>
      <c r="G57" s="309"/>
      <c r="H57" s="308"/>
      <c r="I57" s="310"/>
      <c r="M57" s="14"/>
      <c r="N57" s="14"/>
      <c r="O57" s="14"/>
      <c r="P57" s="14"/>
    </row>
    <row r="58" spans="1:16">
      <c r="A58" s="213" t="s">
        <v>649</v>
      </c>
      <c r="C58" s="312" t="s">
        <v>648</v>
      </c>
      <c r="D58" s="313">
        <v>0</v>
      </c>
      <c r="E58" s="314">
        <v>0</v>
      </c>
      <c r="F58" s="315"/>
      <c r="G58" s="315"/>
      <c r="H58" s="314"/>
      <c r="I58" s="316">
        <f>+H58*E58*D58</f>
        <v>0</v>
      </c>
      <c r="M58" s="14"/>
      <c r="N58" s="14"/>
      <c r="O58" s="14"/>
      <c r="P58" s="14"/>
    </row>
    <row r="59" spans="1:16">
      <c r="A59" s="213">
        <v>31</v>
      </c>
      <c r="C59" s="304" t="s">
        <v>22</v>
      </c>
      <c r="D59" s="317">
        <f>SUM(D53:D58)</f>
        <v>0</v>
      </c>
      <c r="E59" s="90"/>
      <c r="F59" s="14"/>
      <c r="G59" s="14"/>
      <c r="H59" s="90"/>
      <c r="I59" s="310">
        <f>SUM(I53:I58)</f>
        <v>0</v>
      </c>
      <c r="M59" s="14"/>
      <c r="N59" s="14"/>
      <c r="O59" s="14"/>
      <c r="P59" s="14"/>
    </row>
    <row r="60" spans="1:16">
      <c r="A60" s="215"/>
      <c r="B60" s="216"/>
      <c r="C60" s="217"/>
      <c r="D60" s="217"/>
      <c r="E60" s="217"/>
      <c r="F60" s="217"/>
      <c r="G60" s="217"/>
    </row>
    <row r="61" spans="1:16">
      <c r="A61" s="215"/>
      <c r="B61" s="216"/>
      <c r="C61" s="217"/>
      <c r="D61" s="217"/>
      <c r="E61" s="217"/>
      <c r="F61" s="217"/>
      <c r="G61" s="217"/>
      <c r="L61" s="14"/>
      <c r="M61" s="14"/>
      <c r="N61" s="14"/>
      <c r="O61" s="14"/>
      <c r="P61" s="14"/>
    </row>
    <row r="62" spans="1:16">
      <c r="A62" s="215"/>
      <c r="B62" s="216"/>
      <c r="C62" s="217"/>
      <c r="D62" s="217"/>
      <c r="E62" s="217"/>
      <c r="F62" s="217"/>
      <c r="G62" s="217"/>
      <c r="L62" s="14"/>
      <c r="M62" s="14"/>
      <c r="N62" s="14"/>
      <c r="O62" s="14"/>
      <c r="P62" s="14"/>
    </row>
    <row r="63" spans="1:16">
      <c r="A63" s="213" t="s">
        <v>557</v>
      </c>
    </row>
    <row r="64" spans="1:16" ht="12.75" customHeight="1">
      <c r="A64" s="213" t="s">
        <v>452</v>
      </c>
      <c r="B64" s="692" t="s">
        <v>650</v>
      </c>
      <c r="C64" s="692"/>
      <c r="D64" s="692"/>
      <c r="E64" s="692"/>
      <c r="F64" s="692"/>
      <c r="G64" s="692"/>
      <c r="H64" s="692"/>
      <c r="I64" s="692"/>
      <c r="J64" s="692"/>
      <c r="K64" s="692"/>
    </row>
    <row r="65" spans="1:12" ht="12.75" customHeight="1">
      <c r="A65" s="213" t="s">
        <v>454</v>
      </c>
      <c r="B65" s="692" t="s">
        <v>651</v>
      </c>
      <c r="C65" s="692"/>
      <c r="D65" s="692"/>
      <c r="E65" s="692"/>
      <c r="F65" s="692"/>
      <c r="G65" s="692"/>
      <c r="H65" s="692"/>
      <c r="I65" s="692"/>
      <c r="J65" s="692"/>
      <c r="K65" s="692"/>
      <c r="L65" s="208"/>
    </row>
    <row r="66" spans="1:12" ht="12.75" customHeight="1">
      <c r="A66" s="213" t="s">
        <v>286</v>
      </c>
      <c r="B66" s="452" t="s">
        <v>652</v>
      </c>
      <c r="C66" s="370"/>
      <c r="D66" s="370"/>
      <c r="E66" s="370"/>
      <c r="F66" s="370"/>
      <c r="G66" s="370"/>
      <c r="H66" s="370"/>
      <c r="I66" s="370"/>
      <c r="J66" s="370"/>
      <c r="K66" s="370"/>
    </row>
    <row r="67" spans="1:12">
      <c r="A67" s="213"/>
      <c r="B67" s="371" t="s">
        <v>653</v>
      </c>
      <c r="C67" s="347"/>
      <c r="D67" s="347"/>
      <c r="E67" s="347"/>
      <c r="F67" s="347"/>
      <c r="G67" s="347"/>
      <c r="H67" s="347"/>
      <c r="I67" s="347"/>
      <c r="J67" s="347"/>
      <c r="K67" s="347"/>
    </row>
    <row r="68" spans="1:12">
      <c r="A68" s="213"/>
      <c r="B68" s="371" t="s">
        <v>654</v>
      </c>
      <c r="C68" s="347"/>
      <c r="D68" s="347"/>
      <c r="E68" s="347"/>
      <c r="F68" s="347"/>
      <c r="G68" s="347"/>
      <c r="H68" s="347"/>
      <c r="I68" s="347"/>
      <c r="J68" s="347"/>
      <c r="K68" s="347"/>
    </row>
    <row r="69" spans="1:12" ht="12.75" customHeight="1">
      <c r="A69" s="213" t="s">
        <v>288</v>
      </c>
      <c r="B69" s="15" t="s">
        <v>655</v>
      </c>
    </row>
    <row r="70" spans="1:12" ht="24" customHeight="1">
      <c r="A70" s="318" t="s">
        <v>290</v>
      </c>
      <c r="B70" s="689" t="s">
        <v>656</v>
      </c>
      <c r="C70" s="689"/>
      <c r="D70" s="689"/>
      <c r="E70" s="689"/>
      <c r="F70" s="689"/>
      <c r="G70" s="689"/>
      <c r="H70" s="689"/>
      <c r="I70" s="689"/>
      <c r="J70" s="689"/>
      <c r="K70" s="252"/>
    </row>
    <row r="71" spans="1:12" ht="12.75" customHeight="1">
      <c r="A71" s="213" t="s">
        <v>292</v>
      </c>
      <c r="B71" s="693" t="s">
        <v>657</v>
      </c>
      <c r="C71" s="693"/>
      <c r="D71" s="693"/>
      <c r="E71" s="693"/>
      <c r="F71" s="693"/>
      <c r="G71" s="693"/>
      <c r="H71" s="693"/>
      <c r="I71" s="693"/>
      <c r="J71" s="693"/>
      <c r="K71" s="693"/>
    </row>
    <row r="72" spans="1:12" ht="43.5" customHeight="1">
      <c r="A72" s="318" t="s">
        <v>294</v>
      </c>
      <c r="B72" s="689" t="s">
        <v>658</v>
      </c>
      <c r="C72" s="689"/>
      <c r="D72" s="689"/>
      <c r="E72" s="689"/>
      <c r="F72" s="689"/>
      <c r="G72" s="689"/>
      <c r="H72" s="689"/>
      <c r="I72" s="689"/>
      <c r="J72" s="689"/>
      <c r="K72" s="252"/>
    </row>
    <row r="73" spans="1:12">
      <c r="A73" s="213" t="s">
        <v>302</v>
      </c>
      <c r="B73" s="372" t="s">
        <v>322</v>
      </c>
    </row>
    <row r="76" spans="1:12">
      <c r="B76" s="27"/>
    </row>
    <row r="77" spans="1:12">
      <c r="B77" s="383"/>
    </row>
  </sheetData>
  <customSheetViews>
    <customSheetView guid="{F04A2B9A-C6FE-4FEB-AD1E-2CF9AC309BE4}" scale="85" showPageBreaks="1" printArea="1">
      <selection activeCell="E6" sqref="E6"/>
      <pageMargins left="0" right="0" top="0" bottom="0" header="0" footer="0"/>
      <pageSetup scale="55" orientation="landscape" r:id="rId1"/>
    </customSheetView>
  </customSheetViews>
  <mergeCells count="9">
    <mergeCell ref="B72:J72"/>
    <mergeCell ref="C26:I26"/>
    <mergeCell ref="I6:J6"/>
    <mergeCell ref="G6:H6"/>
    <mergeCell ref="C6:D6"/>
    <mergeCell ref="B64:K64"/>
    <mergeCell ref="B65:K65"/>
    <mergeCell ref="B71:K71"/>
    <mergeCell ref="B70:J70"/>
  </mergeCells>
  <phoneticPr fontId="0" type="noConversion"/>
  <pageMargins left="0.25" right="0.25" top="0.75" bottom="0.75" header="0.3" footer="0.3"/>
  <pageSetup scale="58" fitToHeight="0" orientation="landscape" r:id="rId2"/>
  <rowBreaks count="1" manualBreakCount="1">
    <brk id="46" max="9" man="1"/>
  </rowBreaks>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29"/>
  <sheetViews>
    <sheetView zoomScale="85" zoomScaleNormal="85" workbookViewId="0">
      <selection activeCell="J71" sqref="J71"/>
    </sheetView>
  </sheetViews>
  <sheetFormatPr defaultColWidth="8.77734375" defaultRowHeight="15.75"/>
  <cols>
    <col min="1" max="1" width="5.21875" style="459" customWidth="1"/>
    <col min="2" max="2" width="10.77734375" style="459" customWidth="1"/>
    <col min="3" max="3" width="9.5546875" style="459" customWidth="1"/>
    <col min="4" max="4" width="10.109375" style="459" customWidth="1"/>
    <col min="5" max="5" width="12.44140625" style="459" customWidth="1"/>
    <col min="6" max="6" width="10.109375" style="459" customWidth="1"/>
    <col min="7" max="7" width="2.109375" style="459" customWidth="1"/>
    <col min="8" max="8" width="15.109375" style="459" customWidth="1"/>
    <col min="9" max="9" width="14.21875" style="459" customWidth="1"/>
    <col min="10" max="10" width="16.44140625" style="459" customWidth="1"/>
    <col min="11" max="11" width="13.44140625" style="459" customWidth="1"/>
    <col min="12" max="16384" width="8.77734375" style="459"/>
  </cols>
  <sheetData>
    <row r="1" spans="1:11" s="458" customFormat="1">
      <c r="B1" s="700" t="str">
        <f>'Attachment H'!$D$5</f>
        <v>NextEra Energy Transmission MidAtlantic, Inc.</v>
      </c>
      <c r="C1" s="700"/>
      <c r="D1" s="700"/>
      <c r="E1" s="700"/>
      <c r="F1" s="700"/>
      <c r="G1" s="700"/>
      <c r="H1" s="700"/>
      <c r="I1" s="700"/>
      <c r="J1" s="700"/>
      <c r="K1" s="700"/>
    </row>
    <row r="2" spans="1:11" s="458" customFormat="1">
      <c r="B2" s="700" t="s">
        <v>659</v>
      </c>
      <c r="C2" s="700"/>
      <c r="D2" s="700"/>
      <c r="E2" s="700"/>
      <c r="F2" s="700"/>
      <c r="G2" s="700"/>
      <c r="H2" s="700"/>
      <c r="I2" s="700"/>
      <c r="J2" s="700"/>
      <c r="K2" s="700"/>
    </row>
    <row r="3" spans="1:11" s="458" customFormat="1">
      <c r="B3" s="701" t="s">
        <v>660</v>
      </c>
      <c r="C3" s="701"/>
      <c r="D3" s="701"/>
      <c r="E3" s="701"/>
      <c r="F3" s="701"/>
      <c r="G3" s="701"/>
      <c r="H3" s="701"/>
      <c r="I3" s="701"/>
      <c r="J3" s="701"/>
      <c r="K3" s="701"/>
    </row>
    <row r="4" spans="1:11">
      <c r="J4" s="460" t="s">
        <v>661</v>
      </c>
      <c r="K4" s="461" t="s">
        <v>662</v>
      </c>
    </row>
    <row r="5" spans="1:11">
      <c r="A5" s="459">
        <v>1</v>
      </c>
      <c r="B5" s="462" t="s">
        <v>663</v>
      </c>
      <c r="H5" s="463"/>
      <c r="I5" s="463"/>
      <c r="J5" s="463"/>
      <c r="K5" s="463"/>
    </row>
    <row r="6" spans="1:11">
      <c r="A6" s="459">
        <f>+A5+1</f>
        <v>2</v>
      </c>
      <c r="B6" s="694" t="s">
        <v>664</v>
      </c>
      <c r="C6" s="695"/>
      <c r="D6" s="695"/>
      <c r="E6" s="695"/>
      <c r="F6" s="696"/>
      <c r="G6" s="464"/>
      <c r="H6" s="697" t="s">
        <v>665</v>
      </c>
      <c r="I6" s="698"/>
      <c r="J6" s="699"/>
      <c r="K6" s="463"/>
    </row>
    <row r="7" spans="1:11">
      <c r="B7" s="621" t="s">
        <v>452</v>
      </c>
      <c r="C7" s="621" t="s">
        <v>454</v>
      </c>
      <c r="D7" s="621" t="s">
        <v>286</v>
      </c>
      <c r="E7" s="621" t="s">
        <v>288</v>
      </c>
      <c r="F7" s="621" t="s">
        <v>290</v>
      </c>
      <c r="G7" s="464"/>
      <c r="H7" s="621" t="s">
        <v>292</v>
      </c>
      <c r="I7" s="621" t="s">
        <v>294</v>
      </c>
      <c r="J7" s="621" t="s">
        <v>302</v>
      </c>
      <c r="K7" s="465"/>
    </row>
    <row r="8" spans="1:11" ht="47.25">
      <c r="A8" s="459">
        <f>+A6+1</f>
        <v>3</v>
      </c>
      <c r="B8" s="466" t="s">
        <v>584</v>
      </c>
      <c r="C8" s="466" t="s">
        <v>666</v>
      </c>
      <c r="D8" s="466" t="s">
        <v>667</v>
      </c>
      <c r="E8" s="466" t="s">
        <v>668</v>
      </c>
      <c r="F8" s="466" t="s">
        <v>669</v>
      </c>
      <c r="G8" s="467"/>
      <c r="H8" s="466" t="s">
        <v>670</v>
      </c>
      <c r="I8" s="466" t="s">
        <v>671</v>
      </c>
      <c r="J8" s="466" t="s">
        <v>672</v>
      </c>
      <c r="K8" s="467"/>
    </row>
    <row r="9" spans="1:11">
      <c r="A9" s="459">
        <f t="shared" ref="A9:A23" si="0">+A8+1</f>
        <v>4</v>
      </c>
      <c r="C9" s="467"/>
      <c r="D9" s="467"/>
      <c r="E9" s="467"/>
      <c r="F9" s="467"/>
      <c r="G9" s="467"/>
      <c r="H9" s="467"/>
      <c r="I9" s="467"/>
      <c r="J9" s="467"/>
      <c r="K9" s="467"/>
    </row>
    <row r="10" spans="1:11">
      <c r="A10" s="459">
        <f t="shared" si="0"/>
        <v>5</v>
      </c>
      <c r="B10" s="468" t="s">
        <v>673</v>
      </c>
      <c r="C10" s="469"/>
      <c r="D10" s="470"/>
      <c r="E10" s="470"/>
      <c r="F10" s="470"/>
      <c r="G10" s="470"/>
      <c r="H10" s="471"/>
      <c r="I10" s="471"/>
      <c r="J10" s="472">
        <f>-Taxes!C11</f>
        <v>-704452</v>
      </c>
      <c r="K10" s="473"/>
    </row>
    <row r="11" spans="1:11">
      <c r="A11" s="459">
        <f t="shared" si="0"/>
        <v>6</v>
      </c>
      <c r="B11" s="469" t="s">
        <v>603</v>
      </c>
      <c r="C11" s="471">
        <v>31</v>
      </c>
      <c r="D11" s="474">
        <f>C11</f>
        <v>31</v>
      </c>
      <c r="E11" s="475">
        <f>D23-D11+1</f>
        <v>335</v>
      </c>
      <c r="F11" s="476">
        <f>IF(E11=0,0,E11/$D$23)</f>
        <v>0.9178082191780822</v>
      </c>
      <c r="G11" s="470"/>
      <c r="H11" s="472"/>
      <c r="I11" s="471"/>
      <c r="J11" s="471">
        <f>+J10+I11</f>
        <v>-704452</v>
      </c>
      <c r="K11" s="473"/>
    </row>
    <row r="12" spans="1:11">
      <c r="A12" s="459">
        <f t="shared" si="0"/>
        <v>7</v>
      </c>
      <c r="B12" s="469" t="s">
        <v>604</v>
      </c>
      <c r="C12" s="472">
        <v>28</v>
      </c>
      <c r="D12" s="474">
        <f t="shared" ref="D12:D22" si="1">C12</f>
        <v>28</v>
      </c>
      <c r="E12" s="475">
        <f>$D$23-SUM($D$11:D12)+1</f>
        <v>307</v>
      </c>
      <c r="F12" s="476">
        <f t="shared" ref="F12:F22" si="2">IF(E12=0,0,E12/$D$23)</f>
        <v>0.84109589041095889</v>
      </c>
      <c r="G12" s="470"/>
      <c r="H12" s="472"/>
      <c r="I12" s="471"/>
      <c r="J12" s="471">
        <f t="shared" ref="J12:J22" si="3">+J11+I12</f>
        <v>-704452</v>
      </c>
      <c r="K12" s="473"/>
    </row>
    <row r="13" spans="1:11">
      <c r="A13" s="459">
        <f t="shared" si="0"/>
        <v>8</v>
      </c>
      <c r="B13" s="469" t="s">
        <v>674</v>
      </c>
      <c r="C13" s="471">
        <v>31</v>
      </c>
      <c r="D13" s="474">
        <f t="shared" si="1"/>
        <v>31</v>
      </c>
      <c r="E13" s="475">
        <f>$D$23-SUM($D$11:D13)+1</f>
        <v>276</v>
      </c>
      <c r="F13" s="476">
        <f t="shared" si="2"/>
        <v>0.75616438356164384</v>
      </c>
      <c r="G13" s="470"/>
      <c r="H13" s="472"/>
      <c r="I13" s="471"/>
      <c r="J13" s="471">
        <f t="shared" si="3"/>
        <v>-704452</v>
      </c>
      <c r="K13" s="473"/>
    </row>
    <row r="14" spans="1:11">
      <c r="A14" s="459">
        <f t="shared" si="0"/>
        <v>9</v>
      </c>
      <c r="B14" s="469" t="s">
        <v>606</v>
      </c>
      <c r="C14" s="471">
        <v>30</v>
      </c>
      <c r="D14" s="474">
        <f t="shared" si="1"/>
        <v>30</v>
      </c>
      <c r="E14" s="475">
        <f>$D$23-SUM($D$11:D14)+1</f>
        <v>246</v>
      </c>
      <c r="F14" s="476">
        <f t="shared" si="2"/>
        <v>0.67397260273972603</v>
      </c>
      <c r="G14" s="470"/>
      <c r="H14" s="472"/>
      <c r="I14" s="471"/>
      <c r="J14" s="471">
        <f t="shared" si="3"/>
        <v>-704452</v>
      </c>
      <c r="K14" s="473"/>
    </row>
    <row r="15" spans="1:11">
      <c r="A15" s="459">
        <f t="shared" si="0"/>
        <v>10</v>
      </c>
      <c r="B15" s="469" t="s">
        <v>607</v>
      </c>
      <c r="C15" s="471">
        <v>31</v>
      </c>
      <c r="D15" s="474">
        <f t="shared" si="1"/>
        <v>31</v>
      </c>
      <c r="E15" s="475">
        <f>$D$23-SUM($D$11:D15)+1</f>
        <v>215</v>
      </c>
      <c r="F15" s="476">
        <f t="shared" si="2"/>
        <v>0.58904109589041098</v>
      </c>
      <c r="G15" s="470"/>
      <c r="H15" s="472"/>
      <c r="I15" s="471"/>
      <c r="J15" s="471">
        <f t="shared" si="3"/>
        <v>-704452</v>
      </c>
      <c r="K15" s="473"/>
    </row>
    <row r="16" spans="1:11">
      <c r="A16" s="459">
        <f t="shared" si="0"/>
        <v>11</v>
      </c>
      <c r="B16" s="469" t="s">
        <v>608</v>
      </c>
      <c r="C16" s="471">
        <v>30</v>
      </c>
      <c r="D16" s="474">
        <f t="shared" si="1"/>
        <v>30</v>
      </c>
      <c r="E16" s="475">
        <f>$D$23-SUM($D$11:D16)+1</f>
        <v>185</v>
      </c>
      <c r="F16" s="476">
        <f t="shared" si="2"/>
        <v>0.50684931506849318</v>
      </c>
      <c r="G16" s="470"/>
      <c r="H16" s="472"/>
      <c r="I16" s="471"/>
      <c r="J16" s="471">
        <f t="shared" si="3"/>
        <v>-704452</v>
      </c>
      <c r="K16" s="473"/>
    </row>
    <row r="17" spans="1:11">
      <c r="A17" s="459">
        <f t="shared" si="0"/>
        <v>12</v>
      </c>
      <c r="B17" s="469" t="s">
        <v>609</v>
      </c>
      <c r="C17" s="471">
        <v>31</v>
      </c>
      <c r="D17" s="474">
        <f t="shared" si="1"/>
        <v>31</v>
      </c>
      <c r="E17" s="475">
        <f>$D$23-SUM($D$11:D17)+1</f>
        <v>154</v>
      </c>
      <c r="F17" s="476">
        <f t="shared" si="2"/>
        <v>0.42191780821917807</v>
      </c>
      <c r="G17" s="470"/>
      <c r="H17" s="472"/>
      <c r="I17" s="471"/>
      <c r="J17" s="471">
        <f t="shared" si="3"/>
        <v>-704452</v>
      </c>
      <c r="K17" s="473"/>
    </row>
    <row r="18" spans="1:11">
      <c r="A18" s="459">
        <f t="shared" si="0"/>
        <v>13</v>
      </c>
      <c r="B18" s="469" t="s">
        <v>675</v>
      </c>
      <c r="C18" s="471">
        <v>31</v>
      </c>
      <c r="D18" s="474">
        <f t="shared" si="1"/>
        <v>31</v>
      </c>
      <c r="E18" s="475">
        <f>$D$23-SUM($D$11:D18)+1</f>
        <v>123</v>
      </c>
      <c r="F18" s="476">
        <f t="shared" si="2"/>
        <v>0.33698630136986302</v>
      </c>
      <c r="G18" s="470"/>
      <c r="H18" s="472"/>
      <c r="I18" s="471"/>
      <c r="J18" s="471">
        <f t="shared" si="3"/>
        <v>-704452</v>
      </c>
      <c r="K18" s="473"/>
    </row>
    <row r="19" spans="1:11">
      <c r="A19" s="459">
        <f t="shared" si="0"/>
        <v>14</v>
      </c>
      <c r="B19" s="469" t="s">
        <v>611</v>
      </c>
      <c r="C19" s="471">
        <v>30</v>
      </c>
      <c r="D19" s="474">
        <f t="shared" si="1"/>
        <v>30</v>
      </c>
      <c r="E19" s="475">
        <f>$D$23-SUM($D$11:D19)+1</f>
        <v>93</v>
      </c>
      <c r="F19" s="476">
        <f t="shared" si="2"/>
        <v>0.25479452054794521</v>
      </c>
      <c r="G19" s="470"/>
      <c r="H19" s="472"/>
      <c r="I19" s="471"/>
      <c r="J19" s="471">
        <f t="shared" si="3"/>
        <v>-704452</v>
      </c>
      <c r="K19" s="473"/>
    </row>
    <row r="20" spans="1:11">
      <c r="A20" s="459">
        <f t="shared" si="0"/>
        <v>15</v>
      </c>
      <c r="B20" s="469" t="s">
        <v>612</v>
      </c>
      <c r="C20" s="471">
        <v>31</v>
      </c>
      <c r="D20" s="474">
        <f t="shared" si="1"/>
        <v>31</v>
      </c>
      <c r="E20" s="475">
        <f>$D$23-SUM($D$11:D20)+1</f>
        <v>62</v>
      </c>
      <c r="F20" s="476">
        <f t="shared" si="2"/>
        <v>0.16986301369863013</v>
      </c>
      <c r="G20" s="470"/>
      <c r="H20" s="472"/>
      <c r="I20" s="471"/>
      <c r="J20" s="471">
        <f t="shared" si="3"/>
        <v>-704452</v>
      </c>
      <c r="K20" s="473"/>
    </row>
    <row r="21" spans="1:11">
      <c r="A21" s="459">
        <f t="shared" si="0"/>
        <v>16</v>
      </c>
      <c r="B21" s="469" t="s">
        <v>613</v>
      </c>
      <c r="C21" s="471">
        <v>30</v>
      </c>
      <c r="D21" s="474">
        <f t="shared" si="1"/>
        <v>30</v>
      </c>
      <c r="E21" s="475">
        <f>$D$23-SUM($D$11:D21)+1</f>
        <v>32</v>
      </c>
      <c r="F21" s="476">
        <f t="shared" si="2"/>
        <v>8.7671232876712329E-2</v>
      </c>
      <c r="G21" s="470"/>
      <c r="H21" s="472"/>
      <c r="I21" s="471"/>
      <c r="J21" s="471">
        <f t="shared" si="3"/>
        <v>-704452</v>
      </c>
      <c r="K21" s="473"/>
    </row>
    <row r="22" spans="1:11">
      <c r="A22" s="459">
        <f t="shared" si="0"/>
        <v>17</v>
      </c>
      <c r="B22" s="469" t="s">
        <v>676</v>
      </c>
      <c r="C22" s="471">
        <v>31</v>
      </c>
      <c r="D22" s="474">
        <f t="shared" si="1"/>
        <v>31</v>
      </c>
      <c r="E22" s="475">
        <f>$D$23-SUM($D$11:D22)+1</f>
        <v>1</v>
      </c>
      <c r="F22" s="476">
        <f t="shared" si="2"/>
        <v>2.7397260273972603E-3</v>
      </c>
      <c r="G22" s="470"/>
      <c r="H22" s="472"/>
      <c r="I22" s="471"/>
      <c r="J22" s="471">
        <f t="shared" si="3"/>
        <v>-704452</v>
      </c>
      <c r="K22" s="473"/>
    </row>
    <row r="23" spans="1:11">
      <c r="A23" s="459">
        <f t="shared" si="0"/>
        <v>18</v>
      </c>
      <c r="B23" s="622"/>
      <c r="C23" s="622" t="s">
        <v>22</v>
      </c>
      <c r="D23" s="623">
        <f>SUM(D11:D22)</f>
        <v>365</v>
      </c>
      <c r="E23" s="622"/>
      <c r="F23" s="624"/>
      <c r="G23" s="470"/>
      <c r="H23" s="625">
        <f>SUM(H11:H22)</f>
        <v>0</v>
      </c>
      <c r="I23" s="625">
        <f>SUM(I11:I22)</f>
        <v>0</v>
      </c>
      <c r="J23" s="624"/>
      <c r="K23" s="477"/>
    </row>
    <row r="24" spans="1:11">
      <c r="B24" s="478"/>
      <c r="C24" s="478"/>
      <c r="D24" s="478"/>
      <c r="E24" s="478"/>
      <c r="F24" s="477"/>
      <c r="G24" s="477"/>
      <c r="I24" s="479"/>
      <c r="J24" s="477"/>
      <c r="K24" s="477"/>
    </row>
    <row r="25" spans="1:11">
      <c r="A25" s="459">
        <f>+A23+1</f>
        <v>19</v>
      </c>
      <c r="B25" s="459" t="s">
        <v>677</v>
      </c>
      <c r="F25" s="459" t="s">
        <v>678</v>
      </c>
      <c r="G25" s="477"/>
      <c r="I25" s="477"/>
      <c r="J25" s="472">
        <f>-Taxes!C11</f>
        <v>-704452</v>
      </c>
    </row>
    <row r="26" spans="1:11">
      <c r="A26" s="459">
        <f>+A25+1</f>
        <v>20</v>
      </c>
      <c r="B26" s="459" t="s">
        <v>679</v>
      </c>
      <c r="F26" s="459" t="str">
        <f>"(Line "&amp;A25&amp;" less line "&amp;A27&amp;")"</f>
        <v>(Line 19 less line 21)</v>
      </c>
      <c r="G26" s="477"/>
      <c r="I26" s="477"/>
      <c r="J26" s="480">
        <f>+J25-J27</f>
        <v>0</v>
      </c>
    </row>
    <row r="27" spans="1:11">
      <c r="A27" s="459">
        <f t="shared" ref="A27:A33" si="4">+A26+1</f>
        <v>21</v>
      </c>
      <c r="B27" s="459" t="s">
        <v>680</v>
      </c>
      <c r="F27" s="459" t="str">
        <f>"(Line "&amp;A10&amp;", Col H)"</f>
        <v>(Line 5, Col H)</v>
      </c>
      <c r="G27" s="477"/>
      <c r="I27" s="477"/>
      <c r="J27" s="471">
        <f>+J10</f>
        <v>-704452</v>
      </c>
    </row>
    <row r="28" spans="1:11">
      <c r="A28" s="459">
        <f t="shared" si="4"/>
        <v>22</v>
      </c>
      <c r="B28" s="459" t="s">
        <v>681</v>
      </c>
      <c r="F28" s="459" t="s">
        <v>682</v>
      </c>
      <c r="G28" s="477"/>
      <c r="I28" s="477"/>
      <c r="J28" s="472">
        <f>-Taxes!E11</f>
        <v>-704453</v>
      </c>
    </row>
    <row r="29" spans="1:11">
      <c r="A29" s="459">
        <f t="shared" si="4"/>
        <v>23</v>
      </c>
      <c r="B29" s="459" t="str">
        <f>+B26</f>
        <v>Less non Prorated Items</v>
      </c>
      <c r="F29" s="459" t="str">
        <f>"(Line "&amp;A28&amp;" less line "&amp;A30&amp;")"</f>
        <v>(Line 22 less line 24)</v>
      </c>
      <c r="G29" s="477"/>
      <c r="I29" s="477"/>
      <c r="J29" s="480">
        <f>+J28-J30</f>
        <v>-1</v>
      </c>
    </row>
    <row r="30" spans="1:11">
      <c r="A30" s="459">
        <f t="shared" si="4"/>
        <v>24</v>
      </c>
      <c r="B30" s="459" t="s">
        <v>683</v>
      </c>
      <c r="F30" s="459" t="str">
        <f>"(Line "&amp;A22&amp;", Col H)"</f>
        <v>(Line 17, Col H)</v>
      </c>
      <c r="G30" s="477"/>
      <c r="I30" s="477"/>
      <c r="J30" s="500">
        <f>+J22</f>
        <v>-704452</v>
      </c>
    </row>
    <row r="31" spans="1:11">
      <c r="A31" s="459">
        <f t="shared" si="4"/>
        <v>25</v>
      </c>
      <c r="B31" s="459" t="s">
        <v>684</v>
      </c>
      <c r="F31" s="459" t="s">
        <v>685</v>
      </c>
      <c r="G31" s="477"/>
      <c r="I31" s="467"/>
      <c r="J31" s="626">
        <f>J22+(J26+J29)/2</f>
        <v>-704452.5</v>
      </c>
    </row>
    <row r="32" spans="1:11">
      <c r="A32" s="459">
        <f t="shared" si="4"/>
        <v>26</v>
      </c>
      <c r="B32" s="459" t="s">
        <v>686</v>
      </c>
      <c r="F32" s="459" t="s">
        <v>687</v>
      </c>
      <c r="G32" s="477"/>
      <c r="I32" s="467"/>
      <c r="J32" s="472">
        <v>0</v>
      </c>
    </row>
    <row r="33" spans="1:10">
      <c r="A33" s="459">
        <f t="shared" si="4"/>
        <v>27</v>
      </c>
      <c r="B33" s="459" t="s">
        <v>688</v>
      </c>
      <c r="F33" s="459" t="str">
        <f>"(Line "&amp;A31&amp;" less line "&amp;A32&amp;")"</f>
        <v>(Line 25 less line 26)</v>
      </c>
      <c r="J33" s="481">
        <f>+J31-J32</f>
        <v>-704452.5</v>
      </c>
    </row>
    <row r="35" spans="1:10">
      <c r="B35" s="462"/>
    </row>
    <row r="36" spans="1:10">
      <c r="A36" s="459">
        <f>+A33+1</f>
        <v>28</v>
      </c>
      <c r="B36" s="462" t="s">
        <v>689</v>
      </c>
      <c r="H36" s="463"/>
      <c r="I36" s="463"/>
      <c r="J36" s="463"/>
    </row>
    <row r="37" spans="1:10">
      <c r="A37" s="459">
        <f>+A36+1</f>
        <v>29</v>
      </c>
      <c r="B37" s="694" t="s">
        <v>664</v>
      </c>
      <c r="C37" s="695"/>
      <c r="D37" s="695"/>
      <c r="E37" s="695"/>
      <c r="F37" s="696"/>
      <c r="G37" s="464"/>
      <c r="H37" s="697" t="s">
        <v>665</v>
      </c>
      <c r="I37" s="698"/>
      <c r="J37" s="699"/>
    </row>
    <row r="38" spans="1:10">
      <c r="B38" s="621" t="s">
        <v>452</v>
      </c>
      <c r="C38" s="621" t="s">
        <v>454</v>
      </c>
      <c r="D38" s="621" t="s">
        <v>286</v>
      </c>
      <c r="E38" s="621" t="s">
        <v>288</v>
      </c>
      <c r="F38" s="621" t="s">
        <v>290</v>
      </c>
      <c r="G38" s="464"/>
      <c r="H38" s="621" t="s">
        <v>292</v>
      </c>
      <c r="I38" s="621" t="s">
        <v>294</v>
      </c>
      <c r="J38" s="621" t="s">
        <v>302</v>
      </c>
    </row>
    <row r="39" spans="1:10" ht="47.25">
      <c r="A39" s="459">
        <f>+A37+1</f>
        <v>30</v>
      </c>
      <c r="B39" s="466" t="s">
        <v>584</v>
      </c>
      <c r="C39" s="466" t="s">
        <v>666</v>
      </c>
      <c r="D39" s="466" t="s">
        <v>667</v>
      </c>
      <c r="E39" s="466" t="s">
        <v>668</v>
      </c>
      <c r="F39" s="466" t="s">
        <v>669</v>
      </c>
      <c r="G39" s="467"/>
      <c r="H39" s="466" t="s">
        <v>670</v>
      </c>
      <c r="I39" s="466" t="s">
        <v>671</v>
      </c>
      <c r="J39" s="466" t="s">
        <v>672</v>
      </c>
    </row>
    <row r="40" spans="1:10">
      <c r="A40" s="459">
        <f t="shared" ref="A40:A54" si="5">+A39+1</f>
        <v>31</v>
      </c>
      <c r="C40" s="467"/>
      <c r="D40" s="467"/>
      <c r="E40" s="467"/>
      <c r="F40" s="467"/>
      <c r="G40" s="467"/>
      <c r="H40" s="467"/>
      <c r="I40" s="467"/>
      <c r="J40" s="467"/>
    </row>
    <row r="41" spans="1:10">
      <c r="A41" s="459">
        <f t="shared" si="5"/>
        <v>32</v>
      </c>
      <c r="B41" s="468" t="s">
        <v>673</v>
      </c>
      <c r="C41" s="469"/>
      <c r="D41" s="470"/>
      <c r="E41" s="470"/>
      <c r="F41" s="470"/>
      <c r="G41" s="470"/>
      <c r="H41" s="471"/>
      <c r="I41" s="471"/>
      <c r="J41" s="472">
        <v>0</v>
      </c>
    </row>
    <row r="42" spans="1:10">
      <c r="A42" s="459">
        <f t="shared" si="5"/>
        <v>33</v>
      </c>
      <c r="B42" s="469" t="s">
        <v>603</v>
      </c>
      <c r="C42" s="471">
        <v>31</v>
      </c>
      <c r="D42" s="474">
        <f>C42</f>
        <v>31</v>
      </c>
      <c r="E42" s="475">
        <f>D54-D42+1</f>
        <v>335</v>
      </c>
      <c r="F42" s="476">
        <f>IF(E42=0,0,E42/$D$54)</f>
        <v>0.9178082191780822</v>
      </c>
      <c r="G42" s="470"/>
      <c r="H42" s="472">
        <v>0</v>
      </c>
      <c r="I42" s="471">
        <f>+H42*F42</f>
        <v>0</v>
      </c>
      <c r="J42" s="471">
        <f t="shared" ref="J42:J53" si="6">+I42+J41</f>
        <v>0</v>
      </c>
    </row>
    <row r="43" spans="1:10">
      <c r="A43" s="459">
        <f t="shared" si="5"/>
        <v>34</v>
      </c>
      <c r="B43" s="469" t="s">
        <v>604</v>
      </c>
      <c r="C43" s="472">
        <f>C12</f>
        <v>28</v>
      </c>
      <c r="D43" s="474">
        <f t="shared" ref="D43:D53" si="7">C43</f>
        <v>28</v>
      </c>
      <c r="E43" s="475">
        <f>$D$23-SUM($D$42:D43)+1</f>
        <v>307</v>
      </c>
      <c r="F43" s="476">
        <f t="shared" ref="F43:F53" si="8">IF(E43=0,0,E43/$D$54)</f>
        <v>0.84109589041095889</v>
      </c>
      <c r="G43" s="470"/>
      <c r="H43" s="472">
        <f t="shared" ref="H43:H53" si="9">+H42</f>
        <v>0</v>
      </c>
      <c r="I43" s="471">
        <f t="shared" ref="I43:I53" si="10">+H43*F43</f>
        <v>0</v>
      </c>
      <c r="J43" s="471">
        <f t="shared" si="6"/>
        <v>0</v>
      </c>
    </row>
    <row r="44" spans="1:10">
      <c r="A44" s="459">
        <f t="shared" si="5"/>
        <v>35</v>
      </c>
      <c r="B44" s="469" t="s">
        <v>674</v>
      </c>
      <c r="C44" s="471">
        <v>31</v>
      </c>
      <c r="D44" s="474">
        <f t="shared" si="7"/>
        <v>31</v>
      </c>
      <c r="E44" s="475">
        <f>$D$23-SUM($D$42:D44)+1</f>
        <v>276</v>
      </c>
      <c r="F44" s="476">
        <f t="shared" si="8"/>
        <v>0.75616438356164384</v>
      </c>
      <c r="G44" s="470"/>
      <c r="H44" s="472">
        <f t="shared" si="9"/>
        <v>0</v>
      </c>
      <c r="I44" s="471">
        <f t="shared" si="10"/>
        <v>0</v>
      </c>
      <c r="J44" s="471">
        <f t="shared" si="6"/>
        <v>0</v>
      </c>
    </row>
    <row r="45" spans="1:10">
      <c r="A45" s="459">
        <f t="shared" si="5"/>
        <v>36</v>
      </c>
      <c r="B45" s="469" t="s">
        <v>606</v>
      </c>
      <c r="C45" s="471">
        <v>30</v>
      </c>
      <c r="D45" s="474">
        <f t="shared" si="7"/>
        <v>30</v>
      </c>
      <c r="E45" s="475">
        <f>$D$23-SUM($D$42:D45)+1</f>
        <v>246</v>
      </c>
      <c r="F45" s="476">
        <f t="shared" si="8"/>
        <v>0.67397260273972603</v>
      </c>
      <c r="G45" s="470"/>
      <c r="H45" s="472">
        <f t="shared" si="9"/>
        <v>0</v>
      </c>
      <c r="I45" s="471">
        <f t="shared" si="10"/>
        <v>0</v>
      </c>
      <c r="J45" s="471">
        <f t="shared" si="6"/>
        <v>0</v>
      </c>
    </row>
    <row r="46" spans="1:10">
      <c r="A46" s="459">
        <f t="shared" si="5"/>
        <v>37</v>
      </c>
      <c r="B46" s="469" t="s">
        <v>607</v>
      </c>
      <c r="C46" s="471">
        <v>31</v>
      </c>
      <c r="D46" s="474">
        <f t="shared" si="7"/>
        <v>31</v>
      </c>
      <c r="E46" s="475">
        <f>$D$23-SUM($D$42:D46)+1</f>
        <v>215</v>
      </c>
      <c r="F46" s="476">
        <f t="shared" si="8"/>
        <v>0.58904109589041098</v>
      </c>
      <c r="G46" s="470"/>
      <c r="H46" s="472">
        <f t="shared" si="9"/>
        <v>0</v>
      </c>
      <c r="I46" s="471">
        <f t="shared" si="10"/>
        <v>0</v>
      </c>
      <c r="J46" s="471">
        <f t="shared" si="6"/>
        <v>0</v>
      </c>
    </row>
    <row r="47" spans="1:10">
      <c r="A47" s="459">
        <f t="shared" si="5"/>
        <v>38</v>
      </c>
      <c r="B47" s="469" t="s">
        <v>608</v>
      </c>
      <c r="C47" s="471">
        <v>30</v>
      </c>
      <c r="D47" s="474">
        <f t="shared" si="7"/>
        <v>30</v>
      </c>
      <c r="E47" s="475">
        <f>$D$23-SUM($D$42:D47)+1</f>
        <v>185</v>
      </c>
      <c r="F47" s="476">
        <f t="shared" si="8"/>
        <v>0.50684931506849318</v>
      </c>
      <c r="G47" s="470"/>
      <c r="H47" s="472">
        <f t="shared" si="9"/>
        <v>0</v>
      </c>
      <c r="I47" s="471">
        <f t="shared" si="10"/>
        <v>0</v>
      </c>
      <c r="J47" s="471">
        <f t="shared" si="6"/>
        <v>0</v>
      </c>
    </row>
    <row r="48" spans="1:10">
      <c r="A48" s="459">
        <f t="shared" si="5"/>
        <v>39</v>
      </c>
      <c r="B48" s="469" t="s">
        <v>609</v>
      </c>
      <c r="C48" s="471">
        <v>31</v>
      </c>
      <c r="D48" s="474">
        <f t="shared" si="7"/>
        <v>31</v>
      </c>
      <c r="E48" s="475">
        <f>$D$23-SUM($D$42:D48)+1</f>
        <v>154</v>
      </c>
      <c r="F48" s="476">
        <f t="shared" si="8"/>
        <v>0.42191780821917807</v>
      </c>
      <c r="G48" s="470"/>
      <c r="H48" s="472">
        <f t="shared" si="9"/>
        <v>0</v>
      </c>
      <c r="I48" s="471">
        <f t="shared" si="10"/>
        <v>0</v>
      </c>
      <c r="J48" s="471">
        <f t="shared" si="6"/>
        <v>0</v>
      </c>
    </row>
    <row r="49" spans="1:10">
      <c r="A49" s="459">
        <f t="shared" si="5"/>
        <v>40</v>
      </c>
      <c r="B49" s="469" t="s">
        <v>675</v>
      </c>
      <c r="C49" s="471">
        <v>31</v>
      </c>
      <c r="D49" s="474">
        <f t="shared" si="7"/>
        <v>31</v>
      </c>
      <c r="E49" s="475">
        <f>$D$23-SUM($D$42:D49)+1</f>
        <v>123</v>
      </c>
      <c r="F49" s="476">
        <f t="shared" si="8"/>
        <v>0.33698630136986302</v>
      </c>
      <c r="G49" s="470"/>
      <c r="H49" s="472">
        <f t="shared" si="9"/>
        <v>0</v>
      </c>
      <c r="I49" s="471">
        <f t="shared" si="10"/>
        <v>0</v>
      </c>
      <c r="J49" s="471">
        <f t="shared" si="6"/>
        <v>0</v>
      </c>
    </row>
    <row r="50" spans="1:10">
      <c r="A50" s="459">
        <f t="shared" si="5"/>
        <v>41</v>
      </c>
      <c r="B50" s="469" t="s">
        <v>611</v>
      </c>
      <c r="C50" s="471">
        <v>30</v>
      </c>
      <c r="D50" s="474">
        <f t="shared" si="7"/>
        <v>30</v>
      </c>
      <c r="E50" s="475">
        <f>$D$23-SUM($D$42:D50)+1</f>
        <v>93</v>
      </c>
      <c r="F50" s="476">
        <f t="shared" si="8"/>
        <v>0.25479452054794521</v>
      </c>
      <c r="G50" s="470"/>
      <c r="H50" s="472">
        <f t="shared" si="9"/>
        <v>0</v>
      </c>
      <c r="I50" s="471">
        <f t="shared" si="10"/>
        <v>0</v>
      </c>
      <c r="J50" s="471">
        <f t="shared" si="6"/>
        <v>0</v>
      </c>
    </row>
    <row r="51" spans="1:10">
      <c r="A51" s="459">
        <f t="shared" si="5"/>
        <v>42</v>
      </c>
      <c r="B51" s="469" t="s">
        <v>612</v>
      </c>
      <c r="C51" s="471">
        <v>31</v>
      </c>
      <c r="D51" s="474">
        <f t="shared" si="7"/>
        <v>31</v>
      </c>
      <c r="E51" s="475">
        <f>$D$23-SUM($D$42:D51)+1</f>
        <v>62</v>
      </c>
      <c r="F51" s="476">
        <f t="shared" si="8"/>
        <v>0.16986301369863013</v>
      </c>
      <c r="G51" s="470"/>
      <c r="H51" s="472">
        <f t="shared" si="9"/>
        <v>0</v>
      </c>
      <c r="I51" s="471">
        <f t="shared" si="10"/>
        <v>0</v>
      </c>
      <c r="J51" s="471">
        <f t="shared" si="6"/>
        <v>0</v>
      </c>
    </row>
    <row r="52" spans="1:10">
      <c r="A52" s="459">
        <f t="shared" si="5"/>
        <v>43</v>
      </c>
      <c r="B52" s="469" t="s">
        <v>613</v>
      </c>
      <c r="C52" s="471">
        <v>30</v>
      </c>
      <c r="D52" s="474">
        <f t="shared" si="7"/>
        <v>30</v>
      </c>
      <c r="E52" s="475">
        <f>$D$23-SUM($D$42:D52)+1</f>
        <v>32</v>
      </c>
      <c r="F52" s="476">
        <f t="shared" si="8"/>
        <v>8.7671232876712329E-2</v>
      </c>
      <c r="G52" s="470"/>
      <c r="H52" s="472">
        <f t="shared" si="9"/>
        <v>0</v>
      </c>
      <c r="I52" s="471">
        <f t="shared" si="10"/>
        <v>0</v>
      </c>
      <c r="J52" s="471">
        <f t="shared" si="6"/>
        <v>0</v>
      </c>
    </row>
    <row r="53" spans="1:10">
      <c r="A53" s="459">
        <f t="shared" si="5"/>
        <v>44</v>
      </c>
      <c r="B53" s="469" t="s">
        <v>676</v>
      </c>
      <c r="C53" s="471">
        <v>31</v>
      </c>
      <c r="D53" s="474">
        <f t="shared" si="7"/>
        <v>31</v>
      </c>
      <c r="E53" s="475">
        <f>$D$23-SUM($D$42:D53)+1</f>
        <v>1</v>
      </c>
      <c r="F53" s="476">
        <f t="shared" si="8"/>
        <v>2.7397260273972603E-3</v>
      </c>
      <c r="G53" s="470"/>
      <c r="H53" s="472">
        <f t="shared" si="9"/>
        <v>0</v>
      </c>
      <c r="I53" s="471">
        <f t="shared" si="10"/>
        <v>0</v>
      </c>
      <c r="J53" s="471">
        <f t="shared" si="6"/>
        <v>0</v>
      </c>
    </row>
    <row r="54" spans="1:10">
      <c r="A54" s="459">
        <f t="shared" si="5"/>
        <v>45</v>
      </c>
      <c r="B54" s="622"/>
      <c r="C54" s="622" t="s">
        <v>22</v>
      </c>
      <c r="D54" s="623">
        <f>SUM(D42:D53)</f>
        <v>365</v>
      </c>
      <c r="E54" s="622"/>
      <c r="F54" s="624"/>
      <c r="G54" s="470"/>
      <c r="H54" s="625">
        <f>SUM(H42:H53)</f>
        <v>0</v>
      </c>
      <c r="I54" s="625">
        <f>SUM(I42:I53)</f>
        <v>0</v>
      </c>
      <c r="J54" s="624"/>
    </row>
    <row r="55" spans="1:10">
      <c r="B55" s="478"/>
      <c r="C55" s="478"/>
      <c r="D55" s="478"/>
      <c r="E55" s="478"/>
      <c r="F55" s="477"/>
      <c r="G55" s="477"/>
      <c r="I55" s="479"/>
      <c r="J55" s="477"/>
    </row>
    <row r="56" spans="1:10">
      <c r="A56" s="459">
        <f>+A54+1</f>
        <v>46</v>
      </c>
      <c r="B56" s="459" t="s">
        <v>677</v>
      </c>
      <c r="F56" s="459" t="s">
        <v>690</v>
      </c>
      <c r="G56" s="477"/>
      <c r="I56" s="477"/>
      <c r="J56" s="472">
        <v>0</v>
      </c>
    </row>
    <row r="57" spans="1:10">
      <c r="A57" s="459">
        <f>+A56+1</f>
        <v>47</v>
      </c>
      <c r="B57" s="459" t="s">
        <v>679</v>
      </c>
      <c r="F57" s="459" t="str">
        <f>"(Line "&amp;A56&amp;" less line "&amp;A58&amp;")"</f>
        <v>(Line 46 less line 48)</v>
      </c>
      <c r="G57" s="477"/>
      <c r="I57" s="477"/>
      <c r="J57" s="480">
        <f>+J56-J58</f>
        <v>0</v>
      </c>
    </row>
    <row r="58" spans="1:10">
      <c r="A58" s="459">
        <f t="shared" ref="A58:A64" si="11">+A57+1</f>
        <v>48</v>
      </c>
      <c r="B58" s="459" t="s">
        <v>680</v>
      </c>
      <c r="F58" s="459" t="str">
        <f>"(Line "&amp;A41&amp;", Col H)"</f>
        <v>(Line 32, Col H)</v>
      </c>
      <c r="G58" s="477"/>
      <c r="I58" s="477"/>
      <c r="J58" s="471">
        <f>+J41</f>
        <v>0</v>
      </c>
    </row>
    <row r="59" spans="1:10">
      <c r="A59" s="459">
        <f t="shared" si="11"/>
        <v>49</v>
      </c>
      <c r="B59" s="459" t="s">
        <v>681</v>
      </c>
      <c r="F59" s="459" t="s">
        <v>691</v>
      </c>
      <c r="G59" s="477"/>
      <c r="I59" s="477"/>
      <c r="J59" s="472">
        <v>0</v>
      </c>
    </row>
    <row r="60" spans="1:10">
      <c r="A60" s="459">
        <f t="shared" si="11"/>
        <v>50</v>
      </c>
      <c r="B60" s="459" t="str">
        <f>+B57</f>
        <v>Less non Prorated Items</v>
      </c>
      <c r="F60" s="459" t="str">
        <f>"(Line "&amp;A59&amp;" less line "&amp;A61&amp;")"</f>
        <v>(Line 49 less line 51)</v>
      </c>
      <c r="G60" s="477"/>
      <c r="I60" s="477"/>
      <c r="J60" s="480">
        <f>+J59-J61</f>
        <v>0</v>
      </c>
    </row>
    <row r="61" spans="1:10">
      <c r="A61" s="459">
        <f t="shared" si="11"/>
        <v>51</v>
      </c>
      <c r="B61" s="459" t="s">
        <v>683</v>
      </c>
      <c r="F61" s="459" t="str">
        <f>"(Line "&amp;A53&amp;", Col H)"</f>
        <v>(Line 44, Col H)</v>
      </c>
      <c r="G61" s="477"/>
      <c r="I61" s="477"/>
      <c r="J61" s="471">
        <f>+J53</f>
        <v>0</v>
      </c>
    </row>
    <row r="62" spans="1:10">
      <c r="A62" s="459">
        <f t="shared" si="11"/>
        <v>52</v>
      </c>
      <c r="B62" s="459" t="s">
        <v>684</v>
      </c>
      <c r="F62" s="459" t="s">
        <v>692</v>
      </c>
      <c r="G62" s="477"/>
      <c r="I62" s="467"/>
      <c r="J62" s="626">
        <f>J53+(J57+J60)/2</f>
        <v>0</v>
      </c>
    </row>
    <row r="63" spans="1:10">
      <c r="A63" s="459">
        <f t="shared" si="11"/>
        <v>53</v>
      </c>
      <c r="B63" s="459" t="s">
        <v>686</v>
      </c>
      <c r="F63" s="459" t="s">
        <v>687</v>
      </c>
      <c r="G63" s="477"/>
      <c r="I63" s="467"/>
      <c r="J63" s="472">
        <v>0</v>
      </c>
    </row>
    <row r="64" spans="1:10">
      <c r="A64" s="459">
        <f t="shared" si="11"/>
        <v>54</v>
      </c>
      <c r="B64" s="459" t="s">
        <v>688</v>
      </c>
      <c r="F64" s="459" t="str">
        <f>"(Line "&amp;A62&amp;" less line "&amp;A63&amp;")"</f>
        <v>(Line 52 less line 53)</v>
      </c>
      <c r="J64" s="481">
        <f>+J62-J63</f>
        <v>0</v>
      </c>
    </row>
    <row r="66" spans="1:16">
      <c r="B66" s="462"/>
    </row>
    <row r="67" spans="1:16">
      <c r="A67" s="459">
        <f>+A64+1</f>
        <v>55</v>
      </c>
      <c r="B67" s="462" t="s">
        <v>693</v>
      </c>
      <c r="H67" s="463"/>
      <c r="I67" s="463"/>
      <c r="J67" s="463"/>
    </row>
    <row r="68" spans="1:16">
      <c r="A68" s="459">
        <f>+A67+1</f>
        <v>56</v>
      </c>
      <c r="B68" s="694" t="s">
        <v>664</v>
      </c>
      <c r="C68" s="695"/>
      <c r="D68" s="695"/>
      <c r="E68" s="695"/>
      <c r="F68" s="696"/>
      <c r="G68" s="464"/>
      <c r="H68" s="697" t="s">
        <v>665</v>
      </c>
      <c r="I68" s="698"/>
      <c r="J68" s="699"/>
    </row>
    <row r="69" spans="1:16">
      <c r="B69" s="621" t="s">
        <v>452</v>
      </c>
      <c r="C69" s="621" t="s">
        <v>454</v>
      </c>
      <c r="D69" s="621" t="s">
        <v>286</v>
      </c>
      <c r="E69" s="621" t="s">
        <v>288</v>
      </c>
      <c r="F69" s="621" t="s">
        <v>290</v>
      </c>
      <c r="G69" s="464"/>
      <c r="H69" s="621" t="s">
        <v>292</v>
      </c>
      <c r="I69" s="621" t="s">
        <v>294</v>
      </c>
      <c r="J69" s="621" t="s">
        <v>302</v>
      </c>
    </row>
    <row r="70" spans="1:16" ht="47.25">
      <c r="A70" s="459">
        <f>+A68+1</f>
        <v>57</v>
      </c>
      <c r="B70" s="466" t="s">
        <v>584</v>
      </c>
      <c r="C70" s="466" t="s">
        <v>666</v>
      </c>
      <c r="D70" s="466" t="s">
        <v>667</v>
      </c>
      <c r="E70" s="466" t="s">
        <v>668</v>
      </c>
      <c r="F70" s="466" t="s">
        <v>669</v>
      </c>
      <c r="G70" s="467"/>
      <c r="H70" s="466" t="s">
        <v>670</v>
      </c>
      <c r="I70" s="466" t="s">
        <v>671</v>
      </c>
      <c r="J70" s="466" t="s">
        <v>672</v>
      </c>
    </row>
    <row r="71" spans="1:16">
      <c r="A71" s="459">
        <f t="shared" ref="A71:A85" si="12">+A70+1</f>
        <v>58</v>
      </c>
      <c r="C71" s="467"/>
      <c r="D71" s="467"/>
      <c r="E71" s="467"/>
      <c r="F71" s="467"/>
      <c r="G71" s="467"/>
      <c r="H71" s="467"/>
      <c r="I71" s="467"/>
      <c r="J71" s="467"/>
    </row>
    <row r="72" spans="1:16">
      <c r="A72" s="459">
        <f t="shared" si="12"/>
        <v>59</v>
      </c>
      <c r="B72" s="468" t="s">
        <v>673</v>
      </c>
      <c r="C72" s="469"/>
      <c r="D72" s="470"/>
      <c r="E72" s="470"/>
      <c r="F72" s="470"/>
      <c r="G72" s="470"/>
      <c r="H72" s="471"/>
      <c r="I72" s="471"/>
      <c r="J72" s="472">
        <f>-Taxes!C21</f>
        <v>1822038</v>
      </c>
      <c r="K72" s="482"/>
    </row>
    <row r="73" spans="1:16">
      <c r="A73" s="459">
        <f t="shared" si="12"/>
        <v>60</v>
      </c>
      <c r="B73" s="469" t="s">
        <v>603</v>
      </c>
      <c r="C73" s="471">
        <v>31</v>
      </c>
      <c r="D73" s="474">
        <f>C73</f>
        <v>31</v>
      </c>
      <c r="E73" s="475">
        <f>D85-D73+1</f>
        <v>335</v>
      </c>
      <c r="F73" s="476">
        <f>IF(E73=0,0,E73/$D$85)</f>
        <v>0.9178082191780822</v>
      </c>
      <c r="G73" s="470"/>
      <c r="H73" s="472">
        <v>100068.12528020002</v>
      </c>
      <c r="I73" s="471">
        <f>+H73*F73</f>
        <v>91843.347859909612</v>
      </c>
      <c r="J73" s="471">
        <f>+J72+I73</f>
        <v>1913881.3478599095</v>
      </c>
      <c r="L73" s="483"/>
      <c r="M73" s="484"/>
    </row>
    <row r="74" spans="1:16">
      <c r="A74" s="459">
        <f t="shared" si="12"/>
        <v>61</v>
      </c>
      <c r="B74" s="469" t="s">
        <v>604</v>
      </c>
      <c r="C74" s="472">
        <f>C12</f>
        <v>28</v>
      </c>
      <c r="D74" s="474">
        <f t="shared" ref="D74:D84" si="13">C74</f>
        <v>28</v>
      </c>
      <c r="E74" s="475">
        <f>$D$23-SUM($D$73:D74)+1</f>
        <v>307</v>
      </c>
      <c r="F74" s="476">
        <f t="shared" ref="F74:F84" si="14">IF(E74=0,0,E74/$D$85)</f>
        <v>0.84109589041095889</v>
      </c>
      <c r="G74" s="485"/>
      <c r="H74" s="472">
        <v>100068.12528020002</v>
      </c>
      <c r="I74" s="471">
        <f t="shared" ref="I74:I82" si="15">+H74*F74</f>
        <v>84166.888934305229</v>
      </c>
      <c r="J74" s="471">
        <f>+J73+I74</f>
        <v>1998048.2367942147</v>
      </c>
      <c r="L74" s="483"/>
      <c r="M74" s="483"/>
    </row>
    <row r="75" spans="1:16">
      <c r="A75" s="459">
        <f t="shared" si="12"/>
        <v>62</v>
      </c>
      <c r="B75" s="469" t="s">
        <v>674</v>
      </c>
      <c r="C75" s="471">
        <v>31</v>
      </c>
      <c r="D75" s="474">
        <f t="shared" si="13"/>
        <v>31</v>
      </c>
      <c r="E75" s="475">
        <f>$D$23-SUM($D$73:D75)+1</f>
        <v>276</v>
      </c>
      <c r="F75" s="476">
        <f t="shared" si="14"/>
        <v>0.75616438356164384</v>
      </c>
      <c r="G75" s="485"/>
      <c r="H75" s="472">
        <v>100068.12528020002</v>
      </c>
      <c r="I75" s="471">
        <f t="shared" si="15"/>
        <v>75667.952266671797</v>
      </c>
      <c r="J75" s="471">
        <f>+J74+I75</f>
        <v>2073716.1890608864</v>
      </c>
      <c r="L75" s="483"/>
      <c r="M75" s="483"/>
    </row>
    <row r="76" spans="1:16">
      <c r="A76" s="459">
        <f t="shared" si="12"/>
        <v>63</v>
      </c>
      <c r="B76" s="469" t="s">
        <v>606</v>
      </c>
      <c r="C76" s="471">
        <v>30</v>
      </c>
      <c r="D76" s="474">
        <f t="shared" si="13"/>
        <v>30</v>
      </c>
      <c r="E76" s="475">
        <f>$D$23-SUM($D$73:D76)+1</f>
        <v>246</v>
      </c>
      <c r="F76" s="476">
        <f t="shared" si="14"/>
        <v>0.67397260273972603</v>
      </c>
      <c r="G76" s="485"/>
      <c r="H76" s="472">
        <v>100068.12528020002</v>
      </c>
      <c r="I76" s="471">
        <f t="shared" si="15"/>
        <v>67443.174846381386</v>
      </c>
      <c r="J76" s="471">
        <f t="shared" ref="J76:J84" si="16">+J75+I76</f>
        <v>2141159.3639072678</v>
      </c>
      <c r="L76" s="483"/>
      <c r="M76" s="483"/>
    </row>
    <row r="77" spans="1:16">
      <c r="A77" s="459">
        <f t="shared" si="12"/>
        <v>64</v>
      </c>
      <c r="B77" s="469" t="s">
        <v>607</v>
      </c>
      <c r="C77" s="471">
        <v>31</v>
      </c>
      <c r="D77" s="474">
        <f t="shared" si="13"/>
        <v>31</v>
      </c>
      <c r="E77" s="475">
        <f>$D$23-SUM($D$73:D77)+1</f>
        <v>215</v>
      </c>
      <c r="F77" s="476">
        <f t="shared" si="14"/>
        <v>0.58904109589041098</v>
      </c>
      <c r="G77" s="485"/>
      <c r="H77" s="472">
        <v>100068.12528020002</v>
      </c>
      <c r="I77" s="471">
        <f t="shared" si="15"/>
        <v>58944.238178747961</v>
      </c>
      <c r="J77" s="471">
        <f t="shared" si="16"/>
        <v>2200103.602086016</v>
      </c>
      <c r="L77" s="483"/>
      <c r="M77" s="483"/>
    </row>
    <row r="78" spans="1:16">
      <c r="A78" s="459">
        <f t="shared" si="12"/>
        <v>65</v>
      </c>
      <c r="B78" s="469" t="s">
        <v>608</v>
      </c>
      <c r="C78" s="471">
        <v>30</v>
      </c>
      <c r="D78" s="474">
        <f t="shared" si="13"/>
        <v>30</v>
      </c>
      <c r="E78" s="475">
        <f>$D$23-SUM($D$73:D78)+1</f>
        <v>185</v>
      </c>
      <c r="F78" s="476">
        <f t="shared" si="14"/>
        <v>0.50684931506849318</v>
      </c>
      <c r="G78" s="485"/>
      <c r="H78" s="472">
        <v>100068.12528020002</v>
      </c>
      <c r="I78" s="471">
        <f t="shared" si="15"/>
        <v>50719.46075845755</v>
      </c>
      <c r="J78" s="471">
        <f t="shared" si="16"/>
        <v>2250823.0628444734</v>
      </c>
      <c r="L78" s="483"/>
      <c r="M78" s="483"/>
    </row>
    <row r="79" spans="1:16">
      <c r="A79" s="459">
        <f t="shared" si="12"/>
        <v>66</v>
      </c>
      <c r="B79" s="469" t="s">
        <v>609</v>
      </c>
      <c r="C79" s="471">
        <v>31</v>
      </c>
      <c r="D79" s="474">
        <f t="shared" si="13"/>
        <v>31</v>
      </c>
      <c r="E79" s="475">
        <f>$D$23-SUM($D$73:D79)+1</f>
        <v>154</v>
      </c>
      <c r="F79" s="476">
        <f t="shared" si="14"/>
        <v>0.42191780821917807</v>
      </c>
      <c r="G79" s="485"/>
      <c r="H79" s="472">
        <v>100068.12528020002</v>
      </c>
      <c r="I79" s="471">
        <f t="shared" si="15"/>
        <v>42220.524090824118</v>
      </c>
      <c r="J79" s="471">
        <f t="shared" si="16"/>
        <v>2293043.5869352976</v>
      </c>
      <c r="L79" s="483"/>
      <c r="M79" s="483"/>
      <c r="N79" s="486"/>
      <c r="P79" s="483"/>
    </row>
    <row r="80" spans="1:16">
      <c r="A80" s="459">
        <f t="shared" si="12"/>
        <v>67</v>
      </c>
      <c r="B80" s="469" t="s">
        <v>675</v>
      </c>
      <c r="C80" s="471">
        <v>31</v>
      </c>
      <c r="D80" s="474">
        <f t="shared" si="13"/>
        <v>31</v>
      </c>
      <c r="E80" s="475">
        <f>$D$23-SUM($D$73:D80)+1</f>
        <v>123</v>
      </c>
      <c r="F80" s="476">
        <f t="shared" si="14"/>
        <v>0.33698630136986302</v>
      </c>
      <c r="G80" s="485"/>
      <c r="H80" s="472">
        <v>100068.12528020002</v>
      </c>
      <c r="I80" s="471">
        <f t="shared" si="15"/>
        <v>33721.587423190693</v>
      </c>
      <c r="J80" s="471">
        <f t="shared" si="16"/>
        <v>2326765.1743584881</v>
      </c>
      <c r="L80" s="483"/>
      <c r="M80" s="483"/>
      <c r="N80" s="486"/>
      <c r="P80" s="483"/>
    </row>
    <row r="81" spans="1:16">
      <c r="A81" s="459">
        <f t="shared" si="12"/>
        <v>68</v>
      </c>
      <c r="B81" s="469" t="s">
        <v>611</v>
      </c>
      <c r="C81" s="471">
        <v>30</v>
      </c>
      <c r="D81" s="474">
        <f t="shared" si="13"/>
        <v>30</v>
      </c>
      <c r="E81" s="475">
        <f>$D$23-SUM($D$73:D81)+1</f>
        <v>93</v>
      </c>
      <c r="F81" s="476">
        <f t="shared" si="14"/>
        <v>0.25479452054794521</v>
      </c>
      <c r="G81" s="485"/>
      <c r="H81" s="472">
        <v>100068.12528020002</v>
      </c>
      <c r="I81" s="471">
        <f t="shared" si="15"/>
        <v>25496.810002900282</v>
      </c>
      <c r="J81" s="471">
        <f t="shared" si="16"/>
        <v>2352261.9843613883</v>
      </c>
      <c r="L81" s="483"/>
      <c r="M81" s="483"/>
      <c r="N81" s="486"/>
      <c r="P81" s="483"/>
    </row>
    <row r="82" spans="1:16">
      <c r="A82" s="459">
        <f t="shared" si="12"/>
        <v>69</v>
      </c>
      <c r="B82" s="469" t="s">
        <v>612</v>
      </c>
      <c r="C82" s="471">
        <v>31</v>
      </c>
      <c r="D82" s="474">
        <f t="shared" si="13"/>
        <v>31</v>
      </c>
      <c r="E82" s="475">
        <f>$D$23-SUM($D$73:D82)+1</f>
        <v>62</v>
      </c>
      <c r="F82" s="476">
        <f t="shared" si="14"/>
        <v>0.16986301369863013</v>
      </c>
      <c r="G82" s="485"/>
      <c r="H82" s="472">
        <v>100068.12528020002</v>
      </c>
      <c r="I82" s="471">
        <f t="shared" si="15"/>
        <v>16997.873335266853</v>
      </c>
      <c r="J82" s="471">
        <f t="shared" si="16"/>
        <v>2369259.8576966552</v>
      </c>
      <c r="L82" s="483"/>
      <c r="M82" s="483"/>
      <c r="N82" s="486"/>
      <c r="P82" s="483"/>
    </row>
    <row r="83" spans="1:16">
      <c r="A83" s="459">
        <f t="shared" si="12"/>
        <v>70</v>
      </c>
      <c r="B83" s="469" t="s">
        <v>613</v>
      </c>
      <c r="C83" s="471">
        <v>30</v>
      </c>
      <c r="D83" s="474">
        <f t="shared" si="13"/>
        <v>30</v>
      </c>
      <c r="E83" s="475">
        <f>$D$23-SUM($D$73:D83)+1</f>
        <v>32</v>
      </c>
      <c r="F83" s="476">
        <f t="shared" si="14"/>
        <v>8.7671232876712329E-2</v>
      </c>
      <c r="G83" s="485"/>
      <c r="H83" s="472">
        <v>100068.12528020002</v>
      </c>
      <c r="I83" s="471">
        <f>+H83*F83</f>
        <v>8773.0959149764403</v>
      </c>
      <c r="J83" s="471">
        <f t="shared" si="16"/>
        <v>2378032.9536116319</v>
      </c>
      <c r="L83" s="483"/>
      <c r="M83" s="483"/>
      <c r="N83" s="486"/>
      <c r="P83" s="483"/>
    </row>
    <row r="84" spans="1:16">
      <c r="A84" s="459">
        <f t="shared" si="12"/>
        <v>71</v>
      </c>
      <c r="B84" s="469" t="s">
        <v>676</v>
      </c>
      <c r="C84" s="471">
        <v>31</v>
      </c>
      <c r="D84" s="474">
        <f t="shared" si="13"/>
        <v>31</v>
      </c>
      <c r="E84" s="475">
        <f>$D$23-SUM($D$73:D84)+1</f>
        <v>1</v>
      </c>
      <c r="F84" s="476">
        <f t="shared" si="14"/>
        <v>2.7397260273972603E-3</v>
      </c>
      <c r="G84" s="485"/>
      <c r="H84" s="472">
        <v>100068.12528020002</v>
      </c>
      <c r="I84" s="471">
        <f>+H84*F84</f>
        <v>274.15924734301376</v>
      </c>
      <c r="J84" s="471">
        <f t="shared" si="16"/>
        <v>2378307.1128589748</v>
      </c>
      <c r="K84" s="487"/>
      <c r="L84" s="483"/>
      <c r="M84" s="483"/>
      <c r="N84" s="486"/>
      <c r="P84" s="483"/>
    </row>
    <row r="85" spans="1:16">
      <c r="A85" s="459">
        <f t="shared" si="12"/>
        <v>72</v>
      </c>
      <c r="B85" s="622"/>
      <c r="C85" s="622" t="s">
        <v>22</v>
      </c>
      <c r="D85" s="623">
        <f>SUM(D73:D84)</f>
        <v>365</v>
      </c>
      <c r="E85" s="622"/>
      <c r="F85" s="624"/>
      <c r="G85" s="470"/>
      <c r="H85" s="625">
        <f>SUM(H73:H84)</f>
        <v>1200817.5033624002</v>
      </c>
      <c r="I85" s="625">
        <f>SUM(I73:I84)</f>
        <v>556269.11285897484</v>
      </c>
      <c r="J85" s="624"/>
    </row>
    <row r="86" spans="1:16">
      <c r="B86" s="478"/>
      <c r="C86" s="478"/>
      <c r="D86" s="478"/>
      <c r="E86" s="478"/>
      <c r="F86" s="477"/>
      <c r="G86" s="477"/>
      <c r="H86" s="488"/>
      <c r="I86" s="479"/>
      <c r="J86" s="477"/>
    </row>
    <row r="87" spans="1:16">
      <c r="A87" s="459">
        <f>+A85+1</f>
        <v>73</v>
      </c>
      <c r="B87" s="459" t="s">
        <v>677</v>
      </c>
      <c r="F87" s="459" t="s">
        <v>690</v>
      </c>
      <c r="G87" s="477"/>
      <c r="H87" s="488"/>
      <c r="I87" s="477"/>
      <c r="J87" s="472">
        <f>-Taxes!C21</f>
        <v>1822038</v>
      </c>
      <c r="M87" s="489"/>
    </row>
    <row r="88" spans="1:16">
      <c r="A88" s="459">
        <f>+A87+1</f>
        <v>74</v>
      </c>
      <c r="B88" s="459" t="s">
        <v>694</v>
      </c>
      <c r="F88" s="459" t="str">
        <f>"(Line "&amp;A87&amp;" less line "&amp;A89&amp;")"</f>
        <v>(Line 73 less line 75)</v>
      </c>
      <c r="G88" s="477"/>
      <c r="I88" s="477"/>
      <c r="J88" s="480">
        <f>+J87-J89</f>
        <v>0</v>
      </c>
    </row>
    <row r="89" spans="1:16">
      <c r="A89" s="459">
        <f t="shared" ref="A89:A95" si="17">+A88+1</f>
        <v>75</v>
      </c>
      <c r="B89" s="459" t="s">
        <v>680</v>
      </c>
      <c r="F89" s="459" t="str">
        <f>"(Line "&amp;A72&amp;", Col H)"</f>
        <v>(Line 59, Col H)</v>
      </c>
      <c r="G89" s="477"/>
      <c r="I89" s="477"/>
      <c r="J89" s="471">
        <f>J87</f>
        <v>1822038</v>
      </c>
    </row>
    <row r="90" spans="1:16">
      <c r="A90" s="459">
        <f t="shared" si="17"/>
        <v>76</v>
      </c>
      <c r="B90" s="459" t="s">
        <v>681</v>
      </c>
      <c r="F90" s="459" t="s">
        <v>691</v>
      </c>
      <c r="G90" s="477"/>
      <c r="I90" s="477"/>
      <c r="J90" s="472">
        <f>-Taxes!E21</f>
        <v>3022855.5</v>
      </c>
    </row>
    <row r="91" spans="1:16">
      <c r="A91" s="459">
        <f t="shared" si="17"/>
        <v>77</v>
      </c>
      <c r="B91" s="459" t="str">
        <f>+B88</f>
        <v xml:space="preserve">Less non Prorated Items </v>
      </c>
      <c r="F91" s="459" t="str">
        <f>"(Line "&amp;A90&amp;" less line "&amp;A92&amp;")"</f>
        <v>(Line 76 less line 78)</v>
      </c>
      <c r="G91" s="477"/>
      <c r="I91" s="477"/>
      <c r="J91" s="480">
        <f>J90-J92</f>
        <v>644548.38714102516</v>
      </c>
    </row>
    <row r="92" spans="1:16">
      <c r="A92" s="459">
        <f t="shared" si="17"/>
        <v>78</v>
      </c>
      <c r="B92" s="459" t="s">
        <v>683</v>
      </c>
      <c r="F92" s="459" t="str">
        <f>"(Line "&amp;A84&amp;", Col H)"</f>
        <v>(Line 71, Col H)</v>
      </c>
      <c r="G92" s="477"/>
      <c r="I92" s="477"/>
      <c r="J92" s="507">
        <f>J84</f>
        <v>2378307.1128589748</v>
      </c>
    </row>
    <row r="93" spans="1:16">
      <c r="A93" s="459">
        <f t="shared" si="17"/>
        <v>79</v>
      </c>
      <c r="B93" s="459" t="s">
        <v>684</v>
      </c>
      <c r="F93" s="459" t="s">
        <v>695</v>
      </c>
      <c r="G93" s="477"/>
      <c r="I93" s="467"/>
      <c r="J93" s="626">
        <f>J84+(J88+J91)/2</f>
        <v>2700581.3064294877</v>
      </c>
    </row>
    <row r="94" spans="1:16">
      <c r="A94" s="459">
        <f t="shared" si="17"/>
        <v>80</v>
      </c>
      <c r="B94" s="459" t="s">
        <v>686</v>
      </c>
      <c r="F94" s="459" t="s">
        <v>687</v>
      </c>
      <c r="G94" s="477"/>
      <c r="I94" s="467"/>
      <c r="J94" s="472">
        <v>0</v>
      </c>
    </row>
    <row r="95" spans="1:16">
      <c r="A95" s="459">
        <f t="shared" si="17"/>
        <v>81</v>
      </c>
      <c r="B95" s="459" t="s">
        <v>688</v>
      </c>
      <c r="F95" s="459" t="str">
        <f>"(Line "&amp;A93&amp;" less line "&amp;A94&amp;")"</f>
        <v>(Line 79 less line 80)</v>
      </c>
      <c r="J95" s="481">
        <f>+J93-J94</f>
        <v>2700581.3064294877</v>
      </c>
    </row>
    <row r="98" spans="1:10">
      <c r="A98" s="459">
        <f>+A95+1</f>
        <v>82</v>
      </c>
      <c r="B98" s="462" t="s">
        <v>696</v>
      </c>
      <c r="H98" s="463"/>
      <c r="I98" s="463"/>
      <c r="J98" s="463"/>
    </row>
    <row r="99" spans="1:10">
      <c r="A99" s="459">
        <f>+A98+1</f>
        <v>83</v>
      </c>
      <c r="B99" s="694" t="s">
        <v>664</v>
      </c>
      <c r="C99" s="695"/>
      <c r="D99" s="695"/>
      <c r="E99" s="695"/>
      <c r="F99" s="696"/>
      <c r="G99" s="464"/>
      <c r="H99" s="697" t="s">
        <v>665</v>
      </c>
      <c r="I99" s="698"/>
      <c r="J99" s="699"/>
    </row>
    <row r="100" spans="1:10">
      <c r="B100" s="621" t="s">
        <v>452</v>
      </c>
      <c r="C100" s="621" t="s">
        <v>454</v>
      </c>
      <c r="D100" s="621" t="s">
        <v>286</v>
      </c>
      <c r="E100" s="621" t="s">
        <v>288</v>
      </c>
      <c r="F100" s="621" t="s">
        <v>290</v>
      </c>
      <c r="G100" s="464"/>
      <c r="H100" s="621" t="s">
        <v>292</v>
      </c>
      <c r="I100" s="621" t="s">
        <v>294</v>
      </c>
      <c r="J100" s="621" t="s">
        <v>302</v>
      </c>
    </row>
    <row r="101" spans="1:10" ht="47.25">
      <c r="A101" s="459">
        <f>+A99+1</f>
        <v>84</v>
      </c>
      <c r="B101" s="466" t="s">
        <v>584</v>
      </c>
      <c r="C101" s="466" t="s">
        <v>666</v>
      </c>
      <c r="D101" s="466" t="s">
        <v>667</v>
      </c>
      <c r="E101" s="466" t="s">
        <v>668</v>
      </c>
      <c r="F101" s="466" t="s">
        <v>669</v>
      </c>
      <c r="G101" s="467"/>
      <c r="H101" s="466" t="s">
        <v>670</v>
      </c>
      <c r="I101" s="466" t="s">
        <v>671</v>
      </c>
      <c r="J101" s="466" t="s">
        <v>672</v>
      </c>
    </row>
    <row r="102" spans="1:10">
      <c r="A102" s="459">
        <f t="shared" ref="A102:A116" si="18">+A101+1</f>
        <v>85</v>
      </c>
      <c r="C102" s="467"/>
      <c r="D102" s="467"/>
      <c r="E102" s="467"/>
      <c r="F102" s="467"/>
      <c r="G102" s="467"/>
      <c r="H102" s="467"/>
      <c r="I102" s="467"/>
      <c r="J102" s="467"/>
    </row>
    <row r="103" spans="1:10">
      <c r="A103" s="459">
        <f t="shared" si="18"/>
        <v>86</v>
      </c>
      <c r="B103" s="468" t="s">
        <v>673</v>
      </c>
      <c r="C103" s="469"/>
      <c r="D103" s="470"/>
      <c r="E103" s="470"/>
      <c r="F103" s="470"/>
      <c r="G103" s="470"/>
      <c r="H103" s="471"/>
      <c r="I103" s="471"/>
      <c r="J103" s="472">
        <v>0</v>
      </c>
    </row>
    <row r="104" spans="1:10">
      <c r="A104" s="459">
        <f t="shared" si="18"/>
        <v>87</v>
      </c>
      <c r="B104" s="469" t="s">
        <v>603</v>
      </c>
      <c r="C104" s="471">
        <v>31</v>
      </c>
      <c r="D104" s="474">
        <f>C104</f>
        <v>31</v>
      </c>
      <c r="E104" s="475">
        <f>D116-D104+1</f>
        <v>335</v>
      </c>
      <c r="F104" s="476">
        <f>IF(E104=0,0,E104/$D$116)</f>
        <v>0.9178082191780822</v>
      </c>
      <c r="G104" s="470"/>
      <c r="H104" s="472"/>
      <c r="I104" s="471">
        <f>+H104*F104</f>
        <v>0</v>
      </c>
      <c r="J104" s="471">
        <f>+I104+J103</f>
        <v>0</v>
      </c>
    </row>
    <row r="105" spans="1:10">
      <c r="A105" s="459">
        <f t="shared" si="18"/>
        <v>88</v>
      </c>
      <c r="B105" s="469" t="s">
        <v>604</v>
      </c>
      <c r="C105" s="472">
        <v>28</v>
      </c>
      <c r="D105" s="474">
        <f t="shared" ref="D105:D115" si="19">C105</f>
        <v>28</v>
      </c>
      <c r="E105" s="475">
        <f>$D$23-SUM($D$104:D105)+1</f>
        <v>307</v>
      </c>
      <c r="F105" s="476">
        <f t="shared" ref="F105:F115" si="20">IF(E105=0,0,E105/$D$116)</f>
        <v>0.84109589041095889</v>
      </c>
      <c r="G105" s="470"/>
      <c r="H105" s="472"/>
      <c r="I105" s="471">
        <f t="shared" ref="I105:I115" si="21">+H105*F105</f>
        <v>0</v>
      </c>
      <c r="J105" s="471">
        <f>+I105+J104</f>
        <v>0</v>
      </c>
    </row>
    <row r="106" spans="1:10">
      <c r="A106" s="459">
        <f t="shared" si="18"/>
        <v>89</v>
      </c>
      <c r="B106" s="469" t="s">
        <v>674</v>
      </c>
      <c r="C106" s="471">
        <v>31</v>
      </c>
      <c r="D106" s="474">
        <f t="shared" si="19"/>
        <v>31</v>
      </c>
      <c r="E106" s="475">
        <f>$D$23-SUM($D$104:D106)+1</f>
        <v>276</v>
      </c>
      <c r="F106" s="476">
        <f t="shared" si="20"/>
        <v>0.75616438356164384</v>
      </c>
      <c r="G106" s="470"/>
      <c r="H106" s="472"/>
      <c r="I106" s="471">
        <f>+H106*F106</f>
        <v>0</v>
      </c>
      <c r="J106" s="471">
        <f t="shared" ref="J106:J115" si="22">+I106+J105</f>
        <v>0</v>
      </c>
    </row>
    <row r="107" spans="1:10">
      <c r="A107" s="459">
        <f t="shared" si="18"/>
        <v>90</v>
      </c>
      <c r="B107" s="469" t="s">
        <v>606</v>
      </c>
      <c r="C107" s="471">
        <v>30</v>
      </c>
      <c r="D107" s="474">
        <f t="shared" si="19"/>
        <v>30</v>
      </c>
      <c r="E107" s="475">
        <f>$D$23-SUM($D$104:D107)+1</f>
        <v>246</v>
      </c>
      <c r="F107" s="476">
        <f t="shared" si="20"/>
        <v>0.67397260273972603</v>
      </c>
      <c r="G107" s="470"/>
      <c r="H107" s="472"/>
      <c r="I107" s="471">
        <f t="shared" si="21"/>
        <v>0</v>
      </c>
      <c r="J107" s="471">
        <f t="shared" si="22"/>
        <v>0</v>
      </c>
    </row>
    <row r="108" spans="1:10">
      <c r="A108" s="459">
        <f t="shared" si="18"/>
        <v>91</v>
      </c>
      <c r="B108" s="469" t="s">
        <v>607</v>
      </c>
      <c r="C108" s="471">
        <v>31</v>
      </c>
      <c r="D108" s="474">
        <f t="shared" si="19"/>
        <v>31</v>
      </c>
      <c r="E108" s="475">
        <f>$D$23-SUM($D$104:D108)+1</f>
        <v>215</v>
      </c>
      <c r="F108" s="476">
        <f t="shared" si="20"/>
        <v>0.58904109589041098</v>
      </c>
      <c r="G108" s="470"/>
      <c r="H108" s="472"/>
      <c r="I108" s="471">
        <f t="shared" si="21"/>
        <v>0</v>
      </c>
      <c r="J108" s="471">
        <f t="shared" si="22"/>
        <v>0</v>
      </c>
    </row>
    <row r="109" spans="1:10">
      <c r="A109" s="459">
        <f t="shared" si="18"/>
        <v>92</v>
      </c>
      <c r="B109" s="469" t="s">
        <v>608</v>
      </c>
      <c r="C109" s="471">
        <v>30</v>
      </c>
      <c r="D109" s="474">
        <f t="shared" si="19"/>
        <v>30</v>
      </c>
      <c r="E109" s="475">
        <f>$D$23-SUM($D$104:D109)+1</f>
        <v>185</v>
      </c>
      <c r="F109" s="476">
        <f t="shared" si="20"/>
        <v>0.50684931506849318</v>
      </c>
      <c r="G109" s="470"/>
      <c r="H109" s="472"/>
      <c r="I109" s="471">
        <f t="shared" si="21"/>
        <v>0</v>
      </c>
      <c r="J109" s="471">
        <f t="shared" si="22"/>
        <v>0</v>
      </c>
    </row>
    <row r="110" spans="1:10">
      <c r="A110" s="459">
        <f t="shared" si="18"/>
        <v>93</v>
      </c>
      <c r="B110" s="469" t="s">
        <v>609</v>
      </c>
      <c r="C110" s="471">
        <v>31</v>
      </c>
      <c r="D110" s="474">
        <f t="shared" si="19"/>
        <v>31</v>
      </c>
      <c r="E110" s="475">
        <f>$D$23-SUM($D$104:D110)+1</f>
        <v>154</v>
      </c>
      <c r="F110" s="476">
        <f t="shared" si="20"/>
        <v>0.42191780821917807</v>
      </c>
      <c r="G110" s="470"/>
      <c r="H110" s="472"/>
      <c r="I110" s="471">
        <f t="shared" si="21"/>
        <v>0</v>
      </c>
      <c r="J110" s="471">
        <f t="shared" si="22"/>
        <v>0</v>
      </c>
    </row>
    <row r="111" spans="1:10">
      <c r="A111" s="459">
        <f t="shared" si="18"/>
        <v>94</v>
      </c>
      <c r="B111" s="469" t="s">
        <v>675</v>
      </c>
      <c r="C111" s="471">
        <v>31</v>
      </c>
      <c r="D111" s="474">
        <f t="shared" si="19"/>
        <v>31</v>
      </c>
      <c r="E111" s="475">
        <f>$D$23-SUM($D$104:D111)+1</f>
        <v>123</v>
      </c>
      <c r="F111" s="476">
        <f t="shared" si="20"/>
        <v>0.33698630136986302</v>
      </c>
      <c r="G111" s="470"/>
      <c r="H111" s="472"/>
      <c r="I111" s="471">
        <f t="shared" si="21"/>
        <v>0</v>
      </c>
      <c r="J111" s="471">
        <f t="shared" si="22"/>
        <v>0</v>
      </c>
    </row>
    <row r="112" spans="1:10">
      <c r="A112" s="459">
        <f t="shared" si="18"/>
        <v>95</v>
      </c>
      <c r="B112" s="469" t="s">
        <v>611</v>
      </c>
      <c r="C112" s="471">
        <v>30</v>
      </c>
      <c r="D112" s="474">
        <f t="shared" si="19"/>
        <v>30</v>
      </c>
      <c r="E112" s="475">
        <f>$D$23-SUM($D$104:D112)+1</f>
        <v>93</v>
      </c>
      <c r="F112" s="476">
        <f t="shared" si="20"/>
        <v>0.25479452054794521</v>
      </c>
      <c r="G112" s="470"/>
      <c r="H112" s="472"/>
      <c r="I112" s="471">
        <f t="shared" si="21"/>
        <v>0</v>
      </c>
      <c r="J112" s="471">
        <f t="shared" si="22"/>
        <v>0</v>
      </c>
    </row>
    <row r="113" spans="1:10">
      <c r="A113" s="459">
        <f t="shared" si="18"/>
        <v>96</v>
      </c>
      <c r="B113" s="469" t="s">
        <v>612</v>
      </c>
      <c r="C113" s="471">
        <v>31</v>
      </c>
      <c r="D113" s="474">
        <f t="shared" si="19"/>
        <v>31</v>
      </c>
      <c r="E113" s="475">
        <f>$D$23-SUM($D$104:D113)+1</f>
        <v>62</v>
      </c>
      <c r="F113" s="476">
        <f t="shared" si="20"/>
        <v>0.16986301369863013</v>
      </c>
      <c r="G113" s="470"/>
      <c r="H113" s="472"/>
      <c r="I113" s="471">
        <f t="shared" si="21"/>
        <v>0</v>
      </c>
      <c r="J113" s="471">
        <f t="shared" si="22"/>
        <v>0</v>
      </c>
    </row>
    <row r="114" spans="1:10">
      <c r="A114" s="459">
        <f t="shared" si="18"/>
        <v>97</v>
      </c>
      <c r="B114" s="469" t="s">
        <v>613</v>
      </c>
      <c r="C114" s="471">
        <v>30</v>
      </c>
      <c r="D114" s="474">
        <f t="shared" si="19"/>
        <v>30</v>
      </c>
      <c r="E114" s="475">
        <f>$D$23-SUM($D$104:D114)+1</f>
        <v>32</v>
      </c>
      <c r="F114" s="476">
        <f t="shared" si="20"/>
        <v>8.7671232876712329E-2</v>
      </c>
      <c r="G114" s="470"/>
      <c r="H114" s="472"/>
      <c r="I114" s="471">
        <f t="shared" si="21"/>
        <v>0</v>
      </c>
      <c r="J114" s="471">
        <f t="shared" si="22"/>
        <v>0</v>
      </c>
    </row>
    <row r="115" spans="1:10">
      <c r="A115" s="459">
        <f t="shared" si="18"/>
        <v>98</v>
      </c>
      <c r="B115" s="469" t="s">
        <v>676</v>
      </c>
      <c r="C115" s="471">
        <v>31</v>
      </c>
      <c r="D115" s="474">
        <f t="shared" si="19"/>
        <v>31</v>
      </c>
      <c r="E115" s="475">
        <f>$D$23-SUM($D$104:D115)+1</f>
        <v>1</v>
      </c>
      <c r="F115" s="476">
        <f t="shared" si="20"/>
        <v>2.7397260273972603E-3</v>
      </c>
      <c r="G115" s="470"/>
      <c r="H115" s="472"/>
      <c r="I115" s="471">
        <f t="shared" si="21"/>
        <v>0</v>
      </c>
      <c r="J115" s="471">
        <f t="shared" si="22"/>
        <v>0</v>
      </c>
    </row>
    <row r="116" spans="1:10">
      <c r="A116" s="459">
        <f t="shared" si="18"/>
        <v>99</v>
      </c>
      <c r="B116" s="622"/>
      <c r="C116" s="622" t="s">
        <v>22</v>
      </c>
      <c r="D116" s="623">
        <f>SUM(D104:D115)</f>
        <v>365</v>
      </c>
      <c r="E116" s="622"/>
      <c r="F116" s="624"/>
      <c r="G116" s="470"/>
      <c r="H116" s="625">
        <f>SUM(H104:H115)</f>
        <v>0</v>
      </c>
      <c r="I116" s="625">
        <f>SUM(I104:I115)</f>
        <v>0</v>
      </c>
      <c r="J116" s="624"/>
    </row>
    <row r="117" spans="1:10">
      <c r="B117" s="478"/>
      <c r="C117" s="478"/>
      <c r="D117" s="478"/>
      <c r="E117" s="478"/>
      <c r="F117" s="477"/>
      <c r="G117" s="477"/>
      <c r="I117" s="479"/>
      <c r="J117" s="477"/>
    </row>
    <row r="118" spans="1:10">
      <c r="A118" s="459">
        <f>+A116+1</f>
        <v>100</v>
      </c>
      <c r="B118" s="459" t="s">
        <v>677</v>
      </c>
      <c r="F118" s="459" t="s">
        <v>697</v>
      </c>
      <c r="G118" s="477"/>
      <c r="I118" s="477"/>
      <c r="J118" s="472">
        <v>0</v>
      </c>
    </row>
    <row r="119" spans="1:10">
      <c r="A119" s="459">
        <f>+A118+1</f>
        <v>101</v>
      </c>
      <c r="B119" s="459" t="s">
        <v>679</v>
      </c>
      <c r="F119" s="459" t="str">
        <f>"(Line "&amp;A118&amp;" less line "&amp;A120&amp;")"</f>
        <v>(Line 100 less line 102)</v>
      </c>
      <c r="G119" s="477"/>
      <c r="I119" s="477"/>
      <c r="J119" s="480">
        <f>+J118-J120</f>
        <v>0</v>
      </c>
    </row>
    <row r="120" spans="1:10">
      <c r="A120" s="459">
        <f t="shared" ref="A120:A126" si="23">+A119+1</f>
        <v>102</v>
      </c>
      <c r="B120" s="459" t="s">
        <v>680</v>
      </c>
      <c r="F120" s="459" t="str">
        <f>"(Line "&amp;A103&amp;", Col H)"</f>
        <v>(Line 86, Col H)</v>
      </c>
      <c r="G120" s="477"/>
      <c r="I120" s="477"/>
      <c r="J120" s="471">
        <f>+J103</f>
        <v>0</v>
      </c>
    </row>
    <row r="121" spans="1:10">
      <c r="A121" s="459">
        <f t="shared" si="23"/>
        <v>103</v>
      </c>
      <c r="B121" s="459" t="s">
        <v>681</v>
      </c>
      <c r="F121" s="459" t="s">
        <v>698</v>
      </c>
      <c r="G121" s="477"/>
      <c r="I121" s="477"/>
      <c r="J121" s="472">
        <v>0</v>
      </c>
    </row>
    <row r="122" spans="1:10">
      <c r="A122" s="459">
        <f t="shared" si="23"/>
        <v>104</v>
      </c>
      <c r="B122" s="459" t="str">
        <f>+B119</f>
        <v>Less non Prorated Items</v>
      </c>
      <c r="F122" s="459" t="str">
        <f>"(Line "&amp;A121&amp;" less line "&amp;A123&amp;")"</f>
        <v>(Line 103 less line 105)</v>
      </c>
      <c r="G122" s="477"/>
      <c r="I122" s="477"/>
      <c r="J122" s="480">
        <f>+J121-J123</f>
        <v>0</v>
      </c>
    </row>
    <row r="123" spans="1:10">
      <c r="A123" s="459">
        <f t="shared" si="23"/>
        <v>105</v>
      </c>
      <c r="B123" s="459" t="s">
        <v>683</v>
      </c>
      <c r="F123" s="459" t="str">
        <f>"(Line "&amp;A115&amp;", Col H)"</f>
        <v>(Line 98, Col H)</v>
      </c>
      <c r="G123" s="477"/>
      <c r="I123" s="477"/>
      <c r="J123" s="471">
        <f>+J115</f>
        <v>0</v>
      </c>
    </row>
    <row r="124" spans="1:10">
      <c r="A124" s="459">
        <f t="shared" si="23"/>
        <v>106</v>
      </c>
      <c r="B124" s="459" t="s">
        <v>684</v>
      </c>
      <c r="F124" s="459" t="s">
        <v>699</v>
      </c>
      <c r="G124" s="477"/>
      <c r="I124" s="467"/>
      <c r="J124" s="626">
        <f>J115+(J119+J122)/2</f>
        <v>0</v>
      </c>
    </row>
    <row r="125" spans="1:10">
      <c r="A125" s="459">
        <f t="shared" si="23"/>
        <v>107</v>
      </c>
      <c r="B125" s="459" t="s">
        <v>686</v>
      </c>
      <c r="F125" s="459" t="s">
        <v>687</v>
      </c>
      <c r="G125" s="477"/>
      <c r="I125" s="467"/>
      <c r="J125" s="472">
        <v>0</v>
      </c>
    </row>
    <row r="126" spans="1:10">
      <c r="A126" s="459">
        <f t="shared" si="23"/>
        <v>108</v>
      </c>
      <c r="B126" s="459" t="s">
        <v>688</v>
      </c>
      <c r="F126" s="459" t="str">
        <f>"(Line "&amp;A124&amp;" less line "&amp;A125&amp;")"</f>
        <v>(Line 106 less line 107)</v>
      </c>
      <c r="J126" s="481">
        <f>+J124-J125</f>
        <v>0</v>
      </c>
    </row>
    <row r="128" spans="1:10">
      <c r="A128" s="490"/>
      <c r="B128" s="490"/>
      <c r="C128" s="490"/>
      <c r="D128" s="490"/>
      <c r="E128" s="490"/>
      <c r="F128" s="490"/>
      <c r="G128" s="490"/>
      <c r="H128" s="490"/>
    </row>
    <row r="129" spans="1:8">
      <c r="A129" s="490"/>
      <c r="B129" s="490"/>
      <c r="C129" s="490"/>
      <c r="D129" s="490"/>
      <c r="E129" s="490"/>
      <c r="F129" s="490"/>
      <c r="G129" s="490"/>
      <c r="H129" s="490"/>
    </row>
  </sheetData>
  <mergeCells count="11">
    <mergeCell ref="B99:F99"/>
    <mergeCell ref="H99:J99"/>
    <mergeCell ref="B37:F37"/>
    <mergeCell ref="H37:J37"/>
    <mergeCell ref="B1:K1"/>
    <mergeCell ref="B2:K2"/>
    <mergeCell ref="B3:K3"/>
    <mergeCell ref="B6:F6"/>
    <mergeCell ref="H6:J6"/>
    <mergeCell ref="B68:F68"/>
    <mergeCell ref="H68:J68"/>
  </mergeCells>
  <pageMargins left="0.25" right="0.25" top="0.75" bottom="0.75" header="0.3" footer="0.3"/>
  <pageSetup scale="93" fitToHeight="0"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96"/>
  <sheetViews>
    <sheetView zoomScaleNormal="100" workbookViewId="0">
      <selection activeCell="J48" sqref="J48"/>
    </sheetView>
  </sheetViews>
  <sheetFormatPr defaultColWidth="14" defaultRowHeight="12.75"/>
  <cols>
    <col min="1" max="1" width="5.77734375" style="93" bestFit="1" customWidth="1"/>
    <col min="2" max="2" width="23.77734375" style="15" customWidth="1"/>
    <col min="3" max="3" width="16.77734375" style="15" customWidth="1"/>
    <col min="4" max="4" width="16.21875" style="15" customWidth="1"/>
    <col min="5" max="5" width="12" style="15" customWidth="1"/>
    <col min="6" max="7" width="10.77734375" style="15" customWidth="1"/>
    <col min="8" max="8" width="12.44140625" style="15" bestFit="1" customWidth="1"/>
    <col min="9" max="9" width="12.44140625" style="15" customWidth="1"/>
    <col min="10" max="10" width="13.77734375" style="15" bestFit="1" customWidth="1"/>
    <col min="11" max="11" width="12.5546875" style="15" bestFit="1" customWidth="1"/>
    <col min="12" max="12" width="13.21875" style="15" customWidth="1"/>
    <col min="13" max="13" width="12.77734375" style="15" customWidth="1"/>
    <col min="14" max="14" width="14" style="15"/>
    <col min="15" max="15" width="10" style="15" bestFit="1" customWidth="1"/>
    <col min="16" max="16384" width="14" style="15"/>
  </cols>
  <sheetData>
    <row r="1" spans="1:15">
      <c r="G1" s="20" t="s">
        <v>700</v>
      </c>
      <c r="M1" s="208" t="s">
        <v>339</v>
      </c>
    </row>
    <row r="2" spans="1:15" ht="15" customHeight="1">
      <c r="G2" s="207" t="s">
        <v>701</v>
      </c>
    </row>
    <row r="3" spans="1:15">
      <c r="D3" s="29"/>
      <c r="E3" s="29"/>
      <c r="F3" s="29"/>
      <c r="G3" s="442" t="str">
        <f>'Attachment H'!$D$5</f>
        <v>NextEra Energy Transmission MidAtlantic, Inc.</v>
      </c>
      <c r="H3" s="29"/>
      <c r="J3" s="29"/>
      <c r="K3" s="29"/>
      <c r="L3" s="29"/>
      <c r="M3" s="29"/>
      <c r="N3" s="29"/>
    </row>
    <row r="4" spans="1:15">
      <c r="B4" s="28"/>
    </row>
    <row r="6" spans="1:15" s="102" customFormat="1" ht="69.75" customHeight="1">
      <c r="A6" s="274" t="s">
        <v>396</v>
      </c>
      <c r="B6" s="101" t="s">
        <v>584</v>
      </c>
      <c r="C6" s="101" t="s">
        <v>702</v>
      </c>
      <c r="D6" s="101" t="s">
        <v>703</v>
      </c>
      <c r="E6" s="101" t="s">
        <v>704</v>
      </c>
      <c r="F6" s="101" t="s">
        <v>705</v>
      </c>
      <c r="G6" s="101" t="s">
        <v>706</v>
      </c>
      <c r="H6" s="101" t="s">
        <v>707</v>
      </c>
      <c r="I6" s="101" t="s">
        <v>708</v>
      </c>
      <c r="J6" s="101" t="s">
        <v>709</v>
      </c>
      <c r="K6" s="101" t="s">
        <v>710</v>
      </c>
      <c r="L6" s="247" t="s">
        <v>144</v>
      </c>
      <c r="M6" s="101" t="s">
        <v>711</v>
      </c>
      <c r="O6" s="290"/>
    </row>
    <row r="7" spans="1:15" s="102" customFormat="1">
      <c r="A7" s="274"/>
      <c r="B7" s="101"/>
      <c r="C7" s="97" t="s">
        <v>566</v>
      </c>
      <c r="D7" s="245" t="s">
        <v>567</v>
      </c>
      <c r="E7" s="245" t="s">
        <v>568</v>
      </c>
      <c r="F7" s="246" t="s">
        <v>569</v>
      </c>
      <c r="G7" s="246" t="s">
        <v>589</v>
      </c>
      <c r="H7" s="246" t="s">
        <v>590</v>
      </c>
      <c r="I7" s="247" t="s">
        <v>591</v>
      </c>
      <c r="J7" s="247" t="s">
        <v>592</v>
      </c>
      <c r="K7" s="247" t="s">
        <v>593</v>
      </c>
      <c r="L7" s="207" t="s">
        <v>712</v>
      </c>
      <c r="M7" s="207" t="s">
        <v>713</v>
      </c>
      <c r="O7" s="290"/>
    </row>
    <row r="8" spans="1:15" ht="25.5" customHeight="1">
      <c r="A8" s="249"/>
      <c r="B8" s="105" t="s">
        <v>714</v>
      </c>
      <c r="C8" s="97">
        <v>1</v>
      </c>
      <c r="D8" s="97">
        <v>2</v>
      </c>
      <c r="E8" s="97">
        <v>3</v>
      </c>
      <c r="F8" s="97">
        <v>4</v>
      </c>
      <c r="G8" s="97">
        <v>5</v>
      </c>
      <c r="H8" s="97">
        <v>6</v>
      </c>
      <c r="I8" s="97">
        <v>7</v>
      </c>
      <c r="J8" s="97">
        <v>9</v>
      </c>
      <c r="K8" s="97">
        <v>11</v>
      </c>
      <c r="L8" s="97">
        <v>12</v>
      </c>
      <c r="M8" s="97">
        <v>16</v>
      </c>
      <c r="O8" s="291"/>
    </row>
    <row r="9" spans="1:15" s="17" customFormat="1" ht="24.75" customHeight="1">
      <c r="A9" s="249"/>
      <c r="B9" s="98" t="s">
        <v>715</v>
      </c>
      <c r="C9" s="207" t="s">
        <v>716</v>
      </c>
      <c r="D9" s="207" t="s">
        <v>717</v>
      </c>
      <c r="E9" s="207" t="s">
        <v>718</v>
      </c>
      <c r="F9" s="207" t="s">
        <v>719</v>
      </c>
      <c r="G9" s="373" t="s">
        <v>720</v>
      </c>
      <c r="H9" s="373" t="str">
        <f>+G9</f>
        <v>(Note E)</v>
      </c>
      <c r="I9" s="373" t="str">
        <f>+H9</f>
        <v>(Note E)</v>
      </c>
      <c r="J9" s="373" t="s">
        <v>721</v>
      </c>
      <c r="K9" s="373" t="s">
        <v>722</v>
      </c>
      <c r="L9" s="373" t="s">
        <v>723</v>
      </c>
      <c r="M9" s="207" t="s">
        <v>724</v>
      </c>
    </row>
    <row r="10" spans="1:15" s="17" customFormat="1">
      <c r="A10" s="249"/>
      <c r="B10" s="98"/>
    </row>
    <row r="11" spans="1:15">
      <c r="A11" s="249"/>
      <c r="B11" s="103"/>
      <c r="C11" s="97"/>
      <c r="D11" s="97"/>
      <c r="E11" s="97"/>
      <c r="F11" s="97"/>
      <c r="G11" s="97"/>
      <c r="H11" s="97"/>
      <c r="I11" s="97"/>
      <c r="J11" s="97"/>
      <c r="K11" s="97"/>
      <c r="L11" s="97"/>
      <c r="M11" s="97"/>
      <c r="O11" s="291"/>
    </row>
    <row r="12" spans="1:15">
      <c r="A12" s="249" t="s">
        <v>725</v>
      </c>
      <c r="B12" s="96" t="s">
        <v>603</v>
      </c>
      <c r="C12" s="349">
        <f>'2025 Expenses'!$C$7</f>
        <v>119471.26</v>
      </c>
      <c r="D12" s="348">
        <v>0</v>
      </c>
      <c r="E12" s="348">
        <v>0</v>
      </c>
      <c r="F12" s="349">
        <f>'2025 Expenses'!$C$12</f>
        <v>551385.21</v>
      </c>
      <c r="G12" s="348">
        <v>0</v>
      </c>
      <c r="H12" s="348">
        <v>0</v>
      </c>
      <c r="I12" s="348">
        <v>0</v>
      </c>
      <c r="J12" s="348">
        <v>0</v>
      </c>
      <c r="K12" s="348">
        <v>0</v>
      </c>
      <c r="L12" s="348">
        <v>0</v>
      </c>
      <c r="M12" s="349">
        <f>'2025 Expenses'!$C$14</f>
        <v>161212.32020725001</v>
      </c>
      <c r="O12" s="292"/>
    </row>
    <row r="13" spans="1:15">
      <c r="A13" s="249" t="s">
        <v>726</v>
      </c>
      <c r="B13" s="96" t="s">
        <v>604</v>
      </c>
      <c r="C13" s="349">
        <f>'2025 Expenses'!$D$7</f>
        <v>245023.57</v>
      </c>
      <c r="D13" s="348">
        <v>0</v>
      </c>
      <c r="E13" s="348">
        <v>0</v>
      </c>
      <c r="F13" s="349">
        <f>'2025 Expenses'!$D$12</f>
        <v>334497.46000000002</v>
      </c>
      <c r="G13" s="348">
        <v>0</v>
      </c>
      <c r="H13" s="348">
        <v>0</v>
      </c>
      <c r="I13" s="348">
        <v>0</v>
      </c>
      <c r="J13" s="348">
        <v>0</v>
      </c>
      <c r="K13" s="348">
        <v>0</v>
      </c>
      <c r="L13" s="348">
        <v>0</v>
      </c>
      <c r="M13" s="349">
        <f>'2025 Expenses'!$D$14</f>
        <v>161275.02592100002</v>
      </c>
      <c r="O13" s="292"/>
    </row>
    <row r="14" spans="1:15">
      <c r="A14" s="249" t="s">
        <v>727</v>
      </c>
      <c r="B14" s="96" t="s">
        <v>674</v>
      </c>
      <c r="C14" s="349">
        <f>'2025 Expenses'!$E$7</f>
        <v>210451.09</v>
      </c>
      <c r="D14" s="348">
        <v>0</v>
      </c>
      <c r="E14" s="348">
        <v>0</v>
      </c>
      <c r="F14" s="349">
        <f>'2025 Expenses'!$E$12</f>
        <v>396228.76</v>
      </c>
      <c r="G14" s="348">
        <v>0</v>
      </c>
      <c r="H14" s="348">
        <v>0</v>
      </c>
      <c r="I14" s="348">
        <v>0</v>
      </c>
      <c r="J14" s="348">
        <v>0</v>
      </c>
      <c r="K14" s="348">
        <v>0</v>
      </c>
      <c r="L14" s="348">
        <v>0</v>
      </c>
      <c r="M14" s="349">
        <f>'2025 Expenses'!$E$14</f>
        <v>160745.52767662503</v>
      </c>
      <c r="O14" s="292"/>
    </row>
    <row r="15" spans="1:15">
      <c r="A15" s="249" t="s">
        <v>728</v>
      </c>
      <c r="B15" s="96" t="s">
        <v>606</v>
      </c>
      <c r="C15" s="349">
        <f>'2025 Expenses'!$F$7</f>
        <v>93422.94</v>
      </c>
      <c r="D15" s="348">
        <v>0</v>
      </c>
      <c r="E15" s="348">
        <v>0</v>
      </c>
      <c r="F15" s="349">
        <f>'2025 Expenses'!$F$12</f>
        <v>486829.74</v>
      </c>
      <c r="G15" s="348">
        <v>0</v>
      </c>
      <c r="H15" s="348">
        <v>0</v>
      </c>
      <c r="I15" s="348">
        <v>0</v>
      </c>
      <c r="J15" s="348">
        <v>0</v>
      </c>
      <c r="K15" s="348">
        <v>0</v>
      </c>
      <c r="L15" s="348">
        <v>0</v>
      </c>
      <c r="M15" s="349">
        <f>'2025 Expenses'!$F$14</f>
        <v>160213.17127779167</v>
      </c>
      <c r="O15" s="292"/>
    </row>
    <row r="16" spans="1:15">
      <c r="A16" s="249" t="s">
        <v>353</v>
      </c>
      <c r="B16" s="96" t="s">
        <v>607</v>
      </c>
      <c r="C16" s="349">
        <f>'2025 Expenses'!$G$7</f>
        <v>553535.48</v>
      </c>
      <c r="D16" s="348">
        <v>0</v>
      </c>
      <c r="E16" s="348">
        <v>0</v>
      </c>
      <c r="F16" s="349">
        <f>'2025 Expenses'!$G$12</f>
        <v>222270.27</v>
      </c>
      <c r="G16" s="348">
        <v>0</v>
      </c>
      <c r="H16" s="348">
        <v>0</v>
      </c>
      <c r="I16" s="348">
        <v>0</v>
      </c>
      <c r="J16" s="348">
        <v>0</v>
      </c>
      <c r="K16" s="348">
        <v>0</v>
      </c>
      <c r="L16" s="348">
        <v>0</v>
      </c>
      <c r="M16" s="349">
        <f>'2025 Expenses'!$G$14</f>
        <v>160229.80706058338</v>
      </c>
      <c r="O16" s="292"/>
    </row>
    <row r="17" spans="1:15">
      <c r="A17" s="249" t="s">
        <v>356</v>
      </c>
      <c r="B17" s="96" t="s">
        <v>608</v>
      </c>
      <c r="C17" s="349">
        <f>'2025 Expenses'!$H$7</f>
        <v>503916.74</v>
      </c>
      <c r="D17" s="348">
        <v>0</v>
      </c>
      <c r="E17" s="348">
        <v>0</v>
      </c>
      <c r="F17" s="349">
        <f>'2025 Expenses'!$H$12</f>
        <v>215408.02</v>
      </c>
      <c r="G17" s="348">
        <v>0</v>
      </c>
      <c r="H17" s="348">
        <v>0</v>
      </c>
      <c r="I17" s="348">
        <v>0</v>
      </c>
      <c r="J17" s="348">
        <v>0</v>
      </c>
      <c r="K17" s="348">
        <v>0</v>
      </c>
      <c r="L17" s="348">
        <v>0</v>
      </c>
      <c r="M17" s="349">
        <f>'2025 Expenses'!$H$14</f>
        <v>160227.42308550002</v>
      </c>
      <c r="O17" s="292"/>
    </row>
    <row r="18" spans="1:15">
      <c r="A18" s="249" t="s">
        <v>360</v>
      </c>
      <c r="B18" s="96" t="s">
        <v>609</v>
      </c>
      <c r="C18" s="349">
        <f>'2025 Expenses'!$I$7</f>
        <v>566916.74</v>
      </c>
      <c r="D18" s="348">
        <v>0</v>
      </c>
      <c r="E18" s="348">
        <v>0</v>
      </c>
      <c r="F18" s="349">
        <f>'2025 Expenses'!$I$12</f>
        <v>232986.54</v>
      </c>
      <c r="G18" s="348">
        <v>0</v>
      </c>
      <c r="H18" s="348">
        <v>0</v>
      </c>
      <c r="I18" s="348">
        <v>0</v>
      </c>
      <c r="J18" s="348">
        <v>0</v>
      </c>
      <c r="K18" s="348">
        <v>0</v>
      </c>
      <c r="L18" s="348">
        <v>0</v>
      </c>
      <c r="M18" s="349">
        <f>'2025 Expenses'!$I$14</f>
        <v>160202.53419400001</v>
      </c>
      <c r="O18" s="292"/>
    </row>
    <row r="19" spans="1:15">
      <c r="A19" s="249" t="s">
        <v>363</v>
      </c>
      <c r="B19" s="96" t="s">
        <v>675</v>
      </c>
      <c r="C19" s="349">
        <f>'2025 Expenses'!$J$7</f>
        <v>720916.74</v>
      </c>
      <c r="D19" s="348">
        <v>0</v>
      </c>
      <c r="E19" s="348">
        <v>0</v>
      </c>
      <c r="F19" s="349">
        <f>'2025 Expenses'!$J$12</f>
        <v>218981.41</v>
      </c>
      <c r="G19" s="348">
        <v>0</v>
      </c>
      <c r="H19" s="348">
        <v>0</v>
      </c>
      <c r="I19" s="348">
        <v>0</v>
      </c>
      <c r="J19" s="348">
        <v>0</v>
      </c>
      <c r="K19" s="348">
        <v>0</v>
      </c>
      <c r="L19" s="348">
        <v>0</v>
      </c>
      <c r="M19" s="349">
        <f>'2025 Expenses'!$J$14</f>
        <v>160177.64529350001</v>
      </c>
      <c r="O19" s="292"/>
    </row>
    <row r="20" spans="1:15">
      <c r="A20" s="249" t="s">
        <v>366</v>
      </c>
      <c r="B20" s="96" t="s">
        <v>611</v>
      </c>
      <c r="C20" s="349">
        <f>'2025 Expenses'!$K$7</f>
        <v>523916.74</v>
      </c>
      <c r="D20" s="348">
        <v>0</v>
      </c>
      <c r="E20" s="348">
        <v>0</v>
      </c>
      <c r="F20" s="349">
        <f>'2025 Expenses'!$K$12</f>
        <v>225833.28</v>
      </c>
      <c r="G20" s="348">
        <v>0</v>
      </c>
      <c r="H20" s="348">
        <v>0</v>
      </c>
      <c r="I20" s="348">
        <v>0</v>
      </c>
      <c r="J20" s="348">
        <v>0</v>
      </c>
      <c r="K20" s="348">
        <v>0</v>
      </c>
      <c r="L20" s="348">
        <v>0</v>
      </c>
      <c r="M20" s="349">
        <f>'2025 Expenses'!$K$14</f>
        <v>160152.75641883333</v>
      </c>
      <c r="O20" s="292"/>
    </row>
    <row r="21" spans="1:15">
      <c r="A21" s="249" t="s">
        <v>369</v>
      </c>
      <c r="B21" s="96" t="s">
        <v>612</v>
      </c>
      <c r="C21" s="349">
        <f>'2025 Expenses'!$L$7</f>
        <v>1214916.74</v>
      </c>
      <c r="D21" s="348">
        <v>0</v>
      </c>
      <c r="E21" s="348">
        <v>0</v>
      </c>
      <c r="F21" s="349">
        <f>'2025 Expenses'!$L$12</f>
        <v>232875.79</v>
      </c>
      <c r="G21" s="348">
        <v>0</v>
      </c>
      <c r="H21" s="348">
        <v>0</v>
      </c>
      <c r="I21" s="348">
        <v>0</v>
      </c>
      <c r="J21" s="348">
        <v>0</v>
      </c>
      <c r="K21" s="348">
        <v>0</v>
      </c>
      <c r="L21" s="348">
        <v>0</v>
      </c>
      <c r="M21" s="349">
        <f>'2025 Expenses'!$L$14</f>
        <v>160127.86752733335</v>
      </c>
      <c r="O21" s="292"/>
    </row>
    <row r="22" spans="1:15">
      <c r="A22" s="249" t="s">
        <v>372</v>
      </c>
      <c r="B22" s="96" t="s">
        <v>613</v>
      </c>
      <c r="C22" s="349">
        <f>'2025 Expenses'!$M$7</f>
        <v>190916.74</v>
      </c>
      <c r="D22" s="348">
        <v>0</v>
      </c>
      <c r="E22" s="348">
        <v>0</v>
      </c>
      <c r="F22" s="349">
        <f>'2025 Expenses'!$M$12</f>
        <v>215597.94</v>
      </c>
      <c r="G22" s="348">
        <v>0</v>
      </c>
      <c r="H22" s="348">
        <v>0</v>
      </c>
      <c r="I22" s="348">
        <v>0</v>
      </c>
      <c r="J22" s="348">
        <v>0</v>
      </c>
      <c r="K22" s="348">
        <v>0</v>
      </c>
      <c r="L22" s="348">
        <v>0</v>
      </c>
      <c r="M22" s="349">
        <f>'2025 Expenses'!$M$14</f>
        <v>160102.97862683333</v>
      </c>
      <c r="O22" s="292"/>
    </row>
    <row r="23" spans="1:15">
      <c r="A23" s="249" t="s">
        <v>376</v>
      </c>
      <c r="B23" s="96" t="s">
        <v>676</v>
      </c>
      <c r="C23" s="349">
        <f>'2025 Expenses'!$N$7</f>
        <v>133607.74</v>
      </c>
      <c r="D23" s="348">
        <v>0</v>
      </c>
      <c r="E23" s="348">
        <v>0</v>
      </c>
      <c r="F23" s="349">
        <f>'2025 Expenses'!$N$12</f>
        <v>274490.06</v>
      </c>
      <c r="G23" s="348">
        <v>0</v>
      </c>
      <c r="H23" s="348">
        <v>0</v>
      </c>
      <c r="I23" s="348">
        <v>0</v>
      </c>
      <c r="J23" s="348">
        <v>0</v>
      </c>
      <c r="K23" s="348">
        <v>0</v>
      </c>
      <c r="L23" s="348">
        <v>0</v>
      </c>
      <c r="M23" s="349">
        <f>'2025 Expenses'!$N$14</f>
        <v>162841.51463383334</v>
      </c>
      <c r="O23" s="292"/>
    </row>
    <row r="24" spans="1:15">
      <c r="A24" s="249" t="s">
        <v>379</v>
      </c>
      <c r="B24" s="627" t="s">
        <v>22</v>
      </c>
      <c r="C24" s="628">
        <f t="shared" ref="C24:L24" si="0">SUM(C12:C23)</f>
        <v>5077012.5200000014</v>
      </c>
      <c r="D24" s="628">
        <f t="shared" si="0"/>
        <v>0</v>
      </c>
      <c r="E24" s="628">
        <f t="shared" si="0"/>
        <v>0</v>
      </c>
      <c r="F24" s="628">
        <f t="shared" si="0"/>
        <v>3607384.48</v>
      </c>
      <c r="G24" s="628">
        <f t="shared" si="0"/>
        <v>0</v>
      </c>
      <c r="H24" s="628">
        <f t="shared" si="0"/>
        <v>0</v>
      </c>
      <c r="I24" s="628">
        <f t="shared" si="0"/>
        <v>0</v>
      </c>
      <c r="J24" s="628">
        <f t="shared" si="0"/>
        <v>0</v>
      </c>
      <c r="K24" s="628">
        <f t="shared" si="0"/>
        <v>0</v>
      </c>
      <c r="L24" s="628">
        <f t="shared" si="0"/>
        <v>0</v>
      </c>
      <c r="M24" s="628">
        <f>SUM(M12:M23)</f>
        <v>1927508.5719230834</v>
      </c>
      <c r="O24" s="293"/>
    </row>
    <row r="25" spans="1:15">
      <c r="A25" s="249"/>
      <c r="B25" s="96"/>
      <c r="C25" s="456"/>
      <c r="D25" s="96"/>
      <c r="E25" s="96"/>
      <c r="F25" s="456"/>
      <c r="G25" s="96"/>
      <c r="H25" s="96"/>
      <c r="I25" s="96"/>
      <c r="J25" s="96"/>
      <c r="N25" s="96"/>
      <c r="O25" s="104"/>
    </row>
    <row r="26" spans="1:15">
      <c r="A26" s="249"/>
      <c r="B26" s="96"/>
      <c r="C26" s="96"/>
      <c r="D26" s="96"/>
      <c r="E26" s="96"/>
      <c r="F26" s="96"/>
      <c r="G26" s="96"/>
      <c r="H26" s="96"/>
      <c r="I26" s="96"/>
      <c r="J26" s="96"/>
      <c r="N26" s="96"/>
      <c r="O26" s="104"/>
    </row>
    <row r="27" spans="1:15" ht="38.25">
      <c r="A27" s="249"/>
      <c r="C27" s="101" t="s">
        <v>729</v>
      </c>
      <c r="D27" s="102" t="s">
        <v>730</v>
      </c>
      <c r="E27" s="101" t="s">
        <v>731</v>
      </c>
      <c r="F27" s="102" t="s">
        <v>732</v>
      </c>
      <c r="G27" s="102" t="s">
        <v>733</v>
      </c>
      <c r="H27" s="101" t="s">
        <v>734</v>
      </c>
      <c r="I27" s="101" t="s">
        <v>735</v>
      </c>
      <c r="J27" s="101" t="s">
        <v>736</v>
      </c>
      <c r="K27" s="101" t="s">
        <v>737</v>
      </c>
      <c r="L27" s="101" t="s">
        <v>738</v>
      </c>
      <c r="M27" s="101" t="s">
        <v>187</v>
      </c>
      <c r="N27" s="96"/>
    </row>
    <row r="28" spans="1:15">
      <c r="A28" s="249"/>
      <c r="C28" s="97" t="s">
        <v>566</v>
      </c>
      <c r="D28" s="245" t="s">
        <v>567</v>
      </c>
      <c r="E28" s="245" t="s">
        <v>568</v>
      </c>
      <c r="F28" s="246" t="s">
        <v>569</v>
      </c>
      <c r="G28" s="246" t="s">
        <v>589</v>
      </c>
      <c r="H28" s="246" t="s">
        <v>590</v>
      </c>
      <c r="I28" s="246" t="s">
        <v>591</v>
      </c>
      <c r="J28" s="247" t="s">
        <v>592</v>
      </c>
      <c r="K28" s="247" t="s">
        <v>593</v>
      </c>
      <c r="L28" s="207" t="s">
        <v>712</v>
      </c>
      <c r="M28" s="207" t="s">
        <v>713</v>
      </c>
      <c r="N28" s="96"/>
    </row>
    <row r="29" spans="1:15">
      <c r="A29" s="249"/>
      <c r="B29" s="105" t="s">
        <v>739</v>
      </c>
      <c r="C29" s="97">
        <v>17</v>
      </c>
      <c r="D29" s="249">
        <v>19</v>
      </c>
      <c r="E29" s="97">
        <v>23</v>
      </c>
      <c r="F29" s="97">
        <v>24</v>
      </c>
      <c r="G29" s="97">
        <v>26</v>
      </c>
      <c r="H29" s="97">
        <v>27</v>
      </c>
      <c r="I29" s="97">
        <v>28</v>
      </c>
      <c r="J29" s="97">
        <v>29</v>
      </c>
      <c r="K29" s="98">
        <v>37</v>
      </c>
      <c r="L29" s="97">
        <v>38</v>
      </c>
      <c r="M29" s="97">
        <v>39</v>
      </c>
      <c r="N29" s="96"/>
    </row>
    <row r="30" spans="1:15" ht="25.5">
      <c r="A30" s="249"/>
      <c r="B30" s="98" t="s">
        <v>715</v>
      </c>
      <c r="C30" s="373" t="s">
        <v>740</v>
      </c>
      <c r="D30" s="207" t="s">
        <v>741</v>
      </c>
      <c r="E30" s="207" t="s">
        <v>742</v>
      </c>
      <c r="F30" s="207" t="str">
        <f>+E30</f>
        <v>263.i</v>
      </c>
      <c r="G30" s="207" t="str">
        <f>+F30</f>
        <v>263.i</v>
      </c>
      <c r="H30" s="207" t="str">
        <f>+G30</f>
        <v>263.i</v>
      </c>
      <c r="I30" s="207" t="str">
        <f>+H30</f>
        <v>263.i</v>
      </c>
      <c r="J30" s="207" t="str">
        <f>+I30</f>
        <v>263.i</v>
      </c>
      <c r="K30" s="207" t="s">
        <v>743</v>
      </c>
      <c r="L30" s="207" t="s">
        <v>182</v>
      </c>
      <c r="M30" s="207" t="s">
        <v>744</v>
      </c>
      <c r="N30" s="96"/>
    </row>
    <row r="31" spans="1:15" s="17" customFormat="1">
      <c r="A31" s="249"/>
      <c r="B31" s="98"/>
      <c r="N31" s="207"/>
    </row>
    <row r="32" spans="1:15">
      <c r="A32" s="249"/>
      <c r="C32" s="97"/>
      <c r="E32" s="97"/>
      <c r="F32" s="97"/>
      <c r="G32" s="97"/>
      <c r="H32" s="97"/>
      <c r="I32" s="97"/>
      <c r="J32" s="97"/>
      <c r="K32" s="97"/>
      <c r="L32" s="97"/>
      <c r="M32" s="97"/>
      <c r="N32" s="96"/>
    </row>
    <row r="33" spans="1:15">
      <c r="A33" s="249" t="s">
        <v>382</v>
      </c>
      <c r="B33" s="96" t="s">
        <v>603</v>
      </c>
      <c r="C33" s="248">
        <v>0</v>
      </c>
      <c r="D33" s="248">
        <v>0</v>
      </c>
      <c r="E33" s="248">
        <v>0</v>
      </c>
      <c r="F33" s="248">
        <v>0</v>
      </c>
      <c r="G33" s="349">
        <f>'2025 Expenses'!$C$13</f>
        <v>164108.57999999999</v>
      </c>
      <c r="H33" s="248">
        <v>0</v>
      </c>
      <c r="I33" s="248">
        <v>0</v>
      </c>
      <c r="J33" s="248">
        <v>0</v>
      </c>
      <c r="K33" s="248">
        <v>0</v>
      </c>
      <c r="L33" s="348"/>
      <c r="M33" s="349">
        <f>+Taxes!$F$29/12</f>
        <v>1145.8069699999999</v>
      </c>
      <c r="N33" s="96"/>
    </row>
    <row r="34" spans="1:15">
      <c r="A34" s="249" t="s">
        <v>385</v>
      </c>
      <c r="B34" s="96" t="s">
        <v>604</v>
      </c>
      <c r="C34" s="248">
        <v>0</v>
      </c>
      <c r="D34" s="248">
        <v>0</v>
      </c>
      <c r="E34" s="248">
        <v>0</v>
      </c>
      <c r="F34" s="248">
        <v>0</v>
      </c>
      <c r="G34" s="349">
        <f>'2025 Expenses'!$D$13</f>
        <v>164108.57999999999</v>
      </c>
      <c r="H34" s="248">
        <v>0</v>
      </c>
      <c r="I34" s="248">
        <v>0</v>
      </c>
      <c r="J34" s="248">
        <v>0</v>
      </c>
      <c r="K34" s="248">
        <v>0</v>
      </c>
      <c r="L34" s="348"/>
      <c r="M34" s="349">
        <f>+Taxes!$F$29/12</f>
        <v>1145.8069699999999</v>
      </c>
      <c r="N34" s="96"/>
    </row>
    <row r="35" spans="1:15">
      <c r="A35" s="249" t="s">
        <v>388</v>
      </c>
      <c r="B35" s="96" t="s">
        <v>674</v>
      </c>
      <c r="C35" s="248">
        <v>0</v>
      </c>
      <c r="D35" s="248">
        <v>0</v>
      </c>
      <c r="E35" s="248">
        <v>0</v>
      </c>
      <c r="F35" s="248">
        <v>0</v>
      </c>
      <c r="G35" s="349">
        <f>'2025 Expenses'!$E$13</f>
        <v>164108.57999999999</v>
      </c>
      <c r="H35" s="248">
        <v>0</v>
      </c>
      <c r="I35" s="248">
        <v>0</v>
      </c>
      <c r="J35" s="248">
        <v>0</v>
      </c>
      <c r="K35" s="248">
        <v>0</v>
      </c>
      <c r="L35" s="348"/>
      <c r="M35" s="349">
        <f>+Taxes!$F$29/12</f>
        <v>1145.8069699999999</v>
      </c>
      <c r="N35" s="96"/>
    </row>
    <row r="36" spans="1:15">
      <c r="A36" s="249" t="s">
        <v>745</v>
      </c>
      <c r="B36" s="96" t="s">
        <v>606</v>
      </c>
      <c r="C36" s="248">
        <v>0</v>
      </c>
      <c r="D36" s="248">
        <v>0</v>
      </c>
      <c r="E36" s="248">
        <v>0</v>
      </c>
      <c r="F36" s="248">
        <v>0</v>
      </c>
      <c r="G36" s="349">
        <f>'2025 Expenses'!$F$13</f>
        <v>164108.57999999999</v>
      </c>
      <c r="H36" s="248">
        <v>0</v>
      </c>
      <c r="I36" s="248">
        <v>0</v>
      </c>
      <c r="J36" s="248">
        <v>0</v>
      </c>
      <c r="K36" s="248">
        <v>0</v>
      </c>
      <c r="L36" s="348"/>
      <c r="M36" s="349">
        <f>+Taxes!$F$29/12</f>
        <v>1145.8069699999999</v>
      </c>
      <c r="N36" s="96"/>
    </row>
    <row r="37" spans="1:15">
      <c r="A37" s="249" t="s">
        <v>746</v>
      </c>
      <c r="B37" s="96" t="s">
        <v>607</v>
      </c>
      <c r="C37" s="248">
        <v>0</v>
      </c>
      <c r="D37" s="248">
        <v>0</v>
      </c>
      <c r="E37" s="248">
        <v>0</v>
      </c>
      <c r="F37" s="248">
        <v>0</v>
      </c>
      <c r="G37" s="349">
        <f>'2025 Expenses'!$G$13</f>
        <v>32358.58</v>
      </c>
      <c r="H37" s="248">
        <v>0</v>
      </c>
      <c r="I37" s="248">
        <v>0</v>
      </c>
      <c r="J37" s="248">
        <v>0</v>
      </c>
      <c r="K37" s="248">
        <v>0</v>
      </c>
      <c r="L37" s="348"/>
      <c r="M37" s="349">
        <f>+Taxes!$F$29/12</f>
        <v>1145.8069699999999</v>
      </c>
      <c r="N37" s="96"/>
    </row>
    <row r="38" spans="1:15">
      <c r="A38" s="249" t="s">
        <v>747</v>
      </c>
      <c r="B38" s="96" t="s">
        <v>608</v>
      </c>
      <c r="C38" s="248">
        <v>0</v>
      </c>
      <c r="D38" s="248">
        <v>0</v>
      </c>
      <c r="E38" s="248">
        <v>0</v>
      </c>
      <c r="F38" s="248">
        <v>0</v>
      </c>
      <c r="G38" s="349">
        <f>'2025 Expenses'!$H$13</f>
        <v>156358.57999999999</v>
      </c>
      <c r="H38" s="248">
        <v>0</v>
      </c>
      <c r="I38" s="248">
        <v>0</v>
      </c>
      <c r="J38" s="248">
        <v>0</v>
      </c>
      <c r="K38" s="248">
        <v>0</v>
      </c>
      <c r="L38" s="348"/>
      <c r="M38" s="349">
        <f>+Taxes!$F$29/12</f>
        <v>1145.8069699999999</v>
      </c>
      <c r="N38" s="96"/>
    </row>
    <row r="39" spans="1:15">
      <c r="A39" s="249" t="s">
        <v>748</v>
      </c>
      <c r="B39" s="96" t="s">
        <v>609</v>
      </c>
      <c r="C39" s="248">
        <v>0</v>
      </c>
      <c r="D39" s="248">
        <v>0</v>
      </c>
      <c r="E39" s="248">
        <v>0</v>
      </c>
      <c r="F39" s="348">
        <v>0</v>
      </c>
      <c r="G39" s="349">
        <f>'2025 Expenses'!$I$13</f>
        <v>156358.57999999999</v>
      </c>
      <c r="H39" s="248">
        <v>0</v>
      </c>
      <c r="I39" s="248">
        <v>0</v>
      </c>
      <c r="J39" s="248">
        <v>0</v>
      </c>
      <c r="K39" s="248">
        <v>0</v>
      </c>
      <c r="L39" s="348"/>
      <c r="M39" s="349">
        <f>+Taxes!$F$29/12</f>
        <v>1145.8069699999999</v>
      </c>
      <c r="N39" s="96"/>
    </row>
    <row r="40" spans="1:15">
      <c r="A40" s="249" t="s">
        <v>749</v>
      </c>
      <c r="B40" s="96" t="s">
        <v>675</v>
      </c>
      <c r="C40" s="248">
        <v>0</v>
      </c>
      <c r="D40" s="248">
        <v>0</v>
      </c>
      <c r="E40" s="248">
        <v>0</v>
      </c>
      <c r="F40" s="348">
        <v>0</v>
      </c>
      <c r="G40" s="349">
        <f>'2025 Expenses'!$J$13</f>
        <v>156358.57999999999</v>
      </c>
      <c r="H40" s="248">
        <v>0</v>
      </c>
      <c r="I40" s="248">
        <v>0</v>
      </c>
      <c r="J40" s="248">
        <v>0</v>
      </c>
      <c r="K40" s="248">
        <v>0</v>
      </c>
      <c r="L40" s="348"/>
      <c r="M40" s="349">
        <f>+Taxes!$F$29/12</f>
        <v>1145.8069699999999</v>
      </c>
      <c r="N40" s="96"/>
    </row>
    <row r="41" spans="1:15">
      <c r="A41" s="249" t="s">
        <v>750</v>
      </c>
      <c r="B41" s="96" t="s">
        <v>611</v>
      </c>
      <c r="C41" s="248">
        <v>0</v>
      </c>
      <c r="D41" s="248">
        <v>0</v>
      </c>
      <c r="E41" s="248">
        <v>0</v>
      </c>
      <c r="F41" s="348">
        <v>0</v>
      </c>
      <c r="G41" s="349">
        <f>'2025 Expenses'!$K$13</f>
        <v>156358.57999999999</v>
      </c>
      <c r="H41" s="248">
        <v>0</v>
      </c>
      <c r="I41" s="248">
        <v>0</v>
      </c>
      <c r="J41" s="248">
        <v>0</v>
      </c>
      <c r="K41" s="248">
        <v>0</v>
      </c>
      <c r="L41" s="348"/>
      <c r="M41" s="349">
        <f>+Taxes!$F$29/12</f>
        <v>1145.8069699999999</v>
      </c>
      <c r="N41" s="96"/>
    </row>
    <row r="42" spans="1:15">
      <c r="A42" s="249" t="s">
        <v>751</v>
      </c>
      <c r="B42" s="96" t="s">
        <v>612</v>
      </c>
      <c r="C42" s="248">
        <v>0</v>
      </c>
      <c r="D42" s="248">
        <v>0</v>
      </c>
      <c r="E42" s="248">
        <v>0</v>
      </c>
      <c r="F42" s="348">
        <v>0</v>
      </c>
      <c r="G42" s="349">
        <f>'2025 Expenses'!$L$13</f>
        <v>156358.57999999999</v>
      </c>
      <c r="H42" s="248">
        <v>0</v>
      </c>
      <c r="I42" s="248">
        <v>0</v>
      </c>
      <c r="J42" s="248">
        <v>0</v>
      </c>
      <c r="K42" s="248">
        <v>0</v>
      </c>
      <c r="L42" s="348"/>
      <c r="M42" s="349">
        <f>+Taxes!$F$29/12</f>
        <v>1145.8069699999999</v>
      </c>
      <c r="N42" s="96"/>
    </row>
    <row r="43" spans="1:15">
      <c r="A43" s="249" t="s">
        <v>752</v>
      </c>
      <c r="B43" s="96" t="s">
        <v>613</v>
      </c>
      <c r="C43" s="248">
        <v>0</v>
      </c>
      <c r="D43" s="248">
        <v>0</v>
      </c>
      <c r="E43" s="248">
        <v>0</v>
      </c>
      <c r="F43" s="348">
        <v>0</v>
      </c>
      <c r="G43" s="349">
        <f>'2025 Expenses'!$M$13</f>
        <v>156358.57999999999</v>
      </c>
      <c r="H43" s="248">
        <v>0</v>
      </c>
      <c r="I43" s="248">
        <v>0</v>
      </c>
      <c r="J43" s="248">
        <v>0</v>
      </c>
      <c r="K43" s="248">
        <v>0</v>
      </c>
      <c r="L43" s="348"/>
      <c r="M43" s="349">
        <f>+Taxes!$F$29/12</f>
        <v>1145.8069699999999</v>
      </c>
      <c r="N43" s="96"/>
    </row>
    <row r="44" spans="1:15">
      <c r="A44" s="249" t="s">
        <v>753</v>
      </c>
      <c r="B44" s="96" t="s">
        <v>676</v>
      </c>
      <c r="C44" s="248">
        <v>0</v>
      </c>
      <c r="D44" s="248">
        <v>0</v>
      </c>
      <c r="E44" s="248">
        <v>0</v>
      </c>
      <c r="F44" s="348">
        <v>0</v>
      </c>
      <c r="G44" s="349">
        <f>'2025 Expenses'!$N$13</f>
        <v>156358.57999999999</v>
      </c>
      <c r="H44" s="248">
        <v>0</v>
      </c>
      <c r="I44" s="248">
        <v>0</v>
      </c>
      <c r="J44" s="248">
        <v>0</v>
      </c>
      <c r="K44" s="248">
        <v>0</v>
      </c>
      <c r="L44" s="348"/>
      <c r="M44" s="349">
        <f>+Taxes!$F$29/12</f>
        <v>1145.8069699999999</v>
      </c>
      <c r="N44" s="96"/>
    </row>
    <row r="45" spans="1:15">
      <c r="A45" s="249" t="s">
        <v>754</v>
      </c>
      <c r="B45" s="627" t="s">
        <v>22</v>
      </c>
      <c r="C45" s="628">
        <f t="shared" ref="C45:L45" si="1">SUM(C33:C44)</f>
        <v>0</v>
      </c>
      <c r="D45" s="628">
        <f t="shared" si="1"/>
        <v>0</v>
      </c>
      <c r="E45" s="628">
        <f t="shared" si="1"/>
        <v>0</v>
      </c>
      <c r="F45" s="628">
        <f t="shared" si="1"/>
        <v>0</v>
      </c>
      <c r="G45" s="628">
        <f t="shared" si="1"/>
        <v>1783302.9600000002</v>
      </c>
      <c r="H45" s="628">
        <f t="shared" si="1"/>
        <v>0</v>
      </c>
      <c r="I45" s="628">
        <f t="shared" si="1"/>
        <v>0</v>
      </c>
      <c r="J45" s="628">
        <f t="shared" si="1"/>
        <v>0</v>
      </c>
      <c r="K45" s="628">
        <f t="shared" si="1"/>
        <v>0</v>
      </c>
      <c r="L45" s="628">
        <f t="shared" si="1"/>
        <v>0</v>
      </c>
      <c r="M45" s="628">
        <f>SUM(M33:M44)</f>
        <v>13749.683639999997</v>
      </c>
      <c r="N45" s="96"/>
    </row>
    <row r="46" spans="1:15">
      <c r="B46" s="96"/>
      <c r="C46" s="96"/>
      <c r="D46" s="96"/>
      <c r="E46" s="96"/>
      <c r="F46" s="96"/>
      <c r="G46" s="97" t="s">
        <v>700</v>
      </c>
      <c r="H46" s="96"/>
      <c r="I46" s="96"/>
      <c r="J46" s="96"/>
      <c r="M46" s="208" t="s">
        <v>391</v>
      </c>
      <c r="N46" s="96"/>
      <c r="O46" s="104"/>
    </row>
    <row r="47" spans="1:15">
      <c r="B47" s="96"/>
      <c r="C47" s="96"/>
      <c r="D47" s="96"/>
      <c r="E47" s="96"/>
      <c r="F47" s="96"/>
      <c r="G47" s="97" t="s">
        <v>701</v>
      </c>
      <c r="H47" s="96"/>
      <c r="I47" s="96"/>
      <c r="J47" s="96"/>
      <c r="N47" s="96"/>
      <c r="O47" s="104"/>
    </row>
    <row r="48" spans="1:15">
      <c r="B48" s="96"/>
      <c r="C48" s="96"/>
      <c r="D48" s="96"/>
      <c r="E48" s="96"/>
      <c r="F48" s="96"/>
      <c r="G48" s="442" t="str">
        <f>'Attachment H'!$D$5</f>
        <v>NextEra Energy Transmission MidAtlantic, Inc.</v>
      </c>
      <c r="H48" s="96"/>
      <c r="I48" s="96"/>
      <c r="J48" s="96"/>
      <c r="N48" s="96"/>
      <c r="O48" s="104"/>
    </row>
    <row r="49" spans="1:15">
      <c r="B49" s="96"/>
      <c r="C49" s="96"/>
      <c r="D49" s="96"/>
      <c r="E49" s="96"/>
      <c r="F49" s="96"/>
      <c r="G49" s="96"/>
      <c r="H49" s="96"/>
      <c r="I49" s="96"/>
      <c r="J49" s="96"/>
      <c r="N49" s="96"/>
      <c r="O49" s="104"/>
    </row>
    <row r="50" spans="1:15">
      <c r="B50" s="96"/>
      <c r="C50" s="96"/>
      <c r="D50" s="96"/>
      <c r="E50" s="96"/>
      <c r="F50" s="96"/>
      <c r="G50" s="96"/>
      <c r="H50" s="96"/>
      <c r="I50" s="96"/>
      <c r="J50" s="96"/>
      <c r="N50" s="96"/>
      <c r="O50" s="104"/>
    </row>
    <row r="51" spans="1:15" ht="129" customHeight="1">
      <c r="B51" s="374"/>
      <c r="C51" s="375" t="s">
        <v>755</v>
      </c>
      <c r="D51" s="376" t="s">
        <v>269</v>
      </c>
      <c r="E51" s="376" t="s">
        <v>756</v>
      </c>
      <c r="F51" s="377" t="s">
        <v>757</v>
      </c>
      <c r="G51" s="378" t="s">
        <v>27</v>
      </c>
      <c r="H51" s="96"/>
      <c r="I51" s="96"/>
      <c r="J51" s="96"/>
      <c r="N51" s="96"/>
      <c r="O51" s="96"/>
    </row>
    <row r="52" spans="1:15">
      <c r="C52" s="97" t="s">
        <v>566</v>
      </c>
      <c r="D52" s="245" t="s">
        <v>567</v>
      </c>
      <c r="E52" s="245" t="s">
        <v>568</v>
      </c>
      <c r="F52" s="246" t="s">
        <v>569</v>
      </c>
      <c r="G52" s="246" t="s">
        <v>589</v>
      </c>
      <c r="H52" s="96"/>
      <c r="I52" s="96"/>
      <c r="J52" s="96"/>
      <c r="N52" s="96"/>
      <c r="O52" s="96"/>
    </row>
    <row r="53" spans="1:15" ht="25.5">
      <c r="B53" s="105" t="s">
        <v>758</v>
      </c>
      <c r="C53" s="97">
        <v>27</v>
      </c>
      <c r="D53" s="249" t="s">
        <v>759</v>
      </c>
      <c r="E53" s="97">
        <v>31</v>
      </c>
      <c r="F53" s="97">
        <v>32</v>
      </c>
      <c r="G53" s="98" t="s">
        <v>760</v>
      </c>
      <c r="H53" s="97"/>
      <c r="I53" s="97"/>
      <c r="J53" s="96"/>
    </row>
    <row r="54" spans="1:15" ht="25.5">
      <c r="B54" s="98"/>
      <c r="C54" s="373" t="s">
        <v>761</v>
      </c>
      <c r="D54" s="207" t="s">
        <v>762</v>
      </c>
      <c r="E54" s="12" t="s">
        <v>763</v>
      </c>
      <c r="F54" s="15" t="str">
        <f>+E54</f>
        <v>Portion of Account 456.1</v>
      </c>
      <c r="H54" s="97"/>
      <c r="L54" s="97"/>
      <c r="M54" s="97"/>
    </row>
    <row r="55" spans="1:15">
      <c r="C55" s="97"/>
      <c r="E55" s="97"/>
      <c r="F55" s="97"/>
      <c r="G55" s="97"/>
      <c r="H55" s="97"/>
      <c r="I55" s="31"/>
      <c r="L55" s="97"/>
      <c r="M55" s="97"/>
    </row>
    <row r="56" spans="1:15">
      <c r="A56" s="261">
        <f>+A45+1</f>
        <v>27</v>
      </c>
      <c r="B56" s="96" t="s">
        <v>603</v>
      </c>
      <c r="C56" s="248">
        <v>0</v>
      </c>
      <c r="D56" s="248">
        <v>0</v>
      </c>
      <c r="E56" s="248">
        <v>0</v>
      </c>
      <c r="F56" s="248">
        <v>0</v>
      </c>
      <c r="G56" s="248">
        <v>0</v>
      </c>
      <c r="H56" s="96"/>
      <c r="I56" s="31"/>
      <c r="L56" s="96"/>
      <c r="M56" s="96"/>
    </row>
    <row r="57" spans="1:15">
      <c r="A57" s="261">
        <f t="shared" ref="A57:A88" si="2">+A56+1</f>
        <v>28</v>
      </c>
      <c r="B57" s="96" t="s">
        <v>604</v>
      </c>
      <c r="C57" s="248">
        <v>0</v>
      </c>
      <c r="D57" s="248">
        <v>0</v>
      </c>
      <c r="E57" s="248">
        <v>0</v>
      </c>
      <c r="F57" s="248">
        <v>0</v>
      </c>
      <c r="G57" s="248">
        <v>0</v>
      </c>
      <c r="H57" s="96"/>
      <c r="L57" s="96"/>
      <c r="M57" s="96"/>
    </row>
    <row r="58" spans="1:15">
      <c r="A58" s="261">
        <f t="shared" si="2"/>
        <v>29</v>
      </c>
      <c r="B58" s="96" t="s">
        <v>674</v>
      </c>
      <c r="C58" s="248">
        <v>0</v>
      </c>
      <c r="D58" s="248">
        <v>0</v>
      </c>
      <c r="E58" s="248">
        <v>0</v>
      </c>
      <c r="F58" s="248">
        <v>0</v>
      </c>
      <c r="G58" s="248">
        <v>0</v>
      </c>
      <c r="H58" s="96"/>
      <c r="I58" s="31"/>
      <c r="L58" s="96"/>
      <c r="M58" s="96"/>
    </row>
    <row r="59" spans="1:15">
      <c r="A59" s="261">
        <f t="shared" si="2"/>
        <v>30</v>
      </c>
      <c r="B59" s="96" t="s">
        <v>606</v>
      </c>
      <c r="C59" s="248">
        <v>0</v>
      </c>
      <c r="D59" s="248">
        <v>0</v>
      </c>
      <c r="E59" s="248">
        <v>0</v>
      </c>
      <c r="F59" s="248">
        <v>0</v>
      </c>
      <c r="G59" s="248">
        <v>0</v>
      </c>
      <c r="H59" s="96"/>
      <c r="I59" s="27"/>
      <c r="L59" s="96"/>
      <c r="M59" s="96"/>
    </row>
    <row r="60" spans="1:15">
      <c r="A60" s="261">
        <f t="shared" si="2"/>
        <v>31</v>
      </c>
      <c r="B60" s="96" t="s">
        <v>607</v>
      </c>
      <c r="C60" s="248">
        <v>0</v>
      </c>
      <c r="D60" s="248">
        <v>0</v>
      </c>
      <c r="E60" s="248">
        <v>0</v>
      </c>
      <c r="F60" s="248">
        <v>0</v>
      </c>
      <c r="G60" s="248">
        <v>0</v>
      </c>
      <c r="H60" s="96"/>
      <c r="L60" s="96"/>
      <c r="M60" s="96"/>
    </row>
    <row r="61" spans="1:15">
      <c r="A61" s="261">
        <f t="shared" si="2"/>
        <v>32</v>
      </c>
      <c r="B61" s="96" t="s">
        <v>608</v>
      </c>
      <c r="C61" s="248">
        <v>0</v>
      </c>
      <c r="D61" s="248">
        <v>0</v>
      </c>
      <c r="E61" s="248">
        <v>0</v>
      </c>
      <c r="F61" s="248">
        <v>0</v>
      </c>
      <c r="G61" s="248">
        <v>0</v>
      </c>
      <c r="H61" s="96"/>
      <c r="L61" s="96"/>
      <c r="M61" s="96"/>
    </row>
    <row r="62" spans="1:15">
      <c r="A62" s="261">
        <f t="shared" si="2"/>
        <v>33</v>
      </c>
      <c r="B62" s="96" t="s">
        <v>609</v>
      </c>
      <c r="C62" s="248">
        <v>0</v>
      </c>
      <c r="D62" s="248">
        <v>0</v>
      </c>
      <c r="E62" s="248">
        <v>0</v>
      </c>
      <c r="F62" s="248">
        <v>0</v>
      </c>
      <c r="G62" s="248">
        <v>0</v>
      </c>
      <c r="H62" s="96"/>
      <c r="L62" s="96"/>
      <c r="M62" s="96"/>
    </row>
    <row r="63" spans="1:15">
      <c r="A63" s="261">
        <f t="shared" si="2"/>
        <v>34</v>
      </c>
      <c r="B63" s="96" t="s">
        <v>675</v>
      </c>
      <c r="C63" s="248">
        <v>0</v>
      </c>
      <c r="D63" s="248">
        <v>0</v>
      </c>
      <c r="E63" s="248">
        <v>0</v>
      </c>
      <c r="F63" s="248">
        <v>0</v>
      </c>
      <c r="G63" s="248">
        <v>0</v>
      </c>
      <c r="H63" s="96"/>
      <c r="L63" s="96"/>
      <c r="M63" s="96"/>
    </row>
    <row r="64" spans="1:15">
      <c r="A64" s="261">
        <f t="shared" si="2"/>
        <v>35</v>
      </c>
      <c r="B64" s="96" t="s">
        <v>611</v>
      </c>
      <c r="C64" s="248">
        <v>0</v>
      </c>
      <c r="D64" s="248">
        <v>0</v>
      </c>
      <c r="E64" s="248">
        <v>0</v>
      </c>
      <c r="F64" s="248">
        <v>0</v>
      </c>
      <c r="G64" s="248">
        <v>0</v>
      </c>
      <c r="H64" s="96"/>
      <c r="L64" s="96"/>
      <c r="M64" s="96"/>
    </row>
    <row r="65" spans="1:15">
      <c r="A65" s="261">
        <f t="shared" si="2"/>
        <v>36</v>
      </c>
      <c r="B65" s="96" t="s">
        <v>612</v>
      </c>
      <c r="C65" s="248">
        <v>0</v>
      </c>
      <c r="D65" s="248">
        <v>0</v>
      </c>
      <c r="E65" s="248">
        <v>0</v>
      </c>
      <c r="F65" s="248">
        <v>0</v>
      </c>
      <c r="G65" s="248">
        <v>0</v>
      </c>
      <c r="H65" s="96"/>
      <c r="L65" s="96"/>
      <c r="M65" s="96"/>
    </row>
    <row r="66" spans="1:15">
      <c r="A66" s="261">
        <f t="shared" si="2"/>
        <v>37</v>
      </c>
      <c r="B66" s="96" t="s">
        <v>613</v>
      </c>
      <c r="C66" s="248">
        <v>0</v>
      </c>
      <c r="D66" s="248">
        <v>0</v>
      </c>
      <c r="E66" s="248">
        <v>0</v>
      </c>
      <c r="F66" s="248">
        <v>0</v>
      </c>
      <c r="G66" s="248">
        <v>0</v>
      </c>
      <c r="H66" s="96"/>
      <c r="L66" s="96"/>
      <c r="M66" s="96"/>
    </row>
    <row r="67" spans="1:15">
      <c r="A67" s="261">
        <f t="shared" si="2"/>
        <v>38</v>
      </c>
      <c r="B67" s="96" t="s">
        <v>676</v>
      </c>
      <c r="C67" s="248">
        <v>0</v>
      </c>
      <c r="D67" s="248">
        <v>0</v>
      </c>
      <c r="E67" s="248">
        <v>0</v>
      </c>
      <c r="F67" s="248">
        <v>0</v>
      </c>
      <c r="G67" s="248">
        <v>0</v>
      </c>
      <c r="H67" s="96"/>
      <c r="L67" s="96"/>
      <c r="M67" s="96"/>
      <c r="N67" s="96"/>
      <c r="O67" s="96"/>
    </row>
    <row r="68" spans="1:15">
      <c r="A68" s="261">
        <f t="shared" si="2"/>
        <v>39</v>
      </c>
      <c r="B68" s="627" t="s">
        <v>22</v>
      </c>
      <c r="C68" s="628">
        <f>SUM(C56:C67)</f>
        <v>0</v>
      </c>
      <c r="D68" s="628">
        <f>SUM(D56:D67)</f>
        <v>0</v>
      </c>
      <c r="E68" s="628">
        <f>SUM(E56:E67)</f>
        <v>0</v>
      </c>
      <c r="F68" s="628">
        <f>SUM(F56:F67)</f>
        <v>0</v>
      </c>
      <c r="G68" s="628">
        <f>SUM(G56:G67)</f>
        <v>0</v>
      </c>
      <c r="H68" s="96"/>
      <c r="I68" s="96"/>
      <c r="J68" s="96"/>
      <c r="N68" s="96"/>
      <c r="O68" s="96"/>
    </row>
    <row r="69" spans="1:15">
      <c r="A69" s="261">
        <f t="shared" si="2"/>
        <v>40</v>
      </c>
      <c r="B69" s="96"/>
      <c r="C69" s="96"/>
      <c r="D69" s="96"/>
      <c r="E69" s="96"/>
      <c r="F69" s="96"/>
      <c r="G69" s="96"/>
      <c r="H69" s="96"/>
      <c r="I69" s="96"/>
      <c r="J69" s="96"/>
      <c r="N69" s="96"/>
      <c r="O69" s="96"/>
    </row>
    <row r="70" spans="1:15">
      <c r="A70" s="261">
        <f t="shared" si="2"/>
        <v>41</v>
      </c>
      <c r="B70" s="27" t="s">
        <v>246</v>
      </c>
      <c r="C70" s="28"/>
      <c r="F70" s="28"/>
      <c r="G70" s="28"/>
      <c r="H70" s="28"/>
      <c r="I70" s="28"/>
      <c r="J70" s="28"/>
      <c r="K70" s="30"/>
      <c r="L70" s="28"/>
      <c r="N70" s="96"/>
      <c r="O70" s="96"/>
    </row>
    <row r="71" spans="1:15" ht="24" customHeight="1">
      <c r="A71" s="261"/>
      <c r="B71" s="27" t="s">
        <v>764</v>
      </c>
      <c r="C71" s="28"/>
      <c r="F71" s="28"/>
      <c r="G71" s="28"/>
      <c r="H71" s="28"/>
      <c r="I71" s="28"/>
      <c r="J71" s="28"/>
      <c r="K71" s="30"/>
      <c r="L71" s="28"/>
      <c r="N71" s="96"/>
      <c r="O71" s="96"/>
    </row>
    <row r="72" spans="1:15" ht="16.5" thickBot="1">
      <c r="A72" s="261"/>
      <c r="B72" s="27"/>
      <c r="C72" s="28"/>
      <c r="D72" s="277"/>
      <c r="E72" s="277"/>
      <c r="F72" s="277"/>
      <c r="G72" s="277"/>
      <c r="H72" s="277"/>
      <c r="I72" s="277"/>
      <c r="J72" s="629" t="s">
        <v>220</v>
      </c>
      <c r="K72" s="30"/>
      <c r="L72" s="28"/>
      <c r="N72" s="100"/>
      <c r="O72" s="100"/>
    </row>
    <row r="73" spans="1:15" ht="15.75">
      <c r="A73" s="261">
        <f>+A70+1</f>
        <v>42</v>
      </c>
      <c r="B73" s="27"/>
      <c r="C73" s="28"/>
      <c r="D73" s="277" t="s">
        <v>765</v>
      </c>
      <c r="E73" s="277"/>
      <c r="F73" s="277"/>
      <c r="G73" s="277"/>
      <c r="H73" s="277"/>
      <c r="I73" s="277"/>
      <c r="J73" s="298">
        <v>2985318.5805117041</v>
      </c>
      <c r="N73" s="96"/>
      <c r="O73" s="96"/>
    </row>
    <row r="74" spans="1:15" ht="15.75">
      <c r="A74" s="261"/>
      <c r="B74" s="27"/>
      <c r="C74" s="28"/>
      <c r="D74" s="277"/>
      <c r="E74" s="277"/>
      <c r="F74" s="277"/>
      <c r="G74" s="277"/>
      <c r="H74" s="277"/>
      <c r="I74" s="277"/>
      <c r="J74" s="262"/>
      <c r="N74" s="96"/>
      <c r="O74" s="96"/>
    </row>
    <row r="75" spans="1:15" ht="15.75">
      <c r="A75" s="261">
        <f>+A73+1</f>
        <v>43</v>
      </c>
      <c r="B75" s="27"/>
      <c r="C75" s="28"/>
      <c r="D75" s="277" t="s">
        <v>766</v>
      </c>
      <c r="E75" s="277"/>
      <c r="F75" s="277"/>
      <c r="G75" s="277"/>
      <c r="H75" s="277"/>
      <c r="I75" s="277"/>
      <c r="J75" s="298">
        <v>0</v>
      </c>
      <c r="N75" s="96"/>
      <c r="O75" s="96"/>
    </row>
    <row r="76" spans="1:15" ht="15.75">
      <c r="A76" s="261"/>
      <c r="B76" s="27"/>
      <c r="C76" s="28"/>
      <c r="D76" s="277"/>
      <c r="E76" s="277"/>
      <c r="F76" s="277"/>
      <c r="G76" s="277"/>
      <c r="H76" s="277"/>
      <c r="I76" s="277"/>
      <c r="J76" s="262"/>
    </row>
    <row r="77" spans="1:15" ht="15.75">
      <c r="A77" s="261">
        <f>+A75+1</f>
        <v>44</v>
      </c>
      <c r="B77" s="27"/>
      <c r="C77" s="28"/>
      <c r="D77" s="277" t="s">
        <v>767</v>
      </c>
      <c r="E77" s="278"/>
      <c r="F77" s="277"/>
      <c r="G77" s="277"/>
      <c r="H77" s="277"/>
      <c r="I77" s="277"/>
      <c r="J77" s="298">
        <v>0</v>
      </c>
    </row>
    <row r="78" spans="1:15" ht="15.75">
      <c r="A78" s="261">
        <f t="shared" si="2"/>
        <v>45</v>
      </c>
      <c r="B78" s="27"/>
      <c r="C78" s="28"/>
      <c r="D78" s="277" t="s">
        <v>768</v>
      </c>
      <c r="E78" s="277"/>
      <c r="F78" s="277"/>
      <c r="G78" s="277"/>
      <c r="H78" s="277"/>
      <c r="I78" s="277"/>
      <c r="J78" s="299">
        <v>0</v>
      </c>
    </row>
    <row r="79" spans="1:15" ht="16.5" thickBot="1">
      <c r="A79" s="261">
        <f t="shared" si="2"/>
        <v>46</v>
      </c>
      <c r="B79" s="27"/>
      <c r="C79" s="28"/>
      <c r="D79" s="277" t="s">
        <v>769</v>
      </c>
      <c r="E79" s="277"/>
      <c r="F79" s="277"/>
      <c r="G79" s="277"/>
      <c r="H79" s="277"/>
      <c r="I79" s="277"/>
      <c r="J79" s="630">
        <v>0</v>
      </c>
    </row>
    <row r="80" spans="1:15" ht="15.75">
      <c r="A80" s="261">
        <f t="shared" si="2"/>
        <v>47</v>
      </c>
      <c r="B80" s="27"/>
      <c r="C80" s="28"/>
      <c r="D80" s="277" t="s">
        <v>770</v>
      </c>
      <c r="E80" s="278" t="s">
        <v>771</v>
      </c>
      <c r="F80" s="278"/>
      <c r="G80" s="278"/>
      <c r="H80" s="279"/>
      <c r="I80" s="278"/>
      <c r="J80" s="262">
        <f>+J77-J78-J79</f>
        <v>0</v>
      </c>
    </row>
    <row r="81" spans="1:12">
      <c r="A81" s="261"/>
      <c r="B81" s="27"/>
      <c r="C81" s="28"/>
      <c r="J81" s="18"/>
    </row>
    <row r="82" spans="1:12">
      <c r="A82" s="261"/>
      <c r="B82" s="27"/>
      <c r="C82" s="28"/>
      <c r="G82" s="28"/>
      <c r="H82" s="28"/>
      <c r="I82" s="28"/>
      <c r="J82" s="28"/>
      <c r="K82" s="30"/>
      <c r="L82" s="28"/>
    </row>
    <row r="83" spans="1:12">
      <c r="A83" s="261"/>
      <c r="B83" s="29"/>
      <c r="C83" s="28"/>
      <c r="F83" s="28"/>
      <c r="G83" s="28"/>
      <c r="H83" s="28"/>
      <c r="I83" s="30" t="s">
        <v>248</v>
      </c>
      <c r="J83" s="28"/>
      <c r="K83" s="28"/>
      <c r="L83" s="28"/>
    </row>
    <row r="84" spans="1:12" ht="13.5" thickBot="1">
      <c r="A84" s="261"/>
      <c r="B84" s="29"/>
      <c r="C84" s="28"/>
      <c r="F84" s="562" t="s">
        <v>220</v>
      </c>
      <c r="G84" s="562" t="s">
        <v>249</v>
      </c>
      <c r="H84" s="28"/>
      <c r="I84" s="130"/>
      <c r="J84" s="28"/>
      <c r="K84" s="562" t="s">
        <v>250</v>
      </c>
      <c r="L84" s="28"/>
    </row>
    <row r="85" spans="1:12">
      <c r="A85" s="261">
        <f>+A80+1</f>
        <v>48</v>
      </c>
      <c r="B85" s="27" t="s">
        <v>251</v>
      </c>
      <c r="C85" s="31" t="s">
        <v>772</v>
      </c>
      <c r="F85" s="308">
        <v>39502703.926582411</v>
      </c>
      <c r="G85" s="115">
        <f>IF(F$88=0,0,F85/F$88)</f>
        <v>0.40000000000000008</v>
      </c>
      <c r="H85" s="26"/>
      <c r="I85" s="494">
        <v>7.5572512354092417E-2</v>
      </c>
      <c r="J85" s="26"/>
      <c r="K85" s="26">
        <f>G85*I85</f>
        <v>3.0229004941636974E-2</v>
      </c>
      <c r="L85" s="173" t="s">
        <v>253</v>
      </c>
    </row>
    <row r="86" spans="1:12">
      <c r="A86" s="261">
        <f t="shared" si="2"/>
        <v>49</v>
      </c>
      <c r="B86" s="27" t="s">
        <v>254</v>
      </c>
      <c r="C86" s="31" t="s">
        <v>572</v>
      </c>
      <c r="F86" s="308">
        <v>0</v>
      </c>
      <c r="G86" s="115">
        <f>IF(F$88=0,0,F86/F$88)</f>
        <v>0</v>
      </c>
      <c r="H86" s="26"/>
      <c r="I86" s="115">
        <v>0</v>
      </c>
      <c r="J86" s="26"/>
      <c r="K86" s="26">
        <f>G86*I86</f>
        <v>0</v>
      </c>
      <c r="L86" s="28"/>
    </row>
    <row r="87" spans="1:12" ht="13.5" thickBot="1">
      <c r="A87" s="261">
        <f t="shared" si="2"/>
        <v>50</v>
      </c>
      <c r="B87" s="27" t="s">
        <v>256</v>
      </c>
      <c r="C87" s="31" t="s">
        <v>773</v>
      </c>
      <c r="F87" s="631">
        <v>59254055.889873594</v>
      </c>
      <c r="G87" s="115">
        <f>IF(F$88=0,0,F87/F$88)</f>
        <v>0.59999999999999987</v>
      </c>
      <c r="H87" s="32"/>
      <c r="I87" s="430">
        <v>0.115</v>
      </c>
      <c r="J87" s="26"/>
      <c r="K87" s="564">
        <f>G87*I87</f>
        <v>6.8999999999999992E-2</v>
      </c>
      <c r="L87" s="28"/>
    </row>
    <row r="88" spans="1:12">
      <c r="A88" s="261">
        <f t="shared" si="2"/>
        <v>51</v>
      </c>
      <c r="B88" s="29" t="s">
        <v>258</v>
      </c>
      <c r="C88" s="31" t="s">
        <v>774</v>
      </c>
      <c r="F88" s="174">
        <f>SUM(F85:F87)</f>
        <v>98756759.816456005</v>
      </c>
      <c r="G88" s="26" t="s">
        <v>11</v>
      </c>
      <c r="H88" s="28"/>
      <c r="I88" s="115"/>
      <c r="J88" s="26"/>
      <c r="K88" s="26">
        <f>SUM(K85:K87)</f>
        <v>9.9229004941636972E-2</v>
      </c>
      <c r="L88" s="173" t="s">
        <v>260</v>
      </c>
    </row>
    <row r="89" spans="1:12">
      <c r="A89" s="261"/>
      <c r="G89" s="26"/>
    </row>
    <row r="90" spans="1:12">
      <c r="A90" s="15" t="s">
        <v>775</v>
      </c>
    </row>
    <row r="91" spans="1:12">
      <c r="A91" s="249" t="s">
        <v>452</v>
      </c>
      <c r="B91" s="15" t="s">
        <v>776</v>
      </c>
    </row>
    <row r="92" spans="1:12">
      <c r="A92" s="249"/>
      <c r="B92" s="453" t="s">
        <v>777</v>
      </c>
    </row>
    <row r="93" spans="1:12">
      <c r="A93" s="249" t="s">
        <v>454</v>
      </c>
      <c r="B93" s="15" t="s">
        <v>778</v>
      </c>
    </row>
    <row r="94" spans="1:12">
      <c r="A94" s="249" t="s">
        <v>286</v>
      </c>
      <c r="B94" s="15" t="s">
        <v>779</v>
      </c>
    </row>
    <row r="95" spans="1:12">
      <c r="A95" s="249"/>
      <c r="B95" s="668" t="s">
        <v>309</v>
      </c>
      <c r="C95" s="668"/>
      <c r="D95" s="668"/>
      <c r="E95" s="668"/>
      <c r="F95" s="668"/>
      <c r="G95" s="668"/>
      <c r="H95" s="668"/>
      <c r="I95" s="668"/>
      <c r="J95" s="668"/>
      <c r="K95" s="668"/>
    </row>
    <row r="96" spans="1:12">
      <c r="A96" s="249"/>
    </row>
  </sheetData>
  <customSheetViews>
    <customSheetView guid="{F04A2B9A-C6FE-4FEB-AD1E-2CF9AC309BE4}" fitToPage="1">
      <selection activeCell="G20" sqref="G20"/>
      <pageMargins left="0" right="0" top="0" bottom="0" header="0" footer="0"/>
      <pageSetup scale="76" orientation="landscape" r:id="rId1"/>
    </customSheetView>
  </customSheetViews>
  <mergeCells count="1">
    <mergeCell ref="B95:K95"/>
  </mergeCells>
  <phoneticPr fontId="0" type="noConversion"/>
  <pageMargins left="0.25" right="0.25" top="0.75" bottom="0.75" header="0.3" footer="0.3"/>
  <pageSetup scale="64" fitToHeight="0" orientation="landscape" r:id="rId2"/>
  <rowBreaks count="1" manualBreakCount="1">
    <brk id="45" max="12" man="1"/>
  </rowBreaks>
  <customProperties>
    <customPr name="_pios_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70"/>
  <sheetViews>
    <sheetView zoomScale="85" zoomScaleNormal="85" zoomScaleSheetLayoutView="100" workbookViewId="0">
      <selection activeCell="J71" sqref="J71"/>
    </sheetView>
  </sheetViews>
  <sheetFormatPr defaultColWidth="8.77734375" defaultRowHeight="12.75"/>
  <cols>
    <col min="1" max="1" width="4" style="15" customWidth="1"/>
    <col min="2" max="2" width="12" style="15" bestFit="1" customWidth="1"/>
    <col min="3" max="3" width="8.77734375" style="15"/>
    <col min="4" max="4" width="9.5546875" style="15" bestFit="1" customWidth="1"/>
    <col min="5" max="6" width="7.77734375" style="15" customWidth="1"/>
    <col min="7" max="7" width="8.21875" style="15" customWidth="1"/>
    <col min="8" max="16" width="7.77734375" style="15" customWidth="1"/>
    <col min="17" max="17" width="10.77734375" style="15" bestFit="1" customWidth="1"/>
    <col min="18" max="16384" width="8.77734375" style="15"/>
  </cols>
  <sheetData>
    <row r="1" spans="1:26">
      <c r="I1" s="20" t="s">
        <v>780</v>
      </c>
      <c r="Q1" s="208" t="s">
        <v>472</v>
      </c>
    </row>
    <row r="2" spans="1:26">
      <c r="I2" s="207" t="s">
        <v>781</v>
      </c>
    </row>
    <row r="3" spans="1:26">
      <c r="I3" s="442" t="str">
        <f>'Attachment H'!$D$5</f>
        <v>NextEra Energy Transmission MidAtlantic, Inc.</v>
      </c>
    </row>
    <row r="4" spans="1:26">
      <c r="I4" s="113"/>
    </row>
    <row r="5" spans="1:26">
      <c r="I5" s="113"/>
    </row>
    <row r="6" spans="1:26" ht="15">
      <c r="E6" s="434" t="s">
        <v>782</v>
      </c>
      <c r="F6" s="434" t="s">
        <v>783</v>
      </c>
      <c r="G6" s="435" t="s">
        <v>784</v>
      </c>
      <c r="H6" s="434" t="s">
        <v>785</v>
      </c>
    </row>
    <row r="7" spans="1:26" ht="51.75">
      <c r="A7" s="283"/>
      <c r="B7" s="212"/>
      <c r="C7" s="209" t="s">
        <v>786</v>
      </c>
      <c r="D7" s="209"/>
      <c r="E7" s="436" t="s">
        <v>787</v>
      </c>
      <c r="F7" s="436" t="s">
        <v>788</v>
      </c>
      <c r="G7" s="436" t="s">
        <v>789</v>
      </c>
      <c r="H7" s="436" t="s">
        <v>790</v>
      </c>
    </row>
    <row r="8" spans="1:26" ht="15">
      <c r="A8" s="283">
        <v>1</v>
      </c>
      <c r="B8" s="210"/>
      <c r="C8" s="211" t="s">
        <v>791</v>
      </c>
      <c r="D8" s="499">
        <v>2024</v>
      </c>
      <c r="E8" s="437">
        <v>8.5000000000000006E-2</v>
      </c>
      <c r="F8" s="437"/>
      <c r="G8" s="495">
        <f>IF(F8&gt;0,MIN(E8:F8),E8)</f>
        <v>8.5000000000000006E-2</v>
      </c>
      <c r="H8" s="495">
        <f>E8</f>
        <v>8.5000000000000006E-2</v>
      </c>
      <c r="R8" s="432"/>
      <c r="S8" s="433"/>
      <c r="T8" s="433"/>
      <c r="U8" s="433"/>
      <c r="V8" s="434"/>
      <c r="W8" s="434"/>
      <c r="X8" s="438"/>
      <c r="Y8" s="434"/>
      <c r="Z8" s="433"/>
    </row>
    <row r="9" spans="1:26" ht="15">
      <c r="A9" s="283">
        <v>2</v>
      </c>
      <c r="B9" s="210"/>
      <c r="C9" s="211" t="s">
        <v>792</v>
      </c>
      <c r="D9" s="499">
        <v>2024</v>
      </c>
      <c r="E9" s="437">
        <v>8.5000000000000006E-2</v>
      </c>
      <c r="F9" s="437"/>
      <c r="G9" s="495">
        <f t="shared" ref="G9:G14" si="0">IF(F9&gt;0,MIN(E9:F9),E9)</f>
        <v>8.5000000000000006E-2</v>
      </c>
      <c r="H9" s="495">
        <f t="shared" ref="H9:H14" si="1">E9</f>
        <v>8.5000000000000006E-2</v>
      </c>
      <c r="R9" s="432"/>
      <c r="S9" s="433"/>
      <c r="T9" s="432"/>
      <c r="U9" s="432"/>
      <c r="V9" s="436"/>
      <c r="W9" s="436"/>
      <c r="X9" s="436"/>
      <c r="Y9" s="436"/>
      <c r="Z9" s="436"/>
    </row>
    <row r="10" spans="1:26" ht="15">
      <c r="A10" s="283">
        <v>3</v>
      </c>
      <c r="B10" s="210"/>
      <c r="C10" s="211" t="s">
        <v>793</v>
      </c>
      <c r="D10" s="499">
        <v>2024</v>
      </c>
      <c r="E10" s="437">
        <v>8.5000000000000006E-2</v>
      </c>
      <c r="F10" s="437"/>
      <c r="G10" s="495">
        <f t="shared" si="0"/>
        <v>8.5000000000000006E-2</v>
      </c>
      <c r="H10" s="495">
        <f t="shared" si="1"/>
        <v>8.5000000000000006E-2</v>
      </c>
      <c r="R10" s="432"/>
      <c r="S10" s="433"/>
      <c r="T10" s="432"/>
      <c r="U10" s="432"/>
      <c r="V10" s="439"/>
      <c r="W10" s="439"/>
      <c r="X10" s="440"/>
      <c r="Y10" s="440"/>
      <c r="Z10" s="440"/>
    </row>
    <row r="11" spans="1:26" ht="15">
      <c r="A11" s="283">
        <v>4</v>
      </c>
      <c r="B11" s="210"/>
      <c r="C11" s="211" t="s">
        <v>794</v>
      </c>
      <c r="D11" s="499">
        <v>2024</v>
      </c>
      <c r="E11" s="437">
        <v>8.5000000000000006E-2</v>
      </c>
      <c r="F11" s="437"/>
      <c r="G11" s="495">
        <f t="shared" si="0"/>
        <v>8.5000000000000006E-2</v>
      </c>
      <c r="H11" s="495">
        <f t="shared" si="1"/>
        <v>8.5000000000000006E-2</v>
      </c>
      <c r="R11" s="432"/>
      <c r="S11" s="433"/>
      <c r="T11" s="432"/>
      <c r="U11" s="432"/>
      <c r="V11" s="439"/>
      <c r="W11" s="439"/>
      <c r="X11" s="440"/>
      <c r="Y11" s="440"/>
      <c r="Z11" s="440"/>
    </row>
    <row r="12" spans="1:26" ht="15.75" customHeight="1">
      <c r="A12" s="283">
        <v>5</v>
      </c>
      <c r="B12" s="210"/>
      <c r="C12" s="211" t="s">
        <v>791</v>
      </c>
      <c r="D12" s="499">
        <v>2025</v>
      </c>
      <c r="E12" s="437">
        <v>8.0399999999999999E-2</v>
      </c>
      <c r="F12" s="437"/>
      <c r="G12" s="495">
        <f t="shared" si="0"/>
        <v>8.0399999999999999E-2</v>
      </c>
      <c r="H12" s="495">
        <f t="shared" si="1"/>
        <v>8.0399999999999999E-2</v>
      </c>
      <c r="M12" s="509"/>
      <c r="R12" s="432"/>
      <c r="S12" s="433"/>
      <c r="T12" s="432"/>
      <c r="U12" s="432"/>
      <c r="V12" s="439"/>
      <c r="W12" s="439"/>
      <c r="X12" s="440"/>
      <c r="Y12" s="440"/>
      <c r="Z12" s="440"/>
    </row>
    <row r="13" spans="1:26" ht="15">
      <c r="A13" s="283">
        <v>6</v>
      </c>
      <c r="B13" s="210"/>
      <c r="C13" s="211" t="s">
        <v>792</v>
      </c>
      <c r="D13" s="499">
        <v>2025</v>
      </c>
      <c r="E13" s="437">
        <v>7.5499999999999998E-2</v>
      </c>
      <c r="F13" s="437"/>
      <c r="G13" s="495">
        <f t="shared" si="0"/>
        <v>7.5499999999999998E-2</v>
      </c>
      <c r="H13" s="495">
        <f t="shared" si="1"/>
        <v>7.5499999999999998E-2</v>
      </c>
      <c r="R13" s="432"/>
      <c r="S13" s="433"/>
      <c r="T13" s="432"/>
      <c r="U13" s="432"/>
      <c r="V13" s="439"/>
      <c r="W13" s="439"/>
      <c r="X13" s="440"/>
      <c r="Y13" s="440"/>
      <c r="Z13" s="440"/>
    </row>
    <row r="14" spans="1:26" ht="15">
      <c r="A14" s="283">
        <v>7</v>
      </c>
      <c r="B14" s="210"/>
      <c r="C14" s="211" t="s">
        <v>793</v>
      </c>
      <c r="D14" s="499">
        <v>2025</v>
      </c>
      <c r="E14" s="437">
        <v>7.5499999999999998E-2</v>
      </c>
      <c r="F14" s="437"/>
      <c r="G14" s="495">
        <f t="shared" si="0"/>
        <v>7.5499999999999998E-2</v>
      </c>
      <c r="H14" s="495">
        <f t="shared" si="1"/>
        <v>7.5499999999999998E-2</v>
      </c>
      <c r="R14" s="432"/>
      <c r="S14" s="433"/>
      <c r="T14" s="433"/>
      <c r="U14" s="433"/>
      <c r="V14" s="433"/>
      <c r="W14" s="433"/>
      <c r="X14" s="433"/>
      <c r="Y14" s="433"/>
      <c r="Z14" s="433"/>
    </row>
    <row r="15" spans="1:26" ht="15">
      <c r="A15" s="283"/>
      <c r="B15" s="210"/>
      <c r="C15" s="210"/>
      <c r="D15" s="300"/>
      <c r="E15" s="437"/>
      <c r="F15" s="437"/>
      <c r="G15" s="496"/>
      <c r="H15" s="496"/>
      <c r="R15" s="432"/>
      <c r="S15" s="433"/>
      <c r="T15" s="433"/>
      <c r="U15" s="433"/>
      <c r="V15" s="433"/>
      <c r="W15" s="433"/>
      <c r="X15" s="433"/>
      <c r="Y15" s="433"/>
      <c r="Z15" s="433"/>
    </row>
    <row r="16" spans="1:26" ht="15">
      <c r="A16" s="283"/>
      <c r="B16" s="210"/>
      <c r="C16" s="211"/>
      <c r="D16" s="301"/>
      <c r="E16" s="301"/>
      <c r="F16" s="300"/>
      <c r="G16" s="457"/>
      <c r="H16" s="457"/>
      <c r="R16" s="432"/>
      <c r="S16" s="433"/>
      <c r="T16" s="433"/>
      <c r="U16" s="433"/>
      <c r="V16" s="441"/>
      <c r="W16" s="440"/>
      <c r="X16" s="433"/>
      <c r="Y16" s="433"/>
      <c r="Z16" s="433"/>
    </row>
    <row r="17" spans="1:26" ht="15">
      <c r="A17" s="283">
        <v>8</v>
      </c>
      <c r="B17" s="284" t="s">
        <v>795</v>
      </c>
      <c r="C17" s="210"/>
      <c r="D17" s="301"/>
      <c r="E17" s="300"/>
      <c r="F17" s="300"/>
      <c r="G17" s="497">
        <f>AVERAGE(G8:G14)</f>
        <v>8.1628571428571425E-2</v>
      </c>
      <c r="H17" s="497">
        <f>AVERAGE(H8:H14)</f>
        <v>8.1628571428571425E-2</v>
      </c>
      <c r="R17" s="432"/>
      <c r="S17" s="433"/>
      <c r="T17" s="433"/>
      <c r="U17" s="433"/>
      <c r="V17" s="441"/>
      <c r="W17" s="440"/>
      <c r="X17" s="433"/>
      <c r="Y17" s="433"/>
      <c r="Z17" s="433"/>
    </row>
    <row r="18" spans="1:26" ht="15">
      <c r="A18" s="210"/>
      <c r="B18" s="210"/>
      <c r="C18" s="210"/>
      <c r="D18" s="301"/>
      <c r="E18" s="301"/>
      <c r="F18" s="300"/>
      <c r="G18" s="457"/>
      <c r="H18" s="457"/>
      <c r="R18" s="432"/>
      <c r="S18" s="433"/>
      <c r="T18" s="433"/>
      <c r="U18" s="433"/>
      <c r="V18" s="433"/>
      <c r="W18" s="433"/>
      <c r="X18" s="433"/>
      <c r="Y18" s="433"/>
      <c r="Z18" s="433"/>
    </row>
    <row r="19" spans="1:26" ht="15">
      <c r="A19" s="210" t="s">
        <v>796</v>
      </c>
      <c r="B19" s="210"/>
      <c r="C19" s="210"/>
      <c r="D19" s="210"/>
      <c r="E19" s="210"/>
      <c r="F19" s="210"/>
      <c r="G19" s="210"/>
      <c r="H19" s="210"/>
      <c r="R19" s="432"/>
      <c r="S19" s="433"/>
      <c r="T19" s="433"/>
      <c r="U19" s="433"/>
      <c r="V19" s="433"/>
      <c r="W19" s="433"/>
      <c r="X19" s="433"/>
      <c r="Y19" s="433"/>
      <c r="Z19" s="433"/>
    </row>
    <row r="20" spans="1:26" ht="15">
      <c r="A20" s="210"/>
      <c r="B20" s="433" t="s">
        <v>797</v>
      </c>
      <c r="C20" s="210"/>
      <c r="D20" s="210"/>
      <c r="E20" s="210"/>
      <c r="F20" s="210"/>
      <c r="G20" s="210"/>
      <c r="H20" s="210"/>
      <c r="R20" s="432"/>
      <c r="S20" s="432"/>
      <c r="U20" s="433"/>
      <c r="V20" s="433"/>
      <c r="W20" s="433"/>
      <c r="X20" s="433"/>
      <c r="Y20" s="433"/>
      <c r="Z20" s="433"/>
    </row>
    <row r="21" spans="1:26" ht="15">
      <c r="A21" s="210"/>
      <c r="B21" s="433" t="s">
        <v>798</v>
      </c>
      <c r="C21" s="210"/>
      <c r="D21" s="210"/>
      <c r="E21" s="210"/>
      <c r="F21" s="210"/>
      <c r="G21" s="210"/>
      <c r="H21" s="210"/>
      <c r="R21" s="432"/>
      <c r="S21" s="433"/>
      <c r="U21" s="433"/>
      <c r="V21" s="433"/>
      <c r="W21" s="433"/>
      <c r="X21" s="433"/>
      <c r="Y21" s="433"/>
      <c r="Z21" s="433"/>
    </row>
    <row r="22" spans="1:26" ht="15">
      <c r="A22" s="210"/>
      <c r="B22" s="433" t="s">
        <v>799</v>
      </c>
      <c r="C22" s="210"/>
      <c r="D22" s="210"/>
      <c r="E22" s="210"/>
      <c r="F22" s="210"/>
      <c r="G22" s="210"/>
      <c r="H22" s="210"/>
      <c r="R22" s="432"/>
      <c r="S22" s="433"/>
      <c r="T22" s="433"/>
      <c r="U22" s="433"/>
      <c r="V22" s="433"/>
      <c r="W22" s="433"/>
      <c r="X22" s="433"/>
      <c r="Y22" s="433"/>
      <c r="Z22" s="433"/>
    </row>
    <row r="23" spans="1:26" ht="15">
      <c r="A23" s="210"/>
      <c r="B23" s="210"/>
      <c r="C23" s="210"/>
      <c r="D23" s="210"/>
      <c r="E23" s="210"/>
      <c r="F23" s="210"/>
      <c r="G23" s="210"/>
      <c r="H23" s="210"/>
    </row>
    <row r="24" spans="1:26">
      <c r="A24" s="352"/>
      <c r="D24" s="703"/>
      <c r="E24" s="703"/>
      <c r="H24" s="207"/>
    </row>
    <row r="25" spans="1:26">
      <c r="A25" s="352">
        <v>9</v>
      </c>
      <c r="B25" s="15" t="s">
        <v>800</v>
      </c>
      <c r="D25" s="703"/>
      <c r="E25" s="703"/>
      <c r="F25" s="703"/>
      <c r="G25" s="703"/>
      <c r="H25" s="207"/>
      <c r="I25" s="703"/>
      <c r="J25" s="703"/>
      <c r="K25" s="703"/>
      <c r="L25" s="703"/>
    </row>
    <row r="26" spans="1:26">
      <c r="A26" s="352">
        <v>10</v>
      </c>
      <c r="B26" s="492"/>
      <c r="F26" s="204"/>
    </row>
    <row r="27" spans="1:26">
      <c r="A27" s="281"/>
      <c r="B27" s="614" t="s">
        <v>452</v>
      </c>
      <c r="C27" s="614" t="s">
        <v>454</v>
      </c>
      <c r="D27" s="632" t="s">
        <v>286</v>
      </c>
      <c r="E27" s="633" t="s">
        <v>288</v>
      </c>
      <c r="F27" s="633" t="s">
        <v>290</v>
      </c>
      <c r="G27" s="633" t="s">
        <v>292</v>
      </c>
      <c r="H27" s="633" t="s">
        <v>294</v>
      </c>
      <c r="I27" s="633" t="s">
        <v>302</v>
      </c>
      <c r="J27" s="633" t="s">
        <v>304</v>
      </c>
      <c r="K27" s="633" t="s">
        <v>306</v>
      </c>
      <c r="L27" s="633" t="s">
        <v>308</v>
      </c>
      <c r="M27" s="633" t="s">
        <v>801</v>
      </c>
      <c r="N27" s="633" t="s">
        <v>312</v>
      </c>
      <c r="O27" s="634" t="s">
        <v>467</v>
      </c>
      <c r="P27" s="615" t="s">
        <v>316</v>
      </c>
      <c r="Q27" s="635" t="s">
        <v>318</v>
      </c>
    </row>
    <row r="28" spans="1:26">
      <c r="A28" s="352"/>
      <c r="B28" s="613"/>
      <c r="C28" s="610"/>
      <c r="D28" s="354"/>
      <c r="E28" s="207"/>
      <c r="F28" s="207"/>
      <c r="G28" s="281"/>
      <c r="H28" s="207"/>
      <c r="J28" s="207"/>
      <c r="O28" s="386"/>
      <c r="P28" s="609"/>
      <c r="Q28" s="613"/>
    </row>
    <row r="29" spans="1:26">
      <c r="A29" s="352"/>
      <c r="B29" s="321"/>
      <c r="C29" s="322"/>
      <c r="D29" s="354"/>
      <c r="E29" s="207"/>
      <c r="F29" s="207"/>
      <c r="G29" s="207"/>
      <c r="H29" s="207"/>
      <c r="I29" s="207"/>
      <c r="J29" s="207"/>
      <c r="K29" s="207"/>
      <c r="L29" s="207"/>
      <c r="M29" s="207"/>
      <c r="N29" s="207"/>
      <c r="O29" s="355"/>
      <c r="P29" s="354"/>
      <c r="Q29" s="322"/>
    </row>
    <row r="30" spans="1:26">
      <c r="A30" s="352"/>
      <c r="B30" s="322" t="s">
        <v>525</v>
      </c>
      <c r="C30" s="322"/>
      <c r="D30" s="702" t="s">
        <v>802</v>
      </c>
      <c r="E30" s="703"/>
      <c r="F30" s="703"/>
      <c r="G30" s="703"/>
      <c r="H30" s="703"/>
      <c r="I30" s="703"/>
      <c r="J30" s="703"/>
      <c r="K30" s="703"/>
      <c r="L30" s="703"/>
      <c r="M30" s="703"/>
      <c r="N30" s="703"/>
      <c r="O30" s="704"/>
      <c r="P30" s="354" t="s">
        <v>524</v>
      </c>
      <c r="Q30" s="322" t="s">
        <v>524</v>
      </c>
    </row>
    <row r="31" spans="1:26">
      <c r="A31" s="352"/>
      <c r="B31" s="320" t="s">
        <v>533</v>
      </c>
      <c r="C31" s="320" t="s">
        <v>534</v>
      </c>
      <c r="D31" s="396" t="s">
        <v>603</v>
      </c>
      <c r="E31" s="399" t="s">
        <v>604</v>
      </c>
      <c r="F31" s="400" t="s">
        <v>674</v>
      </c>
      <c r="G31" s="400" t="s">
        <v>606</v>
      </c>
      <c r="H31" s="399" t="s">
        <v>607</v>
      </c>
      <c r="I31" s="399" t="s">
        <v>608</v>
      </c>
      <c r="J31" s="399" t="s">
        <v>609</v>
      </c>
      <c r="K31" s="399" t="s">
        <v>675</v>
      </c>
      <c r="L31" s="399" t="s">
        <v>611</v>
      </c>
      <c r="M31" s="399" t="s">
        <v>612</v>
      </c>
      <c r="N31" s="399" t="s">
        <v>613</v>
      </c>
      <c r="O31" s="397" t="s">
        <v>676</v>
      </c>
      <c r="P31" s="396" t="s">
        <v>803</v>
      </c>
      <c r="Q31" s="320" t="s">
        <v>570</v>
      </c>
    </row>
    <row r="32" spans="1:26">
      <c r="A32" s="352">
        <v>11</v>
      </c>
      <c r="B32" s="334"/>
      <c r="C32" s="334"/>
      <c r="D32" s="359"/>
      <c r="E32" s="335"/>
      <c r="F32" s="335"/>
      <c r="G32" s="335"/>
      <c r="H32" s="335"/>
      <c r="I32" s="385"/>
      <c r="J32" s="385"/>
      <c r="K32" s="385"/>
      <c r="L32" s="385"/>
      <c r="M32" s="380"/>
      <c r="N32" s="380"/>
      <c r="O32" s="387"/>
      <c r="P32" s="390"/>
      <c r="Q32" s="321"/>
    </row>
    <row r="33" spans="1:17">
      <c r="A33" s="352" t="s">
        <v>804</v>
      </c>
      <c r="B33" s="334"/>
      <c r="C33" s="334"/>
      <c r="D33" s="359"/>
      <c r="E33" s="335"/>
      <c r="F33" s="335"/>
      <c r="G33" s="335"/>
      <c r="H33" s="335"/>
      <c r="I33" s="335"/>
      <c r="J33" s="335"/>
      <c r="K33" s="385"/>
      <c r="L33" s="385"/>
      <c r="M33" s="380"/>
      <c r="N33" s="380"/>
      <c r="O33" s="387"/>
      <c r="P33" s="391">
        <f>+H17</f>
        <v>8.1628571428571425E-2</v>
      </c>
      <c r="Q33" s="401">
        <f>+P33*(D33+E33*0.91667+F33*0.83333+G33*0.75+H33*0.66667+I33*7/12+J33*6/12+K33*5/12+L33*4/12+M33*3/12+N33*2/12+O33*1/12)+P33*1.5*SUM(D33:O33)</f>
        <v>0</v>
      </c>
    </row>
    <row r="34" spans="1:17">
      <c r="A34" s="352" t="s">
        <v>805</v>
      </c>
      <c r="B34" s="334"/>
      <c r="C34" s="334"/>
      <c r="D34" s="359"/>
      <c r="E34" s="335"/>
      <c r="F34" s="335"/>
      <c r="G34" s="335"/>
      <c r="H34" s="335"/>
      <c r="I34" s="335"/>
      <c r="J34" s="335"/>
      <c r="K34" s="385"/>
      <c r="L34" s="385"/>
      <c r="M34" s="380"/>
      <c r="N34" s="380"/>
      <c r="O34" s="387"/>
      <c r="P34" s="391">
        <f>+P33</f>
        <v>8.1628571428571425E-2</v>
      </c>
      <c r="Q34" s="401">
        <f t="shared" ref="Q34:Q51" si="2">+P34*(D34+E34*0.91667+F34*0.83333+G34*0.75+H34*0.66667+I34*7/12+J34*6/12+K34*5/12+L34*4/12+M34*3/12+N34*2/12+O34*1/12)+P34*1.5*SUM(D34:O34)</f>
        <v>0</v>
      </c>
    </row>
    <row r="35" spans="1:17">
      <c r="A35" s="352" t="s">
        <v>806</v>
      </c>
      <c r="B35" s="334"/>
      <c r="C35" s="334"/>
      <c r="D35" s="359"/>
      <c r="E35" s="335"/>
      <c r="F35" s="335"/>
      <c r="G35" s="335"/>
      <c r="H35" s="335"/>
      <c r="I35" s="335"/>
      <c r="J35" s="335"/>
      <c r="K35" s="385"/>
      <c r="L35" s="385"/>
      <c r="M35" s="380"/>
      <c r="N35" s="380"/>
      <c r="O35" s="387"/>
      <c r="P35" s="391">
        <f t="shared" ref="P35:P51" si="3">+P34</f>
        <v>8.1628571428571425E-2</v>
      </c>
      <c r="Q35" s="401">
        <f t="shared" si="2"/>
        <v>0</v>
      </c>
    </row>
    <row r="36" spans="1:17">
      <c r="A36" s="352" t="s">
        <v>648</v>
      </c>
      <c r="B36" s="334"/>
      <c r="C36" s="334"/>
      <c r="D36" s="359"/>
      <c r="E36" s="335"/>
      <c r="F36" s="335"/>
      <c r="G36" s="335"/>
      <c r="H36" s="335"/>
      <c r="I36" s="335"/>
      <c r="J36" s="335"/>
      <c r="K36" s="385"/>
      <c r="L36" s="385"/>
      <c r="M36" s="380"/>
      <c r="N36" s="380"/>
      <c r="O36" s="387"/>
      <c r="P36" s="391">
        <f t="shared" si="3"/>
        <v>8.1628571428571425E-2</v>
      </c>
      <c r="Q36" s="401">
        <f t="shared" si="2"/>
        <v>0</v>
      </c>
    </row>
    <row r="37" spans="1:17">
      <c r="A37" s="352"/>
      <c r="B37" s="334"/>
      <c r="C37" s="334"/>
      <c r="D37" s="359"/>
      <c r="E37" s="335"/>
      <c r="F37" s="335"/>
      <c r="G37" s="335"/>
      <c r="H37" s="335"/>
      <c r="I37" s="335"/>
      <c r="J37" s="335"/>
      <c r="K37" s="385"/>
      <c r="L37" s="385"/>
      <c r="M37" s="380"/>
      <c r="N37" s="380"/>
      <c r="O37" s="387"/>
      <c r="P37" s="391">
        <f t="shared" si="3"/>
        <v>8.1628571428571425E-2</v>
      </c>
      <c r="Q37" s="401">
        <f t="shared" si="2"/>
        <v>0</v>
      </c>
    </row>
    <row r="38" spans="1:17">
      <c r="A38" s="352"/>
      <c r="B38" s="334"/>
      <c r="C38" s="334"/>
      <c r="D38" s="359"/>
      <c r="E38" s="335"/>
      <c r="F38" s="335"/>
      <c r="G38" s="335"/>
      <c r="H38" s="335"/>
      <c r="I38" s="335"/>
      <c r="J38" s="335"/>
      <c r="K38" s="385"/>
      <c r="L38" s="385"/>
      <c r="M38" s="380"/>
      <c r="N38" s="380"/>
      <c r="O38" s="387"/>
      <c r="P38" s="391">
        <f t="shared" si="3"/>
        <v>8.1628571428571425E-2</v>
      </c>
      <c r="Q38" s="401">
        <f t="shared" si="2"/>
        <v>0</v>
      </c>
    </row>
    <row r="39" spans="1:17">
      <c r="A39" s="352"/>
      <c r="B39" s="334"/>
      <c r="C39" s="334"/>
      <c r="D39" s="359"/>
      <c r="E39" s="335"/>
      <c r="F39" s="335"/>
      <c r="G39" s="335"/>
      <c r="H39" s="335"/>
      <c r="I39" s="335"/>
      <c r="J39" s="335"/>
      <c r="K39" s="385"/>
      <c r="L39" s="385"/>
      <c r="M39" s="380"/>
      <c r="N39" s="380"/>
      <c r="O39" s="387"/>
      <c r="P39" s="391">
        <f t="shared" si="3"/>
        <v>8.1628571428571425E-2</v>
      </c>
      <c r="Q39" s="401">
        <f t="shared" si="2"/>
        <v>0</v>
      </c>
    </row>
    <row r="40" spans="1:17">
      <c r="A40" s="352"/>
      <c r="B40" s="334"/>
      <c r="C40" s="334"/>
      <c r="D40" s="359"/>
      <c r="E40" s="335"/>
      <c r="F40" s="335"/>
      <c r="G40" s="335"/>
      <c r="H40" s="335"/>
      <c r="I40" s="335"/>
      <c r="J40" s="335"/>
      <c r="K40" s="385"/>
      <c r="L40" s="385"/>
      <c r="M40" s="380"/>
      <c r="N40" s="380"/>
      <c r="O40" s="387"/>
      <c r="P40" s="391">
        <f t="shared" si="3"/>
        <v>8.1628571428571425E-2</v>
      </c>
      <c r="Q40" s="401">
        <f t="shared" si="2"/>
        <v>0</v>
      </c>
    </row>
    <row r="41" spans="1:17">
      <c r="A41" s="352"/>
      <c r="B41" s="334"/>
      <c r="C41" s="334"/>
      <c r="D41" s="359"/>
      <c r="E41" s="335"/>
      <c r="F41" s="335"/>
      <c r="G41" s="335"/>
      <c r="H41" s="335"/>
      <c r="I41" s="335"/>
      <c r="J41" s="335"/>
      <c r="K41" s="385"/>
      <c r="L41" s="385"/>
      <c r="M41" s="380"/>
      <c r="N41" s="380"/>
      <c r="O41" s="387"/>
      <c r="P41" s="391">
        <f t="shared" si="3"/>
        <v>8.1628571428571425E-2</v>
      </c>
      <c r="Q41" s="401">
        <f t="shared" si="2"/>
        <v>0</v>
      </c>
    </row>
    <row r="42" spans="1:17">
      <c r="A42" s="352"/>
      <c r="B42" s="334"/>
      <c r="C42" s="334"/>
      <c r="D42" s="359"/>
      <c r="E42" s="335"/>
      <c r="F42" s="335"/>
      <c r="G42" s="335"/>
      <c r="H42" s="335"/>
      <c r="I42" s="335"/>
      <c r="J42" s="335"/>
      <c r="K42" s="385"/>
      <c r="L42" s="385"/>
      <c r="M42" s="380"/>
      <c r="N42" s="380"/>
      <c r="O42" s="387"/>
      <c r="P42" s="391">
        <f t="shared" si="3"/>
        <v>8.1628571428571425E-2</v>
      </c>
      <c r="Q42" s="401">
        <f t="shared" si="2"/>
        <v>0</v>
      </c>
    </row>
    <row r="43" spans="1:17">
      <c r="A43" s="352"/>
      <c r="B43" s="334"/>
      <c r="C43" s="334"/>
      <c r="D43" s="359"/>
      <c r="E43" s="335"/>
      <c r="F43" s="335"/>
      <c r="G43" s="335"/>
      <c r="H43" s="335"/>
      <c r="I43" s="335"/>
      <c r="J43" s="335"/>
      <c r="K43" s="385"/>
      <c r="L43" s="385"/>
      <c r="M43" s="380"/>
      <c r="N43" s="380"/>
      <c r="O43" s="387"/>
      <c r="P43" s="391">
        <f t="shared" si="3"/>
        <v>8.1628571428571425E-2</v>
      </c>
      <c r="Q43" s="401">
        <f t="shared" si="2"/>
        <v>0</v>
      </c>
    </row>
    <row r="44" spans="1:17">
      <c r="A44" s="352"/>
      <c r="B44" s="334"/>
      <c r="C44" s="334"/>
      <c r="D44" s="359"/>
      <c r="E44" s="335"/>
      <c r="F44" s="335"/>
      <c r="G44" s="335"/>
      <c r="H44" s="335"/>
      <c r="I44" s="335"/>
      <c r="J44" s="335"/>
      <c r="K44" s="385"/>
      <c r="L44" s="385"/>
      <c r="M44" s="380"/>
      <c r="N44" s="380"/>
      <c r="O44" s="387"/>
      <c r="P44" s="391">
        <f t="shared" si="3"/>
        <v>8.1628571428571425E-2</v>
      </c>
      <c r="Q44" s="401">
        <f t="shared" si="2"/>
        <v>0</v>
      </c>
    </row>
    <row r="45" spans="1:17">
      <c r="A45" s="352"/>
      <c r="B45" s="334"/>
      <c r="C45" s="334"/>
      <c r="D45" s="359"/>
      <c r="E45" s="335"/>
      <c r="F45" s="335"/>
      <c r="G45" s="335"/>
      <c r="H45" s="335"/>
      <c r="I45" s="335"/>
      <c r="J45" s="335"/>
      <c r="K45" s="385"/>
      <c r="L45" s="385"/>
      <c r="M45" s="380"/>
      <c r="N45" s="380"/>
      <c r="O45" s="387"/>
      <c r="P45" s="391">
        <f t="shared" si="3"/>
        <v>8.1628571428571425E-2</v>
      </c>
      <c r="Q45" s="401">
        <f t="shared" si="2"/>
        <v>0</v>
      </c>
    </row>
    <row r="46" spans="1:17">
      <c r="A46" s="352"/>
      <c r="B46" s="334"/>
      <c r="C46" s="334"/>
      <c r="D46" s="359"/>
      <c r="E46" s="335"/>
      <c r="F46" s="335"/>
      <c r="G46" s="335"/>
      <c r="H46" s="335"/>
      <c r="I46" s="335"/>
      <c r="J46" s="335"/>
      <c r="K46" s="385"/>
      <c r="L46" s="385"/>
      <c r="M46" s="380"/>
      <c r="N46" s="380"/>
      <c r="O46" s="387"/>
      <c r="P46" s="391">
        <f t="shared" si="3"/>
        <v>8.1628571428571425E-2</v>
      </c>
      <c r="Q46" s="401">
        <f t="shared" si="2"/>
        <v>0</v>
      </c>
    </row>
    <row r="47" spans="1:17">
      <c r="A47" s="352"/>
      <c r="B47" s="334"/>
      <c r="C47" s="334"/>
      <c r="D47" s="359"/>
      <c r="E47" s="335"/>
      <c r="F47" s="335"/>
      <c r="G47" s="335"/>
      <c r="H47" s="335"/>
      <c r="I47" s="335"/>
      <c r="J47" s="335"/>
      <c r="K47" s="385"/>
      <c r="L47" s="385"/>
      <c r="M47" s="380"/>
      <c r="N47" s="380"/>
      <c r="O47" s="387"/>
      <c r="P47" s="391">
        <f t="shared" si="3"/>
        <v>8.1628571428571425E-2</v>
      </c>
      <c r="Q47" s="401">
        <f t="shared" si="2"/>
        <v>0</v>
      </c>
    </row>
    <row r="48" spans="1:17">
      <c r="A48" s="352"/>
      <c r="B48" s="334"/>
      <c r="C48" s="334"/>
      <c r="D48" s="359"/>
      <c r="E48" s="335"/>
      <c r="F48" s="335"/>
      <c r="G48" s="335"/>
      <c r="H48" s="335"/>
      <c r="I48" s="335"/>
      <c r="J48" s="335"/>
      <c r="K48" s="385"/>
      <c r="L48" s="385"/>
      <c r="M48" s="380"/>
      <c r="N48" s="380"/>
      <c r="O48" s="387"/>
      <c r="P48" s="391">
        <f t="shared" si="3"/>
        <v>8.1628571428571425E-2</v>
      </c>
      <c r="Q48" s="401">
        <f t="shared" si="2"/>
        <v>0</v>
      </c>
    </row>
    <row r="49" spans="1:17">
      <c r="A49" s="352"/>
      <c r="B49" s="334"/>
      <c r="C49" s="334"/>
      <c r="D49" s="359"/>
      <c r="E49" s="335"/>
      <c r="F49" s="335"/>
      <c r="G49" s="335"/>
      <c r="H49" s="335"/>
      <c r="I49" s="335"/>
      <c r="J49" s="335"/>
      <c r="K49" s="385"/>
      <c r="L49" s="385"/>
      <c r="M49" s="380"/>
      <c r="N49" s="380"/>
      <c r="O49" s="387"/>
      <c r="P49" s="391">
        <f t="shared" si="3"/>
        <v>8.1628571428571425E-2</v>
      </c>
      <c r="Q49" s="401">
        <f t="shared" si="2"/>
        <v>0</v>
      </c>
    </row>
    <row r="50" spans="1:17">
      <c r="A50" s="352"/>
      <c r="B50" s="334"/>
      <c r="C50" s="334"/>
      <c r="D50" s="359"/>
      <c r="E50" s="335"/>
      <c r="F50" s="335"/>
      <c r="G50" s="335"/>
      <c r="H50" s="335"/>
      <c r="I50" s="335"/>
      <c r="J50" s="335"/>
      <c r="K50" s="385"/>
      <c r="L50" s="385"/>
      <c r="M50" s="380"/>
      <c r="N50" s="380"/>
      <c r="O50" s="387"/>
      <c r="P50" s="391">
        <f t="shared" si="3"/>
        <v>8.1628571428571425E-2</v>
      </c>
      <c r="Q50" s="401">
        <f t="shared" si="2"/>
        <v>0</v>
      </c>
    </row>
    <row r="51" spans="1:17">
      <c r="A51" s="352"/>
      <c r="B51" s="334"/>
      <c r="C51" s="334"/>
      <c r="D51" s="359"/>
      <c r="E51" s="335"/>
      <c r="F51" s="335"/>
      <c r="G51" s="335"/>
      <c r="H51" s="335"/>
      <c r="I51" s="335"/>
      <c r="J51" s="335"/>
      <c r="K51" s="385"/>
      <c r="L51" s="385"/>
      <c r="M51" s="380"/>
      <c r="N51" s="380"/>
      <c r="O51" s="387"/>
      <c r="P51" s="391">
        <f t="shared" si="3"/>
        <v>8.1628571428571425E-2</v>
      </c>
      <c r="Q51" s="401">
        <f t="shared" si="2"/>
        <v>0</v>
      </c>
    </row>
    <row r="52" spans="1:17">
      <c r="A52" s="352"/>
      <c r="B52" s="323"/>
      <c r="C52" s="323"/>
      <c r="D52" s="363"/>
      <c r="E52" s="388"/>
      <c r="F52" s="205"/>
      <c r="G52" s="388"/>
      <c r="H52" s="206"/>
      <c r="I52" s="205"/>
      <c r="J52" s="205"/>
      <c r="K52" s="205"/>
      <c r="L52" s="205"/>
      <c r="M52" s="205"/>
      <c r="N52" s="205"/>
      <c r="O52" s="389"/>
      <c r="P52" s="392"/>
      <c r="Q52" s="323"/>
    </row>
    <row r="53" spans="1:17">
      <c r="A53" s="352"/>
      <c r="D53" s="384"/>
      <c r="E53" s="384"/>
      <c r="F53" s="384"/>
      <c r="G53" s="384"/>
      <c r="H53" s="384"/>
      <c r="I53" s="384"/>
      <c r="J53" s="384"/>
      <c r="K53" s="384"/>
      <c r="L53" s="384"/>
    </row>
    <row r="54" spans="1:17">
      <c r="A54" s="352"/>
      <c r="B54" s="15" t="s">
        <v>572</v>
      </c>
      <c r="D54" s="365"/>
      <c r="E54" s="365"/>
      <c r="F54" s="365"/>
      <c r="G54" s="365"/>
      <c r="H54" s="365"/>
      <c r="I54" s="365"/>
      <c r="J54" s="365"/>
      <c r="K54" s="365"/>
      <c r="L54" s="365"/>
    </row>
    <row r="55" spans="1:17">
      <c r="A55" s="352"/>
      <c r="B55" s="15" t="s">
        <v>807</v>
      </c>
      <c r="D55" s="365"/>
      <c r="E55" s="365"/>
      <c r="F55" s="365"/>
      <c r="G55" s="365"/>
      <c r="H55" s="99"/>
      <c r="I55" s="99"/>
      <c r="J55" s="99"/>
      <c r="K55" s="99"/>
      <c r="L55" s="365"/>
    </row>
    <row r="56" spans="1:17">
      <c r="A56" s="352"/>
      <c r="B56" s="15" t="s">
        <v>808</v>
      </c>
      <c r="D56" s="365"/>
      <c r="E56" s="365"/>
      <c r="F56" s="365"/>
      <c r="G56" s="365"/>
      <c r="H56" s="99"/>
      <c r="I56" s="99"/>
      <c r="J56" s="99"/>
      <c r="K56" s="99"/>
      <c r="L56" s="365"/>
    </row>
    <row r="70" ht="24" customHeight="1"/>
  </sheetData>
  <customSheetViews>
    <customSheetView guid="{F04A2B9A-C6FE-4FEB-AD1E-2CF9AC309BE4}" scale="60" showPageBreaks="1" view="pageBreakPreview">
      <selection activeCell="G20" sqref="G20"/>
      <pageMargins left="0" right="0" top="0" bottom="0" header="0" footer="0"/>
      <pageSetup scale="79" orientation="landscape" r:id="rId1"/>
    </customSheetView>
  </customSheetViews>
  <mergeCells count="5">
    <mergeCell ref="D30:O30"/>
    <mergeCell ref="D24:E24"/>
    <mergeCell ref="D25:E25"/>
    <mergeCell ref="F25:G25"/>
    <mergeCell ref="I25:L25"/>
  </mergeCells>
  <phoneticPr fontId="0" type="noConversion"/>
  <pageMargins left="0.25" right="0.25" top="0.75" bottom="0.75" header="0.3" footer="0.3"/>
  <pageSetup scale="80" fitToHeight="0" orientation="landscape"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8"/>
  <sheetViews>
    <sheetView zoomScale="85" zoomScaleNormal="85" zoomScaleSheetLayoutView="75" workbookViewId="0">
      <selection activeCell="J71" sqref="J71"/>
    </sheetView>
  </sheetViews>
  <sheetFormatPr defaultRowHeight="15"/>
  <cols>
    <col min="2" max="2" width="43.77734375" customWidth="1"/>
    <col min="3" max="3" width="15.5546875" customWidth="1"/>
    <col min="4" max="4" width="16.21875" customWidth="1"/>
  </cols>
  <sheetData>
    <row r="1" spans="1:6" ht="15.75">
      <c r="A1" s="209"/>
      <c r="C1" s="268" t="s">
        <v>809</v>
      </c>
      <c r="F1" s="404" t="s">
        <v>472</v>
      </c>
    </row>
    <row r="2" spans="1:6">
      <c r="C2" s="267" t="s">
        <v>810</v>
      </c>
    </row>
    <row r="3" spans="1:6">
      <c r="C3" s="455" t="str">
        <f>'Attachment H'!$D$5</f>
        <v>NextEra Energy Transmission MidAtlantic, Inc.</v>
      </c>
    </row>
    <row r="4" spans="1:6">
      <c r="C4" s="263"/>
    </row>
    <row r="5" spans="1:6">
      <c r="A5" s="258"/>
      <c r="B5" s="260" t="s">
        <v>811</v>
      </c>
      <c r="C5" s="257"/>
      <c r="D5" s="259"/>
    </row>
    <row r="6" spans="1:6">
      <c r="A6" s="258"/>
      <c r="B6" s="337" t="s">
        <v>566</v>
      </c>
      <c r="C6" s="257"/>
      <c r="D6" s="337" t="s">
        <v>567</v>
      </c>
      <c r="E6" s="337"/>
    </row>
    <row r="7" spans="1:6">
      <c r="A7" s="258"/>
      <c r="B7" s="257"/>
      <c r="C7" s="257"/>
      <c r="D7" s="264"/>
    </row>
    <row r="8" spans="1:6">
      <c r="A8" s="203">
        <v>1</v>
      </c>
      <c r="B8" s="15"/>
      <c r="C8" s="338"/>
      <c r="D8" s="339" t="s">
        <v>812</v>
      </c>
      <c r="E8" s="340"/>
    </row>
    <row r="9" spans="1:6">
      <c r="A9" s="203">
        <v>2</v>
      </c>
      <c r="B9" s="341" t="s">
        <v>813</v>
      </c>
      <c r="C9" s="341"/>
      <c r="D9" s="423">
        <v>0</v>
      </c>
      <c r="E9" s="26"/>
    </row>
    <row r="10" spans="1:6">
      <c r="A10" s="203">
        <v>3</v>
      </c>
      <c r="B10" s="341" t="s">
        <v>814</v>
      </c>
      <c r="C10" s="341"/>
      <c r="D10" s="423">
        <v>0</v>
      </c>
      <c r="E10" s="26"/>
    </row>
    <row r="11" spans="1:6">
      <c r="A11" s="203">
        <v>4</v>
      </c>
      <c r="B11" s="341" t="s">
        <v>815</v>
      </c>
      <c r="C11" s="341"/>
      <c r="D11" s="158">
        <f>IF(D9=0,0,D9/D10)</f>
        <v>0</v>
      </c>
      <c r="E11" s="26"/>
    </row>
    <row r="12" spans="1:6">
      <c r="A12" s="203">
        <v>5</v>
      </c>
      <c r="B12" s="341" t="s">
        <v>816</v>
      </c>
      <c r="C12" s="341"/>
      <c r="D12" s="393">
        <v>0</v>
      </c>
      <c r="E12" s="26"/>
    </row>
    <row r="13" spans="1:6">
      <c r="A13" s="203">
        <v>6</v>
      </c>
      <c r="B13" s="341" t="s">
        <v>817</v>
      </c>
      <c r="C13" s="341" t="s">
        <v>818</v>
      </c>
      <c r="D13" s="379">
        <f>D11*D12</f>
        <v>0</v>
      </c>
      <c r="E13" s="26"/>
    </row>
    <row r="14" spans="1:6">
      <c r="A14" s="203">
        <v>7</v>
      </c>
      <c r="B14" s="341" t="s">
        <v>819</v>
      </c>
      <c r="C14" s="341"/>
      <c r="D14" s="379"/>
      <c r="E14" s="26"/>
    </row>
    <row r="15" spans="1:6">
      <c r="A15" s="15"/>
      <c r="B15" s="15"/>
      <c r="C15" s="15"/>
      <c r="D15" s="15"/>
      <c r="E15" s="15"/>
    </row>
    <row r="16" spans="1:6" ht="25.5">
      <c r="A16" s="203">
        <v>8</v>
      </c>
      <c r="B16" s="342" t="s">
        <v>820</v>
      </c>
      <c r="C16" s="15"/>
      <c r="D16" s="343"/>
      <c r="E16" s="18"/>
    </row>
    <row r="18" spans="1:13">
      <c r="A18" s="275" t="s">
        <v>280</v>
      </c>
      <c r="B18" s="275"/>
      <c r="C18" s="24"/>
      <c r="D18" s="24"/>
      <c r="E18" s="24"/>
      <c r="F18" s="24"/>
      <c r="G18" s="24"/>
      <c r="H18" s="24"/>
      <c r="I18" s="24"/>
      <c r="J18" s="24"/>
      <c r="K18" s="24"/>
      <c r="L18" s="24"/>
      <c r="M18" s="24"/>
    </row>
    <row r="19" spans="1:13" ht="15.75" thickBot="1">
      <c r="A19" s="636" t="s">
        <v>281</v>
      </c>
      <c r="B19" s="275"/>
      <c r="C19" s="24"/>
      <c r="D19" s="24"/>
      <c r="E19" s="24"/>
      <c r="F19" s="24"/>
      <c r="G19" s="24"/>
      <c r="H19" s="24"/>
      <c r="I19" s="24"/>
      <c r="J19" s="24"/>
      <c r="K19" s="24"/>
      <c r="L19" s="24"/>
      <c r="M19" s="24"/>
    </row>
    <row r="20" spans="1:13">
      <c r="A20" s="276" t="s">
        <v>452</v>
      </c>
      <c r="B20" s="421" t="s">
        <v>821</v>
      </c>
      <c r="C20" s="424"/>
      <c r="D20" s="424"/>
      <c r="E20" s="424"/>
      <c r="F20" s="424"/>
      <c r="G20" s="424"/>
      <c r="H20" s="346"/>
      <c r="I20" s="346"/>
      <c r="J20" s="346"/>
      <c r="K20" s="346"/>
      <c r="L20" s="346"/>
      <c r="M20" s="346"/>
    </row>
    <row r="21" spans="1:13">
      <c r="A21" s="345"/>
      <c r="B21" s="422"/>
      <c r="C21" s="422"/>
      <c r="D21" s="422"/>
      <c r="E21" s="422"/>
      <c r="F21" s="422"/>
      <c r="G21" s="422"/>
    </row>
    <row r="22" spans="1:13">
      <c r="A22" s="422"/>
      <c r="B22" s="422"/>
      <c r="C22" s="422"/>
      <c r="D22" s="422"/>
      <c r="E22" s="422"/>
      <c r="F22" s="422"/>
      <c r="G22" s="422"/>
    </row>
    <row r="68" ht="24" customHeight="1"/>
  </sheetData>
  <phoneticPr fontId="0" type="noConversion"/>
  <pageMargins left="0.25" right="0.25" top="0.75" bottom="0.75" header="0.3" footer="0.3"/>
  <pageSetup fitToHeight="0"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77"/>
  <sheetViews>
    <sheetView zoomScale="85" zoomScaleNormal="85" workbookViewId="0">
      <selection activeCell="C20" sqref="C20"/>
    </sheetView>
  </sheetViews>
  <sheetFormatPr defaultColWidth="8.77734375" defaultRowHeight="12.75"/>
  <cols>
    <col min="1" max="1" width="6" style="201" bestFit="1" customWidth="1"/>
    <col min="2" max="2" width="28.44140625" style="15" bestFit="1" customWidth="1"/>
    <col min="3" max="3" width="56.21875" style="198" customWidth="1"/>
    <col min="4" max="4" width="20.44140625" style="15" bestFit="1" customWidth="1"/>
    <col min="5" max="5" width="8.77734375" style="15"/>
    <col min="6" max="6" width="11.109375" style="15" bestFit="1" customWidth="1"/>
    <col min="7" max="7" width="8" style="15" customWidth="1"/>
    <col min="8" max="8" width="7.5546875" style="15" customWidth="1"/>
    <col min="9" max="16384" width="8.77734375" style="15"/>
  </cols>
  <sheetData>
    <row r="1" spans="1:9" ht="15" customHeight="1">
      <c r="D1" s="405" t="s">
        <v>472</v>
      </c>
    </row>
    <row r="2" spans="1:9" ht="15" customHeight="1">
      <c r="A2" s="705" t="s">
        <v>822</v>
      </c>
      <c r="B2" s="705"/>
      <c r="C2" s="705"/>
      <c r="D2" s="705"/>
    </row>
    <row r="3" spans="1:9" ht="15" customHeight="1">
      <c r="A3" s="706" t="s">
        <v>823</v>
      </c>
      <c r="B3" s="706"/>
      <c r="C3" s="706"/>
      <c r="D3" s="706"/>
    </row>
    <row r="4" spans="1:9" ht="15" customHeight="1">
      <c r="A4" s="707" t="str">
        <f>'Attachment H'!$D$5</f>
        <v>NextEra Energy Transmission MidAtlantic, Inc.</v>
      </c>
      <c r="B4" s="707"/>
      <c r="C4" s="707"/>
      <c r="D4" s="707"/>
    </row>
    <row r="6" spans="1:9" ht="15.75">
      <c r="A6" s="411" t="s">
        <v>14</v>
      </c>
      <c r="B6" s="412" t="s">
        <v>824</v>
      </c>
      <c r="C6" s="412" t="s">
        <v>825</v>
      </c>
      <c r="D6" s="412" t="s">
        <v>826</v>
      </c>
    </row>
    <row r="7" spans="1:9" ht="15.75">
      <c r="A7" s="411"/>
      <c r="B7" s="413" t="s">
        <v>827</v>
      </c>
      <c r="C7" s="412"/>
      <c r="D7" s="412"/>
    </row>
    <row r="8" spans="1:9" ht="15.75">
      <c r="A8" s="444">
        <v>1</v>
      </c>
      <c r="B8" s="414" t="s">
        <v>828</v>
      </c>
      <c r="C8" s="412" t="s">
        <v>829</v>
      </c>
      <c r="D8" s="415">
        <v>0</v>
      </c>
      <c r="F8" s="641"/>
      <c r="G8" s="641"/>
      <c r="H8" s="641"/>
    </row>
    <row r="9" spans="1:9" ht="15.75">
      <c r="A9" s="444">
        <f>+A8+1</f>
        <v>2</v>
      </c>
      <c r="B9" s="414" t="s">
        <v>830</v>
      </c>
      <c r="C9" s="412" t="s">
        <v>831</v>
      </c>
      <c r="D9" s="415">
        <v>1.33</v>
      </c>
      <c r="F9" s="652"/>
    </row>
    <row r="10" spans="1:9" ht="15.75">
      <c r="A10" s="444">
        <f>+A8+1</f>
        <v>2</v>
      </c>
      <c r="B10" s="414" t="s">
        <v>832</v>
      </c>
      <c r="C10" s="412" t="s">
        <v>833</v>
      </c>
      <c r="D10" s="415">
        <v>3.36</v>
      </c>
      <c r="F10" s="652"/>
      <c r="G10" s="649"/>
      <c r="H10" s="652"/>
      <c r="I10" s="653"/>
    </row>
    <row r="11" spans="1:9" ht="15.75">
      <c r="A11" s="444">
        <f>+A10+1</f>
        <v>3</v>
      </c>
      <c r="B11" s="414" t="s">
        <v>834</v>
      </c>
      <c r="C11" s="412" t="s">
        <v>835</v>
      </c>
      <c r="D11" s="415">
        <v>2.92</v>
      </c>
      <c r="F11" s="652"/>
      <c r="G11" s="649"/>
      <c r="H11" s="652"/>
      <c r="I11" s="653"/>
    </row>
    <row r="12" spans="1:9" ht="15.75">
      <c r="A12" s="444">
        <f>+A11+1</f>
        <v>4</v>
      </c>
      <c r="B12" s="414" t="s">
        <v>836</v>
      </c>
      <c r="C12" s="412" t="s">
        <v>837</v>
      </c>
      <c r="D12" s="415">
        <v>2.02</v>
      </c>
      <c r="F12" s="652"/>
      <c r="H12" s="652"/>
      <c r="I12" s="653"/>
    </row>
    <row r="13" spans="1:9" ht="15.75">
      <c r="A13" s="444">
        <f>+A12+1</f>
        <v>5</v>
      </c>
      <c r="B13" s="414" t="s">
        <v>838</v>
      </c>
      <c r="C13" s="412" t="s">
        <v>839</v>
      </c>
      <c r="D13" s="415">
        <v>2.0499999999999998</v>
      </c>
      <c r="F13" s="652"/>
      <c r="G13" s="649"/>
      <c r="H13" s="652"/>
      <c r="I13" s="653"/>
    </row>
    <row r="14" spans="1:9" ht="15.75">
      <c r="A14" s="444">
        <f t="shared" ref="A14:A36" si="0">+A13+1</f>
        <v>6</v>
      </c>
      <c r="B14" s="414" t="s">
        <v>840</v>
      </c>
      <c r="C14" s="412" t="s">
        <v>841</v>
      </c>
      <c r="D14" s="415">
        <v>3.1</v>
      </c>
      <c r="F14" s="652"/>
      <c r="G14" s="652"/>
      <c r="H14" s="652"/>
      <c r="I14" s="653"/>
    </row>
    <row r="15" spans="1:9" ht="15.75">
      <c r="A15" s="444">
        <f t="shared" si="0"/>
        <v>7</v>
      </c>
      <c r="B15" s="414" t="s">
        <v>842</v>
      </c>
      <c r="C15" s="412" t="s">
        <v>843</v>
      </c>
      <c r="D15" s="415">
        <v>0</v>
      </c>
      <c r="H15" s="652"/>
      <c r="I15" s="653"/>
    </row>
    <row r="16" spans="1:9" ht="15.75">
      <c r="A16" s="444">
        <f t="shared" si="0"/>
        <v>8</v>
      </c>
      <c r="B16" s="414" t="s">
        <v>844</v>
      </c>
      <c r="C16" s="412" t="s">
        <v>845</v>
      </c>
      <c r="D16" s="415">
        <v>0</v>
      </c>
      <c r="I16" s="653"/>
    </row>
    <row r="17" spans="1:4" ht="15.75">
      <c r="A17" s="444">
        <f t="shared" si="0"/>
        <v>9</v>
      </c>
      <c r="B17" s="414" t="s">
        <v>846</v>
      </c>
      <c r="C17" s="412" t="s">
        <v>847</v>
      </c>
      <c r="D17" s="415">
        <v>0</v>
      </c>
    </row>
    <row r="18" spans="1:4" ht="15.75">
      <c r="A18" s="444"/>
      <c r="B18" s="412"/>
      <c r="C18" s="412"/>
      <c r="D18" s="415"/>
    </row>
    <row r="19" spans="1:4" ht="15.75">
      <c r="A19" s="444"/>
      <c r="B19" s="414" t="s">
        <v>848</v>
      </c>
      <c r="C19" s="412"/>
      <c r="D19" s="415"/>
    </row>
    <row r="20" spans="1:4" ht="15.75">
      <c r="A20" s="444">
        <f>+A17+1</f>
        <v>10</v>
      </c>
      <c r="B20" s="414" t="s">
        <v>849</v>
      </c>
      <c r="C20" s="412" t="s">
        <v>850</v>
      </c>
      <c r="D20" s="415">
        <v>0</v>
      </c>
    </row>
    <row r="21" spans="1:4" ht="15.75">
      <c r="A21" s="444">
        <f t="shared" si="0"/>
        <v>11</v>
      </c>
      <c r="B21" s="414" t="s">
        <v>851</v>
      </c>
      <c r="C21" s="412" t="s">
        <v>852</v>
      </c>
      <c r="D21" s="415">
        <v>5.25</v>
      </c>
    </row>
    <row r="22" spans="1:4" ht="15.75">
      <c r="A22" s="444">
        <f t="shared" si="0"/>
        <v>12</v>
      </c>
      <c r="B22" s="416">
        <v>392</v>
      </c>
      <c r="C22" s="412" t="s">
        <v>853</v>
      </c>
      <c r="D22" s="415">
        <v>0</v>
      </c>
    </row>
    <row r="23" spans="1:4" ht="15.75">
      <c r="A23" s="444">
        <f t="shared" si="0"/>
        <v>13</v>
      </c>
      <c r="B23" s="414" t="s">
        <v>854</v>
      </c>
      <c r="C23" s="412" t="s">
        <v>855</v>
      </c>
      <c r="D23" s="415">
        <v>0</v>
      </c>
    </row>
    <row r="24" spans="1:4" ht="15.75">
      <c r="A24" s="444">
        <f t="shared" si="0"/>
        <v>14</v>
      </c>
      <c r="B24" s="414" t="s">
        <v>856</v>
      </c>
      <c r="C24" s="412" t="s">
        <v>857</v>
      </c>
      <c r="D24" s="415">
        <v>0</v>
      </c>
    </row>
    <row r="25" spans="1:4" ht="15.75">
      <c r="A25" s="444">
        <f t="shared" si="0"/>
        <v>15</v>
      </c>
      <c r="B25" s="414" t="s">
        <v>858</v>
      </c>
      <c r="C25" s="412" t="s">
        <v>859</v>
      </c>
      <c r="D25" s="415">
        <v>0</v>
      </c>
    </row>
    <row r="26" spans="1:4" ht="15.75">
      <c r="A26" s="444">
        <f t="shared" si="0"/>
        <v>16</v>
      </c>
      <c r="B26" s="414" t="s">
        <v>860</v>
      </c>
      <c r="C26" s="412" t="s">
        <v>861</v>
      </c>
      <c r="D26" s="415">
        <v>25</v>
      </c>
    </row>
    <row r="27" spans="1:4" ht="15.75">
      <c r="A27" s="444">
        <f t="shared" si="0"/>
        <v>17</v>
      </c>
      <c r="B27" s="414" t="s">
        <v>862</v>
      </c>
      <c r="C27" s="412" t="s">
        <v>863</v>
      </c>
      <c r="D27" s="415">
        <v>2.5</v>
      </c>
    </row>
    <row r="28" spans="1:4" ht="15.75">
      <c r="A28" s="444"/>
      <c r="B28" s="412"/>
      <c r="C28" s="412"/>
      <c r="D28" s="415"/>
    </row>
    <row r="29" spans="1:4" ht="15.75">
      <c r="A29" s="444"/>
      <c r="B29" s="414" t="s">
        <v>864</v>
      </c>
      <c r="C29" s="412"/>
      <c r="D29" s="415"/>
    </row>
    <row r="30" spans="1:4" ht="15.75">
      <c r="A30" s="444">
        <v>18</v>
      </c>
      <c r="B30" s="414" t="s">
        <v>865</v>
      </c>
      <c r="C30" s="412" t="s">
        <v>866</v>
      </c>
      <c r="D30" s="415">
        <v>1.85</v>
      </c>
    </row>
    <row r="31" spans="1:4" ht="15.75">
      <c r="A31" s="444">
        <f>+A30+1</f>
        <v>19</v>
      </c>
      <c r="B31" s="417">
        <v>302</v>
      </c>
      <c r="C31" s="412" t="s">
        <v>867</v>
      </c>
      <c r="D31" s="443">
        <v>1.85</v>
      </c>
    </row>
    <row r="32" spans="1:4" ht="15.75">
      <c r="A32" s="444">
        <f t="shared" si="0"/>
        <v>20</v>
      </c>
      <c r="B32" s="414" t="s">
        <v>868</v>
      </c>
      <c r="C32" s="412" t="s">
        <v>869</v>
      </c>
      <c r="D32" s="415"/>
    </row>
    <row r="33" spans="1:6" ht="15.75">
      <c r="A33" s="444">
        <f t="shared" si="0"/>
        <v>21</v>
      </c>
      <c r="B33" s="414"/>
      <c r="C33" s="412" t="s">
        <v>870</v>
      </c>
      <c r="D33" s="415">
        <f>0.2*100</f>
        <v>20</v>
      </c>
    </row>
    <row r="34" spans="1:6" ht="15.75">
      <c r="A34" s="444">
        <f t="shared" si="0"/>
        <v>22</v>
      </c>
      <c r="B34" s="414"/>
      <c r="C34" s="412" t="s">
        <v>871</v>
      </c>
      <c r="D34" s="415">
        <f>0.142857142857143*100</f>
        <v>14.285714285714299</v>
      </c>
    </row>
    <row r="35" spans="1:6" ht="15.75">
      <c r="A35" s="444">
        <f t="shared" si="0"/>
        <v>23</v>
      </c>
      <c r="B35" s="414"/>
      <c r="C35" s="412" t="s">
        <v>872</v>
      </c>
      <c r="D35" s="415">
        <v>10</v>
      </c>
    </row>
    <row r="36" spans="1:6" ht="15.75">
      <c r="A36" s="444">
        <f t="shared" si="0"/>
        <v>24</v>
      </c>
      <c r="B36" s="412"/>
      <c r="C36" s="417" t="s">
        <v>873</v>
      </c>
      <c r="D36" s="419" t="s">
        <v>874</v>
      </c>
    </row>
    <row r="37" spans="1:6" ht="15.75">
      <c r="C37" s="420"/>
      <c r="D37" s="420"/>
      <c r="E37" s="420"/>
    </row>
    <row r="38" spans="1:6" ht="15.75">
      <c r="A38" s="418"/>
      <c r="B38" s="411"/>
      <c r="C38" s="420"/>
      <c r="D38" s="420"/>
      <c r="E38" s="420"/>
    </row>
    <row r="39" spans="1:6" ht="18">
      <c r="A39" s="15"/>
      <c r="B39" s="445" t="s">
        <v>875</v>
      </c>
      <c r="C39" s="445"/>
      <c r="D39" s="446"/>
      <c r="E39" s="425"/>
      <c r="F39" s="425"/>
    </row>
    <row r="40" spans="1:6" ht="18">
      <c r="A40" s="15"/>
      <c r="B40" s="445" t="s">
        <v>876</v>
      </c>
      <c r="C40" s="445"/>
      <c r="D40" s="446"/>
      <c r="E40" s="425"/>
      <c r="F40" s="425"/>
    </row>
    <row r="41" spans="1:6" ht="18">
      <c r="A41" s="15"/>
      <c r="B41" s="445" t="s">
        <v>877</v>
      </c>
      <c r="C41" s="445"/>
      <c r="D41" s="446"/>
      <c r="E41" s="425"/>
      <c r="F41" s="425"/>
    </row>
    <row r="42" spans="1:6" ht="18">
      <c r="A42" s="15"/>
      <c r="B42" s="445" t="s">
        <v>878</v>
      </c>
      <c r="C42" s="445"/>
      <c r="D42" s="446"/>
      <c r="E42" s="425"/>
      <c r="F42" s="425"/>
    </row>
    <row r="43" spans="1:6" ht="18">
      <c r="A43" s="15"/>
      <c r="B43" s="445" t="s">
        <v>879</v>
      </c>
      <c r="C43" s="445"/>
      <c r="D43" s="446"/>
      <c r="E43" s="425"/>
      <c r="F43" s="425"/>
    </row>
    <row r="44" spans="1:6" ht="18">
      <c r="A44" s="15"/>
      <c r="B44" s="445" t="s">
        <v>880</v>
      </c>
      <c r="C44" s="445"/>
      <c r="D44" s="446"/>
      <c r="E44" s="425"/>
      <c r="F44" s="425"/>
    </row>
    <row r="45" spans="1:6" ht="18.75">
      <c r="A45" s="15"/>
      <c r="B45" s="447"/>
      <c r="C45" s="448"/>
      <c r="D45" s="449"/>
    </row>
    <row r="46" spans="1:6" ht="18">
      <c r="A46" s="15"/>
      <c r="B46" s="450" t="s">
        <v>881</v>
      </c>
      <c r="C46" s="426"/>
    </row>
    <row r="47" spans="1:6" ht="15.75">
      <c r="A47" s="199"/>
      <c r="B47" s="427"/>
      <c r="C47" s="426"/>
    </row>
    <row r="48" spans="1:6">
      <c r="A48" s="199"/>
      <c r="B48" s="195"/>
      <c r="C48" s="202"/>
    </row>
    <row r="49" spans="1:3">
      <c r="A49" s="199"/>
      <c r="B49" s="195"/>
      <c r="C49" s="202"/>
    </row>
    <row r="50" spans="1:3">
      <c r="A50" s="199"/>
      <c r="B50" s="195"/>
      <c r="C50" s="202"/>
    </row>
    <row r="51" spans="1:3">
      <c r="A51" s="199"/>
      <c r="B51" s="195"/>
      <c r="C51" s="202"/>
    </row>
    <row r="52" spans="1:3">
      <c r="A52" s="199"/>
      <c r="B52" s="195"/>
      <c r="C52" s="202"/>
    </row>
    <row r="53" spans="1:3">
      <c r="A53" s="199"/>
      <c r="B53" s="195"/>
      <c r="C53" s="202"/>
    </row>
    <row r="54" spans="1:3">
      <c r="A54" s="199"/>
      <c r="B54" s="195"/>
    </row>
    <row r="55" spans="1:3">
      <c r="A55" s="200"/>
      <c r="B55" s="195"/>
    </row>
    <row r="56" spans="1:3">
      <c r="A56" s="200"/>
      <c r="B56" s="195"/>
    </row>
    <row r="57" spans="1:3">
      <c r="A57" s="200"/>
    </row>
    <row r="58" spans="1:3">
      <c r="A58" s="200"/>
    </row>
    <row r="59" spans="1:3">
      <c r="A59" s="200"/>
    </row>
    <row r="60" spans="1:3">
      <c r="A60" s="200"/>
    </row>
    <row r="61" spans="1:3">
      <c r="A61" s="200"/>
    </row>
    <row r="62" spans="1:3">
      <c r="A62" s="200"/>
    </row>
    <row r="63" spans="1:3">
      <c r="A63" s="200"/>
    </row>
    <row r="64" spans="1:3">
      <c r="A64" s="200"/>
    </row>
    <row r="65" spans="1:1">
      <c r="A65" s="200"/>
    </row>
    <row r="66" spans="1:1">
      <c r="A66" s="200"/>
    </row>
    <row r="67" spans="1:1">
      <c r="A67" s="200"/>
    </row>
    <row r="68" spans="1:1">
      <c r="A68" s="200"/>
    </row>
    <row r="69" spans="1:1">
      <c r="A69" s="200"/>
    </row>
    <row r="70" spans="1:1">
      <c r="A70" s="200"/>
    </row>
    <row r="71" spans="1:1">
      <c r="A71" s="200"/>
    </row>
    <row r="72" spans="1:1">
      <c r="A72" s="200"/>
    </row>
    <row r="73" spans="1:1">
      <c r="A73" s="200"/>
    </row>
    <row r="74" spans="1:1">
      <c r="A74" s="200"/>
    </row>
    <row r="75" spans="1:1">
      <c r="A75" s="200"/>
    </row>
    <row r="76" spans="1:1">
      <c r="A76" s="200"/>
    </row>
    <row r="77" spans="1:1">
      <c r="A77" s="200"/>
    </row>
  </sheetData>
  <mergeCells count="3">
    <mergeCell ref="A2:D2"/>
    <mergeCell ref="A3:D3"/>
    <mergeCell ref="A4:D4"/>
  </mergeCells>
  <phoneticPr fontId="0" type="noConversion"/>
  <pageMargins left="0.25" right="0.25" top="0.75" bottom="0.75" header="0.3" footer="0.3"/>
  <pageSetup fitToHeight="0"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BC1C-50BC-4B76-9124-9F1148EAE3BE}">
  <sheetPr>
    <tabColor rgb="FFFFFF00"/>
  </sheetPr>
  <dimension ref="A1:O6"/>
  <sheetViews>
    <sheetView zoomScaleNormal="100" workbookViewId="0"/>
  </sheetViews>
  <sheetFormatPr defaultRowHeight="15"/>
  <cols>
    <col min="1" max="1" width="55.5546875" bestFit="1" customWidth="1"/>
    <col min="2" max="2" width="17.21875" bestFit="1" customWidth="1"/>
    <col min="16" max="16" width="13.5546875" bestFit="1" customWidth="1"/>
    <col min="19" max="21" width="13.44140625" bestFit="1" customWidth="1"/>
  </cols>
  <sheetData>
    <row r="1" spans="1:15">
      <c r="A1" s="498" t="s">
        <v>890</v>
      </c>
      <c r="B1" s="498" t="s">
        <v>891</v>
      </c>
      <c r="C1" s="506"/>
      <c r="D1" s="503"/>
      <c r="E1" s="503"/>
      <c r="F1" s="503"/>
      <c r="G1" s="503"/>
      <c r="H1" s="503"/>
      <c r="I1" s="503"/>
      <c r="J1" s="503"/>
      <c r="K1" s="503"/>
      <c r="L1" s="503"/>
      <c r="M1" s="503"/>
      <c r="N1" s="503"/>
      <c r="O1" s="503"/>
    </row>
    <row r="2" spans="1:15">
      <c r="A2" s="498" t="s">
        <v>892</v>
      </c>
      <c r="B2" s="498"/>
      <c r="C2" s="506" t="s">
        <v>522</v>
      </c>
      <c r="D2" s="528" t="s">
        <v>522</v>
      </c>
      <c r="E2" s="528" t="s">
        <v>522</v>
      </c>
      <c r="F2" s="528" t="s">
        <v>522</v>
      </c>
      <c r="G2" s="528" t="s">
        <v>522</v>
      </c>
      <c r="H2" s="528" t="s">
        <v>893</v>
      </c>
      <c r="I2" s="528" t="s">
        <v>893</v>
      </c>
      <c r="J2" s="528" t="s">
        <v>893</v>
      </c>
      <c r="K2" s="528" t="s">
        <v>893</v>
      </c>
      <c r="L2" s="528" t="s">
        <v>893</v>
      </c>
      <c r="M2" s="528" t="s">
        <v>893</v>
      </c>
      <c r="N2" s="528" t="s">
        <v>893</v>
      </c>
      <c r="O2" s="528" t="s">
        <v>893</v>
      </c>
    </row>
    <row r="3" spans="1:15">
      <c r="A3" s="498" t="s">
        <v>894</v>
      </c>
      <c r="B3" s="498" t="s">
        <v>895</v>
      </c>
      <c r="C3" s="506" t="s">
        <v>896</v>
      </c>
      <c r="D3" s="506" t="s">
        <v>897</v>
      </c>
      <c r="E3" s="506" t="s">
        <v>898</v>
      </c>
      <c r="F3" s="506" t="s">
        <v>899</v>
      </c>
      <c r="G3" s="506" t="s">
        <v>900</v>
      </c>
      <c r="H3" s="506" t="s">
        <v>901</v>
      </c>
      <c r="I3" s="506" t="s">
        <v>902</v>
      </c>
      <c r="J3" s="506" t="s">
        <v>903</v>
      </c>
      <c r="K3" s="506" t="s">
        <v>904</v>
      </c>
      <c r="L3" s="506" t="s">
        <v>905</v>
      </c>
      <c r="M3" s="506" t="s">
        <v>906</v>
      </c>
      <c r="N3" s="506" t="s">
        <v>907</v>
      </c>
      <c r="O3" s="506" t="s">
        <v>908</v>
      </c>
    </row>
    <row r="4" spans="1:15">
      <c r="A4" s="526" t="s">
        <v>909</v>
      </c>
      <c r="B4" s="506" t="s">
        <v>944</v>
      </c>
      <c r="C4" s="504">
        <v>76134122.959999993</v>
      </c>
      <c r="D4" s="504">
        <v>76184609.329999998</v>
      </c>
      <c r="E4" s="504">
        <v>76193549.479999989</v>
      </c>
      <c r="F4" s="504">
        <v>76077894.799999997</v>
      </c>
      <c r="G4" s="504">
        <v>76089289.49000001</v>
      </c>
      <c r="H4" s="504">
        <v>76098950.840000004</v>
      </c>
      <c r="I4" s="504">
        <v>76087284.180000007</v>
      </c>
      <c r="J4" s="504">
        <v>76075617.520000011</v>
      </c>
      <c r="K4" s="504">
        <v>76063950.859999999</v>
      </c>
      <c r="L4" s="504">
        <v>76052284.200000003</v>
      </c>
      <c r="M4" s="504">
        <v>76040617.540000007</v>
      </c>
      <c r="N4" s="504">
        <v>76028950.88000001</v>
      </c>
      <c r="O4" s="504">
        <v>78636196.120000005</v>
      </c>
    </row>
    <row r="5" spans="1:15">
      <c r="A5" s="527" t="s">
        <v>910</v>
      </c>
      <c r="B5" s="506" t="s">
        <v>944</v>
      </c>
      <c r="C5" s="504">
        <v>-2221265.58</v>
      </c>
      <c r="D5" s="504">
        <v>-2381999.25</v>
      </c>
      <c r="E5" s="504">
        <v>-2543181.38</v>
      </c>
      <c r="F5" s="504">
        <v>-2708659.58</v>
      </c>
      <c r="G5" s="504">
        <v>-2868757.1</v>
      </c>
      <c r="H5" s="504">
        <v>-3028986.9</v>
      </c>
      <c r="I5" s="504">
        <v>-3189214.33</v>
      </c>
      <c r="J5" s="504">
        <v>-3349416.87</v>
      </c>
      <c r="K5" s="504">
        <v>-3509594.5100000002</v>
      </c>
      <c r="L5" s="504">
        <v>-3669747.2600000002</v>
      </c>
      <c r="M5" s="504">
        <v>-3829875.13</v>
      </c>
      <c r="N5" s="504">
        <v>-3989978.1100000003</v>
      </c>
      <c r="O5" s="504">
        <v>-4152819.63</v>
      </c>
    </row>
    <row r="6" spans="1:15">
      <c r="A6" s="527" t="s">
        <v>911</v>
      </c>
      <c r="B6" s="506" t="s">
        <v>944</v>
      </c>
      <c r="C6" s="504">
        <v>-376.55</v>
      </c>
      <c r="D6" s="504">
        <v>-386.41</v>
      </c>
      <c r="E6" s="504">
        <v>-396.27</v>
      </c>
      <c r="F6" s="504">
        <v>-406.13</v>
      </c>
      <c r="G6" s="504">
        <v>-415.99</v>
      </c>
      <c r="H6" s="504">
        <v>-415.99</v>
      </c>
      <c r="I6" s="504">
        <v>-415.99</v>
      </c>
      <c r="J6" s="504">
        <v>-415.99</v>
      </c>
      <c r="K6" s="504">
        <v>-415.99</v>
      </c>
      <c r="L6" s="504">
        <v>-415.99</v>
      </c>
      <c r="M6" s="504">
        <v>-415.99</v>
      </c>
      <c r="N6" s="504">
        <v>-415.99</v>
      </c>
      <c r="O6" s="504">
        <v>-415.99</v>
      </c>
    </row>
  </sheetData>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B66F-D273-4F54-8DD0-CE748C3476CB}">
  <sheetPr>
    <tabColor rgb="FFFFFF00"/>
  </sheetPr>
  <dimension ref="A1:O17"/>
  <sheetViews>
    <sheetView zoomScaleNormal="100" workbookViewId="0"/>
  </sheetViews>
  <sheetFormatPr defaultRowHeight="15"/>
  <cols>
    <col min="1" max="1" width="11.5546875" bestFit="1" customWidth="1"/>
    <col min="2" max="2" width="11.5546875" customWidth="1"/>
    <col min="3" max="3" width="13.44140625" bestFit="1" customWidth="1"/>
    <col min="4" max="6" width="10.88671875" bestFit="1" customWidth="1"/>
    <col min="7" max="7" width="12.33203125" bestFit="1" customWidth="1"/>
    <col min="8" max="11" width="10.88671875" bestFit="1" customWidth="1"/>
    <col min="12" max="12" width="12.33203125" bestFit="1" customWidth="1"/>
    <col min="13" max="14" width="10.88671875" bestFit="1" customWidth="1"/>
    <col min="15" max="15" width="12.33203125" bestFit="1" customWidth="1"/>
  </cols>
  <sheetData>
    <row r="1" spans="1:15">
      <c r="A1" s="498" t="s">
        <v>912</v>
      </c>
      <c r="B1" s="498"/>
      <c r="C1" s="528" t="s">
        <v>522</v>
      </c>
      <c r="D1" s="528" t="s">
        <v>522</v>
      </c>
      <c r="E1" s="528" t="s">
        <v>522</v>
      </c>
      <c r="F1" s="528" t="s">
        <v>522</v>
      </c>
      <c r="G1" s="528" t="s">
        <v>893</v>
      </c>
      <c r="H1" s="528" t="s">
        <v>893</v>
      </c>
      <c r="I1" s="528" t="s">
        <v>893</v>
      </c>
      <c r="J1" s="528" t="s">
        <v>893</v>
      </c>
      <c r="K1" s="528" t="s">
        <v>893</v>
      </c>
      <c r="L1" s="528" t="s">
        <v>893</v>
      </c>
      <c r="M1" s="528" t="s">
        <v>893</v>
      </c>
      <c r="N1" s="528" t="s">
        <v>893</v>
      </c>
      <c r="O1" s="528" t="s">
        <v>893</v>
      </c>
    </row>
    <row r="2" spans="1:15">
      <c r="A2" s="498" t="s">
        <v>913</v>
      </c>
      <c r="B2" s="498" t="s">
        <v>884</v>
      </c>
      <c r="C2" s="506" t="s">
        <v>897</v>
      </c>
      <c r="D2" s="506" t="s">
        <v>898</v>
      </c>
      <c r="E2" s="506" t="s">
        <v>899</v>
      </c>
      <c r="F2" s="506" t="s">
        <v>900</v>
      </c>
      <c r="G2" s="506" t="s">
        <v>901</v>
      </c>
      <c r="H2" s="506" t="s">
        <v>902</v>
      </c>
      <c r="I2" s="506" t="s">
        <v>903</v>
      </c>
      <c r="J2" s="506" t="s">
        <v>904</v>
      </c>
      <c r="K2" s="506" t="s">
        <v>905</v>
      </c>
      <c r="L2" s="506" t="s">
        <v>906</v>
      </c>
      <c r="M2" s="506" t="s">
        <v>907</v>
      </c>
      <c r="N2" s="506" t="s">
        <v>908</v>
      </c>
      <c r="O2" s="506" t="s">
        <v>914</v>
      </c>
    </row>
    <row r="3" spans="1:15">
      <c r="A3" s="506" t="s">
        <v>117</v>
      </c>
      <c r="B3" s="642">
        <v>560</v>
      </c>
      <c r="C3" s="504">
        <v>38536.730000000003</v>
      </c>
      <c r="D3" s="504">
        <v>36872.11</v>
      </c>
      <c r="E3" s="504">
        <v>74740.179999999993</v>
      </c>
      <c r="F3" s="504">
        <v>-88829.31</v>
      </c>
      <c r="G3" s="504">
        <v>8429.3012500000004</v>
      </c>
      <c r="H3" s="504">
        <v>8429.3012500000004</v>
      </c>
      <c r="I3" s="504">
        <v>8429.3012500000004</v>
      </c>
      <c r="J3" s="504">
        <v>8429.3012500000004</v>
      </c>
      <c r="K3" s="504">
        <v>8429.3012500000004</v>
      </c>
      <c r="L3" s="504">
        <v>8429.3012500000004</v>
      </c>
      <c r="M3" s="504">
        <v>8429.3012500000004</v>
      </c>
      <c r="N3" s="505">
        <v>8429.3012500000004</v>
      </c>
      <c r="O3" s="505">
        <f t="shared" ref="O3:O6" si="0">SUM(C3:N3)</f>
        <v>128754.12000000002</v>
      </c>
    </row>
    <row r="4" spans="1:15">
      <c r="A4" s="506" t="s">
        <v>117</v>
      </c>
      <c r="B4" s="642">
        <v>561.20000000000005</v>
      </c>
      <c r="C4" s="504">
        <v>61.21</v>
      </c>
      <c r="D4" s="504">
        <v>189002.45</v>
      </c>
      <c r="E4" s="504">
        <v>50581.279999999999</v>
      </c>
      <c r="F4" s="504">
        <v>18965.099999999999</v>
      </c>
      <c r="G4" s="504">
        <v>115516</v>
      </c>
      <c r="H4" s="504">
        <v>24897.26</v>
      </c>
      <c r="I4" s="504">
        <v>24897.26</v>
      </c>
      <c r="J4" s="504">
        <v>24897.26</v>
      </c>
      <c r="K4" s="504">
        <v>24897.26</v>
      </c>
      <c r="L4" s="504">
        <v>24897.26</v>
      </c>
      <c r="M4" s="504">
        <v>24897.26</v>
      </c>
      <c r="N4" s="505">
        <v>24897.26</v>
      </c>
      <c r="O4" s="505">
        <f t="shared" si="0"/>
        <v>548406.8600000001</v>
      </c>
    </row>
    <row r="5" spans="1:15">
      <c r="A5" s="506" t="s">
        <v>117</v>
      </c>
      <c r="B5" s="642">
        <v>561.5</v>
      </c>
      <c r="C5" s="504">
        <v>80247.929999999993</v>
      </c>
      <c r="D5" s="504">
        <v>18501</v>
      </c>
      <c r="E5" s="504">
        <v>84439.31</v>
      </c>
      <c r="F5" s="504">
        <v>161972.32</v>
      </c>
      <c r="G5" s="504">
        <v>390000</v>
      </c>
      <c r="H5" s="504">
        <v>391000</v>
      </c>
      <c r="I5" s="504">
        <v>494000</v>
      </c>
      <c r="J5" s="504">
        <v>618000</v>
      </c>
      <c r="K5" s="504">
        <v>451000</v>
      </c>
      <c r="L5" s="504">
        <v>1142000</v>
      </c>
      <c r="M5" s="504">
        <v>118000</v>
      </c>
      <c r="N5" s="505">
        <v>50691</v>
      </c>
      <c r="O5" s="505">
        <f t="shared" si="0"/>
        <v>3999851.56</v>
      </c>
    </row>
    <row r="6" spans="1:15">
      <c r="A6" s="506" t="s">
        <v>117</v>
      </c>
      <c r="B6" s="642">
        <v>571</v>
      </c>
      <c r="C6" s="504">
        <v>625.39</v>
      </c>
      <c r="D6" s="504">
        <v>648.01</v>
      </c>
      <c r="E6" s="504">
        <v>690.32</v>
      </c>
      <c r="F6" s="504">
        <v>1314.83</v>
      </c>
      <c r="G6" s="504">
        <v>39590.181250000001</v>
      </c>
      <c r="H6" s="504">
        <v>79590.181249999994</v>
      </c>
      <c r="I6" s="504">
        <v>39590.181250000001</v>
      </c>
      <c r="J6" s="504">
        <v>69590.181249999994</v>
      </c>
      <c r="K6" s="504">
        <v>39590.181250000001</v>
      </c>
      <c r="L6" s="504">
        <v>39590.181250000001</v>
      </c>
      <c r="M6" s="504">
        <v>39590.181250000001</v>
      </c>
      <c r="N6" s="505">
        <v>49590.181250000001</v>
      </c>
      <c r="O6" s="505">
        <f t="shared" si="0"/>
        <v>400000.00000000006</v>
      </c>
    </row>
    <row r="7" spans="1:15">
      <c r="A7" s="506" t="s">
        <v>117</v>
      </c>
      <c r="B7" s="642" t="s">
        <v>22</v>
      </c>
      <c r="C7" s="504">
        <v>119471.26</v>
      </c>
      <c r="D7" s="504">
        <v>245023.57</v>
      </c>
      <c r="E7" s="504">
        <v>210451.09</v>
      </c>
      <c r="F7" s="504">
        <v>93422.94</v>
      </c>
      <c r="G7" s="504">
        <v>553535.48</v>
      </c>
      <c r="H7" s="504">
        <v>503916.74</v>
      </c>
      <c r="I7" s="504">
        <v>566916.74</v>
      </c>
      <c r="J7" s="504">
        <v>720916.74</v>
      </c>
      <c r="K7" s="504">
        <v>523916.74</v>
      </c>
      <c r="L7" s="504">
        <v>1214916.74</v>
      </c>
      <c r="M7" s="504">
        <v>190916.74</v>
      </c>
      <c r="N7" s="505">
        <v>133607.74</v>
      </c>
      <c r="O7" s="505">
        <f>SUM(C7:N7)</f>
        <v>5077012.5200000014</v>
      </c>
    </row>
    <row r="8" spans="1:15">
      <c r="A8" s="506" t="s">
        <v>882</v>
      </c>
      <c r="B8" s="642">
        <v>921</v>
      </c>
      <c r="C8" s="504">
        <v>1001.72</v>
      </c>
      <c r="D8" s="504">
        <v>0</v>
      </c>
      <c r="E8" s="504">
        <v>0</v>
      </c>
      <c r="F8" s="504">
        <v>0</v>
      </c>
      <c r="G8" s="504">
        <v>0</v>
      </c>
      <c r="H8" s="504">
        <v>0</v>
      </c>
      <c r="I8" s="504">
        <v>0</v>
      </c>
      <c r="J8" s="504">
        <v>0</v>
      </c>
      <c r="K8" s="504">
        <v>0</v>
      </c>
      <c r="L8" s="504">
        <v>0</v>
      </c>
      <c r="M8" s="504">
        <v>0</v>
      </c>
      <c r="N8" s="505">
        <v>0</v>
      </c>
      <c r="O8" s="505">
        <f t="shared" ref="O8:O11" si="1">SUM(C8:N8)</f>
        <v>1001.72</v>
      </c>
    </row>
    <row r="9" spans="1:15">
      <c r="A9" s="506" t="s">
        <v>882</v>
      </c>
      <c r="B9" s="642">
        <v>923</v>
      </c>
      <c r="C9" s="504">
        <v>445471.83999999997</v>
      </c>
      <c r="D9" s="504">
        <v>329112.46000000002</v>
      </c>
      <c r="E9" s="504">
        <v>396228.75999999995</v>
      </c>
      <c r="F9" s="504">
        <v>486829.74</v>
      </c>
      <c r="G9" s="504">
        <v>222270.26873149999</v>
      </c>
      <c r="H9" s="504">
        <v>215408.02021339998</v>
      </c>
      <c r="I9" s="504">
        <v>232986.53754490003</v>
      </c>
      <c r="J9" s="504">
        <v>218981.4051343</v>
      </c>
      <c r="K9" s="504">
        <v>225833.27581040002</v>
      </c>
      <c r="L9" s="504">
        <v>232875.785164</v>
      </c>
      <c r="M9" s="504">
        <v>215597.9381078</v>
      </c>
      <c r="N9" s="505">
        <v>274490.06294580002</v>
      </c>
      <c r="O9" s="505">
        <f t="shared" si="1"/>
        <v>3496086.0936521003</v>
      </c>
    </row>
    <row r="10" spans="1:15">
      <c r="A10" s="506" t="s">
        <v>882</v>
      </c>
      <c r="B10" s="642">
        <v>925</v>
      </c>
      <c r="C10" s="504">
        <v>104911.65</v>
      </c>
      <c r="D10" s="504">
        <v>0</v>
      </c>
      <c r="E10" s="504">
        <v>0</v>
      </c>
      <c r="F10" s="504">
        <v>0</v>
      </c>
      <c r="G10" s="504">
        <v>0</v>
      </c>
      <c r="H10" s="504">
        <v>0</v>
      </c>
      <c r="I10" s="504">
        <v>0</v>
      </c>
      <c r="J10" s="504">
        <v>0</v>
      </c>
      <c r="K10" s="504">
        <v>0</v>
      </c>
      <c r="L10" s="504">
        <v>0</v>
      </c>
      <c r="M10" s="504">
        <v>0</v>
      </c>
      <c r="N10" s="505">
        <v>0</v>
      </c>
      <c r="O10" s="505">
        <f t="shared" si="1"/>
        <v>104911.65</v>
      </c>
    </row>
    <row r="11" spans="1:15">
      <c r="A11" s="506" t="s">
        <v>882</v>
      </c>
      <c r="B11" s="642">
        <v>931</v>
      </c>
      <c r="C11" s="504">
        <v>0</v>
      </c>
      <c r="D11" s="504">
        <v>5385</v>
      </c>
      <c r="E11" s="504">
        <v>0</v>
      </c>
      <c r="F11" s="504">
        <v>0</v>
      </c>
      <c r="G11" s="504">
        <v>0</v>
      </c>
      <c r="H11" s="504">
        <v>0</v>
      </c>
      <c r="I11" s="504">
        <v>0</v>
      </c>
      <c r="J11" s="504">
        <v>0</v>
      </c>
      <c r="K11" s="504">
        <v>0</v>
      </c>
      <c r="L11" s="504">
        <v>0</v>
      </c>
      <c r="M11" s="504">
        <v>0</v>
      </c>
      <c r="N11" s="505">
        <v>0</v>
      </c>
      <c r="O11" s="505">
        <f t="shared" si="1"/>
        <v>5385</v>
      </c>
    </row>
    <row r="12" spans="1:15">
      <c r="A12" s="506" t="s">
        <v>882</v>
      </c>
      <c r="B12" s="642" t="s">
        <v>22</v>
      </c>
      <c r="C12" s="504">
        <v>551385.21</v>
      </c>
      <c r="D12" s="504">
        <v>334497.46000000002</v>
      </c>
      <c r="E12" s="504">
        <v>396228.76</v>
      </c>
      <c r="F12" s="504">
        <v>486829.74</v>
      </c>
      <c r="G12" s="504">
        <v>222270.27</v>
      </c>
      <c r="H12" s="504">
        <v>215408.02</v>
      </c>
      <c r="I12" s="504">
        <v>232986.54</v>
      </c>
      <c r="J12" s="504">
        <v>218981.41</v>
      </c>
      <c r="K12" s="504">
        <v>225833.28</v>
      </c>
      <c r="L12" s="504">
        <v>232875.79</v>
      </c>
      <c r="M12" s="504">
        <v>215597.94</v>
      </c>
      <c r="N12" s="505">
        <v>274490.06</v>
      </c>
      <c r="O12" s="505">
        <f>SUM(C12:N12)</f>
        <v>3607384.48</v>
      </c>
    </row>
    <row r="13" spans="1:15">
      <c r="A13" s="506" t="s">
        <v>949</v>
      </c>
      <c r="B13" s="642">
        <v>408</v>
      </c>
      <c r="C13" s="504">
        <v>164108.57999999999</v>
      </c>
      <c r="D13" s="504">
        <v>164108.57999999999</v>
      </c>
      <c r="E13" s="504">
        <v>164108.57999999999</v>
      </c>
      <c r="F13" s="504">
        <v>164108.57999999999</v>
      </c>
      <c r="G13" s="504">
        <v>32358.58</v>
      </c>
      <c r="H13" s="504">
        <v>156358.57999999999</v>
      </c>
      <c r="I13" s="504">
        <v>156358.57999999999</v>
      </c>
      <c r="J13" s="504">
        <v>156358.57999999999</v>
      </c>
      <c r="K13" s="504">
        <v>156358.57999999999</v>
      </c>
      <c r="L13" s="504">
        <v>156358.57999999999</v>
      </c>
      <c r="M13" s="504">
        <v>156358.57999999999</v>
      </c>
      <c r="N13" s="505">
        <v>156358.57999999999</v>
      </c>
      <c r="O13" s="505">
        <f t="shared" ref="O13" si="2">SUM(C13:N13)</f>
        <v>1783302.9600000002</v>
      </c>
    </row>
    <row r="14" spans="1:15">
      <c r="A14" s="506" t="s">
        <v>950</v>
      </c>
      <c r="B14" s="642">
        <v>403</v>
      </c>
      <c r="C14" s="504">
        <f>+Depreciation!B38</f>
        <v>161212.32020725001</v>
      </c>
      <c r="D14" s="504">
        <f>+Depreciation!C38</f>
        <v>161275.02592100002</v>
      </c>
      <c r="E14" s="504">
        <f>+Depreciation!D38</f>
        <v>160745.52767662503</v>
      </c>
      <c r="F14" s="504">
        <f>+Depreciation!E38</f>
        <v>160213.17127779167</v>
      </c>
      <c r="G14" s="504">
        <f>+Depreciation!F38</f>
        <v>160229.80706058338</v>
      </c>
      <c r="H14" s="504">
        <f>+Depreciation!G38</f>
        <v>160227.42308550002</v>
      </c>
      <c r="I14" s="504">
        <f>+Depreciation!H38</f>
        <v>160202.53419400001</v>
      </c>
      <c r="J14" s="504">
        <f>+Depreciation!I38</f>
        <v>160177.64529350001</v>
      </c>
      <c r="K14" s="504">
        <f>+Depreciation!J38</f>
        <v>160152.75641883333</v>
      </c>
      <c r="L14" s="504">
        <f>+Depreciation!K38</f>
        <v>160127.86752733335</v>
      </c>
      <c r="M14" s="504">
        <f>+Depreciation!L38</f>
        <v>160102.97862683333</v>
      </c>
      <c r="N14" s="504">
        <f>+Depreciation!M38</f>
        <v>162841.51463383334</v>
      </c>
      <c r="O14" s="505">
        <f>SUM(C14:N14)</f>
        <v>1927508.5719230834</v>
      </c>
    </row>
    <row r="17" spans="1:15">
      <c r="A17" s="506" t="s">
        <v>22</v>
      </c>
      <c r="B17" s="506"/>
      <c r="C17" s="504">
        <f>+C7+C12+C13+C14</f>
        <v>996177.37020724989</v>
      </c>
      <c r="D17" s="504">
        <f t="shared" ref="D17:N17" si="3">+D7+D12+D13+D14</f>
        <v>904904.63592100004</v>
      </c>
      <c r="E17" s="504">
        <f t="shared" si="3"/>
        <v>931533.957676625</v>
      </c>
      <c r="F17" s="504">
        <f t="shared" si="3"/>
        <v>904574.4312777915</v>
      </c>
      <c r="G17" s="504">
        <f t="shared" si="3"/>
        <v>968394.13706058334</v>
      </c>
      <c r="H17" s="504">
        <f t="shared" si="3"/>
        <v>1035910.7630855</v>
      </c>
      <c r="I17" s="504">
        <f t="shared" si="3"/>
        <v>1116464.3941939999</v>
      </c>
      <c r="J17" s="504">
        <f t="shared" si="3"/>
        <v>1256434.3752935</v>
      </c>
      <c r="K17" s="504">
        <f t="shared" si="3"/>
        <v>1066261.3564188334</v>
      </c>
      <c r="L17" s="504">
        <f t="shared" si="3"/>
        <v>1764278.9775273334</v>
      </c>
      <c r="M17" s="504">
        <f t="shared" si="3"/>
        <v>722976.23862683331</v>
      </c>
      <c r="N17" s="504">
        <f t="shared" si="3"/>
        <v>727297.89463383332</v>
      </c>
      <c r="O17" s="505">
        <f t="shared" ref="O17" si="4">SUM(C17:N17)</f>
        <v>12395208.531923085</v>
      </c>
    </row>
  </sheetData>
  <pageMargins left="0.7" right="0.7" top="0.75" bottom="0.75" header="0.3" footer="0.3"/>
  <customProperties>
    <customPr name="_pios_id" r:id="rId1"/>
  </customProperties>
  <ignoredErrors>
    <ignoredError sqref="O3:O6 O8:O11 O1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4FC4A-4529-452A-AE8A-7F6C4D478DF0}">
  <sheetPr>
    <tabColor rgb="FFFFFF00"/>
  </sheetPr>
  <dimension ref="A2:O5"/>
  <sheetViews>
    <sheetView workbookViewId="0"/>
  </sheetViews>
  <sheetFormatPr defaultRowHeight="15"/>
  <cols>
    <col min="1" max="1" width="12.5546875" bestFit="1" customWidth="1"/>
    <col min="3" max="3" width="10.21875" bestFit="1" customWidth="1"/>
    <col min="4" max="4" width="9" bestFit="1" customWidth="1"/>
    <col min="5" max="6" width="10.21875" bestFit="1" customWidth="1"/>
    <col min="7" max="7" width="11.44140625" bestFit="1" customWidth="1"/>
    <col min="8" max="8" width="10.88671875" bestFit="1" customWidth="1"/>
    <col min="9" max="9" width="9.88671875" bestFit="1" customWidth="1"/>
    <col min="10" max="10" width="10.44140625" bestFit="1" customWidth="1"/>
    <col min="11" max="14" width="11.44140625" bestFit="1" customWidth="1"/>
    <col min="15" max="15" width="10.88671875" bestFit="1" customWidth="1"/>
  </cols>
  <sheetData>
    <row r="2" spans="1:15">
      <c r="A2" s="498" t="s">
        <v>912</v>
      </c>
      <c r="B2" s="503" t="s">
        <v>522</v>
      </c>
      <c r="C2" s="503" t="s">
        <v>522</v>
      </c>
      <c r="D2" s="503" t="s">
        <v>522</v>
      </c>
      <c r="E2" s="503" t="s">
        <v>522</v>
      </c>
      <c r="F2" s="503" t="s">
        <v>522</v>
      </c>
      <c r="G2" s="503" t="s">
        <v>893</v>
      </c>
      <c r="H2" s="503" t="s">
        <v>893</v>
      </c>
      <c r="I2" s="503" t="s">
        <v>893</v>
      </c>
      <c r="J2" s="503" t="s">
        <v>893</v>
      </c>
      <c r="K2" s="503" t="s">
        <v>893</v>
      </c>
      <c r="L2" s="503" t="s">
        <v>893</v>
      </c>
      <c r="M2" s="503" t="s">
        <v>893</v>
      </c>
      <c r="N2" s="503" t="s">
        <v>893</v>
      </c>
      <c r="O2" s="503" t="s">
        <v>22</v>
      </c>
    </row>
    <row r="3" spans="1:15">
      <c r="A3" s="498" t="s">
        <v>889</v>
      </c>
      <c r="B3" s="506" t="s">
        <v>896</v>
      </c>
      <c r="C3" s="506" t="s">
        <v>897</v>
      </c>
      <c r="D3" s="506" t="s">
        <v>898</v>
      </c>
      <c r="E3" s="506" t="s">
        <v>899</v>
      </c>
      <c r="F3" s="506" t="s">
        <v>900</v>
      </c>
      <c r="G3" s="506" t="s">
        <v>901</v>
      </c>
      <c r="H3" s="506" t="s">
        <v>902</v>
      </c>
      <c r="I3" s="506" t="s">
        <v>903</v>
      </c>
      <c r="J3" s="506" t="s">
        <v>904</v>
      </c>
      <c r="K3" s="506" t="s">
        <v>905</v>
      </c>
      <c r="L3" s="506" t="s">
        <v>906</v>
      </c>
      <c r="M3" s="506" t="s">
        <v>907</v>
      </c>
      <c r="N3" s="506" t="s">
        <v>908</v>
      </c>
      <c r="O3" s="510" t="s">
        <v>915</v>
      </c>
    </row>
    <row r="4" spans="1:15">
      <c r="A4" s="498" t="s">
        <v>981</v>
      </c>
      <c r="B4" s="504">
        <v>1449361.8</v>
      </c>
      <c r="C4" s="504">
        <v>2112717.7000000002</v>
      </c>
      <c r="D4" s="504">
        <v>1015412.68</v>
      </c>
      <c r="E4" s="504">
        <v>1754422.15</v>
      </c>
      <c r="F4" s="504">
        <v>1784310.86</v>
      </c>
      <c r="G4" s="504">
        <v>2088718.4854591677</v>
      </c>
      <c r="H4" s="504">
        <v>2168718.4854591675</v>
      </c>
      <c r="I4" s="504">
        <v>2155218.4854591675</v>
      </c>
      <c r="J4" s="504">
        <v>2345218.4854591675</v>
      </c>
      <c r="K4" s="504">
        <v>9130218.4854591675</v>
      </c>
      <c r="L4" s="504">
        <v>2655568.4854591675</v>
      </c>
      <c r="M4" s="504">
        <v>3281818.4854591675</v>
      </c>
      <c r="N4" s="504">
        <v>2131698.485459168</v>
      </c>
      <c r="O4" s="541">
        <f>SUM(B4:N4)</f>
        <v>34073403.073673345</v>
      </c>
    </row>
    <row r="5" spans="1:15">
      <c r="A5" s="498" t="s">
        <v>916</v>
      </c>
      <c r="B5" s="504">
        <v>13037239.380000001</v>
      </c>
      <c r="C5" s="504">
        <f>B5+C4</f>
        <v>15149957.080000002</v>
      </c>
      <c r="D5" s="504">
        <f t="shared" ref="D5:F5" si="0">C5+D4</f>
        <v>16165369.760000002</v>
      </c>
      <c r="E5" s="504">
        <f t="shared" si="0"/>
        <v>17919791.91</v>
      </c>
      <c r="F5" s="504">
        <f t="shared" si="0"/>
        <v>19704102.77</v>
      </c>
      <c r="G5" s="504">
        <f t="shared" ref="G5" si="1">F5+G4</f>
        <v>21792821.255459167</v>
      </c>
      <c r="H5" s="504">
        <f t="shared" ref="H5" si="2">G5+H4</f>
        <v>23961539.740918335</v>
      </c>
      <c r="I5" s="504">
        <f t="shared" ref="I5" si="3">H5+I4</f>
        <v>26116758.226377502</v>
      </c>
      <c r="J5" s="504">
        <f t="shared" ref="J5" si="4">I5+J4</f>
        <v>28461976.71183667</v>
      </c>
      <c r="K5" s="504">
        <f t="shared" ref="K5" si="5">J5+K4</f>
        <v>37592195.197295837</v>
      </c>
      <c r="L5" s="504">
        <f t="shared" ref="L5" si="6">K5+L4</f>
        <v>40247763.682755008</v>
      </c>
      <c r="M5" s="504">
        <f t="shared" ref="M5" si="7">L5+M4</f>
        <v>43529582.168214172</v>
      </c>
      <c r="N5" s="504">
        <f t="shared" ref="N5" si="8">M5+N4</f>
        <v>45661280.653673343</v>
      </c>
    </row>
  </sheetData>
  <phoneticPr fontId="138" type="noConversion"/>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645D-B385-4596-A22E-46361CFB04FC}">
  <sheetPr>
    <tabColor rgb="FFFFFF00"/>
  </sheetPr>
  <dimension ref="A1:I48"/>
  <sheetViews>
    <sheetView showGridLines="0" tabSelected="1" zoomScale="130" zoomScaleNormal="130" workbookViewId="0">
      <selection activeCell="A30" sqref="A30"/>
    </sheetView>
  </sheetViews>
  <sheetFormatPr defaultColWidth="8.88671875" defaultRowHeight="12.75"/>
  <cols>
    <col min="1" max="1" width="34" style="534" customWidth="1"/>
    <col min="2" max="2" width="21.77734375" style="534" customWidth="1"/>
    <col min="3" max="3" width="15.109375" style="534" customWidth="1"/>
    <col min="4" max="4" width="11.21875" style="534" customWidth="1"/>
    <col min="5" max="5" width="15.109375" style="534" customWidth="1"/>
    <col min="6" max="7" width="8.88671875" style="534"/>
    <col min="8" max="8" width="10" style="534" bestFit="1" customWidth="1"/>
    <col min="9" max="9" width="10.77734375" style="534" bestFit="1" customWidth="1"/>
    <col min="10" max="16384" width="8.88671875" style="534"/>
  </cols>
  <sheetData>
    <row r="1" spans="1:5" ht="18">
      <c r="A1" s="548" t="s">
        <v>7</v>
      </c>
      <c r="B1"/>
    </row>
    <row r="2" spans="1:5" ht="15" customHeight="1">
      <c r="A2" s="554"/>
      <c r="B2"/>
      <c r="C2" s="534" t="s">
        <v>883</v>
      </c>
    </row>
    <row r="3" spans="1:5" ht="15" customHeight="1">
      <c r="A3" s="547" t="s">
        <v>883</v>
      </c>
      <c r="C3" s="534" t="s">
        <v>883</v>
      </c>
    </row>
    <row r="4" spans="1:5" ht="12.75" customHeight="1">
      <c r="A4" s="534" t="s">
        <v>883</v>
      </c>
      <c r="B4" s="534" t="s">
        <v>883</v>
      </c>
      <c r="C4" s="534" t="s">
        <v>883</v>
      </c>
    </row>
    <row r="5" spans="1:5" ht="12.75" customHeight="1">
      <c r="A5" s="549" t="s">
        <v>917</v>
      </c>
      <c r="B5" s="549" t="s">
        <v>918</v>
      </c>
      <c r="C5" s="549" t="s">
        <v>677</v>
      </c>
      <c r="D5" s="550" t="s">
        <v>919</v>
      </c>
      <c r="E5" s="550" t="s">
        <v>681</v>
      </c>
    </row>
    <row r="6" spans="1:5" ht="12.75" customHeight="1">
      <c r="A6" s="551" t="s">
        <v>920</v>
      </c>
      <c r="B6" s="551" t="s">
        <v>921</v>
      </c>
      <c r="C6" s="534" t="s">
        <v>883</v>
      </c>
      <c r="D6" s="637"/>
      <c r="E6" s="637"/>
    </row>
    <row r="7" spans="1:5" ht="12.75" customHeight="1">
      <c r="A7" s="537" t="s">
        <v>922</v>
      </c>
      <c r="B7" s="552" t="s">
        <v>923</v>
      </c>
      <c r="C7" s="557">
        <v>7221</v>
      </c>
      <c r="D7" s="555"/>
      <c r="E7" s="556">
        <v>7221</v>
      </c>
    </row>
    <row r="8" spans="1:5" ht="12" customHeight="1">
      <c r="A8" s="537" t="s">
        <v>924</v>
      </c>
      <c r="B8" s="552" t="s">
        <v>925</v>
      </c>
      <c r="C8" s="557">
        <v>18705</v>
      </c>
      <c r="D8" s="555"/>
      <c r="E8" s="556">
        <v>18705</v>
      </c>
    </row>
    <row r="9" spans="1:5" ht="12.75" customHeight="1">
      <c r="A9" s="537" t="s">
        <v>926</v>
      </c>
      <c r="B9" s="552" t="s">
        <v>927</v>
      </c>
      <c r="C9" s="555">
        <v>304901</v>
      </c>
      <c r="D9" s="559"/>
      <c r="E9" s="556">
        <v>304901</v>
      </c>
    </row>
    <row r="10" spans="1:5" ht="12.75" customHeight="1">
      <c r="A10" s="537" t="s">
        <v>928</v>
      </c>
      <c r="B10" s="552" t="s">
        <v>929</v>
      </c>
      <c r="C10" s="558">
        <v>373626</v>
      </c>
      <c r="D10" s="560"/>
      <c r="E10" s="556">
        <v>373626</v>
      </c>
    </row>
    <row r="11" spans="1:5" ht="12.75" customHeight="1">
      <c r="A11" s="552" t="s">
        <v>930</v>
      </c>
      <c r="B11" s="553" t="s">
        <v>883</v>
      </c>
      <c r="C11" s="555">
        <v>704452</v>
      </c>
      <c r="D11" s="555">
        <v>0</v>
      </c>
      <c r="E11" s="638">
        <v>704453</v>
      </c>
    </row>
    <row r="12" spans="1:5" ht="12.75" customHeight="1">
      <c r="A12" s="552"/>
      <c r="B12" s="553"/>
      <c r="C12" s="555"/>
      <c r="D12" s="555"/>
      <c r="E12" s="561"/>
    </row>
    <row r="13" spans="1:5" ht="12.75" customHeight="1">
      <c r="A13" s="551" t="s">
        <v>931</v>
      </c>
      <c r="B13" s="551" t="s">
        <v>932</v>
      </c>
      <c r="C13" s="534" t="s">
        <v>883</v>
      </c>
    </row>
    <row r="14" spans="1:5" ht="12.75" customHeight="1">
      <c r="A14" s="537" t="s">
        <v>933</v>
      </c>
      <c r="B14" s="551" t="s">
        <v>934</v>
      </c>
      <c r="C14" s="555">
        <v>-229</v>
      </c>
      <c r="D14" s="555">
        <v>0</v>
      </c>
      <c r="E14" s="556">
        <v>-229</v>
      </c>
    </row>
    <row r="15" spans="1:5" ht="12.75" customHeight="1">
      <c r="A15" s="537" t="s">
        <v>886</v>
      </c>
      <c r="B15" s="551" t="s">
        <v>885</v>
      </c>
      <c r="C15" s="555">
        <v>-1739670</v>
      </c>
      <c r="D15" s="557">
        <v>-1653418.1109600002</v>
      </c>
      <c r="E15" s="556">
        <v>-3393088.1109600002</v>
      </c>
    </row>
    <row r="16" spans="1:5" ht="12.75" customHeight="1">
      <c r="A16" s="537" t="s">
        <v>887</v>
      </c>
      <c r="B16" s="551" t="s">
        <v>888</v>
      </c>
      <c r="C16" s="555">
        <v>480283</v>
      </c>
      <c r="D16" s="557">
        <v>479390.65395760007</v>
      </c>
      <c r="E16" s="556">
        <v>959673.65395760001</v>
      </c>
    </row>
    <row r="17" spans="1:6" ht="12.75" customHeight="1">
      <c r="A17" s="537" t="s">
        <v>935</v>
      </c>
      <c r="B17" s="551" t="s">
        <v>936</v>
      </c>
      <c r="C17" s="555">
        <v>-567066</v>
      </c>
      <c r="D17" s="557"/>
      <c r="E17" s="556">
        <v>-567066</v>
      </c>
    </row>
    <row r="18" spans="1:6" ht="12.75" customHeight="1">
      <c r="A18" s="537" t="s">
        <v>937</v>
      </c>
      <c r="B18" s="551" t="s">
        <v>982</v>
      </c>
      <c r="C18" s="555">
        <v>21982</v>
      </c>
      <c r="D18" s="557">
        <v>-26090.673840000003</v>
      </c>
      <c r="E18" s="556">
        <v>-4108.6738400000031</v>
      </c>
    </row>
    <row r="19" spans="1:6" ht="12.75" customHeight="1">
      <c r="A19" s="537" t="s">
        <v>938</v>
      </c>
      <c r="B19" s="551" t="s">
        <v>939</v>
      </c>
      <c r="C19" s="555">
        <v>-5205</v>
      </c>
      <c r="D19" s="557">
        <v>-699.37252000000001</v>
      </c>
      <c r="E19" s="556">
        <v>-5904.3725199999999</v>
      </c>
    </row>
    <row r="20" spans="1:6" ht="12.75" customHeight="1">
      <c r="A20" s="537" t="s">
        <v>940</v>
      </c>
      <c r="B20" s="551" t="s">
        <v>941</v>
      </c>
      <c r="C20" s="558">
        <v>-12133</v>
      </c>
      <c r="D20" s="559"/>
      <c r="E20" s="556">
        <v>-12133</v>
      </c>
    </row>
    <row r="21" spans="1:6" ht="12.75" customHeight="1">
      <c r="A21" s="551" t="s">
        <v>942</v>
      </c>
      <c r="B21" s="534" t="s">
        <v>883</v>
      </c>
      <c r="C21" s="555">
        <v>-1822038</v>
      </c>
      <c r="D21" s="639">
        <v>-1200817.5</v>
      </c>
      <c r="E21" s="638">
        <v>-3022855.5</v>
      </c>
    </row>
    <row r="27" spans="1:6" ht="15">
      <c r="A27" t="s">
        <v>883</v>
      </c>
      <c r="B27" s="535" t="s">
        <v>943</v>
      </c>
      <c r="C27" s="535" t="s">
        <v>944</v>
      </c>
      <c r="D27" s="546" t="s">
        <v>945</v>
      </c>
      <c r="E27" s="546" t="s">
        <v>946</v>
      </c>
      <c r="F27" s="546" t="s">
        <v>947</v>
      </c>
    </row>
    <row r="28" spans="1:6" ht="15">
      <c r="A28" s="536" t="s">
        <v>948</v>
      </c>
      <c r="B28" t="s">
        <v>883</v>
      </c>
      <c r="C28" t="s">
        <v>883</v>
      </c>
    </row>
    <row r="29" spans="1:6">
      <c r="A29" s="537" t="s">
        <v>983</v>
      </c>
      <c r="B29" s="538">
        <v>13821</v>
      </c>
      <c r="C29" s="538">
        <v>13821</v>
      </c>
      <c r="D29" s="539">
        <f>C29*4</f>
        <v>55284</v>
      </c>
      <c r="E29" s="540">
        <f>0.21+(0.049*0.79)</f>
        <v>0.24870999999999999</v>
      </c>
      <c r="F29" s="539">
        <f>D29*E29</f>
        <v>13749.683639999999</v>
      </c>
    </row>
    <row r="33" spans="1:9">
      <c r="A33" s="546" t="s">
        <v>951</v>
      </c>
    </row>
    <row r="34" spans="1:9">
      <c r="A34" s="537" t="s">
        <v>952</v>
      </c>
      <c r="B34" s="644">
        <v>75437769.009768248</v>
      </c>
      <c r="C34" s="534" t="s">
        <v>953</v>
      </c>
    </row>
    <row r="35" spans="1:9">
      <c r="A35" s="537" t="s">
        <v>946</v>
      </c>
      <c r="B35" s="643">
        <v>2.6105E-2</v>
      </c>
    </row>
    <row r="36" spans="1:9">
      <c r="A36" s="537" t="s">
        <v>979</v>
      </c>
      <c r="B36" s="645">
        <f>+B35*B34</f>
        <v>1969302.9600000002</v>
      </c>
    </row>
    <row r="38" spans="1:9">
      <c r="A38" s="537" t="s">
        <v>976</v>
      </c>
      <c r="B38" s="644">
        <f>+B36/12</f>
        <v>164108.58000000002</v>
      </c>
      <c r="H38" s="644"/>
      <c r="I38" s="644"/>
    </row>
    <row r="39" spans="1:9">
      <c r="A39" s="537"/>
      <c r="H39" s="644"/>
      <c r="I39" s="644"/>
    </row>
    <row r="40" spans="1:9">
      <c r="A40" s="537" t="s">
        <v>978</v>
      </c>
      <c r="B40" s="644">
        <v>186000</v>
      </c>
      <c r="H40" s="645"/>
      <c r="I40" s="645"/>
    </row>
    <row r="41" spans="1:9">
      <c r="A41" s="537"/>
    </row>
    <row r="42" spans="1:9">
      <c r="A42" s="537" t="s">
        <v>977</v>
      </c>
      <c r="B42" s="645">
        <f>+B36-B40</f>
        <v>1783302.9600000002</v>
      </c>
      <c r="C42" s="666"/>
    </row>
    <row r="43" spans="1:9">
      <c r="C43" s="667"/>
      <c r="D43" s="654"/>
    </row>
    <row r="44" spans="1:9">
      <c r="B44" s="645"/>
      <c r="C44" s="666"/>
    </row>
    <row r="45" spans="1:9">
      <c r="B45" s="644"/>
    </row>
    <row r="48" spans="1:9">
      <c r="B48" s="645"/>
    </row>
  </sheetData>
  <pageMargins left="0.7" right="0.7" top="0.75" bottom="0.75" header="0.3" footer="0.3"/>
  <pageSetup orientation="portrait" r:id="rId1"/>
  <headerFooter alignWithMargins="0">
    <oddHeader>&amp;L&amp;"Arial,Bold"&amp;10</oddHeader>
    <oddFooter>&amp;L&amp;"Arial,Bold"&amp;10&amp;R&amp;"Arial,Bold"&amp;10&amp;P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A26E6-3969-47DC-809A-43868D9FD88E}">
  <sheetPr>
    <tabColor rgb="FFFFFF00"/>
  </sheetPr>
  <dimension ref="A1:N57"/>
  <sheetViews>
    <sheetView showGridLines="0" zoomScaleNormal="100" workbookViewId="0"/>
  </sheetViews>
  <sheetFormatPr defaultRowHeight="15"/>
  <cols>
    <col min="1" max="1" width="49.6640625" bestFit="1" customWidth="1"/>
    <col min="2" max="13" width="12.21875" customWidth="1"/>
  </cols>
  <sheetData>
    <row r="1" spans="1:13" ht="15.75" thickBot="1">
      <c r="A1" s="646"/>
      <c r="B1" s="646" t="s">
        <v>964</v>
      </c>
      <c r="C1" s="646" t="s">
        <v>965</v>
      </c>
      <c r="D1" s="665" t="s">
        <v>968</v>
      </c>
      <c r="E1" s="665" t="s">
        <v>969</v>
      </c>
      <c r="F1" s="646" t="s">
        <v>954</v>
      </c>
      <c r="G1" s="646" t="s">
        <v>955</v>
      </c>
      <c r="H1" s="646" t="s">
        <v>956</v>
      </c>
      <c r="I1" s="646" t="s">
        <v>957</v>
      </c>
      <c r="J1" s="646" t="s">
        <v>958</v>
      </c>
      <c r="K1" s="646" t="s">
        <v>959</v>
      </c>
      <c r="L1" s="646" t="s">
        <v>960</v>
      </c>
      <c r="M1" s="646" t="s">
        <v>961</v>
      </c>
    </row>
    <row r="2" spans="1:13" ht="18">
      <c r="A2" s="548" t="s">
        <v>7</v>
      </c>
      <c r="B2" s="647"/>
      <c r="C2" s="647"/>
      <c r="D2" s="647"/>
      <c r="E2" s="647"/>
      <c r="F2" s="647"/>
      <c r="G2" s="647"/>
      <c r="H2" s="647"/>
      <c r="I2" s="647"/>
      <c r="J2" s="647"/>
      <c r="K2" s="647"/>
      <c r="L2" s="647"/>
      <c r="M2" s="647"/>
    </row>
    <row r="3" spans="1:13">
      <c r="A3" s="648" t="s">
        <v>970</v>
      </c>
      <c r="B3" s="647"/>
      <c r="C3" s="647"/>
      <c r="D3" s="647"/>
      <c r="E3" s="647"/>
      <c r="F3" s="647"/>
      <c r="G3" s="647"/>
      <c r="H3" s="647"/>
      <c r="I3" s="647"/>
      <c r="J3" s="647"/>
      <c r="K3" s="647"/>
      <c r="L3" s="647"/>
      <c r="M3" s="647"/>
    </row>
    <row r="4" spans="1:13">
      <c r="A4" s="655" t="s">
        <v>966</v>
      </c>
      <c r="B4" s="662">
        <v>506084.42</v>
      </c>
      <c r="C4" s="662">
        <v>506084.42</v>
      </c>
      <c r="D4" s="662">
        <v>506084.42</v>
      </c>
      <c r="E4" s="662">
        <v>506084.42</v>
      </c>
      <c r="F4" s="662">
        <v>506084.42</v>
      </c>
      <c r="G4" s="662">
        <v>506084.42</v>
      </c>
      <c r="H4" s="662">
        <v>506084.42</v>
      </c>
      <c r="I4" s="662">
        <v>506084.42</v>
      </c>
      <c r="J4" s="662">
        <v>506084.42</v>
      </c>
      <c r="K4" s="662">
        <v>506084.42</v>
      </c>
      <c r="L4" s="662">
        <v>506084.42</v>
      </c>
      <c r="M4" s="662">
        <v>506084.42</v>
      </c>
    </row>
    <row r="5" spans="1:13">
      <c r="A5" s="655" t="s">
        <v>962</v>
      </c>
      <c r="B5" s="657">
        <v>1.1083333333333333E-3</v>
      </c>
      <c r="C5" s="657">
        <v>1.1083333333333333E-3</v>
      </c>
      <c r="D5" s="657">
        <v>1.1083333333333333E-3</v>
      </c>
      <c r="E5" s="657">
        <v>1.1083333333333333E-3</v>
      </c>
      <c r="F5" s="657">
        <v>1.1083333333333333E-3</v>
      </c>
      <c r="G5" s="657">
        <v>1.1083333333333333E-3</v>
      </c>
      <c r="H5" s="657">
        <v>1.1083333333333333E-3</v>
      </c>
      <c r="I5" s="657">
        <v>1.1083333333333333E-3</v>
      </c>
      <c r="J5" s="657">
        <v>1.1083333333333333E-3</v>
      </c>
      <c r="K5" s="657">
        <v>1.1083333333333333E-3</v>
      </c>
      <c r="L5" s="657">
        <v>1.1083333333333333E-3</v>
      </c>
      <c r="M5" s="657">
        <v>1.1083333333333333E-3</v>
      </c>
    </row>
    <row r="6" spans="1:13">
      <c r="A6" s="655" t="s">
        <v>963</v>
      </c>
      <c r="B6" s="662">
        <f t="shared" ref="B6:M6" si="0">+B4*B5</f>
        <v>560.91023216666667</v>
      </c>
      <c r="C6" s="662">
        <f t="shared" si="0"/>
        <v>560.91023216666667</v>
      </c>
      <c r="D6" s="662">
        <f t="shared" si="0"/>
        <v>560.91023216666667</v>
      </c>
      <c r="E6" s="662">
        <f t="shared" si="0"/>
        <v>560.91023216666667</v>
      </c>
      <c r="F6" s="662">
        <f t="shared" si="0"/>
        <v>560.91023216666667</v>
      </c>
      <c r="G6" s="662">
        <f t="shared" si="0"/>
        <v>560.91023216666667</v>
      </c>
      <c r="H6" s="662">
        <f t="shared" si="0"/>
        <v>560.91023216666667</v>
      </c>
      <c r="I6" s="662">
        <f t="shared" si="0"/>
        <v>560.91023216666667</v>
      </c>
      <c r="J6" s="662">
        <f t="shared" si="0"/>
        <v>560.91023216666667</v>
      </c>
      <c r="K6" s="662">
        <f t="shared" si="0"/>
        <v>560.91023216666667</v>
      </c>
      <c r="L6" s="662">
        <f t="shared" si="0"/>
        <v>560.91023216666667</v>
      </c>
      <c r="M6" s="662">
        <f t="shared" si="0"/>
        <v>560.91023216666667</v>
      </c>
    </row>
    <row r="8" spans="1:13">
      <c r="A8" s="661" t="s">
        <v>980</v>
      </c>
      <c r="B8" s="647"/>
      <c r="C8" s="647"/>
      <c r="D8" s="647"/>
      <c r="E8" s="647"/>
      <c r="F8" s="647"/>
      <c r="G8" s="647"/>
      <c r="H8" s="647"/>
      <c r="I8" s="647"/>
      <c r="J8" s="647"/>
      <c r="K8" s="647"/>
      <c r="L8" s="647"/>
      <c r="M8" s="647"/>
    </row>
    <row r="9" spans="1:13">
      <c r="A9" s="655" t="s">
        <v>966</v>
      </c>
      <c r="B9" s="662">
        <v>101.05</v>
      </c>
      <c r="C9" s="662">
        <v>192.24</v>
      </c>
      <c r="D9" s="662">
        <v>182.38</v>
      </c>
      <c r="E9" s="662">
        <v>172.52</v>
      </c>
      <c r="F9" s="662">
        <v>162.66</v>
      </c>
      <c r="G9" s="662">
        <v>152.80000000000001</v>
      </c>
      <c r="H9" s="662">
        <v>142.94</v>
      </c>
      <c r="I9" s="662">
        <v>133.08000000000001</v>
      </c>
      <c r="J9" s="662">
        <v>123.22</v>
      </c>
      <c r="K9" s="662">
        <v>113.36</v>
      </c>
      <c r="L9" s="662">
        <v>103.5</v>
      </c>
      <c r="M9" s="662">
        <v>93.64</v>
      </c>
    </row>
    <row r="10" spans="1:13">
      <c r="A10" s="655" t="s">
        <v>963</v>
      </c>
      <c r="B10" s="662">
        <v>9.86</v>
      </c>
      <c r="C10" s="662">
        <v>9.86</v>
      </c>
      <c r="D10" s="662">
        <v>9.86</v>
      </c>
      <c r="E10" s="662">
        <v>9.86</v>
      </c>
      <c r="F10" s="662">
        <v>9.86</v>
      </c>
      <c r="G10" s="662">
        <v>9.86</v>
      </c>
      <c r="H10" s="662">
        <v>9.86</v>
      </c>
      <c r="I10" s="662">
        <v>9.86</v>
      </c>
      <c r="J10" s="662">
        <v>9.86</v>
      </c>
      <c r="K10" s="662">
        <v>9.86</v>
      </c>
      <c r="L10" s="662">
        <v>9.86</v>
      </c>
      <c r="M10" s="662">
        <v>9.86</v>
      </c>
    </row>
    <row r="11" spans="1:13">
      <c r="B11" s="508"/>
      <c r="C11" s="508"/>
      <c r="D11" s="508"/>
      <c r="E11" s="508"/>
      <c r="F11" s="508"/>
      <c r="G11" s="508"/>
      <c r="H11" s="508"/>
      <c r="I11" s="508"/>
      <c r="J11" s="508"/>
      <c r="K11" s="508"/>
      <c r="L11" s="508"/>
      <c r="M11" s="508"/>
    </row>
    <row r="12" spans="1:13">
      <c r="A12" s="648" t="s">
        <v>971</v>
      </c>
      <c r="B12" s="662"/>
      <c r="C12" s="662"/>
      <c r="D12" s="662"/>
      <c r="E12" s="662"/>
      <c r="F12" s="662"/>
      <c r="G12" s="662"/>
      <c r="H12" s="662"/>
      <c r="I12" s="662"/>
      <c r="J12" s="662"/>
      <c r="K12" s="662"/>
      <c r="L12" s="662"/>
      <c r="M12" s="662"/>
    </row>
    <row r="13" spans="1:13">
      <c r="A13" s="655" t="s">
        <v>966</v>
      </c>
      <c r="B13" s="663">
        <v>222201.76</v>
      </c>
      <c r="C13" s="662">
        <v>222201.76</v>
      </c>
      <c r="D13" s="662">
        <v>222201.76</v>
      </c>
      <c r="E13" s="662">
        <v>207343.22</v>
      </c>
      <c r="F13" s="662">
        <v>192484.68</v>
      </c>
      <c r="G13" s="662">
        <v>192484.68</v>
      </c>
      <c r="H13" s="662">
        <v>192484.68</v>
      </c>
      <c r="I13" s="662">
        <v>192484.68</v>
      </c>
      <c r="J13" s="662">
        <v>192484.68</v>
      </c>
      <c r="K13" s="662">
        <v>192484.68</v>
      </c>
      <c r="L13" s="662">
        <v>192484.68</v>
      </c>
      <c r="M13" s="662">
        <v>192484.68</v>
      </c>
    </row>
    <row r="14" spans="1:13">
      <c r="A14" s="655" t="s">
        <v>962</v>
      </c>
      <c r="B14" s="657">
        <v>2.7999999999999995E-3</v>
      </c>
      <c r="C14" s="657">
        <v>2.7999999999999995E-3</v>
      </c>
      <c r="D14" s="657">
        <v>2.7999999999999995E-3</v>
      </c>
      <c r="E14" s="657">
        <v>2.7999999999999995E-3</v>
      </c>
      <c r="F14" s="657">
        <v>2.7999999999999995E-3</v>
      </c>
      <c r="G14" s="657">
        <v>2.7999999999999995E-3</v>
      </c>
      <c r="H14" s="657">
        <v>2.7999999999999995E-3</v>
      </c>
      <c r="I14" s="657">
        <v>2.7999999999999995E-3</v>
      </c>
      <c r="J14" s="657">
        <v>2.7999999999999995E-3</v>
      </c>
      <c r="K14" s="657">
        <v>2.7999999999999995E-3</v>
      </c>
      <c r="L14" s="657">
        <v>2.7999999999999995E-3</v>
      </c>
      <c r="M14" s="657">
        <v>2.7999999999999995E-3</v>
      </c>
    </row>
    <row r="15" spans="1:13">
      <c r="A15" s="655" t="s">
        <v>963</v>
      </c>
      <c r="B15" s="662">
        <f t="shared" ref="B15:M15" si="1">+B13*B14</f>
        <v>622.16492799999992</v>
      </c>
      <c r="C15" s="662">
        <f t="shared" si="1"/>
        <v>622.16492799999992</v>
      </c>
      <c r="D15" s="662">
        <f t="shared" si="1"/>
        <v>622.16492799999992</v>
      </c>
      <c r="E15" s="662">
        <f t="shared" si="1"/>
        <v>580.56101599999988</v>
      </c>
      <c r="F15" s="662">
        <f t="shared" si="1"/>
        <v>538.95710399999984</v>
      </c>
      <c r="G15" s="662">
        <f t="shared" si="1"/>
        <v>538.95710399999984</v>
      </c>
      <c r="H15" s="662">
        <f t="shared" si="1"/>
        <v>538.95710399999984</v>
      </c>
      <c r="I15" s="662">
        <f t="shared" si="1"/>
        <v>538.95710399999984</v>
      </c>
      <c r="J15" s="662">
        <f t="shared" si="1"/>
        <v>538.95710399999984</v>
      </c>
      <c r="K15" s="662">
        <f t="shared" si="1"/>
        <v>538.95710399999984</v>
      </c>
      <c r="L15" s="662">
        <f t="shared" si="1"/>
        <v>538.95710399999984</v>
      </c>
      <c r="M15" s="662">
        <f t="shared" si="1"/>
        <v>538.95710399999984</v>
      </c>
    </row>
    <row r="16" spans="1:13">
      <c r="A16" s="655"/>
      <c r="B16" s="508"/>
      <c r="C16" s="508"/>
      <c r="D16" s="508"/>
      <c r="E16" s="508"/>
      <c r="F16" s="508"/>
      <c r="G16" s="508"/>
      <c r="H16" s="508"/>
      <c r="I16" s="508"/>
      <c r="J16" s="508"/>
      <c r="K16" s="508"/>
      <c r="L16" s="508"/>
      <c r="M16" s="508"/>
    </row>
    <row r="17" spans="1:13">
      <c r="A17" s="648" t="s">
        <v>972</v>
      </c>
      <c r="B17" s="662"/>
      <c r="C17" s="662"/>
      <c r="D17" s="662"/>
      <c r="E17" s="662"/>
      <c r="F17" s="662"/>
      <c r="G17" s="662"/>
      <c r="H17" s="662"/>
      <c r="I17" s="662"/>
      <c r="J17" s="662"/>
      <c r="K17" s="662"/>
      <c r="L17" s="662"/>
      <c r="M17" s="662"/>
    </row>
    <row r="18" spans="1:13">
      <c r="A18" s="655" t="s">
        <v>966</v>
      </c>
      <c r="B18" s="662"/>
      <c r="C18" s="662"/>
      <c r="D18" s="662"/>
      <c r="E18" s="662">
        <v>14858.54</v>
      </c>
      <c r="F18" s="662">
        <v>29717.08</v>
      </c>
      <c r="G18" s="662">
        <v>29717.08</v>
      </c>
      <c r="H18" s="662">
        <v>29717.08</v>
      </c>
      <c r="I18" s="662">
        <v>29717.08</v>
      </c>
      <c r="J18" s="662">
        <v>29717.08</v>
      </c>
      <c r="K18" s="662">
        <v>29717.08</v>
      </c>
      <c r="L18" s="662">
        <v>29717.08</v>
      </c>
      <c r="M18" s="662">
        <v>29717.08</v>
      </c>
    </row>
    <row r="19" spans="1:13">
      <c r="A19" s="655" t="s">
        <v>962</v>
      </c>
      <c r="B19" s="657">
        <v>0</v>
      </c>
      <c r="C19" s="657">
        <v>0</v>
      </c>
      <c r="D19" s="657">
        <v>0</v>
      </c>
      <c r="E19" s="657">
        <v>2.4333333333333334E-3</v>
      </c>
      <c r="F19" s="657">
        <v>2.4333333333333334E-3</v>
      </c>
      <c r="G19" s="657">
        <v>2.4333333333333334E-3</v>
      </c>
      <c r="H19" s="657">
        <v>2.4333333333333334E-3</v>
      </c>
      <c r="I19" s="657">
        <v>2.4333333333333334E-3</v>
      </c>
      <c r="J19" s="657">
        <v>2.4333333333333334E-3</v>
      </c>
      <c r="K19" s="657">
        <v>2.4333333333333334E-3</v>
      </c>
      <c r="L19" s="657">
        <v>2.4333333333333334E-3</v>
      </c>
      <c r="M19" s="657">
        <v>2.4333333333333334E-3</v>
      </c>
    </row>
    <row r="20" spans="1:13">
      <c r="A20" s="655" t="s">
        <v>963</v>
      </c>
      <c r="B20" s="662"/>
      <c r="C20" s="662"/>
      <c r="D20" s="662"/>
      <c r="E20" s="662">
        <f t="shared" ref="E20:M20" si="2">+E18*E19</f>
        <v>36.155780666666672</v>
      </c>
      <c r="F20" s="662">
        <f t="shared" si="2"/>
        <v>72.311561333333344</v>
      </c>
      <c r="G20" s="662">
        <f t="shared" si="2"/>
        <v>72.311561333333344</v>
      </c>
      <c r="H20" s="662">
        <f t="shared" si="2"/>
        <v>72.311561333333344</v>
      </c>
      <c r="I20" s="662">
        <f t="shared" si="2"/>
        <v>72.311561333333344</v>
      </c>
      <c r="J20" s="662">
        <f t="shared" si="2"/>
        <v>72.311561333333344</v>
      </c>
      <c r="K20" s="662">
        <f t="shared" si="2"/>
        <v>72.311561333333344</v>
      </c>
      <c r="L20" s="662">
        <f t="shared" si="2"/>
        <v>72.311561333333344</v>
      </c>
      <c r="M20" s="662">
        <f t="shared" si="2"/>
        <v>72.311561333333344</v>
      </c>
    </row>
    <row r="21" spans="1:13">
      <c r="B21" s="508"/>
      <c r="C21" s="508"/>
      <c r="D21" s="508"/>
      <c r="E21" s="508"/>
      <c r="F21" s="508"/>
      <c r="G21" s="508"/>
      <c r="H21" s="508"/>
      <c r="I21" s="508"/>
      <c r="J21" s="508"/>
      <c r="K21" s="508"/>
      <c r="L21" s="508"/>
      <c r="M21" s="508"/>
    </row>
    <row r="22" spans="1:13">
      <c r="A22" s="648" t="s">
        <v>973</v>
      </c>
      <c r="B22" s="662"/>
      <c r="C22" s="662"/>
      <c r="D22" s="662"/>
      <c r="E22" s="662"/>
      <c r="F22" s="662"/>
      <c r="G22" s="662"/>
      <c r="H22" s="662"/>
      <c r="I22" s="662"/>
      <c r="J22" s="662"/>
      <c r="K22" s="662"/>
      <c r="L22" s="662"/>
      <c r="M22" s="662"/>
    </row>
    <row r="23" spans="1:13">
      <c r="A23" s="655" t="s">
        <v>966</v>
      </c>
      <c r="B23" s="662"/>
      <c r="C23" s="662"/>
      <c r="D23" s="662"/>
      <c r="E23" s="662"/>
      <c r="F23" s="662">
        <v>-2916.665</v>
      </c>
      <c r="G23" s="662">
        <v>-8749.994999999999</v>
      </c>
      <c r="H23" s="662">
        <v>-14583.334999999999</v>
      </c>
      <c r="I23" s="662">
        <v>-20416.665000000001</v>
      </c>
      <c r="J23" s="662">
        <v>-26249.995000000003</v>
      </c>
      <c r="K23" s="662">
        <v>-32083.334999999999</v>
      </c>
      <c r="L23" s="662">
        <v>-37916.665000000001</v>
      </c>
      <c r="M23" s="662">
        <v>-43749.995000000003</v>
      </c>
    </row>
    <row r="24" spans="1:13">
      <c r="A24" s="655" t="s">
        <v>962</v>
      </c>
      <c r="B24" s="649"/>
      <c r="C24" s="649"/>
      <c r="D24" s="649"/>
      <c r="E24" s="649"/>
      <c r="F24" s="649">
        <v>1.6833333333333333E-3</v>
      </c>
      <c r="G24" s="649">
        <v>1.6833333333333333E-3</v>
      </c>
      <c r="H24" s="649">
        <v>1.6833333333333333E-3</v>
      </c>
      <c r="I24" s="649">
        <v>1.6833333333333333E-3</v>
      </c>
      <c r="J24" s="649">
        <v>1.6833333333333333E-3</v>
      </c>
      <c r="K24" s="649">
        <v>1.6833333333333333E-3</v>
      </c>
      <c r="L24" s="649">
        <v>1.6833333333333333E-3</v>
      </c>
      <c r="M24" s="649">
        <v>1.6833333333333333E-3</v>
      </c>
    </row>
    <row r="25" spans="1:13">
      <c r="A25" s="655" t="s">
        <v>963</v>
      </c>
      <c r="B25" s="662"/>
      <c r="C25" s="662"/>
      <c r="D25" s="662"/>
      <c r="E25" s="662"/>
      <c r="F25" s="662">
        <f>+F23*F24</f>
        <v>-4.9097194166666664</v>
      </c>
      <c r="G25" s="662">
        <f t="shared" ref="G25:M25" si="3">+G23*G24</f>
        <v>-14.729158249999998</v>
      </c>
      <c r="H25" s="662">
        <f t="shared" si="3"/>
        <v>-24.548613916666664</v>
      </c>
      <c r="I25" s="662">
        <f t="shared" si="3"/>
        <v>-34.368052750000004</v>
      </c>
      <c r="J25" s="662">
        <f t="shared" si="3"/>
        <v>-44.18749158333334</v>
      </c>
      <c r="K25" s="662">
        <f t="shared" si="3"/>
        <v>-54.006947249999996</v>
      </c>
      <c r="L25" s="662">
        <f t="shared" si="3"/>
        <v>-63.826386083333333</v>
      </c>
      <c r="M25" s="662">
        <f t="shared" si="3"/>
        <v>-73.645824916666669</v>
      </c>
    </row>
    <row r="26" spans="1:13">
      <c r="B26" s="508"/>
      <c r="C26" s="508"/>
      <c r="D26" s="508"/>
      <c r="E26" s="508"/>
      <c r="F26" s="508"/>
      <c r="G26" s="508"/>
      <c r="H26" s="508"/>
      <c r="I26" s="508"/>
      <c r="J26" s="508"/>
      <c r="K26" s="508"/>
      <c r="L26" s="508"/>
      <c r="M26" s="508"/>
    </row>
    <row r="27" spans="1:13">
      <c r="A27" s="648" t="s">
        <v>974</v>
      </c>
      <c r="B27" s="662"/>
      <c r="C27" s="662"/>
      <c r="D27" s="662"/>
      <c r="E27" s="662"/>
      <c r="F27" s="662"/>
      <c r="G27" s="662"/>
      <c r="H27" s="662"/>
      <c r="I27" s="662"/>
      <c r="J27" s="662"/>
      <c r="K27" s="662"/>
      <c r="L27" s="662"/>
      <c r="M27" s="662"/>
    </row>
    <row r="28" spans="1:13">
      <c r="A28" s="655" t="s">
        <v>966</v>
      </c>
      <c r="B28" s="663">
        <v>40986745.140000001</v>
      </c>
      <c r="C28" s="663">
        <v>41002806.329999998</v>
      </c>
      <c r="D28" s="663">
        <v>40867182.695</v>
      </c>
      <c r="E28" s="663">
        <v>40732222.455000006</v>
      </c>
      <c r="F28" s="663">
        <v>40741066.420000002</v>
      </c>
      <c r="G28" s="663">
        <v>40746830.740000002</v>
      </c>
      <c r="H28" s="663">
        <v>40746830.740000002</v>
      </c>
      <c r="I28" s="663">
        <v>40746830.740000002</v>
      </c>
      <c r="J28" s="663">
        <v>40746830.740000002</v>
      </c>
      <c r="K28" s="663">
        <v>40746830.740000002</v>
      </c>
      <c r="L28" s="663">
        <v>40746830.740000002</v>
      </c>
      <c r="M28" s="663">
        <v>41454643.68</v>
      </c>
    </row>
    <row r="29" spans="1:13">
      <c r="A29" s="655" t="s">
        <v>962</v>
      </c>
      <c r="B29" s="657">
        <v>1.7083333333333332E-3</v>
      </c>
      <c r="C29" s="657">
        <v>1.7083333333333332E-3</v>
      </c>
      <c r="D29" s="657">
        <v>1.7083333333333332E-3</v>
      </c>
      <c r="E29" s="657">
        <v>1.7083333333333332E-3</v>
      </c>
      <c r="F29" s="657">
        <v>1.7083333333333332E-3</v>
      </c>
      <c r="G29" s="657">
        <v>1.7083333333333332E-3</v>
      </c>
      <c r="H29" s="657">
        <v>1.7083333333333332E-3</v>
      </c>
      <c r="I29" s="657">
        <v>1.7083333333333332E-3</v>
      </c>
      <c r="J29" s="657">
        <v>1.7083333333333332E-3</v>
      </c>
      <c r="K29" s="657">
        <v>1.7083333333333332E-3</v>
      </c>
      <c r="L29" s="657">
        <v>1.7083333333333332E-3</v>
      </c>
      <c r="M29" s="657">
        <v>1.7083333333333332E-3</v>
      </c>
    </row>
    <row r="30" spans="1:13">
      <c r="A30" s="655" t="s">
        <v>963</v>
      </c>
      <c r="B30" s="663">
        <f t="shared" ref="B30:M30" si="4">+B28*B29</f>
        <v>70019.022947499994</v>
      </c>
      <c r="C30" s="663">
        <f t="shared" si="4"/>
        <v>70046.460813749989</v>
      </c>
      <c r="D30" s="663">
        <f t="shared" si="4"/>
        <v>69814.770437291663</v>
      </c>
      <c r="E30" s="663">
        <f t="shared" si="4"/>
        <v>69584.213360624999</v>
      </c>
      <c r="F30" s="663">
        <f t="shared" si="4"/>
        <v>69599.321800833335</v>
      </c>
      <c r="G30" s="663">
        <f t="shared" si="4"/>
        <v>69609.169180833327</v>
      </c>
      <c r="H30" s="663">
        <f t="shared" si="4"/>
        <v>69609.169180833327</v>
      </c>
      <c r="I30" s="663">
        <f t="shared" si="4"/>
        <v>69609.169180833327</v>
      </c>
      <c r="J30" s="663">
        <f t="shared" si="4"/>
        <v>69609.169180833327</v>
      </c>
      <c r="K30" s="663">
        <f t="shared" si="4"/>
        <v>69609.169180833327</v>
      </c>
      <c r="L30" s="663">
        <f t="shared" si="4"/>
        <v>69609.169180833327</v>
      </c>
      <c r="M30" s="663">
        <f t="shared" si="4"/>
        <v>70818.349619999994</v>
      </c>
    </row>
    <row r="31" spans="1:13">
      <c r="B31" s="508"/>
      <c r="C31" s="508"/>
      <c r="D31" s="508"/>
      <c r="E31" s="508"/>
      <c r="F31" s="508"/>
      <c r="G31" s="508"/>
      <c r="H31" s="508"/>
      <c r="I31" s="508"/>
      <c r="J31" s="508"/>
      <c r="K31" s="508"/>
      <c r="L31" s="508"/>
      <c r="M31" s="508"/>
    </row>
    <row r="32" spans="1:13">
      <c r="A32" s="648" t="s">
        <v>975</v>
      </c>
      <c r="B32" s="662"/>
      <c r="C32" s="662"/>
      <c r="D32" s="662"/>
      <c r="E32" s="662"/>
      <c r="F32" s="662"/>
      <c r="G32" s="662"/>
      <c r="H32" s="662"/>
      <c r="I32" s="662"/>
      <c r="J32" s="662"/>
      <c r="K32" s="662"/>
      <c r="L32" s="662"/>
      <c r="M32" s="662"/>
    </row>
    <row r="33" spans="1:14">
      <c r="A33" s="655" t="s">
        <v>966</v>
      </c>
      <c r="B33" s="663">
        <v>34838849.844999999</v>
      </c>
      <c r="C33" s="663">
        <v>34852501.915000007</v>
      </c>
      <c r="D33" s="663">
        <v>34737221.450000003</v>
      </c>
      <c r="E33" s="663">
        <v>34622504.859999999</v>
      </c>
      <c r="F33" s="663">
        <v>34627105.580000006</v>
      </c>
      <c r="G33" s="663">
        <v>34626171.935000002</v>
      </c>
      <c r="H33" s="663">
        <v>34620338.605000004</v>
      </c>
      <c r="I33" s="663">
        <v>34614505.265000001</v>
      </c>
      <c r="J33" s="663">
        <v>34608671.935000002</v>
      </c>
      <c r="K33" s="663">
        <v>34602838.605000004</v>
      </c>
      <c r="L33" s="663">
        <v>34597005.265000001</v>
      </c>
      <c r="M33" s="663">
        <v>35192814.945</v>
      </c>
    </row>
    <row r="34" spans="1:14">
      <c r="A34" s="655" t="s">
        <v>962</v>
      </c>
      <c r="B34" s="657">
        <v>2.5833333333333337E-3</v>
      </c>
      <c r="C34" s="657">
        <v>2.5833333333333337E-3</v>
      </c>
      <c r="D34" s="657">
        <v>2.5833333333333337E-3</v>
      </c>
      <c r="E34" s="657">
        <v>2.5833333333333337E-3</v>
      </c>
      <c r="F34" s="657">
        <v>2.5833333333333337E-3</v>
      </c>
      <c r="G34" s="657">
        <v>2.5833333333333337E-3</v>
      </c>
      <c r="H34" s="657">
        <v>2.5833333333333337E-3</v>
      </c>
      <c r="I34" s="657">
        <v>2.5833333333333337E-3</v>
      </c>
      <c r="J34" s="657">
        <v>2.5833333333333337E-3</v>
      </c>
      <c r="K34" s="657">
        <v>2.5833333333333337E-3</v>
      </c>
      <c r="L34" s="657">
        <v>2.5833333333333337E-3</v>
      </c>
      <c r="M34" s="657">
        <v>2.5833333333333337E-3</v>
      </c>
    </row>
    <row r="35" spans="1:14">
      <c r="A35" s="655" t="s">
        <v>963</v>
      </c>
      <c r="B35" s="663">
        <f t="shared" ref="B35:M35" si="5">+B33*B34</f>
        <v>90000.362099583348</v>
      </c>
      <c r="C35" s="663">
        <f t="shared" si="5"/>
        <v>90035.629947083362</v>
      </c>
      <c r="D35" s="663">
        <f t="shared" si="5"/>
        <v>89737.822079166683</v>
      </c>
      <c r="E35" s="663">
        <f t="shared" si="5"/>
        <v>89441.470888333351</v>
      </c>
      <c r="F35" s="663">
        <f t="shared" si="5"/>
        <v>89453.356081666701</v>
      </c>
      <c r="G35" s="663">
        <f t="shared" si="5"/>
        <v>89450.944165416688</v>
      </c>
      <c r="H35" s="663">
        <f t="shared" si="5"/>
        <v>89435.87472958336</v>
      </c>
      <c r="I35" s="663">
        <f t="shared" si="5"/>
        <v>89420.805267916687</v>
      </c>
      <c r="J35" s="663">
        <f t="shared" si="5"/>
        <v>89405.735832083359</v>
      </c>
      <c r="K35" s="663">
        <f t="shared" si="5"/>
        <v>89390.666396250032</v>
      </c>
      <c r="L35" s="663">
        <f t="shared" si="5"/>
        <v>89375.596934583344</v>
      </c>
      <c r="M35" s="663">
        <f t="shared" si="5"/>
        <v>90914.771941250016</v>
      </c>
    </row>
    <row r="38" spans="1:14">
      <c r="A38" s="664" t="s">
        <v>967</v>
      </c>
      <c r="B38" s="663">
        <f>+B35+B30+B25+B21+B10+B6+B15</f>
        <v>161212.32020725001</v>
      </c>
      <c r="C38" s="663">
        <f>+C35+C30+C25+C21+C10+C6+C15</f>
        <v>161275.02592100002</v>
      </c>
      <c r="D38" s="663">
        <f>+D35+D30+D25+D21+D10+D6+D15</f>
        <v>160745.52767662503</v>
      </c>
      <c r="E38" s="663">
        <f t="shared" ref="E38:M38" si="6">+E35+E30+E25+E20+E10+E6+E15</f>
        <v>160213.17127779167</v>
      </c>
      <c r="F38" s="663">
        <f t="shared" si="6"/>
        <v>160229.80706058338</v>
      </c>
      <c r="G38" s="663">
        <f t="shared" si="6"/>
        <v>160227.42308550002</v>
      </c>
      <c r="H38" s="663">
        <f t="shared" si="6"/>
        <v>160202.53419400001</v>
      </c>
      <c r="I38" s="663">
        <f t="shared" si="6"/>
        <v>160177.64529350001</v>
      </c>
      <c r="J38" s="663">
        <f t="shared" si="6"/>
        <v>160152.75641883333</v>
      </c>
      <c r="K38" s="663">
        <f t="shared" si="6"/>
        <v>160127.86752733335</v>
      </c>
      <c r="L38" s="663">
        <f t="shared" si="6"/>
        <v>160102.97862683333</v>
      </c>
      <c r="M38" s="663">
        <f t="shared" si="6"/>
        <v>162841.51463383334</v>
      </c>
    </row>
    <row r="41" spans="1:14">
      <c r="B41" s="656"/>
      <c r="C41" s="656"/>
      <c r="D41" s="656"/>
      <c r="E41" s="656"/>
      <c r="F41" s="656"/>
      <c r="G41" s="656"/>
      <c r="H41" s="656"/>
      <c r="I41" s="656"/>
      <c r="J41" s="656"/>
      <c r="K41" s="656"/>
      <c r="L41" s="656"/>
      <c r="M41" s="656"/>
    </row>
    <row r="43" spans="1:14">
      <c r="B43" s="650"/>
      <c r="C43" s="650"/>
      <c r="D43" s="650"/>
      <c r="E43" s="650"/>
      <c r="F43" s="650"/>
      <c r="G43" s="650"/>
      <c r="H43" s="650"/>
      <c r="I43" s="650"/>
      <c r="J43" s="650"/>
      <c r="K43" s="650"/>
      <c r="L43" s="650"/>
      <c r="M43" s="650"/>
    </row>
    <row r="44" spans="1:14">
      <c r="B44" s="647"/>
      <c r="C44" s="647"/>
      <c r="D44" s="647"/>
      <c r="E44" s="647"/>
      <c r="F44" s="647"/>
      <c r="G44" s="647"/>
      <c r="H44" s="647"/>
      <c r="I44" s="647"/>
      <c r="J44" s="647"/>
      <c r="K44" s="647"/>
      <c r="L44" s="647"/>
      <c r="M44" s="647"/>
    </row>
    <row r="46" spans="1:14">
      <c r="B46" s="651"/>
      <c r="C46" s="651"/>
      <c r="D46" s="651"/>
      <c r="E46" s="651"/>
      <c r="F46" s="651"/>
      <c r="G46" s="651"/>
      <c r="H46" s="651"/>
      <c r="I46" s="651"/>
      <c r="J46" s="651"/>
      <c r="K46" s="651"/>
      <c r="L46" s="651"/>
      <c r="M46" s="651"/>
    </row>
    <row r="47" spans="1:14">
      <c r="B47" s="651"/>
      <c r="C47" s="651"/>
      <c r="D47" s="651"/>
      <c r="E47" s="651"/>
      <c r="F47" s="651"/>
      <c r="G47" s="651"/>
      <c r="H47" s="651"/>
      <c r="I47" s="651"/>
      <c r="J47" s="651"/>
      <c r="K47" s="651"/>
      <c r="L47" s="651"/>
      <c r="M47" s="651"/>
    </row>
    <row r="48" spans="1:14">
      <c r="A48" s="658"/>
      <c r="B48" s="659"/>
      <c r="C48" s="659"/>
      <c r="D48" s="659"/>
      <c r="E48" s="659"/>
      <c r="F48" s="659"/>
      <c r="G48" s="659"/>
      <c r="H48" s="659"/>
      <c r="I48" s="659"/>
      <c r="J48" s="659"/>
      <c r="K48" s="659"/>
      <c r="L48" s="659"/>
      <c r="M48" s="659"/>
      <c r="N48" s="658"/>
    </row>
    <row r="49" spans="1:14">
      <c r="A49" s="658"/>
      <c r="B49" s="660"/>
      <c r="C49" s="660"/>
      <c r="D49" s="660"/>
      <c r="E49" s="660"/>
      <c r="F49" s="660"/>
      <c r="G49" s="660"/>
      <c r="H49" s="660"/>
      <c r="I49" s="660"/>
      <c r="J49" s="660"/>
      <c r="K49" s="660"/>
      <c r="L49" s="660"/>
      <c r="M49" s="660"/>
      <c r="N49" s="658"/>
    </row>
    <row r="50" spans="1:14">
      <c r="A50" s="658"/>
      <c r="B50" s="660"/>
      <c r="C50" s="660"/>
      <c r="D50" s="660"/>
      <c r="E50" s="660"/>
      <c r="F50" s="660"/>
      <c r="G50" s="660"/>
      <c r="H50" s="660"/>
      <c r="I50" s="660"/>
      <c r="J50" s="660"/>
      <c r="K50" s="660"/>
      <c r="L50" s="660"/>
      <c r="M50" s="660"/>
      <c r="N50" s="658"/>
    </row>
    <row r="51" spans="1:14">
      <c r="A51" s="658"/>
      <c r="B51" s="660"/>
      <c r="C51" s="660"/>
      <c r="D51" s="660"/>
      <c r="E51" s="660"/>
      <c r="F51" s="660"/>
      <c r="G51" s="660"/>
      <c r="H51" s="660"/>
      <c r="I51" s="660"/>
      <c r="J51" s="660"/>
      <c r="K51" s="660"/>
      <c r="L51" s="660"/>
      <c r="M51" s="660"/>
      <c r="N51" s="658"/>
    </row>
    <row r="52" spans="1:14">
      <c r="A52" s="658"/>
      <c r="B52" s="660"/>
      <c r="C52" s="660"/>
      <c r="D52" s="660"/>
      <c r="E52" s="660"/>
      <c r="F52" s="660"/>
      <c r="G52" s="660"/>
      <c r="H52" s="660"/>
      <c r="I52" s="660"/>
      <c r="J52" s="660"/>
      <c r="K52" s="660"/>
      <c r="L52" s="660"/>
      <c r="M52" s="660"/>
      <c r="N52" s="658"/>
    </row>
    <row r="53" spans="1:14">
      <c r="A53" s="658"/>
      <c r="B53" s="660"/>
      <c r="C53" s="660"/>
      <c r="D53" s="660"/>
      <c r="E53" s="660"/>
      <c r="F53" s="660"/>
      <c r="G53" s="660"/>
      <c r="H53" s="660"/>
      <c r="I53" s="660"/>
      <c r="J53" s="660"/>
      <c r="K53" s="660"/>
      <c r="L53" s="660"/>
      <c r="M53" s="660"/>
      <c r="N53" s="658"/>
    </row>
    <row r="54" spans="1:14">
      <c r="A54" s="658"/>
      <c r="B54" s="660"/>
      <c r="C54" s="660"/>
      <c r="D54" s="660"/>
      <c r="E54" s="660"/>
      <c r="F54" s="660"/>
      <c r="G54" s="660"/>
      <c r="H54" s="660"/>
      <c r="I54" s="660"/>
      <c r="J54" s="660"/>
      <c r="K54" s="660"/>
      <c r="L54" s="660"/>
      <c r="M54" s="660"/>
      <c r="N54" s="658"/>
    </row>
    <row r="55" spans="1:14">
      <c r="A55" s="658"/>
      <c r="B55" s="660"/>
      <c r="C55" s="660"/>
      <c r="D55" s="660"/>
      <c r="E55" s="660"/>
      <c r="F55" s="660"/>
      <c r="G55" s="660"/>
      <c r="H55" s="660"/>
      <c r="I55" s="660"/>
      <c r="J55" s="660"/>
      <c r="K55" s="660"/>
      <c r="L55" s="660"/>
      <c r="M55" s="660"/>
      <c r="N55" s="658"/>
    </row>
    <row r="56" spans="1:14">
      <c r="A56" s="658"/>
      <c r="B56" s="660"/>
      <c r="C56" s="660"/>
      <c r="D56" s="660"/>
      <c r="E56" s="660"/>
      <c r="F56" s="660"/>
      <c r="G56" s="660"/>
      <c r="H56" s="660"/>
      <c r="I56" s="660"/>
      <c r="J56" s="660"/>
      <c r="K56" s="660"/>
      <c r="L56" s="660"/>
      <c r="M56" s="660"/>
      <c r="N56" s="658"/>
    </row>
    <row r="57" spans="1:14">
      <c r="A57" s="658"/>
      <c r="B57" s="658"/>
      <c r="C57" s="658"/>
      <c r="D57" s="658"/>
      <c r="E57" s="658"/>
      <c r="F57" s="658"/>
      <c r="G57" s="658"/>
      <c r="H57" s="658"/>
      <c r="I57" s="658"/>
      <c r="J57" s="658"/>
      <c r="K57" s="658"/>
      <c r="L57" s="658"/>
      <c r="M57" s="658"/>
      <c r="N57" s="658"/>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ttachments_x003f_ xmlns="aadd0342-31d1-4c04-a463-b8f8db845b9c" xsi:nil="true"/>
    <Theme xmlns="aadd0342-31d1-4c04-a463-b8f8db845b9c" xsi:nil="true"/>
    <Priority_x003f_ xmlns="aadd0342-31d1-4c04-a463-b8f8db845b9c" xsi:nil="true"/>
    <Set_x0020__x0023_ xmlns="aadd0342-31d1-4c04-a463-b8f8db845b9c" xsi:nil="true"/>
    <DateReceived xmlns="aadd0342-31d1-4c04-a463-b8f8db845b9c" xsi:nil="true"/>
    <Drafter_x0020_new xmlns="aadd0342-31d1-4c04-a463-b8f8db845b9c" xsi:nil="true"/>
    <Status xmlns="aadd0342-31d1-4c04-a463-b8f8db845b9c">Ready for Management Review</Status>
    <Topic xmlns="aadd0342-31d1-4c04-a463-b8f8db845b9c" xsi:nil="true"/>
    <Exhibit xmlns="aadd0342-31d1-4c04-a463-b8f8db845b9c" xsi:nil="true"/>
    <DateDue xmlns="aadd0342-31d1-4c04-a463-b8f8db845b9c" xsi:nil="true"/>
    <DR_x0020__x0023_ xmlns="aadd0342-31d1-4c04-a463-b8f8db845b9c" xsi:nil="true"/>
    <Application_x0020_Reference xmlns="aadd0342-31d1-4c04-a463-b8f8db845b9c" xsi:nil="true"/>
    <Subtopic xmlns="aadd0342-31d1-4c04-a463-b8f8db845b9c" xsi:nil="true"/>
    <Object_x003f_ xmlns="aadd0342-31d1-4c04-a463-b8f8db845b9c" xsi:nil="true"/>
    <Focus xmlns="aadd0342-31d1-4c04-a463-b8f8db845b9c" xsi:nil="true"/>
    <Party xmlns="aadd0342-31d1-4c04-a463-b8f8db845b9c" xsi:nil="true"/>
    <Reg_x0020_Analyst xmlns="aadd0342-31d1-4c04-a463-b8f8db845b9c" xsi:nil="true"/>
    <Support xmlns="aadd0342-31d1-4c04-a463-b8f8db845b9c">
      <UserInfo>
        <DisplayName/>
        <AccountId xsi:nil="true"/>
        <AccountType/>
      </UserInfo>
    </Support>
    <Witness xmlns="aadd0342-31d1-4c04-a463-b8f8db845b9c" xsi:nil="true"/>
    <Tab_x0023_ xmlns="aadd0342-31d1-4c04-a463-b8f8db845b9c" xsi:nil="true"/>
    <Attorney xmlns="aadd0342-31d1-4c04-a463-b8f8db845b9c" xsi:nil="true"/>
    <Need_x0020_to_x0020_Supplement_x003f_ xmlns="aadd0342-31d1-4c04-a463-b8f8db845b9c" xsi:nil="true"/>
    <Management_x0020_Review_x0020_Required_x0020_By xmlns="aadd0342-31d1-4c04-a463-b8f8db845b9c" xsi:nil="true"/>
    <Comments xmlns="aadd0342-31d1-4c04-a463-b8f8db845b9c" xsi:nil="true"/>
    <Confidential_x003f_ xmlns="aadd0342-31d1-4c04-a463-b8f8db845b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1D6F0B4B4D3B4081F69479300D4DD5" ma:contentTypeVersion="2" ma:contentTypeDescription="Create a new document." ma:contentTypeScope="" ma:versionID="4bb68790020f77fd50e7eef165ea2fcf">
  <xsd:schema xmlns:xsd="http://www.w3.org/2001/XMLSchema" xmlns:xs="http://www.w3.org/2001/XMLSchema" xmlns:p="http://schemas.microsoft.com/office/2006/metadata/properties" xmlns:ns2="aadd0342-31d1-4c04-a463-b8f8db845b9c" targetNamespace="http://schemas.microsoft.com/office/2006/metadata/properties" ma:root="true" ma:fieldsID="94b4634749e6b469606efe477c7352b3" ns2:_="">
    <xsd:import namespace="aadd0342-31d1-4c04-a463-b8f8db845b9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Set_x0020__x0023_" minOccurs="0"/>
                <xsd:element ref="ns2:DateReceived" minOccurs="0"/>
                <xsd:element ref="ns2:DateDue" minOccurs="0"/>
                <xsd:element ref="ns2:Status"/>
                <xsd:element ref="ns2:Comments" minOccurs="0"/>
                <xsd:element ref="ns2:Attachments_x003f_" minOccurs="0"/>
                <xsd:element ref="ns2:Confidential_x003f_" minOccurs="0"/>
                <xsd:element ref="ns2:Topic" minOccurs="0"/>
                <xsd:element ref="ns2:SharedWithUsers" minOccurs="0"/>
                <xsd:element ref="ns2:SharedWithDetails" minOccurs="0"/>
                <xsd:element ref="ns2:Party" minOccurs="0"/>
                <xsd:element ref="ns2:Attorney" minOccurs="0"/>
                <xsd:element ref="ns2:Reg_x0020_Analyst" minOccurs="0"/>
                <xsd:element ref="ns2:Witness" minOccurs="0"/>
                <xsd:element ref="ns2:Object_x003f_" minOccurs="0"/>
                <xsd:element ref="ns2:Theme" minOccurs="0"/>
                <xsd:element ref="ns2:Need_x0020_to_x0020_Supplement_x003f_" minOccurs="0"/>
                <xsd:element ref="ns2:Priority_x003f_" minOccurs="0"/>
                <xsd:element ref="ns2:Application_x0020_Reference" minOccurs="0"/>
                <xsd:element ref="ns2:Exhibit" minOccurs="0"/>
                <xsd:element ref="ns2:DR_x0020__x0023_" minOccurs="0"/>
                <xsd:element ref="ns2:Tab_x0023_" minOccurs="0"/>
                <xsd:element ref="ns2:Support" minOccurs="0"/>
                <xsd:element ref="ns2:Management_x0020_Review_x0020_Required_x0020_By" minOccurs="0"/>
                <xsd:element ref="ns2:Subtopic" minOccurs="0"/>
                <xsd:element ref="ns2:Drafter_x0020_new" minOccurs="0"/>
                <xsd:element ref="ns2:MediaServiceSearchProperties" minOccurs="0"/>
                <xsd:element ref="ns2:Foc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d0342-31d1-4c04-a463-b8f8db845b9c"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Set_x0020__x0023_" ma:index="11" nillable="true" ma:displayName="Set #" ma:description="Sub-section of the entire discovery.&#10;Example:&#10;Discovery versions (applicable to the same discovery)" ma:format="Dropdown" ma:internalName="Set_x0020__x0023_">
      <xsd:simpleType>
        <xsd:restriction base="dms:Choice">
          <xsd:enumeration value="1st"/>
          <xsd:enumeration value="2nd"/>
          <xsd:enumeration value="3rd"/>
          <xsd:enumeration value="4th"/>
          <xsd:enumeration value="5th"/>
        </xsd:restriction>
      </xsd:simpleType>
    </xsd:element>
    <xsd:element name="DateReceived" ma:index="12" nillable="true" ma:displayName="Date Received" ma:description="Date discovery was received" ma:format="DateOnly" ma:internalName="DateReceived">
      <xsd:simpleType>
        <xsd:restriction base="dms:DateTime"/>
      </xsd:simpleType>
    </xsd:element>
    <xsd:element name="DateDue" ma:index="13" nillable="true" ma:displayName="Date Due" ma:description="Date Discovery is Due to be filed" ma:format="DateOnly" ma:internalName="DateDue">
      <xsd:simpleType>
        <xsd:restriction base="dms:DateTime"/>
      </xsd:simpleType>
    </xsd:element>
    <xsd:element name="Status" ma:index="14" ma:displayName="Status" ma:default="New" ma:description="Status of Discovery Response" ma:format="RadioButtons" ma:internalName="Status">
      <xsd:simpleType>
        <xsd:restriction base="dms:Choice">
          <xsd:enumeration value="New"/>
          <xsd:enumeration value="Accepted"/>
          <xsd:enumeration value="Drafting"/>
          <xsd:enumeration value="Ready for Witness Review"/>
          <xsd:enumeration value="In Witness Review"/>
          <xsd:enumeration value="Ready for Attorney Review"/>
          <xsd:enumeration value="In Attorney Review"/>
          <xsd:enumeration value="Ready for Management Review"/>
          <xsd:enumeration value="In Management Review"/>
          <xsd:enumeration value="Returned to Drafter"/>
          <xsd:enumeration value="QA Review"/>
          <xsd:enumeration value="Ready to File"/>
          <xsd:enumeration value="Filed"/>
        </xsd:restriction>
      </xsd:simpleType>
    </xsd:element>
    <xsd:element name="Comments" ma:index="15" nillable="true" ma:displayName="Comments" ma:format="Dropdown" ma:internalName="Comments">
      <xsd:simpleType>
        <xsd:restriction base="dms:Text">
          <xsd:maxLength value="255"/>
        </xsd:restriction>
      </xsd:simpleType>
    </xsd:element>
    <xsd:element name="Attachments_x003f_" ma:index="16" nillable="true" ma:displayName="Attachments?" ma:format="RadioButtons" ma:internalName="Attachments_x003f_">
      <xsd:simpleType>
        <xsd:restriction base="dms:Choice">
          <xsd:enumeration value="Yes"/>
          <xsd:enumeration value="No"/>
        </xsd:restriction>
      </xsd:simpleType>
    </xsd:element>
    <xsd:element name="Confidential_x003f_" ma:index="17" nillable="true" ma:displayName="Confidential?" ma:format="RadioButtons" ma:internalName="Confidential_x003f_">
      <xsd:simpleType>
        <xsd:restriction base="dms:Choice">
          <xsd:enumeration value="Yes"/>
          <xsd:enumeration value="No"/>
        </xsd:restriction>
      </xsd:simpleType>
    </xsd:element>
    <xsd:element name="Topic" ma:index="18" nillable="true" ma:displayName="Topic" ma:format="Dropdown" ma:internalName="Topic">
      <xsd:simpleType>
        <xsd:restriction base="dms:Choice">
          <xsd:enumeration value="Application"/>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Party" ma:index="21" nillable="true" ma:displayName="Party" ma:description="The Party that sends us Discovery Questions" ma:format="Dropdown" ma:internalName="Party">
      <xsd:simpleType>
        <xsd:restriction base="dms:Choice">
          <xsd:enumeration value="STAFF"/>
          <xsd:enumeration value="Theresa Ghiorzi"/>
          <xsd:enumeration value="Keryn Newman"/>
        </xsd:restriction>
      </xsd:simpleType>
    </xsd:element>
    <xsd:element name="Attorney" ma:index="22" nillable="true" ma:displayName="Attorney" ma:description="Name of In-House Attorney" ma:format="RadioButtons" ma:internalName="Attorney">
      <xsd:complexType>
        <xsd:complexContent>
          <xsd:extension base="dms:MultiChoice">
            <xsd:sequence>
              <xsd:element name="Value" maxOccurs="unbounded" minOccurs="0" nillable="true">
                <xsd:simpleType>
                  <xsd:restriction base="dms:Choice">
                    <xsd:enumeration value="Mark Johnson"/>
                    <xsd:enumeration value="Anna Galanis"/>
                    <xsd:enumeration value="Travis Contratto"/>
                    <xsd:enumeration value="Justin Moeller"/>
                    <xsd:enumeration value="Kat O'Konski"/>
                  </xsd:restriction>
                </xsd:simpleType>
              </xsd:element>
            </xsd:sequence>
          </xsd:extension>
        </xsd:complexContent>
      </xsd:complexType>
    </xsd:element>
    <xsd:element name="Reg_x0020_Analyst" ma:index="23" nillable="true" ma:displayName="Reg Analyst" ma:format="Dropdown" ma:internalName="Reg_x0020_Analyst">
      <xsd:simpleType>
        <xsd:restriction base="dms:Choice">
          <xsd:enumeration value="Amy Lowe"/>
          <xsd:enumeration value="Laura Fowler"/>
          <xsd:enumeration value="CJ Johnson"/>
        </xsd:restriction>
      </xsd:simpleType>
    </xsd:element>
    <xsd:element name="Witness" ma:index="24" nillable="true" ma:displayName="Witness" ma:format="Dropdown" ma:internalName="Witness">
      <xsd:complexType>
        <xsd:complexContent>
          <xsd:extension base="dms:MultiChoice">
            <xsd:sequence>
              <xsd:element name="Value" maxOccurs="unbounded" minOccurs="0" nillable="true">
                <xsd:simpleType>
                  <xsd:restriction base="dms:Choice">
                    <xsd:enumeration value="Stephanie Castaneda"/>
                  </xsd:restriction>
                </xsd:simpleType>
              </xsd:element>
            </xsd:sequence>
          </xsd:extension>
        </xsd:complexContent>
      </xsd:complexType>
    </xsd:element>
    <xsd:element name="Object_x003f_" ma:index="25" nillable="true" ma:displayName="Object?" ma:format="RadioButtons" ma:internalName="Object_x003f_">
      <xsd:simpleType>
        <xsd:restriction base="dms:Choice">
          <xsd:enumeration value="Yes- but provide response"/>
          <xsd:enumeration value="Yes- No response"/>
          <xsd:enumeration value="No"/>
        </xsd:restriction>
      </xsd:simpleType>
    </xsd:element>
    <xsd:element name="Theme" ma:index="26" nillable="true" ma:displayName="Theme" ma:format="Dropdown" ma:internalName="Theme">
      <xsd:simpleType>
        <xsd:restriction base="dms:Choice">
          <xsd:enumeration value="Additional Info Needed"/>
          <xsd:enumeration value="Prudence/Wasteful"/>
          <xsd:enumeration value="Transparency"/>
          <xsd:enumeration value="Responsiveness"/>
          <xsd:enumeration value="Motives/ Integrity"/>
        </xsd:restriction>
      </xsd:simpleType>
    </xsd:element>
    <xsd:element name="Need_x0020_to_x0020_Supplement_x003f_" ma:index="27" nillable="true" ma:displayName="Need to Supplement?" ma:format="Dropdown" ma:internalName="Need_x0020_to_x0020_Supplement_x003f_">
      <xsd:simpleType>
        <xsd:restriction base="dms:Choice">
          <xsd:enumeration value="Yes"/>
          <xsd:enumeration value="No"/>
          <xsd:enumeration value="Submitted"/>
        </xsd:restriction>
      </xsd:simpleType>
    </xsd:element>
    <xsd:element name="Priority_x003f_" ma:index="28" nillable="true" ma:displayName="Strategic" ma:format="Dropdown" ma:internalName="Priority_x003f_">
      <xsd:simpleType>
        <xsd:restriction base="dms:Choice">
          <xsd:enumeration value="Yes"/>
          <xsd:enumeration value="No"/>
        </xsd:restriction>
      </xsd:simpleType>
    </xsd:element>
    <xsd:element name="Application_x0020_Reference" ma:index="29" nillable="true" ma:displayName="Tab" ma:description="Tab within Exhibit" ma:format="Dropdown" ma:internalName="Application_x0020_Reference">
      <xsd:simpleType>
        <xsd:restriction base="dms:Choice">
          <xsd:enumeration value="Tab 1"/>
          <xsd:enumeration value="Tab 2"/>
          <xsd:enumeration value="Tab 3"/>
        </xsd:restriction>
      </xsd:simpleType>
    </xsd:element>
    <xsd:element name="Exhibit" ma:index="30" nillable="true" ma:displayName="Exhibit" ma:description="Which exhibit does the question appear on" ma:format="Dropdown" ma:internalName="Exhibit">
      <xsd:simpleType>
        <xsd:restriction base="dms:Choice">
          <xsd:enumeration value="Exhibit A"/>
          <xsd:enumeration value="Exhibit B"/>
          <xsd:enumeration value="Exhibit C"/>
          <xsd:enumeration value="Exhibit D"/>
          <xsd:enumeration value="Exhibit E"/>
          <xsd:enumeration value="Exhibit F"/>
          <xsd:enumeration value="Exhibit G"/>
        </xsd:restriction>
      </xsd:simpleType>
    </xsd:element>
    <xsd:element name="DR_x0020__x0023_" ma:index="31" nillable="true" ma:displayName="DR #" ma:internalName="DR_x0020__x0023_">
      <xsd:simpleType>
        <xsd:restriction base="dms:Number"/>
      </xsd:simpleType>
    </xsd:element>
    <xsd:element name="Tab_x0023_" ma:index="32" nillable="true" ma:displayName="Tab #" ma:format="Dropdown" ma:internalName="Tab_x0023_">
      <xsd:simpleType>
        <xsd:restriction base="dms:Choice">
          <xsd:enumeration value="1"/>
          <xsd:enumeration value="2"/>
          <xsd:enumeration value="3"/>
          <xsd:enumeration value="4"/>
          <xsd:enumeration value="5"/>
        </xsd:restriction>
      </xsd:simpleType>
    </xsd:element>
    <xsd:element name="Support" ma:index="33" nillable="true" ma:displayName="Support" ma:format="Dropdown" ma:list="UserInfo" ma:SharePointGroup="0" ma:internalName="Suppor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nagement_x0020_Review_x0020_Required_x0020_By" ma:index="34" nillable="true" ma:displayName="Management Review Required By" ma:internalName="Management_x0020_Review_x0020_Required_x0020_By">
      <xsd:complexType>
        <xsd:complexContent>
          <xsd:extension base="dms:MultiChoice">
            <xsd:sequence>
              <xsd:element name="Value" maxOccurs="unbounded" minOccurs="0" nillable="true">
                <xsd:simpleType>
                  <xsd:restriction base="dms:Choice">
                    <xsd:enumeration value="Matt Valle"/>
                    <xsd:enumeration value="Mitch Ross"/>
                    <xsd:enumeration value="Michelle Wheeler"/>
                    <xsd:enumeration value="Jimmy Scrima"/>
                    <xsd:enumeration value="Ron Reagan"/>
                  </xsd:restriction>
                </xsd:simpleType>
              </xsd:element>
            </xsd:sequence>
          </xsd:extension>
        </xsd:complexContent>
      </xsd:complexType>
    </xsd:element>
    <xsd:element name="Subtopic" ma:index="35" nillable="true" ma:displayName="Subtopic" ma:internalName="Subtopic">
      <xsd:simpleType>
        <xsd:restriction base="dms:Text">
          <xsd:maxLength value="255"/>
        </xsd:restriction>
      </xsd:simpleType>
    </xsd:element>
    <xsd:element name="Drafter_x0020_new" ma:index="36" nillable="true" ma:displayName="Drafter" ma:format="Dropdown" ma:internalName="Drafter_x0020_new">
      <xsd:complexType>
        <xsd:complexContent>
          <xsd:extension base="dms:MultiChoice">
            <xsd:sequence>
              <xsd:element name="Value" maxOccurs="unbounded" minOccurs="0" nillable="true">
                <xsd:simpleType>
                  <xsd:restriction base="dms:Choice">
                    <xsd:enumeration value="Legal"/>
                    <xsd:enumeration value="Beth Mirek"/>
                    <xsd:enumeration value="Alex Beilhart"/>
                    <xsd:enumeration value="Will Braun"/>
                  </xsd:restriction>
                </xsd:simpleType>
              </xsd:element>
            </xsd:sequence>
          </xsd:extension>
        </xsd:complexContent>
      </xsd:complexType>
    </xsd:element>
    <xsd:element name="MediaServiceSearchProperties" ma:index="37" nillable="true" ma:displayName="MediaServiceSearchProperties" ma:hidden="true" ma:internalName="MediaServiceSearchProperties" ma:readOnly="true">
      <xsd:simpleType>
        <xsd:restriction base="dms:Note"/>
      </xsd:simpleType>
    </xsd:element>
    <xsd:element name="Focus" ma:index="38" nillable="true" ma:displayName="Focus" ma:format="Dropdown" ma:internalName="Focus">
      <xsd:simpleType>
        <xsd:restriction base="dms:Choice">
          <xsd:enumeration value="Yes"/>
          <xsd:enumeration value="No"/>
          <xsd:enumeration value="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displayName="Filed By"/>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Application xmlns="http://www.sap.com/cof/excel/application">
  <Version>2</Version>
  <Revision>2.8.2000.1138</Revision>
</Application>
</file>

<file path=customXml/itemProps1.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add0342-31d1-4c04-a463-b8f8db845b9c"/>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03EF49F-C502-48ED-A0B4-ABA27A441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dd0342-31d1-4c04-a463-b8f8db845b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4.xml><?xml version="1.0" encoding="utf-8"?>
<ds:datastoreItem xmlns:ds="http://schemas.openxmlformats.org/officeDocument/2006/customXml" ds:itemID="{A808BD33-AB9D-4CFC-96EE-9C6A45F71B84}">
  <ds:schemaRefs>
    <ds:schemaRef ds:uri="http://www.sap.com/cof/excel/application"/>
  </ds:schemaRefs>
</ds:datastoreItem>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Attachment H</vt:lpstr>
      <vt:lpstr>1-Project Rev Req</vt:lpstr>
      <vt:lpstr>2-Incentive ROE</vt:lpstr>
      <vt:lpstr>3-Project True-up</vt:lpstr>
      <vt:lpstr>4- Rate Base</vt:lpstr>
      <vt:lpstr>4a-Projection ADIT</vt:lpstr>
      <vt:lpstr>5-P3 Support</vt:lpstr>
      <vt:lpstr>6-True-Up Interest</vt:lpstr>
      <vt:lpstr>7 - PBOP</vt:lpstr>
      <vt:lpstr>8-Dep Rates</vt:lpstr>
      <vt:lpstr>2025 Plant-in-Service</vt:lpstr>
      <vt:lpstr>2025 Expenses</vt:lpstr>
      <vt:lpstr>CWIP</vt:lpstr>
      <vt:lpstr>Taxes</vt:lpstr>
      <vt:lpstr>Depreciation</vt:lpstr>
      <vt:lpstr>'1-Project Rev Req'!Print_Area</vt:lpstr>
      <vt:lpstr>'2-Incentive ROE'!Print_Area</vt:lpstr>
      <vt:lpstr>'4- Rate Base'!Print_Area</vt:lpstr>
      <vt:lpstr>'4a-Projection ADIT'!Print_Area</vt:lpstr>
      <vt:lpstr>'5-P3 Support'!Print_Area</vt:lpstr>
      <vt:lpstr>'7 - PBOP'!Print_Area</vt:lpstr>
      <vt:lpstr>'8-Dep Rates'!Print_Area</vt:lpstr>
      <vt:lpstr>'Attachment 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Hollis, Gabriel</dc:creator>
  <cp:keywords/>
  <dc:description/>
  <cp:lastModifiedBy>Fowler, Laura</cp:lastModifiedBy>
  <cp:revision/>
  <dcterms:created xsi:type="dcterms:W3CDTF">2020-03-10T19:08:26Z</dcterms:created>
  <dcterms:modified xsi:type="dcterms:W3CDTF">2025-07-23T21:20:06Z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0x0101006D1D6F0B4B4D3B4081F69479300D4DD5</vt:lpwstr>
  </property>
</Properties>
</file>