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25\2025 Estimate\"/>
    </mc:Choice>
  </mc:AlternateContent>
  <xr:revisionPtr revIDLastSave="0" documentId="13_ncr:1_{02756301-47D8-4579-9101-235C2232FE3B}" xr6:coauthVersionLast="47" xr6:coauthVersionMax="47" xr10:uidLastSave="{00000000-0000-0000-0000-000000000000}"/>
  <bookViews>
    <workbookView xWindow="-98" yWindow="-98" windowWidth="21795" windowHeight="12975" tabRatio="853"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9A - ADIT Remeasurement" sheetId="59" r:id="rId20"/>
    <sheet name="10 - Pension Asset Discount" sheetId="55" r:id="rId21"/>
    <sheet name="11 - Cost of Capital" sheetId="56" r:id="rId22"/>
  </sheets>
  <definedNames>
    <definedName name="_1K" localSheetId="19" hidden="1">#REF!</definedName>
    <definedName name="_1K" hidden="1">#REF!</definedName>
    <definedName name="_2K" localSheetId="19" hidden="1">#REF!</definedName>
    <definedName name="_2K" hidden="1">#REF!</definedName>
    <definedName name="_2S" localSheetId="19" hidden="1">#REF!</definedName>
    <definedName name="_2S" hidden="1">#REF!</definedName>
    <definedName name="_4S" hidden="1">#REF!</definedName>
    <definedName name="_FEB01" localSheetId="6" hidden="1">{#N/A,#N/A,FALSE,"EMPPAY"}</definedName>
    <definedName name="_FEB01" localSheetId="7" hidden="1">{#N/A,#N/A,FALSE,"EMPPAY"}</definedName>
    <definedName name="_FEB01" localSheetId="8" hidden="1">{#N/A,#N/A,FALSE,"EMPPAY"}</definedName>
    <definedName name="_FEB01" localSheetId="19" hidden="1">{#N/A,#N/A,FALSE,"EMPPAY"}</definedName>
    <definedName name="_FEB01" hidden="1">{#N/A,#N/A,FALSE,"EMPPAY"}</definedName>
    <definedName name="_Fill" localSheetId="9" hidden="1">#REF!</definedName>
    <definedName name="_Fill" localSheetId="1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localSheetId="19"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localSheetId="19" hidden="1">{#N/A,#N/A,FALSE,"EMPPAY"}</definedName>
    <definedName name="_JAN2001" hidden="1">{#N/A,#N/A,FALSE,"EMPPAY"}</definedName>
    <definedName name="_Order1" hidden="1">255</definedName>
    <definedName name="_Order2" hidden="1">0</definedName>
    <definedName name="_ryr56565" localSheetId="19"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localSheetId="19" hidden="1">{#N/A,#N/A,FALSE,"EMPPAY"}</definedName>
    <definedName name="A" hidden="1">{#N/A,#N/A,FALSE,"EMPPAY"}</definedName>
    <definedName name="aaa" localSheetId="19"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localSheetId="19"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localSheetId="19"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localSheetId="19"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9"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9"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localSheetId="19"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localSheetId="19"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hidden="1">{#N/A,#N/A,FALSE,"O&amp;M by processes";#N/A,#N/A,FALSE,"Elec Act vs Bud";#N/A,#N/A,FALSE,"G&amp;A";#N/A,#N/A,FALSE,"BGS";#N/A,#N/A,FALSE,"Res Cost"}</definedName>
    <definedName name="beny" localSheetId="19"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can" localSheetId="19" hidden="1">{#N/A,#N/A,FALSE,"O&amp;M by processes";#N/A,#N/A,FALSE,"Elec Act vs Bud";#N/A,#N/A,FALSE,"G&amp;A";#N/A,#N/A,FALSE,"BGS";#N/A,#N/A,FALSE,"Res Cost"}</definedName>
    <definedName name="can" hidden="1">{#N/A,#N/A,FALSE,"O&amp;M by processes";#N/A,#N/A,FALSE,"Elec Act vs Bud";#N/A,#N/A,FALSE,"G&amp;A";#N/A,#N/A,FALSE,"BGS";#N/A,#N/A,FALSE,"Res Cost"}</definedName>
    <definedName name="cbcvbcv" localSheetId="19"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localSheetId="19"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9"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#REF!</definedName>
    <definedName name="Consolid" localSheetId="19"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hidden="1">{#N/A,#N/A,FALSE,"O&amp;M by processes";#N/A,#N/A,FALSE,"Elec Act vs Bud";#N/A,#N/A,FALSE,"G&amp;A";#N/A,#N/A,FALSE,"BGS";#N/A,#N/A,FALSE,"Res Cost"}</definedName>
    <definedName name="da" localSheetId="19"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hidden="1">{#N/A,#N/A,FALSE,"O&amp;M by processes";#N/A,#N/A,FALSE,"Elec Act vs Bud";#N/A,#N/A,FALSE,"G&amp;A";#N/A,#N/A,FALSE,"BGS";#N/A,#N/A,FALSE,"Res Cost"}</definedName>
    <definedName name="DASDD" localSheetId="19"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 localSheetId="19">#REF!</definedName>
    <definedName name="DATAFEEDER">#REF!</definedName>
    <definedName name="Date" hidden="1">"b1"</definedName>
    <definedName name="dd" localSheetId="19" hidden="1">{#N/A,#N/A,FALSE,"Monthly SAIFI";#N/A,#N/A,FALSE,"Yearly SAIFI";#N/A,#N/A,FALSE,"Monthly CAIDI";#N/A,#N/A,FALSE,"Yearly CAIDI";#N/A,#N/A,FALSE,"Monthly SAIDI";#N/A,#N/A,FALSE,"Yearly SAIDI";#N/A,#N/A,FALSE,"Monthly MAIFI";#N/A,#N/A,FALSE,"Yearly MAIFI";#N/A,#N/A,FALSE,"Monthly Cust &gt;=4 Int"}</definedName>
    <definedName name="dd" hidden="1">{#N/A,#N/A,FALSE,"Monthly SAIFI";#N/A,#N/A,FALSE,"Yearly SAIFI";#N/A,#N/A,FALSE,"Monthly CAIDI";#N/A,#N/A,FALSE,"Yearly CAIDI";#N/A,#N/A,FALSE,"Monthly SAIDI";#N/A,#N/A,FALSE,"Yearly SAIDI";#N/A,#N/A,FALSE,"Monthly MAIFI";#N/A,#N/A,FALSE,"Yearly MAIFI";#N/A,#N/A,FALSE,"Monthly Cust &gt;=4 Int"}</definedName>
    <definedName name="ddfsaf" localSheetId="19"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localSheetId="19" hidden="1">{#N/A,#N/A,FALSE,"ARREC"}</definedName>
    <definedName name="DEC00" hidden="1">{#N/A,#N/A,FALSE,"ARREC"}</definedName>
    <definedName name="delete" localSheetId="19" hidden="1">{#N/A,#N/A,FALSE,"CURRENT"}</definedName>
    <definedName name="delete" hidden="1">{#N/A,#N/A,FALSE,"CURRENT"}</definedName>
    <definedName name="dfasdfsdfZX" localSheetId="19"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localSheetId="19"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localSheetId="19"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localSheetId="19"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edred" localSheetId="19"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localSheetId="19" hidden="1">{#N/A,#N/A,FALSE,"O&amp;M by processes";#N/A,#N/A,FALSE,"Elec Act vs Bud";#N/A,#N/A,FALSE,"G&amp;A";#N/A,#N/A,FALSE,"BGS";#N/A,#N/A,FALSE,"Res Cost"}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localSheetId="19"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DSDFSF" localSheetId="19"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localSheetId="19" hidden="1">{#N/A,#N/A,FALSE,"ARREC"}</definedName>
    <definedName name="FEB00" hidden="1">{#N/A,#N/A,FALSE,"ARREC"}</definedName>
    <definedName name="ff" localSheetId="19"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19"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localSheetId="19"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localSheetId="19"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9"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9"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9"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localSheetId="19"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localSheetId="19"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9"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9"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9"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19"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hidden="1">{#N/A,#N/A,FALSE,"O&amp;M by processes";#N/A,#N/A,FALSE,"Elec Act vs Bud";#N/A,#N/A,FALSE,"G&amp;A";#N/A,#N/A,FALSE,"BGS";#N/A,#N/A,FALSE,"Res Cost"}</definedName>
    <definedName name="h" localSheetId="19"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h" localSheetId="19"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localSheetId="19"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9"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localSheetId="19"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9"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localSheetId="19"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localSheetId="19"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localSheetId="19"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19"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localSheetId="19"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localSheetId="19"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9"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9"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9"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9"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9"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9"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localSheetId="19" hidden="1">{#N/A,#N/A,FALSE,"EMPPAY"}</definedName>
    <definedName name="MAY" hidden="1">{#N/A,#N/A,FALSE,"EMPPAY"}</definedName>
    <definedName name="New_99_IS" localSheetId="19">#REF!,#REF!,#REF!</definedName>
    <definedName name="New_99_IS">#REF!,#REF!,#REF!</definedName>
    <definedName name="November09" localSheetId="19"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#REF!,#REF!,#REF!</definedName>
    <definedName name="_xlnm.Print_Area" localSheetId="2">'1-Project Rev Req'!$A$1:$T$122</definedName>
    <definedName name="_xlnm.Print_Area" localSheetId="3">'2-Incentive ROE'!$A$1:$K$48</definedName>
    <definedName name="_xlnm.Print_Area" localSheetId="5">'4- Rate Base'!$A$1:$L$124</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Credits'!$A$1:$H$95</definedName>
    <definedName name="_xlnm.Print_Area" localSheetId="13">'5B - A&amp;G'!$A$1:$J$34</definedName>
    <definedName name="_xlnm.Print_Area" localSheetId="11">'5-P3 Support'!$A$1:$M$56</definedName>
    <definedName name="_xlnm.Print_Area" localSheetId="15">'6-True-Up Interest'!$A$1:$I$74</definedName>
    <definedName name="_xlnm.Print_Area" localSheetId="16">'7 - PBOP'!$A$1:$F$29</definedName>
    <definedName name="_xlnm.Print_Area" localSheetId="17">'8 - Depreciation Rates'!$A$1:$L$155</definedName>
    <definedName name="_xlnm.Print_Area" localSheetId="1">'Attachment H-7'!$A$1:$K$265</definedName>
    <definedName name="_xlnm.Print_Area" localSheetId="0">Title!$A$1:$H$22</definedName>
    <definedName name="Print_TFI_use" localSheetId="19">#REF!,#REF!,#REF!</definedName>
    <definedName name="Print_TFI_use">#REF!,#REF!,#REF!</definedName>
    <definedName name="reawreqw" localSheetId="19"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rrr" localSheetId="19" hidden="1">{#N/A,#N/A,FALSE,"O&amp;M by processes";#N/A,#N/A,FALSE,"Elec Act vs Bud";#N/A,#N/A,FALSE,"G&amp;A";#N/A,#N/A,FALSE,"BGS";#N/A,#N/A,FALSE,"Res Cost"}</definedName>
    <definedName name="rrrr" hidden="1">{#N/A,#N/A,FALSE,"O&amp;M by processes";#N/A,#N/A,FALSE,"Elec Act vs Bud";#N/A,#N/A,FALSE,"G&amp;A";#N/A,#N/A,FALSE,"BGS";#N/A,#N/A,FALSE,"Res Cost"}</definedName>
    <definedName name="saSAsa" localSheetId="19"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df" localSheetId="19"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9"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9"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9"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9"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9"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localSheetId="19"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localSheetId="19"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9"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localSheetId="19"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localSheetId="19" hidden="1">{#N/A,#N/A,FALSE,"O&amp;M by processes";#N/A,#N/A,FALSE,"Elec Act vs Bud";#N/A,#N/A,FALSE,"G&amp;A";#N/A,#N/A,FALSE,"BGS";#N/A,#N/A,FALSE,"Res Cost"}</definedName>
    <definedName name="shiva" hidden="1">{#N/A,#N/A,FALSE,"O&amp;M by processes";#N/A,#N/A,FALSE,"Elec Act vs Bud";#N/A,#N/A,FALSE,"G&amp;A";#N/A,#N/A,FALSE,"BGS";#N/A,#N/A,FALSE,"Res Cost"}</definedName>
    <definedName name="slldk" localSheetId="19"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localSheetId="19" hidden="1">{#N/A,#N/A,FALSE,"O&amp;M by processes";#N/A,#N/A,FALSE,"Elec Act vs Bud";#N/A,#N/A,FALSE,"G&amp;A";#N/A,#N/A,FALSE,"BGS";#N/A,#N/A,FALSE,"Res Cost"}</definedName>
    <definedName name="statsrevised" hidden="1">{#N/A,#N/A,FALSE,"O&amp;M by processes";#N/A,#N/A,FALSE,"Elec Act vs Bud";#N/A,#N/A,FALSE,"G&amp;A";#N/A,#N/A,FALSE,"BGS";#N/A,#N/A,FALSE,"Res Cost"}</definedName>
    <definedName name="support" localSheetId="19"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localSheetId="19" hidden="1">{#N/A,#N/A,FALSE,"EMPPAY"}</definedName>
    <definedName name="TEST" hidden="1">{#N/A,#N/A,FALSE,"EMPPAY"}</definedName>
    <definedName name="Time" hidden="1">"b1"</definedName>
    <definedName name="toma" localSheetId="19"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localSheetId="19"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vcbcvbcv" localSheetId="19"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localSheetId="19"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h" localSheetId="19"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9"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9"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19" hidden="1">{#N/A,#N/A,FALSE,"CURRENT"}</definedName>
    <definedName name="wrn.722." hidden="1">{#N/A,#N/A,FALSE,"CURRENT"}</definedName>
    <definedName name="wrn.AGT." localSheetId="19" hidden="1">{"AGT",#N/A,FALSE,"Revenue"}</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localSheetId="19" hidden="1">{#N/A,#N/A,FALSE,"ARREC"}</definedName>
    <definedName name="wrn.ARREC." hidden="1">{#N/A,#N/A,FALSE,"ARREC"}</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9"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19"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Data._.dump." localSheetId="19"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localSheetId="19" hidden="1">{#N/A,#N/A,FALSE,"EMPPAY"}</definedName>
    <definedName name="wrn.EMPPAY." hidden="1">{#N/A,#N/A,FALSE,"EMPPAY"}</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9" hidden="1">{"Print Empty Template",#N/A,FALSE,"Input"}</definedName>
    <definedName name="wrn.For._.filling._.out._.assessments." hidden="1">{"Print Empty Template",#N/A,FALSE,"Input"}</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19"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19"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19"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localSheetId="19" hidden="1">{#N/A,#N/A,FALSE,"EMPPAY"}</definedName>
    <definedName name="xx" hidden="1">{#N/A,#N/A,FALSE,"EMPPAY"}</definedName>
    <definedName name="xxx" localSheetId="19"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hidden="1">{#N/A,#N/A,FALSE,"O&amp;M by processes";#N/A,#N/A,FALSE,"Elec Act vs Bud";#N/A,#N/A,FALSE,"G&amp;A";#N/A,#N/A,FALSE,"BGS";#N/A,#N/A,FALSE,"Res Cost"}</definedName>
    <definedName name="y" localSheetId="19"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ear">#REF!</definedName>
    <definedName name="yryryrr" localSheetId="19"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z" localSheetId="19"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H-7'!$A$1:$K$256</definedName>
  </definedNames>
  <calcPr calcId="191029" iterate="1" iterateCount="300" iterateDelta="1E-4" calcOnSave="0"/>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58" i="54" l="1"/>
  <c r="P158" i="54"/>
  <c r="O158" i="54"/>
  <c r="N158" i="54"/>
  <c r="M158" i="54"/>
  <c r="L158" i="54"/>
  <c r="K158" i="54"/>
  <c r="J158" i="54"/>
  <c r="I158" i="54"/>
  <c r="H158" i="54"/>
  <c r="G158" i="54"/>
  <c r="F158" i="54"/>
  <c r="E158" i="54"/>
  <c r="D158" i="54"/>
  <c r="E74" i="54" l="1"/>
  <c r="F74" i="54" l="1"/>
  <c r="G74" i="54"/>
  <c r="H74" i="54"/>
  <c r="I74" i="54"/>
  <c r="P74" i="54"/>
  <c r="L121" i="54"/>
  <c r="M121" i="54"/>
  <c r="O121" i="54"/>
  <c r="M74" i="54"/>
  <c r="N121" i="54"/>
  <c r="N74" i="54"/>
  <c r="O74" i="54"/>
  <c r="E82" i="54"/>
  <c r="F82" i="54" s="1"/>
  <c r="G82" i="54" s="1"/>
  <c r="H82" i="54" s="1"/>
  <c r="E92" i="54"/>
  <c r="F92" i="54" s="1"/>
  <c r="G92" i="54" s="1"/>
  <c r="H92" i="54" s="1"/>
  <c r="I92" i="54" s="1"/>
  <c r="J92" i="54" s="1"/>
  <c r="K92" i="54" s="1"/>
  <c r="L92" i="54" s="1"/>
  <c r="M92" i="54" s="1"/>
  <c r="N92" i="54" s="1"/>
  <c r="O92" i="54" s="1"/>
  <c r="P92" i="54" s="1"/>
  <c r="Q92" i="54" s="1"/>
  <c r="E129" i="54"/>
  <c r="F129" i="54" s="1"/>
  <c r="J121" i="54"/>
  <c r="E133" i="54"/>
  <c r="F133" i="54" s="1"/>
  <c r="K74" i="54"/>
  <c r="F121" i="54"/>
  <c r="Q117" i="54"/>
  <c r="E127" i="54"/>
  <c r="F127" i="54" s="1"/>
  <c r="G127" i="54" s="1"/>
  <c r="Q60" i="54"/>
  <c r="J74" i="54"/>
  <c r="P121" i="54"/>
  <c r="K121" i="54"/>
  <c r="Q58" i="54"/>
  <c r="E139" i="54"/>
  <c r="F139" i="54" s="1"/>
  <c r="G139" i="54" s="1"/>
  <c r="H139" i="54" s="1"/>
  <c r="I139" i="54" s="1"/>
  <c r="J139" i="54" s="1"/>
  <c r="K139" i="54" s="1"/>
  <c r="L139" i="54" s="1"/>
  <c r="M139" i="54" s="1"/>
  <c r="N139" i="54" s="1"/>
  <c r="O139" i="54" s="1"/>
  <c r="P139" i="54" s="1"/>
  <c r="Q139" i="54" s="1"/>
  <c r="E94" i="54"/>
  <c r="G121" i="54"/>
  <c r="Q64" i="54"/>
  <c r="H121" i="54"/>
  <c r="Q107" i="54"/>
  <c r="I121" i="54"/>
  <c r="E142" i="54"/>
  <c r="F142" i="54" s="1"/>
  <c r="G142" i="54" s="1"/>
  <c r="H142" i="54" s="1"/>
  <c r="I142" i="54" s="1"/>
  <c r="J142" i="54" s="1"/>
  <c r="K142" i="54" s="1"/>
  <c r="L142" i="54" s="1"/>
  <c r="M142" i="54" s="1"/>
  <c r="N142" i="54" s="1"/>
  <c r="O142" i="54" s="1"/>
  <c r="P142" i="54" s="1"/>
  <c r="Q142" i="54" s="1"/>
  <c r="E80" i="54"/>
  <c r="E86" i="54"/>
  <c r="Q73" i="54"/>
  <c r="D96" i="54"/>
  <c r="Q111" i="54"/>
  <c r="E121" i="54"/>
  <c r="Q119" i="54"/>
  <c r="L74" i="54"/>
  <c r="Q72" i="54"/>
  <c r="Q70" i="54"/>
  <c r="D143" i="54"/>
  <c r="E141" i="54"/>
  <c r="Q105" i="54"/>
  <c r="E95" i="54"/>
  <c r="F95" i="54" s="1"/>
  <c r="G95" i="54" s="1"/>
  <c r="H95" i="54" s="1"/>
  <c r="I95" i="54" s="1"/>
  <c r="J95" i="54" s="1"/>
  <c r="K95" i="54" s="1"/>
  <c r="L95" i="54" s="1"/>
  <c r="M95" i="54" s="1"/>
  <c r="N95" i="54" s="1"/>
  <c r="O95" i="54" s="1"/>
  <c r="P95" i="54" s="1"/>
  <c r="Q95" i="54" s="1"/>
  <c r="Q120" i="54"/>
  <c r="F175" i="28"/>
  <c r="C175" i="28"/>
  <c r="E114" i="28"/>
  <c r="C114" i="28"/>
  <c r="Q74" i="54" l="1"/>
  <c r="G129" i="54"/>
  <c r="F94" i="54"/>
  <c r="E96" i="54"/>
  <c r="Q121" i="54"/>
  <c r="H129" i="54"/>
  <c r="G133" i="54"/>
  <c r="F86" i="54"/>
  <c r="F141" i="54"/>
  <c r="E143" i="54"/>
  <c r="I82" i="54"/>
  <c r="F80" i="54"/>
  <c r="H127" i="54"/>
  <c r="I127" i="54" l="1"/>
  <c r="I129" i="54"/>
  <c r="G141" i="54"/>
  <c r="F143" i="54"/>
  <c r="H133" i="54"/>
  <c r="G86" i="54"/>
  <c r="G80" i="54"/>
  <c r="J82" i="54"/>
  <c r="F96" i="54"/>
  <c r="G94" i="54"/>
  <c r="H86" i="54" l="1"/>
  <c r="H141" i="54"/>
  <c r="G143" i="54"/>
  <c r="J127" i="54"/>
  <c r="K82" i="54"/>
  <c r="H80" i="54"/>
  <c r="I133" i="54"/>
  <c r="J129" i="54"/>
  <c r="H94" i="54"/>
  <c r="G96" i="54"/>
  <c r="I86" i="54" l="1"/>
  <c r="J133" i="54"/>
  <c r="I80" i="54"/>
  <c r="L82" i="54"/>
  <c r="K127" i="54"/>
  <c r="I94" i="54"/>
  <c r="H96" i="54"/>
  <c r="I141" i="54"/>
  <c r="H143" i="54"/>
  <c r="K129" i="54"/>
  <c r="I59" i="1"/>
  <c r="I48" i="1"/>
  <c r="AF224" i="59"/>
  <c r="U220" i="59"/>
  <c r="T220" i="59"/>
  <c r="S220" i="59"/>
  <c r="F220" i="59"/>
  <c r="L219" i="59"/>
  <c r="M219" i="59" s="1"/>
  <c r="I219" i="59"/>
  <c r="J219" i="59" s="1"/>
  <c r="H219" i="59"/>
  <c r="G219" i="59"/>
  <c r="M218" i="59"/>
  <c r="P218" i="59" s="1"/>
  <c r="R218" i="59" s="1"/>
  <c r="X218" i="59" s="1"/>
  <c r="AF218" i="59" s="1"/>
  <c r="L218" i="59"/>
  <c r="G218" i="59"/>
  <c r="J218" i="59" s="1"/>
  <c r="L217" i="59"/>
  <c r="I217" i="59"/>
  <c r="H217" i="59"/>
  <c r="G217" i="59"/>
  <c r="O216" i="59"/>
  <c r="N216" i="59"/>
  <c r="M216" i="59"/>
  <c r="L216" i="59"/>
  <c r="H216" i="59"/>
  <c r="G216" i="59"/>
  <c r="L215" i="59"/>
  <c r="I215" i="59"/>
  <c r="J215" i="59" s="1"/>
  <c r="H215" i="59"/>
  <c r="G215" i="59"/>
  <c r="O214" i="59"/>
  <c r="L214" i="59"/>
  <c r="N214" i="59" s="1"/>
  <c r="J214" i="59"/>
  <c r="H214" i="59"/>
  <c r="I214" i="59" s="1"/>
  <c r="G214" i="59"/>
  <c r="M213" i="59"/>
  <c r="L213" i="59"/>
  <c r="N213" i="59" s="1"/>
  <c r="O213" i="59" s="1"/>
  <c r="H213" i="59"/>
  <c r="I213" i="59" s="1"/>
  <c r="G213" i="59"/>
  <c r="R212" i="59"/>
  <c r="X212" i="59" s="1"/>
  <c r="AF212" i="59" s="1"/>
  <c r="N212" i="59"/>
  <c r="O212" i="59" s="1"/>
  <c r="M212" i="59"/>
  <c r="P212" i="59" s="1"/>
  <c r="L212" i="59"/>
  <c r="J212" i="59"/>
  <c r="I212" i="59"/>
  <c r="H212" i="59"/>
  <c r="G212" i="59"/>
  <c r="O211" i="59"/>
  <c r="N211" i="59"/>
  <c r="L211" i="59"/>
  <c r="M211" i="59" s="1"/>
  <c r="I211" i="59"/>
  <c r="H211" i="59"/>
  <c r="G211" i="59"/>
  <c r="O210" i="59"/>
  <c r="L210" i="59"/>
  <c r="N210" i="59" s="1"/>
  <c r="J210" i="59"/>
  <c r="H210" i="59"/>
  <c r="I210" i="59" s="1"/>
  <c r="G210" i="59"/>
  <c r="L209" i="59"/>
  <c r="I209" i="59"/>
  <c r="H209" i="59"/>
  <c r="G209" i="59"/>
  <c r="N208" i="59"/>
  <c r="O208" i="59" s="1"/>
  <c r="M208" i="59"/>
  <c r="L208" i="59"/>
  <c r="H208" i="59"/>
  <c r="G208" i="59"/>
  <c r="N207" i="59"/>
  <c r="O207" i="59" s="1"/>
  <c r="L207" i="59"/>
  <c r="M207" i="59" s="1"/>
  <c r="J207" i="59"/>
  <c r="I207" i="59"/>
  <c r="H207" i="59"/>
  <c r="G207" i="59"/>
  <c r="R206" i="59"/>
  <c r="N206" i="59"/>
  <c r="O206" i="59" s="1"/>
  <c r="P206" i="59" s="1"/>
  <c r="M206" i="59"/>
  <c r="H206" i="59"/>
  <c r="I206" i="59" s="1"/>
  <c r="G206" i="59"/>
  <c r="J206" i="59" s="1"/>
  <c r="N205" i="59"/>
  <c r="O205" i="59" s="1"/>
  <c r="M205" i="59"/>
  <c r="L205" i="59"/>
  <c r="H205" i="59"/>
  <c r="G205" i="59"/>
  <c r="O204" i="59"/>
  <c r="N204" i="59"/>
  <c r="L204" i="59"/>
  <c r="M204" i="59" s="1"/>
  <c r="J204" i="59"/>
  <c r="I204" i="59"/>
  <c r="H204" i="59"/>
  <c r="G204" i="59"/>
  <c r="L203" i="59"/>
  <c r="J203" i="59"/>
  <c r="H203" i="59"/>
  <c r="I203" i="59" s="1"/>
  <c r="G203" i="59"/>
  <c r="N202" i="59"/>
  <c r="O202" i="59" s="1"/>
  <c r="L202" i="59"/>
  <c r="M202" i="59" s="1"/>
  <c r="H202" i="59"/>
  <c r="I202" i="59" s="1"/>
  <c r="G202" i="59"/>
  <c r="J202" i="59" s="1"/>
  <c r="N201" i="59"/>
  <c r="O201" i="59" s="1"/>
  <c r="M201" i="59"/>
  <c r="L201" i="59"/>
  <c r="I201" i="59"/>
  <c r="H201" i="59"/>
  <c r="J201" i="59" s="1"/>
  <c r="G201" i="59"/>
  <c r="O200" i="59"/>
  <c r="N200" i="59"/>
  <c r="L200" i="59"/>
  <c r="M200" i="59" s="1"/>
  <c r="I200" i="59"/>
  <c r="H200" i="59"/>
  <c r="G200" i="59"/>
  <c r="J200" i="59" s="1"/>
  <c r="O199" i="59"/>
  <c r="M199" i="59"/>
  <c r="P199" i="59" s="1"/>
  <c r="L199" i="59"/>
  <c r="N199" i="59" s="1"/>
  <c r="H199" i="59"/>
  <c r="I199" i="59" s="1"/>
  <c r="G199" i="59"/>
  <c r="G220" i="59" s="1"/>
  <c r="V196" i="59"/>
  <c r="V194" i="59"/>
  <c r="M194" i="59"/>
  <c r="G194" i="59"/>
  <c r="F194" i="59"/>
  <c r="P193" i="59"/>
  <c r="N193" i="59"/>
  <c r="O193" i="59" s="1"/>
  <c r="L193" i="59"/>
  <c r="H193" i="59"/>
  <c r="AF192" i="59"/>
  <c r="P192" i="59"/>
  <c r="O192" i="59"/>
  <c r="L192" i="59"/>
  <c r="N192" i="59" s="1"/>
  <c r="I192" i="59"/>
  <c r="J192" i="59" s="1"/>
  <c r="R192" i="59" s="1"/>
  <c r="X192" i="59" s="1"/>
  <c r="H192" i="59"/>
  <c r="T191" i="59"/>
  <c r="O191" i="59"/>
  <c r="P191" i="59" s="1"/>
  <c r="L191" i="59"/>
  <c r="N191" i="59" s="1"/>
  <c r="J191" i="59"/>
  <c r="I191" i="59"/>
  <c r="H191" i="59"/>
  <c r="N190" i="59"/>
  <c r="O190" i="59" s="1"/>
  <c r="L190" i="59"/>
  <c r="J190" i="59"/>
  <c r="I190" i="59"/>
  <c r="H190" i="59"/>
  <c r="O189" i="59"/>
  <c r="L189" i="59"/>
  <c r="N189" i="59" s="1"/>
  <c r="I189" i="59"/>
  <c r="H189" i="59"/>
  <c r="L188" i="59"/>
  <c r="N188" i="59" s="1"/>
  <c r="J188" i="59"/>
  <c r="H188" i="59"/>
  <c r="I188" i="59" s="1"/>
  <c r="N187" i="59"/>
  <c r="O187" i="59" s="1"/>
  <c r="L187" i="59"/>
  <c r="J187" i="59"/>
  <c r="H187" i="59"/>
  <c r="I187" i="59" s="1"/>
  <c r="O186" i="59"/>
  <c r="L186" i="59"/>
  <c r="N186" i="59" s="1"/>
  <c r="P186" i="59" s="1"/>
  <c r="R186" i="59" s="1"/>
  <c r="X186" i="59" s="1"/>
  <c r="AF186" i="59" s="1"/>
  <c r="J186" i="59"/>
  <c r="I186" i="59"/>
  <c r="H186" i="59"/>
  <c r="AF185" i="59"/>
  <c r="P185" i="59"/>
  <c r="O185" i="59"/>
  <c r="N185" i="59"/>
  <c r="L185" i="59"/>
  <c r="J185" i="59"/>
  <c r="R185" i="59" s="1"/>
  <c r="X185" i="59" s="1"/>
  <c r="H185" i="59"/>
  <c r="I185" i="59" s="1"/>
  <c r="L184" i="59"/>
  <c r="N184" i="59" s="1"/>
  <c r="H184" i="59"/>
  <c r="L183" i="59"/>
  <c r="H183" i="59"/>
  <c r="V180" i="59"/>
  <c r="T180" i="59"/>
  <c r="P180" i="59"/>
  <c r="O180" i="59"/>
  <c r="N180" i="59"/>
  <c r="I180" i="59"/>
  <c r="H180" i="59"/>
  <c r="F180" i="59"/>
  <c r="P179" i="59"/>
  <c r="L179" i="59"/>
  <c r="M179" i="59" s="1"/>
  <c r="J179" i="59"/>
  <c r="R179" i="59" s="1"/>
  <c r="X179" i="59" s="1"/>
  <c r="AF179" i="59" s="1"/>
  <c r="G179" i="59"/>
  <c r="L178" i="59"/>
  <c r="M178" i="59" s="1"/>
  <c r="P178" i="59" s="1"/>
  <c r="R178" i="59" s="1"/>
  <c r="X178" i="59" s="1"/>
  <c r="AF178" i="59" s="1"/>
  <c r="J178" i="59"/>
  <c r="G178" i="59"/>
  <c r="P177" i="59"/>
  <c r="L177" i="59"/>
  <c r="M177" i="59" s="1"/>
  <c r="G177" i="59"/>
  <c r="J177" i="59" s="1"/>
  <c r="M176" i="59"/>
  <c r="P176" i="59" s="1"/>
  <c r="R176" i="59" s="1"/>
  <c r="X176" i="59" s="1"/>
  <c r="AF176" i="59" s="1"/>
  <c r="L176" i="59"/>
  <c r="J176" i="59"/>
  <c r="G176" i="59"/>
  <c r="R175" i="59"/>
  <c r="X175" i="59" s="1"/>
  <c r="AF175" i="59" s="1"/>
  <c r="L175" i="59"/>
  <c r="M175" i="59" s="1"/>
  <c r="P175" i="59" s="1"/>
  <c r="G175" i="59"/>
  <c r="J175" i="59" s="1"/>
  <c r="M174" i="59"/>
  <c r="P174" i="59" s="1"/>
  <c r="L174" i="59"/>
  <c r="J174" i="59"/>
  <c r="G174" i="59"/>
  <c r="M173" i="59"/>
  <c r="P173" i="59" s="1"/>
  <c r="L173" i="59"/>
  <c r="G173" i="59"/>
  <c r="J173" i="59" s="1"/>
  <c r="P172" i="59"/>
  <c r="M172" i="59"/>
  <c r="L172" i="59"/>
  <c r="G172" i="59"/>
  <c r="J172" i="59" s="1"/>
  <c r="R172" i="59" s="1"/>
  <c r="X172" i="59" s="1"/>
  <c r="AF172" i="59" s="1"/>
  <c r="P171" i="59"/>
  <c r="L171" i="59"/>
  <c r="M171" i="59" s="1"/>
  <c r="J171" i="59"/>
  <c r="G171" i="59"/>
  <c r="AF170" i="59"/>
  <c r="R170" i="59"/>
  <c r="X170" i="59" s="1"/>
  <c r="M170" i="59"/>
  <c r="P170" i="59" s="1"/>
  <c r="L170" i="59"/>
  <c r="J170" i="59"/>
  <c r="G170" i="59"/>
  <c r="P169" i="59"/>
  <c r="M169" i="59"/>
  <c r="L169" i="59"/>
  <c r="G169" i="59"/>
  <c r="J169" i="59" s="1"/>
  <c r="T166" i="59"/>
  <c r="W164" i="59"/>
  <c r="V164" i="59"/>
  <c r="U164" i="59"/>
  <c r="T164" i="59"/>
  <c r="S164" i="59"/>
  <c r="G164" i="59"/>
  <c r="F164" i="59"/>
  <c r="N163" i="59"/>
  <c r="O163" i="59" s="1"/>
  <c r="L163" i="59"/>
  <c r="M163" i="59" s="1"/>
  <c r="H163" i="59"/>
  <c r="I163" i="59" s="1"/>
  <c r="G163" i="59"/>
  <c r="N162" i="59"/>
  <c r="O162" i="59" s="1"/>
  <c r="M162" i="59"/>
  <c r="L162" i="59"/>
  <c r="I162" i="59"/>
  <c r="H162" i="59"/>
  <c r="G162" i="59"/>
  <c r="N161" i="59"/>
  <c r="O161" i="59" s="1"/>
  <c r="L161" i="59"/>
  <c r="M161" i="59" s="1"/>
  <c r="J161" i="59"/>
  <c r="I161" i="59"/>
  <c r="H161" i="59"/>
  <c r="G161" i="59"/>
  <c r="L160" i="59"/>
  <c r="H160" i="59"/>
  <c r="I160" i="59" s="1"/>
  <c r="G160" i="59"/>
  <c r="L159" i="59"/>
  <c r="H159" i="59"/>
  <c r="I159" i="59" s="1"/>
  <c r="G159" i="59"/>
  <c r="N158" i="59"/>
  <c r="O158" i="59" s="1"/>
  <c r="M158" i="59"/>
  <c r="L158" i="59"/>
  <c r="I158" i="59"/>
  <c r="J158" i="59" s="1"/>
  <c r="H158" i="59"/>
  <c r="G158" i="59"/>
  <c r="AF157" i="59"/>
  <c r="P157" i="59"/>
  <c r="N157" i="59"/>
  <c r="O157" i="59" s="1"/>
  <c r="L157" i="59"/>
  <c r="M157" i="59" s="1"/>
  <c r="J157" i="59"/>
  <c r="R157" i="59" s="1"/>
  <c r="X157" i="59" s="1"/>
  <c r="I157" i="59"/>
  <c r="H157" i="59"/>
  <c r="G157" i="59"/>
  <c r="L156" i="59"/>
  <c r="H156" i="59"/>
  <c r="I156" i="59" s="1"/>
  <c r="G156" i="59"/>
  <c r="J156" i="59" s="1"/>
  <c r="N155" i="59"/>
  <c r="O155" i="59" s="1"/>
  <c r="L155" i="59"/>
  <c r="M155" i="59" s="1"/>
  <c r="H155" i="59"/>
  <c r="I155" i="59" s="1"/>
  <c r="G155" i="59"/>
  <c r="N154" i="59"/>
  <c r="O154" i="59" s="1"/>
  <c r="M154" i="59"/>
  <c r="L154" i="59"/>
  <c r="I154" i="59"/>
  <c r="H154" i="59"/>
  <c r="G154" i="59"/>
  <c r="N153" i="59"/>
  <c r="O153" i="59" s="1"/>
  <c r="L153" i="59"/>
  <c r="M153" i="59" s="1"/>
  <c r="J153" i="59"/>
  <c r="I153" i="59"/>
  <c r="H153" i="59"/>
  <c r="G153" i="59"/>
  <c r="O152" i="59"/>
  <c r="L152" i="59"/>
  <c r="N152" i="59" s="1"/>
  <c r="J152" i="59"/>
  <c r="I152" i="59"/>
  <c r="H152" i="59"/>
  <c r="N151" i="59"/>
  <c r="L151" i="59"/>
  <c r="M151" i="59" s="1"/>
  <c r="J151" i="59"/>
  <c r="I151" i="59"/>
  <c r="H151" i="59"/>
  <c r="G151" i="59"/>
  <c r="L150" i="59"/>
  <c r="H150" i="59"/>
  <c r="I150" i="59" s="1"/>
  <c r="G150" i="59"/>
  <c r="J150" i="59" s="1"/>
  <c r="L149" i="59"/>
  <c r="M149" i="59" s="1"/>
  <c r="H149" i="59"/>
  <c r="I149" i="59" s="1"/>
  <c r="G149" i="59"/>
  <c r="N148" i="59"/>
  <c r="O148" i="59" s="1"/>
  <c r="M148" i="59"/>
  <c r="L148" i="59"/>
  <c r="I148" i="59"/>
  <c r="J148" i="59" s="1"/>
  <c r="H148" i="59"/>
  <c r="G148" i="59"/>
  <c r="P147" i="59"/>
  <c r="N147" i="59"/>
  <c r="O147" i="59" s="1"/>
  <c r="L147" i="59"/>
  <c r="M147" i="59" s="1"/>
  <c r="J147" i="59"/>
  <c r="I147" i="59"/>
  <c r="H147" i="59"/>
  <c r="G147" i="59"/>
  <c r="L146" i="59"/>
  <c r="H146" i="59"/>
  <c r="I146" i="59" s="1"/>
  <c r="G146" i="59"/>
  <c r="J146" i="59" s="1"/>
  <c r="L145" i="59"/>
  <c r="H145" i="59"/>
  <c r="I145" i="59" s="1"/>
  <c r="G145" i="59"/>
  <c r="N144" i="59"/>
  <c r="O144" i="59" s="1"/>
  <c r="M144" i="59"/>
  <c r="L144" i="59"/>
  <c r="I144" i="59"/>
  <c r="H144" i="59"/>
  <c r="G144" i="59"/>
  <c r="N143" i="59"/>
  <c r="L143" i="59"/>
  <c r="M143" i="59" s="1"/>
  <c r="J143" i="59"/>
  <c r="I143" i="59"/>
  <c r="H143" i="59"/>
  <c r="G143" i="59"/>
  <c r="M142" i="59"/>
  <c r="P142" i="59" s="1"/>
  <c r="L142" i="59"/>
  <c r="N142" i="59" s="1"/>
  <c r="O142" i="59" s="1"/>
  <c r="J142" i="59"/>
  <c r="H142" i="59"/>
  <c r="I142" i="59" s="1"/>
  <c r="G142" i="59"/>
  <c r="O141" i="59"/>
  <c r="M141" i="59"/>
  <c r="L141" i="59"/>
  <c r="N141" i="59" s="1"/>
  <c r="I141" i="59"/>
  <c r="H141" i="59"/>
  <c r="G141" i="59"/>
  <c r="O140" i="59"/>
  <c r="M140" i="59"/>
  <c r="L140" i="59"/>
  <c r="N140" i="59" s="1"/>
  <c r="J140" i="59"/>
  <c r="H140" i="59"/>
  <c r="I140" i="59" s="1"/>
  <c r="G140" i="59"/>
  <c r="P139" i="59"/>
  <c r="N139" i="59"/>
  <c r="O139" i="59" s="1"/>
  <c r="L139" i="59"/>
  <c r="M139" i="59" s="1"/>
  <c r="I139" i="59"/>
  <c r="H139" i="59"/>
  <c r="G139" i="59"/>
  <c r="O138" i="59"/>
  <c r="N138" i="59"/>
  <c r="M138" i="59"/>
  <c r="L138" i="59"/>
  <c r="J138" i="59"/>
  <c r="H138" i="59"/>
  <c r="I138" i="59" s="1"/>
  <c r="G138" i="59"/>
  <c r="L137" i="59"/>
  <c r="I137" i="59"/>
  <c r="H137" i="59"/>
  <c r="G137" i="59"/>
  <c r="O136" i="59"/>
  <c r="M136" i="59"/>
  <c r="L136" i="59"/>
  <c r="N136" i="59" s="1"/>
  <c r="J136" i="59"/>
  <c r="H136" i="59"/>
  <c r="I136" i="59" s="1"/>
  <c r="G136" i="59"/>
  <c r="L135" i="59"/>
  <c r="I135" i="59"/>
  <c r="H135" i="59"/>
  <c r="G135" i="59"/>
  <c r="M134" i="59"/>
  <c r="L134" i="59"/>
  <c r="N134" i="59" s="1"/>
  <c r="O134" i="59" s="1"/>
  <c r="J134" i="59"/>
  <c r="H134" i="59"/>
  <c r="I134" i="59" s="1"/>
  <c r="G134" i="59"/>
  <c r="B134" i="59"/>
  <c r="B135" i="59" s="1"/>
  <c r="B136" i="59" s="1"/>
  <c r="B137" i="59" s="1"/>
  <c r="B138" i="59" s="1"/>
  <c r="B139" i="59" s="1"/>
  <c r="B140" i="59" s="1"/>
  <c r="B141" i="59" s="1"/>
  <c r="B142" i="59" s="1"/>
  <c r="B143" i="59" s="1"/>
  <c r="B144" i="59" s="1"/>
  <c r="B145" i="59" s="1"/>
  <c r="B146" i="59" s="1"/>
  <c r="B147" i="59" s="1"/>
  <c r="B148" i="59" s="1"/>
  <c r="B149" i="59" s="1"/>
  <c r="B150" i="59" s="1"/>
  <c r="B151" i="59" s="1"/>
  <c r="B152" i="59" s="1"/>
  <c r="B153" i="59" s="1"/>
  <c r="L133" i="59"/>
  <c r="I133" i="59"/>
  <c r="H133" i="59"/>
  <c r="G133" i="59"/>
  <c r="F114" i="59"/>
  <c r="V112" i="59"/>
  <c r="U112" i="59"/>
  <c r="T112" i="59"/>
  <c r="S112" i="59"/>
  <c r="N112" i="59"/>
  <c r="L112" i="59"/>
  <c r="H112" i="59"/>
  <c r="F112" i="59"/>
  <c r="O111" i="59"/>
  <c r="M111" i="59"/>
  <c r="J111" i="59"/>
  <c r="I111" i="59"/>
  <c r="G111" i="59"/>
  <c r="O110" i="59"/>
  <c r="P110" i="59" s="1"/>
  <c r="M110" i="59"/>
  <c r="J110" i="59"/>
  <c r="R110" i="59" s="1"/>
  <c r="X110" i="59" s="1"/>
  <c r="AF110" i="59" s="1"/>
  <c r="I110" i="59"/>
  <c r="G110" i="59"/>
  <c r="AF109" i="59"/>
  <c r="O109" i="59"/>
  <c r="M109" i="59"/>
  <c r="P109" i="59" s="1"/>
  <c r="I109" i="59"/>
  <c r="G109" i="59"/>
  <c r="O108" i="59"/>
  <c r="M108" i="59"/>
  <c r="P108" i="59" s="1"/>
  <c r="I108" i="59"/>
  <c r="G108" i="59"/>
  <c r="J108" i="59" s="1"/>
  <c r="R108" i="59" s="1"/>
  <c r="X108" i="59" s="1"/>
  <c r="AF108" i="59" s="1"/>
  <c r="O107" i="59"/>
  <c r="M107" i="59"/>
  <c r="P107" i="59" s="1"/>
  <c r="J107" i="59"/>
  <c r="R107" i="59" s="1"/>
  <c r="X107" i="59" s="1"/>
  <c r="AF107" i="59" s="1"/>
  <c r="I107" i="59"/>
  <c r="G107" i="59"/>
  <c r="O106" i="59"/>
  <c r="M106" i="59"/>
  <c r="P106" i="59" s="1"/>
  <c r="J106" i="59"/>
  <c r="R106" i="59" s="1"/>
  <c r="X106" i="59" s="1"/>
  <c r="AF106" i="59" s="1"/>
  <c r="I106" i="59"/>
  <c r="G106" i="59"/>
  <c r="O105" i="59"/>
  <c r="M105" i="59"/>
  <c r="P105" i="59" s="1"/>
  <c r="I105" i="59"/>
  <c r="G105" i="59"/>
  <c r="O104" i="59"/>
  <c r="M104" i="59"/>
  <c r="P104" i="59" s="1"/>
  <c r="I104" i="59"/>
  <c r="G104" i="59"/>
  <c r="J104" i="59" s="1"/>
  <c r="O103" i="59"/>
  <c r="M103" i="59"/>
  <c r="P103" i="59" s="1"/>
  <c r="I103" i="59"/>
  <c r="J103" i="59" s="1"/>
  <c r="G103" i="59"/>
  <c r="O102" i="59"/>
  <c r="M102" i="59"/>
  <c r="P102" i="59" s="1"/>
  <c r="I102" i="59"/>
  <c r="J102" i="59" s="1"/>
  <c r="G102" i="59"/>
  <c r="O101" i="59"/>
  <c r="P101" i="59" s="1"/>
  <c r="M101" i="59"/>
  <c r="I101" i="59"/>
  <c r="G101" i="59"/>
  <c r="O100" i="59"/>
  <c r="M100" i="59"/>
  <c r="P100" i="59" s="1"/>
  <c r="I100" i="59"/>
  <c r="G100" i="59"/>
  <c r="O99" i="59"/>
  <c r="M99" i="59"/>
  <c r="P99" i="59" s="1"/>
  <c r="I99" i="59"/>
  <c r="G99" i="59"/>
  <c r="J99" i="59" s="1"/>
  <c r="O98" i="59"/>
  <c r="M98" i="59"/>
  <c r="P98" i="59" s="1"/>
  <c r="J98" i="59"/>
  <c r="I98" i="59"/>
  <c r="G98" i="59"/>
  <c r="P97" i="59"/>
  <c r="O97" i="59"/>
  <c r="M97" i="59"/>
  <c r="I97" i="59"/>
  <c r="G97" i="59"/>
  <c r="O96" i="59"/>
  <c r="M96" i="59"/>
  <c r="P96" i="59" s="1"/>
  <c r="R96" i="59" s="1"/>
  <c r="X96" i="59" s="1"/>
  <c r="AF96" i="59" s="1"/>
  <c r="I96" i="59"/>
  <c r="G96" i="59"/>
  <c r="J96" i="59" s="1"/>
  <c r="O95" i="59"/>
  <c r="M95" i="59"/>
  <c r="P95" i="59" s="1"/>
  <c r="J95" i="59"/>
  <c r="R95" i="59" s="1"/>
  <c r="X95" i="59" s="1"/>
  <c r="AF95" i="59" s="1"/>
  <c r="I95" i="59"/>
  <c r="G95" i="59"/>
  <c r="O94" i="59"/>
  <c r="M94" i="59"/>
  <c r="P94" i="59" s="1"/>
  <c r="J94" i="59"/>
  <c r="I94" i="59"/>
  <c r="G94" i="59"/>
  <c r="O93" i="59"/>
  <c r="P93" i="59" s="1"/>
  <c r="M93" i="59"/>
  <c r="J93" i="59"/>
  <c r="I93" i="59"/>
  <c r="G93" i="59"/>
  <c r="R92" i="59"/>
  <c r="X92" i="59" s="1"/>
  <c r="AF92" i="59" s="1"/>
  <c r="O92" i="59"/>
  <c r="P92" i="59" s="1"/>
  <c r="M92" i="59"/>
  <c r="I92" i="59"/>
  <c r="G92" i="59"/>
  <c r="J92" i="59" s="1"/>
  <c r="O91" i="59"/>
  <c r="M91" i="59"/>
  <c r="P91" i="59" s="1"/>
  <c r="I91" i="59"/>
  <c r="G91" i="59"/>
  <c r="O90" i="59"/>
  <c r="M90" i="59"/>
  <c r="P90" i="59" s="1"/>
  <c r="J90" i="59"/>
  <c r="R90" i="59" s="1"/>
  <c r="X90" i="59" s="1"/>
  <c r="AF90" i="59" s="1"/>
  <c r="I90" i="59"/>
  <c r="G90" i="59"/>
  <c r="P89" i="59"/>
  <c r="O89" i="59"/>
  <c r="M89" i="59"/>
  <c r="J89" i="59"/>
  <c r="I89" i="59"/>
  <c r="G89" i="59"/>
  <c r="O88" i="59"/>
  <c r="P88" i="59" s="1"/>
  <c r="M88" i="59"/>
  <c r="I88" i="59"/>
  <c r="G88" i="59"/>
  <c r="J88" i="59" s="1"/>
  <c r="R88" i="59" s="1"/>
  <c r="X88" i="59" s="1"/>
  <c r="AF88" i="59" s="1"/>
  <c r="O87" i="59"/>
  <c r="M87" i="59"/>
  <c r="P87" i="59" s="1"/>
  <c r="R87" i="59" s="1"/>
  <c r="X87" i="59" s="1"/>
  <c r="AF87" i="59" s="1"/>
  <c r="I87" i="59"/>
  <c r="G87" i="59"/>
  <c r="J87" i="59" s="1"/>
  <c r="O86" i="59"/>
  <c r="M86" i="59"/>
  <c r="P86" i="59" s="1"/>
  <c r="I86" i="59"/>
  <c r="G86" i="59"/>
  <c r="J86" i="59" s="1"/>
  <c r="O85" i="59"/>
  <c r="M85" i="59"/>
  <c r="J85" i="59"/>
  <c r="I85" i="59"/>
  <c r="G85" i="59"/>
  <c r="V82" i="59"/>
  <c r="T82" i="59"/>
  <c r="N82" i="59"/>
  <c r="L82" i="59"/>
  <c r="H82" i="59"/>
  <c r="F82" i="59"/>
  <c r="O81" i="59"/>
  <c r="P81" i="59" s="1"/>
  <c r="M81" i="59"/>
  <c r="I81" i="59"/>
  <c r="G81" i="59"/>
  <c r="J81" i="59" s="1"/>
  <c r="R81" i="59" s="1"/>
  <c r="X81" i="59" s="1"/>
  <c r="AF81" i="59" s="1"/>
  <c r="O79" i="59"/>
  <c r="M79" i="59"/>
  <c r="P79" i="59" s="1"/>
  <c r="J79" i="59"/>
  <c r="I79" i="59"/>
  <c r="G79" i="59"/>
  <c r="O78" i="59"/>
  <c r="M78" i="59"/>
  <c r="P78" i="59" s="1"/>
  <c r="I78" i="59"/>
  <c r="J78" i="59" s="1"/>
  <c r="G78" i="59"/>
  <c r="O77" i="59"/>
  <c r="M77" i="59"/>
  <c r="P77" i="59" s="1"/>
  <c r="I77" i="59"/>
  <c r="G77" i="59"/>
  <c r="J77" i="59" s="1"/>
  <c r="R77" i="59" s="1"/>
  <c r="X77" i="59" s="1"/>
  <c r="AF77" i="59" s="1"/>
  <c r="P76" i="59"/>
  <c r="O76" i="59"/>
  <c r="M76" i="59"/>
  <c r="I76" i="59"/>
  <c r="G76" i="59"/>
  <c r="J76" i="59" s="1"/>
  <c r="O75" i="59"/>
  <c r="M75" i="59"/>
  <c r="P75" i="59" s="1"/>
  <c r="I75" i="59"/>
  <c r="J75" i="59" s="1"/>
  <c r="R75" i="59" s="1"/>
  <c r="X75" i="59" s="1"/>
  <c r="AF75" i="59" s="1"/>
  <c r="G75" i="59"/>
  <c r="O74" i="59"/>
  <c r="M74" i="59"/>
  <c r="I74" i="59"/>
  <c r="J74" i="59" s="1"/>
  <c r="G74" i="59"/>
  <c r="P71" i="59"/>
  <c r="O71" i="59"/>
  <c r="M71" i="59"/>
  <c r="I71" i="59"/>
  <c r="G71" i="59"/>
  <c r="J71" i="59" s="1"/>
  <c r="O70" i="59"/>
  <c r="M70" i="59"/>
  <c r="P70" i="59" s="1"/>
  <c r="I70" i="59"/>
  <c r="J70" i="59" s="1"/>
  <c r="R70" i="59" s="1"/>
  <c r="X70" i="59" s="1"/>
  <c r="AF70" i="59" s="1"/>
  <c r="G70" i="59"/>
  <c r="O69" i="59"/>
  <c r="M69" i="59"/>
  <c r="I69" i="59"/>
  <c r="J69" i="59" s="1"/>
  <c r="G69" i="59"/>
  <c r="O68" i="59"/>
  <c r="M68" i="59"/>
  <c r="P68" i="59" s="1"/>
  <c r="R68" i="59" s="1"/>
  <c r="X68" i="59" s="1"/>
  <c r="AF68" i="59" s="1"/>
  <c r="I68" i="59"/>
  <c r="G68" i="59"/>
  <c r="J68" i="59" s="1"/>
  <c r="P67" i="59"/>
  <c r="O67" i="59"/>
  <c r="M67" i="59"/>
  <c r="I67" i="59"/>
  <c r="G67" i="59"/>
  <c r="J67" i="59" s="1"/>
  <c r="R67" i="59" s="1"/>
  <c r="X67" i="59" s="1"/>
  <c r="AF67" i="59" s="1"/>
  <c r="O66" i="59"/>
  <c r="M66" i="59"/>
  <c r="J66" i="59"/>
  <c r="I66" i="59"/>
  <c r="G66" i="59"/>
  <c r="P63" i="59"/>
  <c r="O63" i="59"/>
  <c r="M63" i="59"/>
  <c r="I63" i="59"/>
  <c r="G63" i="59"/>
  <c r="J63" i="59" s="1"/>
  <c r="R63" i="59" s="1"/>
  <c r="X63" i="59" s="1"/>
  <c r="AF63" i="59" s="1"/>
  <c r="X62" i="59"/>
  <c r="AF62" i="59" s="1"/>
  <c r="P62" i="59"/>
  <c r="O62" i="59"/>
  <c r="M62" i="59"/>
  <c r="J62" i="59"/>
  <c r="R62" i="59" s="1"/>
  <c r="I62" i="59"/>
  <c r="G62" i="59"/>
  <c r="O61" i="59"/>
  <c r="M61" i="59"/>
  <c r="P61" i="59" s="1"/>
  <c r="I61" i="59"/>
  <c r="J61" i="59" s="1"/>
  <c r="R61" i="59" s="1"/>
  <c r="X61" i="59" s="1"/>
  <c r="AF61" i="59" s="1"/>
  <c r="G61" i="59"/>
  <c r="O60" i="59"/>
  <c r="M60" i="59"/>
  <c r="I60" i="59"/>
  <c r="G60" i="59"/>
  <c r="O59" i="59"/>
  <c r="M59" i="59"/>
  <c r="I59" i="59"/>
  <c r="G59" i="59"/>
  <c r="W54" i="59"/>
  <c r="V54" i="59"/>
  <c r="U54" i="59"/>
  <c r="T54" i="59"/>
  <c r="T114" i="59" s="1"/>
  <c r="S54" i="59"/>
  <c r="N54" i="59"/>
  <c r="N114" i="59" s="1"/>
  <c r="L54" i="59"/>
  <c r="H54" i="59"/>
  <c r="H114" i="59" s="1"/>
  <c r="F54" i="59"/>
  <c r="O53" i="59"/>
  <c r="M53" i="59"/>
  <c r="P53" i="59" s="1"/>
  <c r="I53" i="59"/>
  <c r="G53" i="59"/>
  <c r="P52" i="59"/>
  <c r="O52" i="59"/>
  <c r="M52" i="59"/>
  <c r="J52" i="59"/>
  <c r="R52" i="59" s="1"/>
  <c r="X52" i="59" s="1"/>
  <c r="AF52" i="59" s="1"/>
  <c r="I52" i="59"/>
  <c r="G52" i="59"/>
  <c r="P51" i="59"/>
  <c r="O51" i="59"/>
  <c r="M51" i="59"/>
  <c r="J51" i="59"/>
  <c r="R51" i="59" s="1"/>
  <c r="X51" i="59" s="1"/>
  <c r="AF51" i="59" s="1"/>
  <c r="I51" i="59"/>
  <c r="G51" i="59"/>
  <c r="O50" i="59"/>
  <c r="M50" i="59"/>
  <c r="I50" i="59"/>
  <c r="J50" i="59" s="1"/>
  <c r="G50" i="59"/>
  <c r="O49" i="59"/>
  <c r="M49" i="59"/>
  <c r="I49" i="59"/>
  <c r="G49" i="59"/>
  <c r="J49" i="59" s="1"/>
  <c r="O48" i="59"/>
  <c r="M48" i="59"/>
  <c r="P48" i="59" s="1"/>
  <c r="I48" i="59"/>
  <c r="G48" i="59"/>
  <c r="J48" i="59" s="1"/>
  <c r="R48" i="59" s="1"/>
  <c r="X48" i="59" s="1"/>
  <c r="AF48" i="59" s="1"/>
  <c r="O47" i="59"/>
  <c r="P47" i="59" s="1"/>
  <c r="M47" i="59"/>
  <c r="I47" i="59"/>
  <c r="G47" i="59"/>
  <c r="J47" i="59" s="1"/>
  <c r="R47" i="59" s="1"/>
  <c r="X47" i="59" s="1"/>
  <c r="AF47" i="59" s="1"/>
  <c r="O46" i="59"/>
  <c r="M46" i="59"/>
  <c r="I46" i="59"/>
  <c r="J46" i="59" s="1"/>
  <c r="G46" i="59"/>
  <c r="O45" i="59"/>
  <c r="M45" i="59"/>
  <c r="I45" i="59"/>
  <c r="G45" i="59"/>
  <c r="J45" i="59" s="1"/>
  <c r="P44" i="59"/>
  <c r="O44" i="59"/>
  <c r="M44" i="59"/>
  <c r="I44" i="59"/>
  <c r="G44" i="59"/>
  <c r="J44" i="59" s="1"/>
  <c r="R44" i="59" s="1"/>
  <c r="X44" i="59" s="1"/>
  <c r="AF44" i="59" s="1"/>
  <c r="P43" i="59"/>
  <c r="O43" i="59"/>
  <c r="M43" i="59"/>
  <c r="I43" i="59"/>
  <c r="G43" i="59"/>
  <c r="J43" i="59" s="1"/>
  <c r="R43" i="59" s="1"/>
  <c r="X43" i="59" s="1"/>
  <c r="AF43" i="59" s="1"/>
  <c r="R42" i="59"/>
  <c r="X42" i="59" s="1"/>
  <c r="AF42" i="59" s="1"/>
  <c r="O42" i="59"/>
  <c r="M42" i="59"/>
  <c r="P42" i="59" s="1"/>
  <c r="J42" i="59"/>
  <c r="I42" i="59"/>
  <c r="G42" i="59"/>
  <c r="O41" i="59"/>
  <c r="M41" i="59"/>
  <c r="P41" i="59" s="1"/>
  <c r="I41" i="59"/>
  <c r="G41" i="59"/>
  <c r="O40" i="59"/>
  <c r="M40" i="59"/>
  <c r="P40" i="59" s="1"/>
  <c r="R40" i="59" s="1"/>
  <c r="X40" i="59" s="1"/>
  <c r="AF40" i="59" s="1"/>
  <c r="J40" i="59"/>
  <c r="I40" i="59"/>
  <c r="G40" i="59"/>
  <c r="O39" i="59"/>
  <c r="P39" i="59" s="1"/>
  <c r="M39" i="59"/>
  <c r="J39" i="59"/>
  <c r="I39" i="59"/>
  <c r="G39" i="59"/>
  <c r="O38" i="59"/>
  <c r="M38" i="59"/>
  <c r="J38" i="59"/>
  <c r="I38" i="59"/>
  <c r="G38" i="59"/>
  <c r="O37" i="59"/>
  <c r="M37" i="59"/>
  <c r="I37" i="59"/>
  <c r="G37" i="59"/>
  <c r="O36" i="59"/>
  <c r="M36" i="59"/>
  <c r="P36" i="59" s="1"/>
  <c r="I36" i="59"/>
  <c r="G36" i="59"/>
  <c r="J36" i="59" s="1"/>
  <c r="O35" i="59"/>
  <c r="P35" i="59" s="1"/>
  <c r="R35" i="59" s="1"/>
  <c r="X35" i="59" s="1"/>
  <c r="AF35" i="59" s="1"/>
  <c r="M35" i="59"/>
  <c r="J35" i="59"/>
  <c r="I35" i="59"/>
  <c r="G35" i="59"/>
  <c r="O34" i="59"/>
  <c r="M34" i="59"/>
  <c r="P34" i="59" s="1"/>
  <c r="I34" i="59"/>
  <c r="G34" i="59"/>
  <c r="J34" i="59" s="1"/>
  <c r="R34" i="59" s="1"/>
  <c r="X34" i="59" s="1"/>
  <c r="AF34" i="59" s="1"/>
  <c r="O33" i="59"/>
  <c r="M33" i="59"/>
  <c r="P33" i="59" s="1"/>
  <c r="I33" i="59"/>
  <c r="G33" i="59"/>
  <c r="J33" i="59" s="1"/>
  <c r="R33" i="59" s="1"/>
  <c r="X33" i="59" s="1"/>
  <c r="AF33" i="59" s="1"/>
  <c r="O32" i="59"/>
  <c r="M32" i="59"/>
  <c r="P32" i="59" s="1"/>
  <c r="I32" i="59"/>
  <c r="G32" i="59"/>
  <c r="J32" i="59" s="1"/>
  <c r="R32" i="59" s="1"/>
  <c r="X32" i="59" s="1"/>
  <c r="AF32" i="59" s="1"/>
  <c r="P31" i="59"/>
  <c r="O31" i="59"/>
  <c r="M31" i="59"/>
  <c r="I31" i="59"/>
  <c r="G31" i="59"/>
  <c r="J31" i="59" s="1"/>
  <c r="R31" i="59" s="1"/>
  <c r="X31" i="59" s="1"/>
  <c r="AF31" i="59" s="1"/>
  <c r="O30" i="59"/>
  <c r="M30" i="59"/>
  <c r="P30" i="59" s="1"/>
  <c r="I30" i="59"/>
  <c r="G30" i="59"/>
  <c r="J30" i="59" s="1"/>
  <c r="R30" i="59" s="1"/>
  <c r="X30" i="59" s="1"/>
  <c r="AF30" i="59" s="1"/>
  <c r="O29" i="59"/>
  <c r="P29" i="59" s="1"/>
  <c r="M29" i="59"/>
  <c r="J29" i="59"/>
  <c r="I29" i="59"/>
  <c r="G29" i="59"/>
  <c r="O28" i="59"/>
  <c r="M28" i="59"/>
  <c r="P28" i="59" s="1"/>
  <c r="I28" i="59"/>
  <c r="G28" i="59"/>
  <c r="J28" i="59" s="1"/>
  <c r="R28" i="59" s="1"/>
  <c r="X28" i="59" s="1"/>
  <c r="AF28" i="59" s="1"/>
  <c r="P27" i="59"/>
  <c r="O27" i="59"/>
  <c r="M27" i="59"/>
  <c r="I27" i="59"/>
  <c r="G27" i="59"/>
  <c r="J27" i="59" s="1"/>
  <c r="R27" i="59" s="1"/>
  <c r="X27" i="59" s="1"/>
  <c r="AF27" i="59" s="1"/>
  <c r="O26" i="59"/>
  <c r="M26" i="59"/>
  <c r="I26" i="59"/>
  <c r="G26" i="59"/>
  <c r="J26" i="59" s="1"/>
  <c r="P25" i="59"/>
  <c r="O25" i="59"/>
  <c r="M25" i="59"/>
  <c r="I25" i="59"/>
  <c r="J25" i="59" s="1"/>
  <c r="R25" i="59" s="1"/>
  <c r="X25" i="59" s="1"/>
  <c r="AF25" i="59" s="1"/>
  <c r="G25" i="59"/>
  <c r="O24" i="59"/>
  <c r="M24" i="59"/>
  <c r="P24" i="59" s="1"/>
  <c r="I24" i="59"/>
  <c r="G24" i="59"/>
  <c r="J24" i="59" s="1"/>
  <c r="O23" i="59"/>
  <c r="P23" i="59" s="1"/>
  <c r="M23" i="59"/>
  <c r="J23" i="59"/>
  <c r="I23" i="59"/>
  <c r="G23" i="59"/>
  <c r="O22" i="59"/>
  <c r="M22" i="59"/>
  <c r="P22" i="59" s="1"/>
  <c r="I22" i="59"/>
  <c r="G22" i="59"/>
  <c r="J22" i="59" s="1"/>
  <c r="O21" i="59"/>
  <c r="M21" i="59"/>
  <c r="P21" i="59" s="1"/>
  <c r="R21" i="59" s="1"/>
  <c r="X21" i="59" s="1"/>
  <c r="AF21" i="59" s="1"/>
  <c r="J21" i="59"/>
  <c r="I21" i="59"/>
  <c r="G21" i="59"/>
  <c r="P20" i="59"/>
  <c r="O20" i="59"/>
  <c r="M20" i="59"/>
  <c r="I20" i="59"/>
  <c r="G20" i="59"/>
  <c r="J20" i="59" s="1"/>
  <c r="P19" i="59"/>
  <c r="O19" i="59"/>
  <c r="M19" i="59"/>
  <c r="I19" i="59"/>
  <c r="J19" i="59" s="1"/>
  <c r="R19" i="59" s="1"/>
  <c r="X19" i="59" s="1"/>
  <c r="AF19" i="59" s="1"/>
  <c r="G19" i="59"/>
  <c r="O18" i="59"/>
  <c r="M18" i="59"/>
  <c r="P18" i="59" s="1"/>
  <c r="I18" i="59"/>
  <c r="G18" i="59"/>
  <c r="J18" i="59" s="1"/>
  <c r="R18" i="59" s="1"/>
  <c r="X18" i="59" s="1"/>
  <c r="AF18" i="59" s="1"/>
  <c r="O17" i="59"/>
  <c r="M17" i="59"/>
  <c r="P17" i="59" s="1"/>
  <c r="I17" i="59"/>
  <c r="G17" i="59"/>
  <c r="O16" i="59"/>
  <c r="P16" i="59" s="1"/>
  <c r="M16" i="59"/>
  <c r="J16" i="59"/>
  <c r="I16" i="59"/>
  <c r="G16" i="59"/>
  <c r="O15" i="59"/>
  <c r="P15" i="59" s="1"/>
  <c r="R15" i="59" s="1"/>
  <c r="X15" i="59" s="1"/>
  <c r="AF15" i="59" s="1"/>
  <c r="M15" i="59"/>
  <c r="J15" i="59"/>
  <c r="I15" i="59"/>
  <c r="G15" i="59"/>
  <c r="O14" i="59"/>
  <c r="M14" i="59"/>
  <c r="P14" i="59" s="1"/>
  <c r="I14" i="59"/>
  <c r="G14" i="59"/>
  <c r="J14" i="59" s="1"/>
  <c r="R14" i="59" s="1"/>
  <c r="X14" i="59" s="1"/>
  <c r="AF14" i="59" s="1"/>
  <c r="B14" i="59"/>
  <c r="B15" i="59" s="1"/>
  <c r="B16" i="59" s="1"/>
  <c r="B17" i="59" s="1"/>
  <c r="B18" i="59" s="1"/>
  <c r="B19" i="59" s="1"/>
  <c r="B20" i="59" s="1"/>
  <c r="B21" i="59" s="1"/>
  <c r="B22" i="59" s="1"/>
  <c r="B23" i="59" s="1"/>
  <c r="B24" i="59" s="1"/>
  <c r="B25" i="59" s="1"/>
  <c r="B26" i="59" s="1"/>
  <c r="B27" i="59" s="1"/>
  <c r="B28" i="59" s="1"/>
  <c r="B29" i="59" s="1"/>
  <c r="B30" i="59" s="1"/>
  <c r="B31" i="59" s="1"/>
  <c r="B32" i="59" s="1"/>
  <c r="B33" i="59" s="1"/>
  <c r="B34" i="59" s="1"/>
  <c r="B35" i="59" s="1"/>
  <c r="B36" i="59" s="1"/>
  <c r="B37" i="59" s="1"/>
  <c r="B38" i="59" s="1"/>
  <c r="B39" i="59" s="1"/>
  <c r="B40" i="59" s="1"/>
  <c r="B41" i="59" s="1"/>
  <c r="B42" i="59" s="1"/>
  <c r="B43" i="59" s="1"/>
  <c r="B44" i="59" s="1"/>
  <c r="B45" i="59" s="1"/>
  <c r="B46" i="59" s="1"/>
  <c r="B47" i="59" s="1"/>
  <c r="B48" i="59" s="1"/>
  <c r="B49" i="59" s="1"/>
  <c r="B50" i="59" s="1"/>
  <c r="B51" i="59" s="1"/>
  <c r="B52" i="59" s="1"/>
  <c r="B53" i="59" s="1"/>
  <c r="B54" i="59" s="1"/>
  <c r="B58" i="59" s="1"/>
  <c r="B59" i="59" s="1"/>
  <c r="B60" i="59" s="1"/>
  <c r="B61" i="59" s="1"/>
  <c r="B62" i="59" s="1"/>
  <c r="B63" i="59" s="1"/>
  <c r="B64" i="59" s="1"/>
  <c r="B65" i="59" s="1"/>
  <c r="B66" i="59" s="1"/>
  <c r="B67" i="59" s="1"/>
  <c r="B68" i="59" s="1"/>
  <c r="B69" i="59" s="1"/>
  <c r="B70" i="59" s="1"/>
  <c r="B71" i="59" s="1"/>
  <c r="B72" i="59" s="1"/>
  <c r="B73" i="59" s="1"/>
  <c r="B74" i="59" s="1"/>
  <c r="B75" i="59" s="1"/>
  <c r="B76" i="59" s="1"/>
  <c r="B77" i="59" s="1"/>
  <c r="B78" i="59" s="1"/>
  <c r="B79" i="59" s="1"/>
  <c r="B80" i="59" s="1"/>
  <c r="B81" i="59" s="1"/>
  <c r="B82" i="59" s="1"/>
  <c r="B85" i="59" s="1"/>
  <c r="B86" i="59" s="1"/>
  <c r="B87" i="59" s="1"/>
  <c r="B88" i="59" s="1"/>
  <c r="B89" i="59" s="1"/>
  <c r="B90" i="59" s="1"/>
  <c r="B91" i="59" s="1"/>
  <c r="B92" i="59" s="1"/>
  <c r="B93" i="59" s="1"/>
  <c r="B94" i="59" s="1"/>
  <c r="B95" i="59" s="1"/>
  <c r="B96" i="59" s="1"/>
  <c r="B97" i="59" s="1"/>
  <c r="B98" i="59" s="1"/>
  <c r="B99" i="59" s="1"/>
  <c r="B100" i="59" s="1"/>
  <c r="B101" i="59" s="1"/>
  <c r="B102" i="59" s="1"/>
  <c r="B103" i="59" s="1"/>
  <c r="B104" i="59" s="1"/>
  <c r="B105" i="59" s="1"/>
  <c r="B106" i="59" s="1"/>
  <c r="B107" i="59" s="1"/>
  <c r="B108" i="59" s="1"/>
  <c r="B109" i="59" s="1"/>
  <c r="B110" i="59" s="1"/>
  <c r="B111" i="59" s="1"/>
  <c r="B112" i="59" s="1"/>
  <c r="B114" i="59" s="1"/>
  <c r="O13" i="59"/>
  <c r="M13" i="59"/>
  <c r="P13" i="59" s="1"/>
  <c r="I13" i="59"/>
  <c r="G13" i="59"/>
  <c r="J13" i="59" s="1"/>
  <c r="R13" i="59" s="1"/>
  <c r="X13" i="59" s="1"/>
  <c r="AF13" i="59" s="1"/>
  <c r="B13" i="59"/>
  <c r="O12" i="59"/>
  <c r="M12" i="59"/>
  <c r="I12" i="59"/>
  <c r="G12" i="59"/>
  <c r="D154" i="54"/>
  <c r="D168" i="54" s="1"/>
  <c r="O154" i="54"/>
  <c r="M154" i="54"/>
  <c r="M168" i="54" s="1"/>
  <c r="L154" i="54"/>
  <c r="K154" i="54"/>
  <c r="J154" i="54"/>
  <c r="J168" i="54" s="1"/>
  <c r="H154" i="54"/>
  <c r="G154" i="54"/>
  <c r="G168" i="54" s="1"/>
  <c r="F154" i="54"/>
  <c r="F168" i="54" s="1"/>
  <c r="E154" i="54"/>
  <c r="E168" i="54" s="1"/>
  <c r="O153" i="54"/>
  <c r="N153" i="54"/>
  <c r="M153" i="54"/>
  <c r="L153" i="54"/>
  <c r="K153" i="54"/>
  <c r="J153" i="54"/>
  <c r="H153" i="54"/>
  <c r="G153" i="54"/>
  <c r="F153" i="54"/>
  <c r="E153" i="54"/>
  <c r="P152" i="54"/>
  <c r="O152" i="54"/>
  <c r="N152" i="54"/>
  <c r="M152" i="54"/>
  <c r="L152" i="54"/>
  <c r="K152" i="54"/>
  <c r="J152" i="54"/>
  <c r="I152" i="54"/>
  <c r="H152" i="54"/>
  <c r="G152" i="54"/>
  <c r="F152" i="54"/>
  <c r="E152" i="54"/>
  <c r="D160" i="1"/>
  <c r="E24" i="16" s="1"/>
  <c r="D162" i="1"/>
  <c r="D155" i="1"/>
  <c r="D159" i="1" s="1"/>
  <c r="K63" i="33"/>
  <c r="N69" i="33"/>
  <c r="D64" i="33"/>
  <c r="G65" i="33"/>
  <c r="O65" i="33"/>
  <c r="J66" i="33"/>
  <c r="E67" i="33"/>
  <c r="M67" i="33"/>
  <c r="H68" i="33"/>
  <c r="C71" i="33"/>
  <c r="F62" i="33"/>
  <c r="H27" i="32"/>
  <c r="F11" i="17"/>
  <c r="F12" i="17" s="1"/>
  <c r="D126" i="1" s="1"/>
  <c r="H7" i="49"/>
  <c r="H8" i="49"/>
  <c r="K75" i="52"/>
  <c r="K77" i="52"/>
  <c r="K79" i="52"/>
  <c r="K80" i="52"/>
  <c r="K81" i="52"/>
  <c r="K82" i="52"/>
  <c r="K51" i="52"/>
  <c r="K52" i="52"/>
  <c r="K54" i="52"/>
  <c r="K55" i="52"/>
  <c r="K56" i="52"/>
  <c r="K57" i="52"/>
  <c r="K60" i="52"/>
  <c r="K62" i="52"/>
  <c r="K64" i="52"/>
  <c r="K65" i="52"/>
  <c r="K66" i="52"/>
  <c r="K67" i="52"/>
  <c r="I34" i="2"/>
  <c r="L34" i="2" s="1"/>
  <c r="I59" i="5"/>
  <c r="D88" i="33"/>
  <c r="G88" i="33" s="1"/>
  <c r="D94" i="33"/>
  <c r="G94" i="33" s="1"/>
  <c r="D95" i="33"/>
  <c r="G95" i="33" s="1"/>
  <c r="G63" i="33"/>
  <c r="L63" i="33"/>
  <c r="G69" i="33"/>
  <c r="O69" i="33"/>
  <c r="F87" i="33"/>
  <c r="F105" i="33" s="1"/>
  <c r="E118" i="52" s="1"/>
  <c r="J62" i="33"/>
  <c r="K62" i="33"/>
  <c r="E89" i="33"/>
  <c r="G89" i="33" s="1"/>
  <c r="E90" i="33"/>
  <c r="G90" i="33" s="1"/>
  <c r="E91" i="33"/>
  <c r="G91" i="33" s="1"/>
  <c r="E92" i="33"/>
  <c r="G92" i="33" s="1"/>
  <c r="E96" i="33"/>
  <c r="G96" i="33" s="1"/>
  <c r="E64" i="33"/>
  <c r="H64" i="33"/>
  <c r="J64" i="33"/>
  <c r="M64" i="33"/>
  <c r="E65" i="33"/>
  <c r="M65" i="33"/>
  <c r="C66" i="33"/>
  <c r="D66" i="33"/>
  <c r="F66" i="33"/>
  <c r="H66" i="33"/>
  <c r="F67" i="33"/>
  <c r="K67" i="33"/>
  <c r="N67" i="33"/>
  <c r="I68" i="33"/>
  <c r="D71" i="33"/>
  <c r="L71" i="33"/>
  <c r="E85" i="30"/>
  <c r="E88" i="30"/>
  <c r="D13" i="30" s="1"/>
  <c r="D71" i="30"/>
  <c r="D72" i="30"/>
  <c r="D73" i="30"/>
  <c r="D76" i="30"/>
  <c r="E74" i="30"/>
  <c r="F79" i="30"/>
  <c r="G75" i="30"/>
  <c r="E60" i="30"/>
  <c r="E59" i="30"/>
  <c r="F62" i="30"/>
  <c r="F66" i="30" s="1"/>
  <c r="F51" i="30"/>
  <c r="F52" i="30"/>
  <c r="J99" i="52"/>
  <c r="C173" i="1"/>
  <c r="E27" i="32"/>
  <c r="G203" i="1"/>
  <c r="G202" i="1"/>
  <c r="I60" i="1"/>
  <c r="I49" i="1"/>
  <c r="I71" i="1"/>
  <c r="D71" i="1"/>
  <c r="C71" i="1"/>
  <c r="H29" i="27"/>
  <c r="H18" i="27"/>
  <c r="H21" i="27"/>
  <c r="H23" i="27"/>
  <c r="H24" i="27"/>
  <c r="H26" i="27"/>
  <c r="D87" i="30"/>
  <c r="D89" i="30"/>
  <c r="D84" i="30"/>
  <c r="D61" i="30"/>
  <c r="D64" i="30"/>
  <c r="D58" i="30"/>
  <c r="F120" i="5"/>
  <c r="G112" i="5"/>
  <c r="H112" i="5"/>
  <c r="G113" i="5"/>
  <c r="H113" i="5"/>
  <c r="J22" i="52"/>
  <c r="C12" i="6"/>
  <c r="F12" i="6"/>
  <c r="D205" i="1"/>
  <c r="D204" i="1"/>
  <c r="P154" i="54"/>
  <c r="D95" i="27"/>
  <c r="D94" i="27"/>
  <c r="D89" i="27"/>
  <c r="D88" i="27"/>
  <c r="D83" i="27"/>
  <c r="D82" i="27"/>
  <c r="G66" i="30"/>
  <c r="D51" i="49"/>
  <c r="G205" i="1"/>
  <c r="G204" i="1"/>
  <c r="G201" i="1"/>
  <c r="G200" i="1"/>
  <c r="G199" i="1"/>
  <c r="G197" i="1"/>
  <c r="G196" i="1"/>
  <c r="C24" i="17"/>
  <c r="C21" i="17"/>
  <c r="C25" i="17"/>
  <c r="D22" i="17"/>
  <c r="D206" i="1"/>
  <c r="D19" i="17"/>
  <c r="H16" i="27"/>
  <c r="H17" i="27"/>
  <c r="H19" i="27"/>
  <c r="H20" i="27"/>
  <c r="H22" i="27"/>
  <c r="H25" i="27"/>
  <c r="H27" i="27"/>
  <c r="F17" i="27"/>
  <c r="F18" i="27"/>
  <c r="F19" i="27"/>
  <c r="F20" i="27"/>
  <c r="F21" i="27"/>
  <c r="F22" i="27"/>
  <c r="F23" i="27"/>
  <c r="F24" i="27"/>
  <c r="F25" i="27"/>
  <c r="F26" i="27"/>
  <c r="F27" i="27"/>
  <c r="E37" i="57"/>
  <c r="E3" i="7"/>
  <c r="B69" i="33"/>
  <c r="A1" i="57"/>
  <c r="H127" i="52"/>
  <c r="G117" i="52"/>
  <c r="H130" i="52"/>
  <c r="F107" i="52"/>
  <c r="A114" i="52"/>
  <c r="A115" i="52"/>
  <c r="A116" i="52"/>
  <c r="A117" i="52"/>
  <c r="A118" i="52"/>
  <c r="A119" i="52"/>
  <c r="A120" i="52"/>
  <c r="A121" i="52"/>
  <c r="A124" i="52"/>
  <c r="A127" i="52"/>
  <c r="A128" i="52"/>
  <c r="A129" i="52"/>
  <c r="A130" i="52"/>
  <c r="A131" i="52"/>
  <c r="A132" i="52"/>
  <c r="A133" i="52"/>
  <c r="A134" i="52"/>
  <c r="A135" i="52"/>
  <c r="A136" i="52"/>
  <c r="A137" i="52"/>
  <c r="A138" i="52"/>
  <c r="A139" i="52"/>
  <c r="A140" i="52"/>
  <c r="A141" i="52"/>
  <c r="A50" i="52"/>
  <c r="A51" i="52"/>
  <c r="A52" i="52"/>
  <c r="A53" i="52"/>
  <c r="A54" i="52"/>
  <c r="A55" i="52"/>
  <c r="A56" i="52"/>
  <c r="A57" i="52"/>
  <c r="A58" i="52"/>
  <c r="A60" i="52"/>
  <c r="A61" i="52"/>
  <c r="A14" i="52"/>
  <c r="A18" i="52"/>
  <c r="A19" i="52"/>
  <c r="A20" i="52"/>
  <c r="A21" i="52"/>
  <c r="A22" i="52"/>
  <c r="A23" i="52"/>
  <c r="A24" i="52"/>
  <c r="A25" i="52"/>
  <c r="A26" i="52"/>
  <c r="A28" i="52"/>
  <c r="A29" i="52"/>
  <c r="A30" i="52"/>
  <c r="A31" i="52"/>
  <c r="A32" i="52"/>
  <c r="A33" i="52"/>
  <c r="A34" i="52"/>
  <c r="A35" i="52"/>
  <c r="A36" i="52"/>
  <c r="A37" i="52"/>
  <c r="A38" i="52"/>
  <c r="A39" i="52"/>
  <c r="A43" i="52"/>
  <c r="A44" i="52"/>
  <c r="A62" i="52"/>
  <c r="A63" i="52"/>
  <c r="A64" i="52"/>
  <c r="A65" i="52"/>
  <c r="A66" i="52"/>
  <c r="A67" i="52"/>
  <c r="A68" i="52"/>
  <c r="A70" i="52"/>
  <c r="A71" i="52"/>
  <c r="A72" i="52"/>
  <c r="A74" i="52"/>
  <c r="A75" i="52"/>
  <c r="A76" i="52"/>
  <c r="A77" i="52"/>
  <c r="A78" i="52"/>
  <c r="A79" i="52"/>
  <c r="A80" i="52"/>
  <c r="A81" i="52"/>
  <c r="A82" i="52"/>
  <c r="A83" i="52"/>
  <c r="A84" i="52"/>
  <c r="A85" i="52"/>
  <c r="A86" i="52"/>
  <c r="A87" i="52"/>
  <c r="A88" i="52"/>
  <c r="A89" i="52"/>
  <c r="A90" i="52"/>
  <c r="A91" i="52"/>
  <c r="A92" i="52"/>
  <c r="A93" i="52"/>
  <c r="A94" i="52"/>
  <c r="A95" i="52"/>
  <c r="A96" i="52"/>
  <c r="A97" i="52"/>
  <c r="A98" i="52"/>
  <c r="A99" i="52"/>
  <c r="A100" i="52"/>
  <c r="A101" i="52"/>
  <c r="A102" i="52"/>
  <c r="E52" i="57"/>
  <c r="J21" i="6"/>
  <c r="E47" i="57"/>
  <c r="F21" i="6"/>
  <c r="A40" i="57"/>
  <c r="A41" i="57"/>
  <c r="H21" i="6"/>
  <c r="E28" i="57"/>
  <c r="I21" i="6"/>
  <c r="E20" i="57"/>
  <c r="E21" i="6"/>
  <c r="E12" i="57"/>
  <c r="G21" i="6"/>
  <c r="E30" i="57"/>
  <c r="E39" i="57"/>
  <c r="E41" i="57"/>
  <c r="D120" i="1"/>
  <c r="D119" i="1"/>
  <c r="D118" i="1"/>
  <c r="O43" i="56"/>
  <c r="N43" i="56"/>
  <c r="M43" i="56"/>
  <c r="L43" i="56"/>
  <c r="K43" i="56"/>
  <c r="J43" i="56"/>
  <c r="I43" i="56"/>
  <c r="H43" i="56"/>
  <c r="G43" i="56"/>
  <c r="F43" i="56"/>
  <c r="E43" i="56"/>
  <c r="D43" i="56"/>
  <c r="C43" i="56"/>
  <c r="P40" i="56"/>
  <c r="P39" i="56"/>
  <c r="P34" i="56"/>
  <c r="P32" i="56"/>
  <c r="P31" i="56"/>
  <c r="P30" i="56"/>
  <c r="P29" i="56"/>
  <c r="P43" i="56" s="1"/>
  <c r="J34" i="6" s="1"/>
  <c r="F43" i="6" s="1"/>
  <c r="D213" i="1" s="1"/>
  <c r="E13" i="16" s="1"/>
  <c r="A7" i="56"/>
  <c r="A8" i="56"/>
  <c r="A9" i="56"/>
  <c r="A10" i="56"/>
  <c r="A11" i="56"/>
  <c r="A12" i="56"/>
  <c r="A13" i="56"/>
  <c r="A18" i="56"/>
  <c r="A19" i="56"/>
  <c r="A20" i="56"/>
  <c r="A21" i="56"/>
  <c r="A22" i="56"/>
  <c r="A28" i="56"/>
  <c r="A29" i="56"/>
  <c r="A30" i="56"/>
  <c r="A31" i="56"/>
  <c r="A32" i="56"/>
  <c r="A33" i="56"/>
  <c r="A34" i="56"/>
  <c r="A35" i="56"/>
  <c r="A36" i="56"/>
  <c r="A37" i="56"/>
  <c r="A38" i="56"/>
  <c r="A39" i="56"/>
  <c r="A40" i="56"/>
  <c r="A41" i="56"/>
  <c r="A42" i="56"/>
  <c r="I12" i="1"/>
  <c r="A11" i="54"/>
  <c r="A13" i="54"/>
  <c r="A14" i="54" s="1"/>
  <c r="A15" i="54" s="1"/>
  <c r="A17" i="54" s="1"/>
  <c r="A18" i="54" s="1"/>
  <c r="A19" i="54" s="1"/>
  <c r="A21" i="54" s="1"/>
  <c r="A23" i="54" s="1"/>
  <c r="A25" i="54" s="1"/>
  <c r="A26" i="54" s="1"/>
  <c r="A27" i="54" s="1"/>
  <c r="A32" i="54" s="1"/>
  <c r="A33" i="54" s="1"/>
  <c r="A35" i="54" s="1"/>
  <c r="A36" i="54" s="1"/>
  <c r="A37" i="54" s="1"/>
  <c r="A39" i="54" s="1"/>
  <c r="A40" i="54" s="1"/>
  <c r="A41" i="54" s="1"/>
  <c r="A43" i="54" s="1"/>
  <c r="A45" i="54" s="1"/>
  <c r="A47" i="54" s="1"/>
  <c r="A48" i="54" s="1"/>
  <c r="A49" i="54" s="1"/>
  <c r="A151" i="54" s="1"/>
  <c r="A152" i="54" s="1"/>
  <c r="A153" i="54" s="1"/>
  <c r="A154" i="54" s="1"/>
  <c r="A156" i="54" s="1"/>
  <c r="A158" i="54" s="1"/>
  <c r="A160" i="54" s="1"/>
  <c r="A168" i="54" s="1"/>
  <c r="A169" i="54" s="1"/>
  <c r="A171" i="54" s="1"/>
  <c r="G91" i="30"/>
  <c r="F91" i="30"/>
  <c r="B68" i="33"/>
  <c r="B67" i="33"/>
  <c r="B66" i="33"/>
  <c r="B65" i="33"/>
  <c r="B64" i="33"/>
  <c r="B63" i="33"/>
  <c r="B62" i="33"/>
  <c r="B3" i="55"/>
  <c r="I44" i="6"/>
  <c r="F52" i="1"/>
  <c r="C3" i="17"/>
  <c r="C41" i="7"/>
  <c r="B41" i="7"/>
  <c r="E26" i="7"/>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D121" i="1"/>
  <c r="A11" i="32"/>
  <c r="A12" i="32"/>
  <c r="A13" i="32"/>
  <c r="A14" i="32"/>
  <c r="A15" i="32"/>
  <c r="A16" i="32"/>
  <c r="A17" i="32"/>
  <c r="A18" i="32"/>
  <c r="A19" i="32"/>
  <c r="A20" i="32"/>
  <c r="A21" i="32"/>
  <c r="A22" i="32"/>
  <c r="A23" i="32"/>
  <c r="A27" i="32"/>
  <c r="A29" i="32"/>
  <c r="A30" i="32"/>
  <c r="A31" i="32"/>
  <c r="A7" i="30"/>
  <c r="A8" i="30"/>
  <c r="A12" i="30"/>
  <c r="A13" i="30"/>
  <c r="A14" i="30"/>
  <c r="A15" i="30"/>
  <c r="A16" i="30"/>
  <c r="A17" i="30"/>
  <c r="A18" i="30"/>
  <c r="A19" i="30"/>
  <c r="A20" i="30"/>
  <c r="A22" i="30"/>
  <c r="A23" i="30"/>
  <c r="A24" i="30"/>
  <c r="C14" i="1"/>
  <c r="G214" i="1"/>
  <c r="H14" i="16"/>
  <c r="A29" i="6"/>
  <c r="A31" i="6"/>
  <c r="A33" i="6"/>
  <c r="A34" i="6"/>
  <c r="A35" i="6"/>
  <c r="A36" i="6"/>
  <c r="A37" i="6"/>
  <c r="A42" i="6"/>
  <c r="A43" i="6"/>
  <c r="A44" i="6"/>
  <c r="A45" i="6"/>
  <c r="D148" i="1"/>
  <c r="D146" i="1"/>
  <c r="H12" i="6"/>
  <c r="D124" i="1"/>
  <c r="I120" i="1"/>
  <c r="G3" i="6"/>
  <c r="G25" i="6"/>
  <c r="D85" i="49"/>
  <c r="C85" i="49"/>
  <c r="D84" i="49"/>
  <c r="C84" i="49"/>
  <c r="D83" i="49"/>
  <c r="C83" i="49"/>
  <c r="D82" i="49"/>
  <c r="C82" i="49"/>
  <c r="D81" i="49"/>
  <c r="C81" i="49"/>
  <c r="D80" i="49"/>
  <c r="C80" i="49"/>
  <c r="D79" i="49"/>
  <c r="C79" i="49"/>
  <c r="D78" i="49"/>
  <c r="C78" i="49"/>
  <c r="D77" i="49"/>
  <c r="D76" i="49"/>
  <c r="D75" i="49"/>
  <c r="C75" i="49"/>
  <c r="D74" i="49"/>
  <c r="C74" i="49"/>
  <c r="G69" i="49"/>
  <c r="F69" i="49"/>
  <c r="D69" i="49"/>
  <c r="C69" i="49"/>
  <c r="G68" i="49"/>
  <c r="F68" i="49"/>
  <c r="D68" i="49"/>
  <c r="C68" i="49"/>
  <c r="G67" i="49"/>
  <c r="F67" i="49"/>
  <c r="D67" i="49"/>
  <c r="C67" i="49"/>
  <c r="G66" i="49"/>
  <c r="F66" i="49"/>
  <c r="D66" i="49"/>
  <c r="C66" i="49"/>
  <c r="G65" i="49"/>
  <c r="F65" i="49"/>
  <c r="D65" i="49"/>
  <c r="C65" i="49"/>
  <c r="G64" i="49"/>
  <c r="F64" i="49"/>
  <c r="D64" i="49"/>
  <c r="C64" i="49"/>
  <c r="G63" i="49"/>
  <c r="F63" i="49"/>
  <c r="D63" i="49"/>
  <c r="C63" i="49"/>
  <c r="G62" i="49"/>
  <c r="F62" i="49"/>
  <c r="D62" i="49"/>
  <c r="C62" i="49"/>
  <c r="G61" i="49"/>
  <c r="F61" i="49"/>
  <c r="D61" i="49"/>
  <c r="C61" i="49"/>
  <c r="G60" i="49"/>
  <c r="F60" i="49"/>
  <c r="D60" i="49"/>
  <c r="G59" i="49"/>
  <c r="F59" i="49"/>
  <c r="D59" i="49"/>
  <c r="C59" i="49"/>
  <c r="G58" i="49"/>
  <c r="F58" i="49"/>
  <c r="D58" i="49"/>
  <c r="C58" i="49"/>
  <c r="G57" i="49"/>
  <c r="F57" i="49"/>
  <c r="D57" i="49"/>
  <c r="C57" i="49"/>
  <c r="A54" i="49"/>
  <c r="C77" i="49"/>
  <c r="D34" i="49"/>
  <c r="D20" i="49"/>
  <c r="D37" i="49"/>
  <c r="D56" i="49"/>
  <c r="D73" i="49"/>
  <c r="C20" i="49"/>
  <c r="C37" i="49"/>
  <c r="C56" i="49"/>
  <c r="C73" i="49"/>
  <c r="C17" i="49"/>
  <c r="H16" i="49"/>
  <c r="H15" i="49"/>
  <c r="H14" i="49"/>
  <c r="H13" i="49"/>
  <c r="H12" i="49"/>
  <c r="H11" i="49"/>
  <c r="H10" i="49"/>
  <c r="A8" i="49"/>
  <c r="A9" i="49"/>
  <c r="A10" i="49"/>
  <c r="A11" i="49"/>
  <c r="A12" i="49"/>
  <c r="A13" i="49"/>
  <c r="A14" i="49"/>
  <c r="A15" i="49"/>
  <c r="A16" i="49"/>
  <c r="A17" i="49"/>
  <c r="A21" i="49"/>
  <c r="A22" i="49"/>
  <c r="A23" i="49"/>
  <c r="A24" i="49"/>
  <c r="A25" i="49"/>
  <c r="A26" i="49"/>
  <c r="A27" i="49"/>
  <c r="A28" i="49"/>
  <c r="A29" i="49"/>
  <c r="A30" i="49"/>
  <c r="A31" i="49"/>
  <c r="A32" i="49"/>
  <c r="A33" i="49"/>
  <c r="A34" i="49"/>
  <c r="A38" i="49"/>
  <c r="A39" i="49"/>
  <c r="A40" i="49"/>
  <c r="A41" i="49"/>
  <c r="A42" i="49"/>
  <c r="A43" i="49"/>
  <c r="A44" i="49"/>
  <c r="A45" i="49"/>
  <c r="A46" i="49"/>
  <c r="A47" i="49"/>
  <c r="A48" i="49"/>
  <c r="A49" i="49"/>
  <c r="A50" i="49"/>
  <c r="A51" i="49"/>
  <c r="A57" i="49"/>
  <c r="A58" i="49"/>
  <c r="A59" i="49"/>
  <c r="A60" i="49"/>
  <c r="A61" i="49"/>
  <c r="A62" i="49"/>
  <c r="A63" i="49"/>
  <c r="A64" i="49"/>
  <c r="A65" i="49"/>
  <c r="A66" i="49"/>
  <c r="A67" i="49"/>
  <c r="A68" i="49"/>
  <c r="A69" i="49"/>
  <c r="A70" i="49"/>
  <c r="A74" i="49"/>
  <c r="A75" i="49"/>
  <c r="A76" i="49"/>
  <c r="A77" i="49"/>
  <c r="A78" i="49"/>
  <c r="A79" i="49"/>
  <c r="A80" i="49"/>
  <c r="A81" i="49"/>
  <c r="A82" i="49"/>
  <c r="A83" i="49"/>
  <c r="A84" i="49"/>
  <c r="A85" i="49"/>
  <c r="A86" i="49"/>
  <c r="G104" i="33"/>
  <c r="G103" i="33"/>
  <c r="G102" i="33"/>
  <c r="G101" i="33"/>
  <c r="G100" i="33"/>
  <c r="G99" i="33"/>
  <c r="G98" i="33"/>
  <c r="G97" i="33"/>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O71" i="33"/>
  <c r="K71" i="33"/>
  <c r="J71" i="33"/>
  <c r="H71" i="33"/>
  <c r="G71" i="33"/>
  <c r="L69" i="33"/>
  <c r="K69" i="33"/>
  <c r="D69" i="33"/>
  <c r="C69" i="33"/>
  <c r="O68" i="33"/>
  <c r="M68" i="33"/>
  <c r="L68" i="33"/>
  <c r="G68" i="33"/>
  <c r="E68" i="33"/>
  <c r="D68" i="33"/>
  <c r="L67" i="33"/>
  <c r="J67" i="33"/>
  <c r="I67" i="33"/>
  <c r="D67" i="33"/>
  <c r="C67" i="33"/>
  <c r="L65" i="33"/>
  <c r="H65" i="33"/>
  <c r="D65" i="33"/>
  <c r="L64" i="33"/>
  <c r="I64" i="33"/>
  <c r="I63" i="33"/>
  <c r="H63" i="33"/>
  <c r="O62" i="33"/>
  <c r="M62" i="33"/>
  <c r="G62" i="33"/>
  <c r="E62" i="33"/>
  <c r="C62" i="33"/>
  <c r="B61" i="33"/>
  <c r="R53" i="33"/>
  <c r="R81" i="33"/>
  <c r="E106" i="33"/>
  <c r="Q53" i="33"/>
  <c r="Q81" i="33"/>
  <c r="D106" i="33"/>
  <c r="T51" i="33"/>
  <c r="T50" i="33"/>
  <c r="T49" i="33"/>
  <c r="T48" i="33"/>
  <c r="T47" i="33"/>
  <c r="T46" i="33"/>
  <c r="T45" i="33"/>
  <c r="T44" i="33"/>
  <c r="T26" i="33"/>
  <c r="T25" i="33"/>
  <c r="T24" i="33"/>
  <c r="T23" i="33"/>
  <c r="T22" i="33"/>
  <c r="T21" i="33"/>
  <c r="T20" i="33"/>
  <c r="T19" i="33"/>
  <c r="A10" i="33"/>
  <c r="A11" i="33"/>
  <c r="A12" i="33"/>
  <c r="A13" i="33"/>
  <c r="A14" i="33"/>
  <c r="A15" i="33"/>
  <c r="A16" i="33"/>
  <c r="A17" i="33"/>
  <c r="A18" i="33"/>
  <c r="A19" i="33"/>
  <c r="A20" i="33"/>
  <c r="A21" i="33"/>
  <c r="A22" i="33"/>
  <c r="A23" i="33"/>
  <c r="A24" i="33"/>
  <c r="A25" i="33"/>
  <c r="A26" i="33"/>
  <c r="A27" i="33"/>
  <c r="A28" i="33"/>
  <c r="A29" i="33"/>
  <c r="A34" i="33"/>
  <c r="A35" i="33"/>
  <c r="A36" i="33"/>
  <c r="A37" i="33"/>
  <c r="A38" i="33"/>
  <c r="A39" i="33"/>
  <c r="A40" i="33"/>
  <c r="A41" i="33"/>
  <c r="A42" i="33"/>
  <c r="A43" i="33"/>
  <c r="A44" i="33"/>
  <c r="A45" i="33"/>
  <c r="A46" i="33"/>
  <c r="A47" i="33"/>
  <c r="A48" i="33"/>
  <c r="A49" i="33"/>
  <c r="A50" i="33"/>
  <c r="A51" i="33"/>
  <c r="A52" i="33"/>
  <c r="A53" i="33"/>
  <c r="A54" i="33"/>
  <c r="A62" i="33"/>
  <c r="A63" i="33"/>
  <c r="A64" i="33"/>
  <c r="A65" i="33"/>
  <c r="A66" i="33"/>
  <c r="A67" i="33"/>
  <c r="A68" i="33"/>
  <c r="A69" i="33"/>
  <c r="A70" i="33"/>
  <c r="A71" i="33"/>
  <c r="A72" i="33"/>
  <c r="A73" i="33"/>
  <c r="A74" i="33"/>
  <c r="A75" i="33"/>
  <c r="A76" i="33"/>
  <c r="A77" i="33"/>
  <c r="A78" i="33"/>
  <c r="A79" i="33"/>
  <c r="A80" i="33"/>
  <c r="A81" i="33"/>
  <c r="A82" i="33"/>
  <c r="A87" i="33"/>
  <c r="A88" i="33"/>
  <c r="A89" i="33"/>
  <c r="A90" i="33"/>
  <c r="A91" i="33"/>
  <c r="A92" i="33"/>
  <c r="A93" i="33"/>
  <c r="A94" i="33"/>
  <c r="A95" i="33"/>
  <c r="A96" i="33"/>
  <c r="A97" i="33"/>
  <c r="A98" i="33"/>
  <c r="A99" i="33"/>
  <c r="A100" i="33"/>
  <c r="A101" i="33"/>
  <c r="A102" i="33"/>
  <c r="A103" i="33"/>
  <c r="A104" i="33"/>
  <c r="A105" i="33"/>
  <c r="A106" i="33"/>
  <c r="A107" i="33"/>
  <c r="C83" i="27"/>
  <c r="C77" i="27"/>
  <c r="F57" i="27"/>
  <c r="C56" i="27"/>
  <c r="H55" i="27"/>
  <c r="H54" i="27"/>
  <c r="H53" i="27"/>
  <c r="H52" i="27"/>
  <c r="H51" i="27"/>
  <c r="H50" i="27"/>
  <c r="H49" i="27"/>
  <c r="H48" i="27"/>
  <c r="H47" i="27"/>
  <c r="H46" i="27"/>
  <c r="H45" i="27"/>
  <c r="D44" i="27"/>
  <c r="D45" i="27"/>
  <c r="D46" i="27"/>
  <c r="D47" i="27" s="1"/>
  <c r="D48" i="27" s="1"/>
  <c r="D49" i="27" s="1"/>
  <c r="D50" i="27" s="1"/>
  <c r="D51" i="27" s="1"/>
  <c r="D52" i="27" s="1"/>
  <c r="D53" i="27" s="1"/>
  <c r="D54" i="27" s="1"/>
  <c r="D55" i="27" s="1"/>
  <c r="D56" i="27" s="1"/>
  <c r="D57" i="27" s="1"/>
  <c r="C39" i="27"/>
  <c r="F34" i="27"/>
  <c r="C33" i="27"/>
  <c r="D32" i="27"/>
  <c r="D33" i="27" s="1"/>
  <c r="D39" i="27" s="1"/>
  <c r="D38" i="27"/>
  <c r="C27" i="27"/>
  <c r="A17" i="27"/>
  <c r="A18" i="27"/>
  <c r="A19" i="27"/>
  <c r="A20" i="27"/>
  <c r="A21" i="27"/>
  <c r="A22" i="27"/>
  <c r="A23" i="27"/>
  <c r="A24" i="27"/>
  <c r="A25" i="27"/>
  <c r="A26" i="27"/>
  <c r="A27" i="27"/>
  <c r="A28" i="27"/>
  <c r="A29" i="27"/>
  <c r="A30" i="27"/>
  <c r="A32" i="27"/>
  <c r="A33" i="27"/>
  <c r="A34" i="27"/>
  <c r="A38" i="27"/>
  <c r="A39" i="27"/>
  <c r="A40" i="27"/>
  <c r="A44" i="27"/>
  <c r="A45" i="27"/>
  <c r="A46" i="27"/>
  <c r="A47" i="27"/>
  <c r="A48" i="27"/>
  <c r="A49" i="27"/>
  <c r="A50" i="27"/>
  <c r="A51" i="27"/>
  <c r="A52" i="27"/>
  <c r="A53" i="27"/>
  <c r="A54" i="27"/>
  <c r="A55" i="27"/>
  <c r="A56" i="27"/>
  <c r="A57" i="27"/>
  <c r="A60" i="27"/>
  <c r="A76" i="27"/>
  <c r="A77" i="27"/>
  <c r="A78" i="27"/>
  <c r="A82" i="27"/>
  <c r="A83" i="27"/>
  <c r="A84" i="27"/>
  <c r="A88" i="27"/>
  <c r="A89" i="27"/>
  <c r="A90" i="27"/>
  <c r="A94" i="27"/>
  <c r="A95" i="27"/>
  <c r="A96" i="27"/>
  <c r="D16" i="27"/>
  <c r="D17" i="27" s="1"/>
  <c r="D18" i="27" s="1"/>
  <c r="D19" i="27" s="1"/>
  <c r="D20" i="27" s="1"/>
  <c r="D21" i="27" s="1"/>
  <c r="D22" i="27" s="1"/>
  <c r="D23" i="27" s="1"/>
  <c r="D24" i="27" s="1"/>
  <c r="D25" i="27" s="1"/>
  <c r="D26" i="27" s="1"/>
  <c r="D27" i="27" s="1"/>
  <c r="D28" i="27" s="1"/>
  <c r="D29" i="27" s="1"/>
  <c r="G3" i="27"/>
  <c r="G65" i="27"/>
  <c r="F49" i="5"/>
  <c r="I44" i="5"/>
  <c r="D86" i="1"/>
  <c r="E44" i="5"/>
  <c r="D79" i="1"/>
  <c r="D44" i="5"/>
  <c r="D91" i="1"/>
  <c r="I91" i="1"/>
  <c r="C44" i="5"/>
  <c r="D90" i="1"/>
  <c r="I90" i="1"/>
  <c r="G3" i="5"/>
  <c r="B66" i="21"/>
  <c r="A9" i="16"/>
  <c r="A12" i="16"/>
  <c r="A13" i="16"/>
  <c r="A14" i="16"/>
  <c r="A15" i="16"/>
  <c r="A16" i="16"/>
  <c r="A18" i="16"/>
  <c r="A19" i="16"/>
  <c r="F5" i="16"/>
  <c r="E7" i="21"/>
  <c r="P95" i="2"/>
  <c r="I26" i="1"/>
  <c r="G56" i="2"/>
  <c r="G55" i="2"/>
  <c r="G7" i="2"/>
  <c r="G57" i="2"/>
  <c r="K225" i="1"/>
  <c r="G213" i="1"/>
  <c r="H13" i="16"/>
  <c r="G211" i="1"/>
  <c r="A188" i="1"/>
  <c r="A189" i="1"/>
  <c r="A190" i="1"/>
  <c r="A192" i="1"/>
  <c r="A194" i="1"/>
  <c r="A196" i="1"/>
  <c r="A198" i="1"/>
  <c r="A200" i="1"/>
  <c r="A204" i="1"/>
  <c r="A206" i="1"/>
  <c r="K178" i="1"/>
  <c r="C154" i="1"/>
  <c r="I152" i="1"/>
  <c r="D149" i="1"/>
  <c r="D147" i="1"/>
  <c r="D144" i="1"/>
  <c r="B144" i="1"/>
  <c r="D143" i="1"/>
  <c r="D138" i="1"/>
  <c r="I138" i="1"/>
  <c r="D123" i="1"/>
  <c r="I123" i="1"/>
  <c r="F118" i="1"/>
  <c r="F119" i="1"/>
  <c r="F120" i="1"/>
  <c r="A118" i="1"/>
  <c r="A119" i="1"/>
  <c r="A120" i="1"/>
  <c r="A121" i="1"/>
  <c r="A122" i="1"/>
  <c r="A123" i="1"/>
  <c r="A124" i="1"/>
  <c r="A125" i="1"/>
  <c r="A126" i="1"/>
  <c r="A127" i="1"/>
  <c r="A128" i="1"/>
  <c r="D117" i="1"/>
  <c r="K109" i="1"/>
  <c r="I93" i="1"/>
  <c r="I92" i="1"/>
  <c r="F92" i="1"/>
  <c r="F90" i="1"/>
  <c r="F88" i="1"/>
  <c r="F89" i="1"/>
  <c r="F152" i="1"/>
  <c r="G87" i="1"/>
  <c r="I68" i="1"/>
  <c r="D68" i="1"/>
  <c r="G59" i="1"/>
  <c r="F53" i="1"/>
  <c r="F63" i="1"/>
  <c r="F64" i="1"/>
  <c r="A47" i="1"/>
  <c r="A48" i="1"/>
  <c r="D39" i="1"/>
  <c r="D111" i="1"/>
  <c r="D180" i="1"/>
  <c r="K37" i="1"/>
  <c r="A14" i="1"/>
  <c r="A16" i="1"/>
  <c r="A18" i="1"/>
  <c r="A19" i="1"/>
  <c r="A20" i="1"/>
  <c r="A22" i="1"/>
  <c r="A23" i="1"/>
  <c r="A24" i="1"/>
  <c r="J50" i="21"/>
  <c r="A209" i="1"/>
  <c r="A210" i="1"/>
  <c r="A211" i="1"/>
  <c r="A212" i="1"/>
  <c r="A213" i="1"/>
  <c r="A214" i="1"/>
  <c r="A215" i="1"/>
  <c r="C76" i="49"/>
  <c r="D125" i="1"/>
  <c r="F70" i="49"/>
  <c r="D86" i="49"/>
  <c r="D150" i="1"/>
  <c r="G70" i="49"/>
  <c r="C51" i="49"/>
  <c r="B1" i="32"/>
  <c r="B52" i="49"/>
  <c r="A1" i="49"/>
  <c r="B1" i="33"/>
  <c r="C55" i="33"/>
  <c r="D227" i="1"/>
  <c r="B23" i="16"/>
  <c r="A20" i="16"/>
  <c r="B27" i="16"/>
  <c r="A50" i="1"/>
  <c r="A130" i="1"/>
  <c r="A131" i="1"/>
  <c r="F24" i="5"/>
  <c r="D88" i="1" s="1"/>
  <c r="I88" i="1" s="1"/>
  <c r="F28" i="27"/>
  <c r="F48" i="21"/>
  <c r="B128" i="28"/>
  <c r="B86" i="29"/>
  <c r="B91" i="28"/>
  <c r="B122" i="29"/>
  <c r="B2" i="29"/>
  <c r="B2" i="28"/>
  <c r="G80" i="1"/>
  <c r="G81" i="1"/>
  <c r="D70" i="49"/>
  <c r="C60" i="49"/>
  <c r="C34" i="49"/>
  <c r="C86" i="49"/>
  <c r="C70" i="49"/>
  <c r="G82" i="1"/>
  <c r="G83" i="1"/>
  <c r="G84" i="1"/>
  <c r="G86" i="1"/>
  <c r="I86" i="1"/>
  <c r="A132" i="1"/>
  <c r="A133" i="1"/>
  <c r="A136" i="1"/>
  <c r="A137" i="1"/>
  <c r="A138" i="1"/>
  <c r="A139" i="1"/>
  <c r="A51" i="1"/>
  <c r="A21" i="16"/>
  <c r="A22" i="16"/>
  <c r="A23" i="16"/>
  <c r="H56" i="27"/>
  <c r="H33" i="27"/>
  <c r="G85" i="1"/>
  <c r="A24" i="16"/>
  <c r="A25" i="16"/>
  <c r="A26" i="16"/>
  <c r="A27" i="16"/>
  <c r="A52" i="1"/>
  <c r="A141" i="1"/>
  <c r="A142" i="1"/>
  <c r="A143" i="1"/>
  <c r="C139" i="1"/>
  <c r="B30" i="16"/>
  <c r="A144" i="1"/>
  <c r="A145" i="1"/>
  <c r="A146" i="1"/>
  <c r="A147" i="1"/>
  <c r="A148" i="1"/>
  <c r="A149" i="1"/>
  <c r="A150" i="1"/>
  <c r="A53" i="1"/>
  <c r="B29" i="16"/>
  <c r="A28" i="16"/>
  <c r="A29" i="16"/>
  <c r="A30" i="16"/>
  <c r="A31" i="16"/>
  <c r="A33" i="16"/>
  <c r="B28" i="16"/>
  <c r="D17" i="49"/>
  <c r="H9" i="49"/>
  <c r="B31" i="16"/>
  <c r="A152" i="1"/>
  <c r="A154" i="1"/>
  <c r="A155" i="1"/>
  <c r="A35" i="16"/>
  <c r="A36" i="16"/>
  <c r="A37" i="16"/>
  <c r="A38" i="16"/>
  <c r="A39" i="16"/>
  <c r="A40" i="16"/>
  <c r="A54" i="1"/>
  <c r="A56" i="1"/>
  <c r="A57" i="1"/>
  <c r="C150" i="1"/>
  <c r="I70" i="5"/>
  <c r="C68" i="1"/>
  <c r="A58" i="1"/>
  <c r="A156" i="1"/>
  <c r="B159" i="1"/>
  <c r="A157" i="1"/>
  <c r="A158" i="1"/>
  <c r="A159" i="1"/>
  <c r="A59" i="1"/>
  <c r="C69" i="1"/>
  <c r="F70" i="33"/>
  <c r="G70" i="33"/>
  <c r="K70" i="33"/>
  <c r="J70" i="33"/>
  <c r="H70" i="33"/>
  <c r="N70" i="33"/>
  <c r="A61" i="1"/>
  <c r="C70" i="1"/>
  <c r="A160" i="1"/>
  <c r="C164" i="1"/>
  <c r="O70" i="33"/>
  <c r="N66" i="33"/>
  <c r="O66" i="33"/>
  <c r="A62" i="1"/>
  <c r="C72" i="1"/>
  <c r="A161" i="1"/>
  <c r="I66" i="33"/>
  <c r="K66" i="33"/>
  <c r="G66" i="33"/>
  <c r="H29" i="16"/>
  <c r="A162" i="1"/>
  <c r="C166" i="1"/>
  <c r="C165" i="1"/>
  <c r="A63" i="1"/>
  <c r="C73" i="1"/>
  <c r="A64" i="1"/>
  <c r="C74" i="1"/>
  <c r="A163" i="1"/>
  <c r="H30" i="16"/>
  <c r="A65" i="1"/>
  <c r="A67" i="1"/>
  <c r="A68" i="1"/>
  <c r="A69" i="1"/>
  <c r="A70" i="1"/>
  <c r="A72" i="1"/>
  <c r="A73" i="1"/>
  <c r="A74" i="1"/>
  <c r="A75" i="1"/>
  <c r="A76" i="1"/>
  <c r="A78" i="1"/>
  <c r="A79" i="1"/>
  <c r="A80" i="1"/>
  <c r="A81" i="1"/>
  <c r="A82" i="1"/>
  <c r="A86" i="1"/>
  <c r="A87" i="1"/>
  <c r="A88" i="1"/>
  <c r="A89" i="1"/>
  <c r="A90" i="1"/>
  <c r="A91" i="1"/>
  <c r="A92" i="1"/>
  <c r="A93" i="1"/>
  <c r="A94" i="1"/>
  <c r="A96" i="1"/>
  <c r="A98" i="1"/>
  <c r="A99" i="1"/>
  <c r="A100" i="1"/>
  <c r="A101" i="1"/>
  <c r="A102" i="1"/>
  <c r="A104" i="1"/>
  <c r="C75" i="1"/>
  <c r="A164" i="1"/>
  <c r="A165" i="1"/>
  <c r="A166" i="1"/>
  <c r="A167" i="1"/>
  <c r="C167" i="1"/>
  <c r="A169" i="1"/>
  <c r="A170" i="1"/>
  <c r="A173" i="1"/>
  <c r="C11" i="1"/>
  <c r="C163" i="1"/>
  <c r="F10" i="17"/>
  <c r="J82" i="52" l="1"/>
  <c r="K25" i="52"/>
  <c r="J19" i="52"/>
  <c r="J100" i="52"/>
  <c r="J37" i="52"/>
  <c r="F103" i="5"/>
  <c r="H103" i="5" s="1"/>
  <c r="N27" i="54"/>
  <c r="J23" i="52"/>
  <c r="K29" i="52"/>
  <c r="F96" i="5"/>
  <c r="G96" i="5" s="1"/>
  <c r="F108" i="5"/>
  <c r="H108" i="5" s="1"/>
  <c r="J92" i="52"/>
  <c r="J18" i="52"/>
  <c r="D70" i="1"/>
  <c r="P27" i="54"/>
  <c r="F27" i="54"/>
  <c r="F107" i="5"/>
  <c r="H107" i="5" s="1"/>
  <c r="J38" i="52"/>
  <c r="F111" i="5"/>
  <c r="H111" i="5" s="1"/>
  <c r="J56" i="52"/>
  <c r="J36" i="52"/>
  <c r="M19" i="54"/>
  <c r="E39" i="54"/>
  <c r="F39" i="54" s="1"/>
  <c r="G39" i="54" s="1"/>
  <c r="H39" i="54" s="1"/>
  <c r="J33" i="52"/>
  <c r="J77" i="52"/>
  <c r="J65" i="52"/>
  <c r="J35" i="52"/>
  <c r="J84" i="52"/>
  <c r="J34" i="52"/>
  <c r="J61" i="52"/>
  <c r="J97" i="52"/>
  <c r="D40" i="54"/>
  <c r="D41" i="54" s="1"/>
  <c r="D87" i="54"/>
  <c r="E65" i="54"/>
  <c r="E112" i="54"/>
  <c r="D134" i="54"/>
  <c r="F121" i="5"/>
  <c r="H121" i="5" s="1"/>
  <c r="F104" i="5"/>
  <c r="G104" i="5" s="1"/>
  <c r="P18" i="56"/>
  <c r="J53" i="52"/>
  <c r="M82" i="54"/>
  <c r="J141" i="54"/>
  <c r="I143" i="54"/>
  <c r="J94" i="54"/>
  <c r="I96" i="54"/>
  <c r="L127" i="54"/>
  <c r="I88" i="54"/>
  <c r="J86" i="54"/>
  <c r="K133" i="54"/>
  <c r="L129" i="54"/>
  <c r="J80" i="54"/>
  <c r="E35" i="54"/>
  <c r="F35" i="54" s="1"/>
  <c r="G35" i="54" s="1"/>
  <c r="H35" i="54" s="1"/>
  <c r="I35" i="54" s="1"/>
  <c r="J35" i="54" s="1"/>
  <c r="K35" i="54" s="1"/>
  <c r="L35" i="54" s="1"/>
  <c r="J27" i="54"/>
  <c r="E27" i="54"/>
  <c r="P168" i="54"/>
  <c r="K168" i="54"/>
  <c r="L168" i="54"/>
  <c r="O168" i="54"/>
  <c r="H168" i="54"/>
  <c r="F116" i="5"/>
  <c r="G116" i="5" s="1"/>
  <c r="J101" i="52"/>
  <c r="J62" i="52"/>
  <c r="K34" i="52"/>
  <c r="J29" i="52"/>
  <c r="F100" i="5"/>
  <c r="G100" i="5" s="1"/>
  <c r="J90" i="52"/>
  <c r="G87" i="33"/>
  <c r="N154" i="54"/>
  <c r="N168" i="54" s="1"/>
  <c r="J21" i="52"/>
  <c r="J67" i="52"/>
  <c r="N19" i="54"/>
  <c r="J95" i="52"/>
  <c r="J78" i="52"/>
  <c r="I70" i="1"/>
  <c r="G19" i="54"/>
  <c r="O19" i="54"/>
  <c r="L19" i="54"/>
  <c r="J19" i="54"/>
  <c r="F19" i="54"/>
  <c r="E19" i="54"/>
  <c r="D108" i="29"/>
  <c r="D111" i="29" s="1"/>
  <c r="E45" i="54"/>
  <c r="F45" i="54" s="1"/>
  <c r="G45" i="54" s="1"/>
  <c r="H45" i="54" s="1"/>
  <c r="I45" i="54" s="1"/>
  <c r="J45" i="54" s="1"/>
  <c r="K45" i="54" s="1"/>
  <c r="L45" i="54" s="1"/>
  <c r="M45" i="54" s="1"/>
  <c r="N45" i="54" s="1"/>
  <c r="O45" i="54" s="1"/>
  <c r="P45" i="54" s="1"/>
  <c r="Q45" i="54" s="1"/>
  <c r="D84" i="1" s="1"/>
  <c r="I84" i="1" s="1"/>
  <c r="C73" i="29"/>
  <c r="C76" i="29" s="1"/>
  <c r="C11" i="29" s="1"/>
  <c r="E73" i="29"/>
  <c r="E76" i="29" s="1"/>
  <c r="G108" i="29"/>
  <c r="G111" i="29" s="1"/>
  <c r="G9" i="29" s="1"/>
  <c r="F168" i="29"/>
  <c r="F171" i="29" s="1"/>
  <c r="F10" i="29" s="1"/>
  <c r="E19" i="16"/>
  <c r="E23" i="16" s="1"/>
  <c r="E28" i="16" s="1"/>
  <c r="J28" i="16" s="1"/>
  <c r="C174" i="28"/>
  <c r="C177" i="28" s="1"/>
  <c r="C10" i="28" s="1"/>
  <c r="F92" i="5"/>
  <c r="H92" i="5" s="1"/>
  <c r="K96" i="52"/>
  <c r="K43" i="52"/>
  <c r="K36" i="52"/>
  <c r="K32" i="52"/>
  <c r="J43" i="52"/>
  <c r="J96" i="52"/>
  <c r="J30" i="52"/>
  <c r="K19" i="54"/>
  <c r="J85" i="52"/>
  <c r="J66" i="52"/>
  <c r="J24" i="52"/>
  <c r="J20" i="52"/>
  <c r="J50" i="52"/>
  <c r="P20" i="56"/>
  <c r="J32" i="52"/>
  <c r="O27" i="54"/>
  <c r="J94" i="52"/>
  <c r="J51" i="52"/>
  <c r="K37" i="52"/>
  <c r="I68" i="52"/>
  <c r="D52" i="33"/>
  <c r="H52" i="33"/>
  <c r="G27" i="54"/>
  <c r="J88" i="52"/>
  <c r="F52" i="33"/>
  <c r="I70" i="33"/>
  <c r="F69" i="33"/>
  <c r="C63" i="33"/>
  <c r="J39" i="52"/>
  <c r="I62" i="33"/>
  <c r="K68" i="33"/>
  <c r="C68" i="33"/>
  <c r="H67" i="33"/>
  <c r="M66" i="33"/>
  <c r="E66" i="33"/>
  <c r="J27" i="33"/>
  <c r="O64" i="33"/>
  <c r="G64" i="33"/>
  <c r="L70" i="33"/>
  <c r="D70" i="33"/>
  <c r="I69" i="33"/>
  <c r="N63" i="33"/>
  <c r="F63" i="33"/>
  <c r="D73" i="29"/>
  <c r="D76" i="29" s="1"/>
  <c r="F73" i="29"/>
  <c r="F76" i="29" s="1"/>
  <c r="I44" i="27" s="1"/>
  <c r="G73" i="29"/>
  <c r="G76" i="29" s="1"/>
  <c r="K44" i="27" s="1"/>
  <c r="D168" i="29"/>
  <c r="D171" i="29" s="1"/>
  <c r="G168" i="29"/>
  <c r="G171" i="29" s="1"/>
  <c r="K32" i="27" s="1"/>
  <c r="K34" i="27" s="1"/>
  <c r="H19" i="54"/>
  <c r="P19" i="54"/>
  <c r="Q25" i="54"/>
  <c r="F91" i="5"/>
  <c r="G91" i="5" s="1"/>
  <c r="F118" i="5"/>
  <c r="H118" i="5" s="1"/>
  <c r="F114" i="5"/>
  <c r="G114" i="5" s="1"/>
  <c r="F110" i="5"/>
  <c r="H110" i="5" s="1"/>
  <c r="F106" i="5"/>
  <c r="G106" i="5" s="1"/>
  <c r="F102" i="5"/>
  <c r="H102" i="5" s="1"/>
  <c r="F98" i="5"/>
  <c r="G98" i="5" s="1"/>
  <c r="F94" i="5"/>
  <c r="H94" i="5" s="1"/>
  <c r="H26" i="52"/>
  <c r="K95" i="52"/>
  <c r="H27" i="33"/>
  <c r="M71" i="33"/>
  <c r="E71" i="33"/>
  <c r="J68" i="33"/>
  <c r="O67" i="33"/>
  <c r="G67" i="33"/>
  <c r="L66" i="33"/>
  <c r="I65" i="33"/>
  <c r="N64" i="33"/>
  <c r="F64" i="33"/>
  <c r="C70" i="33"/>
  <c r="H69" i="33"/>
  <c r="M63" i="33"/>
  <c r="E27" i="33"/>
  <c r="E108" i="29"/>
  <c r="E111" i="29" s="1"/>
  <c r="G77" i="27" s="1"/>
  <c r="C108" i="29"/>
  <c r="C111" i="29" s="1"/>
  <c r="F77" i="27" s="1"/>
  <c r="F108" i="29"/>
  <c r="F111" i="29" s="1"/>
  <c r="I15" i="27" s="1"/>
  <c r="E168" i="29"/>
  <c r="E171" i="29" s="1"/>
  <c r="C168" i="29"/>
  <c r="C171" i="29" s="1"/>
  <c r="C10" i="29" s="1"/>
  <c r="I19" i="54"/>
  <c r="E47" i="54"/>
  <c r="F47" i="54" s="1"/>
  <c r="G47" i="54" s="1"/>
  <c r="F101" i="5"/>
  <c r="H101" i="5" s="1"/>
  <c r="P37" i="56"/>
  <c r="I22" i="56"/>
  <c r="K53" i="52"/>
  <c r="M27" i="54"/>
  <c r="D49" i="54"/>
  <c r="D152" i="54"/>
  <c r="Q152" i="54" s="1"/>
  <c r="J87" i="52"/>
  <c r="J70" i="52"/>
  <c r="J54" i="52"/>
  <c r="F54" i="30"/>
  <c r="E48" i="54"/>
  <c r="F48" i="54" s="1"/>
  <c r="G48" i="54" s="1"/>
  <c r="H48" i="54" s="1"/>
  <c r="I48" i="54" s="1"/>
  <c r="J48" i="54" s="1"/>
  <c r="K48" i="54" s="1"/>
  <c r="L48" i="54" s="1"/>
  <c r="M48" i="54" s="1"/>
  <c r="N48" i="54" s="1"/>
  <c r="O48" i="54" s="1"/>
  <c r="P48" i="54" s="1"/>
  <c r="Q48" i="54" s="1"/>
  <c r="I42" i="56"/>
  <c r="I44" i="56" s="1"/>
  <c r="K21" i="52"/>
  <c r="K63" i="52"/>
  <c r="K97" i="52"/>
  <c r="F117" i="5"/>
  <c r="H117" i="5" s="1"/>
  <c r="D63" i="33"/>
  <c r="J65" i="33"/>
  <c r="L27" i="54"/>
  <c r="Q17" i="54"/>
  <c r="D153" i="54"/>
  <c r="J91" i="52"/>
  <c r="J81" i="52"/>
  <c r="K30" i="52"/>
  <c r="F109" i="5"/>
  <c r="G109" i="5" s="1"/>
  <c r="G27" i="33"/>
  <c r="H62" i="33"/>
  <c r="E63" i="33"/>
  <c r="J63" i="52"/>
  <c r="D71" i="5"/>
  <c r="K24" i="52"/>
  <c r="K20" i="52"/>
  <c r="F105" i="5"/>
  <c r="H105" i="5" s="1"/>
  <c r="J25" i="52"/>
  <c r="O27" i="33"/>
  <c r="H27" i="54"/>
  <c r="N52" i="33"/>
  <c r="K23" i="52"/>
  <c r="G79" i="30"/>
  <c r="O22" i="56"/>
  <c r="I44" i="52"/>
  <c r="D54" i="30"/>
  <c r="P153" i="54"/>
  <c r="J93" i="52"/>
  <c r="J89" i="52"/>
  <c r="C79" i="30"/>
  <c r="I72" i="52"/>
  <c r="J55" i="52"/>
  <c r="N71" i="33"/>
  <c r="F71" i="33"/>
  <c r="K100" i="52"/>
  <c r="K84" i="52"/>
  <c r="K78" i="52"/>
  <c r="D174" i="28"/>
  <c r="D177" i="28" s="1"/>
  <c r="J79" i="52"/>
  <c r="F97" i="5"/>
  <c r="H97" i="5" s="1"/>
  <c r="F93" i="5"/>
  <c r="H93" i="5" s="1"/>
  <c r="C113" i="28"/>
  <c r="C116" i="28" s="1"/>
  <c r="C9" i="28" s="1"/>
  <c r="H96" i="5"/>
  <c r="F119" i="5"/>
  <c r="G119" i="5" s="1"/>
  <c r="F115" i="5"/>
  <c r="G115" i="5" s="1"/>
  <c r="F99" i="5"/>
  <c r="G99" i="5" s="1"/>
  <c r="F95" i="5"/>
  <c r="G95" i="5" s="1"/>
  <c r="J52" i="33"/>
  <c r="C78" i="28"/>
  <c r="C81" i="28" s="1"/>
  <c r="C11" i="28" s="1"/>
  <c r="D66" i="30"/>
  <c r="D68" i="30" s="1"/>
  <c r="I24" i="5"/>
  <c r="D101" i="1" s="1"/>
  <c r="I101" i="1" s="1"/>
  <c r="N42" i="56"/>
  <c r="N44" i="56" s="1"/>
  <c r="F42" i="56"/>
  <c r="F44" i="56" s="1"/>
  <c r="H22" i="56"/>
  <c r="E17" i="49"/>
  <c r="H17" i="49" s="1"/>
  <c r="D127" i="1" s="1"/>
  <c r="D128" i="1" s="1"/>
  <c r="D99" i="1" s="1"/>
  <c r="Q13" i="54"/>
  <c r="Q26" i="54"/>
  <c r="E113" i="28"/>
  <c r="E116" i="28" s="1"/>
  <c r="G76" i="27" s="1"/>
  <c r="O42" i="56"/>
  <c r="O44" i="56" s="1"/>
  <c r="G42" i="56"/>
  <c r="G44" i="56" s="1"/>
  <c r="I27" i="32"/>
  <c r="I30" i="32" s="1"/>
  <c r="L52" i="33"/>
  <c r="I52" i="33"/>
  <c r="K61" i="52"/>
  <c r="K87" i="52"/>
  <c r="K35" i="52"/>
  <c r="M22" i="56"/>
  <c r="K22" i="56"/>
  <c r="K22" i="52"/>
  <c r="K101" i="52"/>
  <c r="N65" i="33"/>
  <c r="E69" i="33"/>
  <c r="J63" i="33"/>
  <c r="H72" i="52"/>
  <c r="J64" i="52"/>
  <c r="G22" i="56"/>
  <c r="D62" i="33"/>
  <c r="I71" i="33"/>
  <c r="N27" i="33"/>
  <c r="F68" i="33"/>
  <c r="I58" i="52"/>
  <c r="L42" i="56"/>
  <c r="L44" i="56" s="1"/>
  <c r="P28" i="56"/>
  <c r="P41" i="56"/>
  <c r="J36" i="6" s="1"/>
  <c r="J22" i="56"/>
  <c r="P19" i="56"/>
  <c r="K85" i="52"/>
  <c r="J98" i="52"/>
  <c r="J80" i="52"/>
  <c r="H50" i="49"/>
  <c r="K33" i="52"/>
  <c r="D164" i="1"/>
  <c r="I164" i="1" s="1"/>
  <c r="D166" i="1"/>
  <c r="I166" i="1" s="1"/>
  <c r="R22" i="59"/>
  <c r="X22" i="59" s="1"/>
  <c r="AF22" i="59" s="1"/>
  <c r="R24" i="59"/>
  <c r="X24" i="59" s="1"/>
  <c r="AF24" i="59" s="1"/>
  <c r="R29" i="59"/>
  <c r="X29" i="59" s="1"/>
  <c r="AF29" i="59" s="1"/>
  <c r="B215" i="59"/>
  <c r="B154" i="59"/>
  <c r="B155" i="59" s="1"/>
  <c r="B156" i="59" s="1"/>
  <c r="B157" i="59" s="1"/>
  <c r="B158" i="59" s="1"/>
  <c r="B159" i="59" s="1"/>
  <c r="B160" i="59" s="1"/>
  <c r="B161" i="59" s="1"/>
  <c r="B162" i="59" s="1"/>
  <c r="B163" i="59" s="1"/>
  <c r="B164" i="59" s="1"/>
  <c r="B168" i="59" s="1"/>
  <c r="B169" i="59" s="1"/>
  <c r="B170" i="59" s="1"/>
  <c r="B171" i="59" s="1"/>
  <c r="B172" i="59" s="1"/>
  <c r="B173" i="59" s="1"/>
  <c r="B174" i="59" s="1"/>
  <c r="B175" i="59" s="1"/>
  <c r="B176" i="59" s="1"/>
  <c r="B177" i="59" s="1"/>
  <c r="B178" i="59" s="1"/>
  <c r="B179" i="59" s="1"/>
  <c r="B180" i="59" s="1"/>
  <c r="B182" i="59" s="1"/>
  <c r="B183" i="59" s="1"/>
  <c r="B184" i="59" s="1"/>
  <c r="B185" i="59" s="1"/>
  <c r="B186" i="59" s="1"/>
  <c r="B187" i="59" s="1"/>
  <c r="B188" i="59" s="1"/>
  <c r="B189" i="59" s="1"/>
  <c r="B190" i="59" s="1"/>
  <c r="B191" i="59" s="1"/>
  <c r="B192" i="59" s="1"/>
  <c r="B193" i="59" s="1"/>
  <c r="B194" i="59" s="1"/>
  <c r="B196" i="59" s="1"/>
  <c r="B199" i="59" s="1"/>
  <c r="B200" i="59" s="1"/>
  <c r="B201" i="59" s="1"/>
  <c r="B202" i="59" s="1"/>
  <c r="B203" i="59" s="1"/>
  <c r="B204" i="59" s="1"/>
  <c r="B205" i="59" s="1"/>
  <c r="B206" i="59" s="1"/>
  <c r="B207" i="59" s="1"/>
  <c r="B208" i="59" s="1"/>
  <c r="B209" i="59" s="1"/>
  <c r="B210" i="59" s="1"/>
  <c r="B211" i="59" s="1"/>
  <c r="B212" i="59" s="1"/>
  <c r="B213" i="59" s="1"/>
  <c r="B214" i="59" s="1"/>
  <c r="B216" i="59" s="1"/>
  <c r="B217" i="59" s="1"/>
  <c r="B218" i="59" s="1"/>
  <c r="B219" i="59" s="1"/>
  <c r="B220" i="59" s="1"/>
  <c r="B222" i="59" s="1"/>
  <c r="J12" i="59"/>
  <c r="G54" i="59"/>
  <c r="R16" i="59"/>
  <c r="X16" i="59" s="1"/>
  <c r="AF16" i="59" s="1"/>
  <c r="M54" i="59"/>
  <c r="R20" i="59"/>
  <c r="X20" i="59" s="1"/>
  <c r="AF20" i="59" s="1"/>
  <c r="R23" i="59"/>
  <c r="X23" i="59" s="1"/>
  <c r="AF23" i="59" s="1"/>
  <c r="R36" i="59"/>
  <c r="X36" i="59" s="1"/>
  <c r="AF36" i="59" s="1"/>
  <c r="R46" i="59"/>
  <c r="X46" i="59" s="1"/>
  <c r="AF46" i="59" s="1"/>
  <c r="R86" i="59"/>
  <c r="X86" i="59" s="1"/>
  <c r="AF86" i="59" s="1"/>
  <c r="J17" i="59"/>
  <c r="R17" i="59" s="1"/>
  <c r="X17" i="59" s="1"/>
  <c r="AF17" i="59" s="1"/>
  <c r="G82" i="59"/>
  <c r="J59" i="59"/>
  <c r="I82" i="59"/>
  <c r="J60" i="59"/>
  <c r="R60" i="59" s="1"/>
  <c r="X60" i="59" s="1"/>
  <c r="AF60" i="59" s="1"/>
  <c r="L164" i="59"/>
  <c r="M133" i="59"/>
  <c r="N133" i="59"/>
  <c r="J180" i="59"/>
  <c r="R171" i="59"/>
  <c r="X171" i="59" s="1"/>
  <c r="AF171" i="59" s="1"/>
  <c r="V206" i="59"/>
  <c r="X206" i="59" s="1"/>
  <c r="AF206" i="59" s="1"/>
  <c r="J53" i="59"/>
  <c r="R53" i="59" s="1"/>
  <c r="X53" i="59" s="1"/>
  <c r="AF53" i="59" s="1"/>
  <c r="P60" i="59"/>
  <c r="R76" i="59"/>
  <c r="X76" i="59" s="1"/>
  <c r="AF76" i="59" s="1"/>
  <c r="R103" i="59"/>
  <c r="X103" i="59" s="1"/>
  <c r="AF103" i="59" s="1"/>
  <c r="R142" i="59"/>
  <c r="X142" i="59" s="1"/>
  <c r="AF142" i="59" s="1"/>
  <c r="P153" i="59"/>
  <c r="M215" i="59"/>
  <c r="N215" i="59"/>
  <c r="O215" i="59" s="1"/>
  <c r="I54" i="59"/>
  <c r="O82" i="59"/>
  <c r="R69" i="59"/>
  <c r="X69" i="59" s="1"/>
  <c r="AF69" i="59" s="1"/>
  <c r="R99" i="59"/>
  <c r="X99" i="59" s="1"/>
  <c r="AF99" i="59" s="1"/>
  <c r="R111" i="59"/>
  <c r="X111" i="59" s="1"/>
  <c r="AF111" i="59" s="1"/>
  <c r="M137" i="59"/>
  <c r="P137" i="59" s="1"/>
  <c r="N137" i="59"/>
  <c r="O137" i="59" s="1"/>
  <c r="M145" i="59"/>
  <c r="P145" i="59" s="1"/>
  <c r="N145" i="59"/>
  <c r="O145" i="59" s="1"/>
  <c r="M159" i="59"/>
  <c r="P159" i="59" s="1"/>
  <c r="N159" i="59"/>
  <c r="O159" i="59" s="1"/>
  <c r="I184" i="59"/>
  <c r="J184" i="59" s="1"/>
  <c r="R184" i="59" s="1"/>
  <c r="X184" i="59" s="1"/>
  <c r="AF184" i="59" s="1"/>
  <c r="M82" i="59"/>
  <c r="O54" i="59"/>
  <c r="O114" i="59" s="1"/>
  <c r="J41" i="59"/>
  <c r="R41" i="59" s="1"/>
  <c r="X41" i="59" s="1"/>
  <c r="AF41" i="59" s="1"/>
  <c r="P49" i="59"/>
  <c r="R49" i="59" s="1"/>
  <c r="X49" i="59" s="1"/>
  <c r="AF49" i="59" s="1"/>
  <c r="P50" i="59"/>
  <c r="R50" i="59" s="1"/>
  <c r="X50" i="59" s="1"/>
  <c r="AF50" i="59" s="1"/>
  <c r="V114" i="59"/>
  <c r="P59" i="59"/>
  <c r="P69" i="59"/>
  <c r="R85" i="59"/>
  <c r="R94" i="59"/>
  <c r="X94" i="59" s="1"/>
  <c r="AF94" i="59" s="1"/>
  <c r="R104" i="59"/>
  <c r="X104" i="59" s="1"/>
  <c r="AF104" i="59" s="1"/>
  <c r="P111" i="59"/>
  <c r="O151" i="59"/>
  <c r="P151" i="59"/>
  <c r="R158" i="59"/>
  <c r="X158" i="59" s="1"/>
  <c r="AF158" i="59" s="1"/>
  <c r="R191" i="59"/>
  <c r="X191" i="59" s="1"/>
  <c r="AF191" i="59" s="1"/>
  <c r="R200" i="59"/>
  <c r="X200" i="59" s="1"/>
  <c r="AF200" i="59" s="1"/>
  <c r="M112" i="59"/>
  <c r="P12" i="59"/>
  <c r="P26" i="59"/>
  <c r="R26" i="59" s="1"/>
  <c r="X26" i="59" s="1"/>
  <c r="AF26" i="59" s="1"/>
  <c r="J37" i="59"/>
  <c r="P45" i="59"/>
  <c r="R45" i="59" s="1"/>
  <c r="X45" i="59" s="1"/>
  <c r="AF45" i="59" s="1"/>
  <c r="P46" i="59"/>
  <c r="R79" i="59"/>
  <c r="X79" i="59" s="1"/>
  <c r="AF79" i="59" s="1"/>
  <c r="R89" i="59"/>
  <c r="X89" i="59" s="1"/>
  <c r="AF89" i="59" s="1"/>
  <c r="R102" i="59"/>
  <c r="X102" i="59" s="1"/>
  <c r="AF102" i="59" s="1"/>
  <c r="P141" i="59"/>
  <c r="N150" i="59"/>
  <c r="O150" i="59" s="1"/>
  <c r="M150" i="59"/>
  <c r="P150" i="59" s="1"/>
  <c r="R150" i="59" s="1"/>
  <c r="X150" i="59" s="1"/>
  <c r="AF150" i="59" s="1"/>
  <c r="R39" i="59"/>
  <c r="X39" i="59" s="1"/>
  <c r="AF39" i="59" s="1"/>
  <c r="R71" i="59"/>
  <c r="X71" i="59" s="1"/>
  <c r="AF71" i="59" s="1"/>
  <c r="O112" i="59"/>
  <c r="R93" i="59"/>
  <c r="X93" i="59" s="1"/>
  <c r="AF93" i="59" s="1"/>
  <c r="M135" i="59"/>
  <c r="P135" i="59" s="1"/>
  <c r="N135" i="59"/>
  <c r="O135" i="59" s="1"/>
  <c r="R153" i="59"/>
  <c r="X153" i="59" s="1"/>
  <c r="AF153" i="59" s="1"/>
  <c r="O143" i="59"/>
  <c r="P143" i="59"/>
  <c r="R143" i="59" s="1"/>
  <c r="X143" i="59" s="1"/>
  <c r="AF143" i="59" s="1"/>
  <c r="P37" i="59"/>
  <c r="P38" i="59"/>
  <c r="R38" i="59" s="1"/>
  <c r="X38" i="59" s="1"/>
  <c r="AF38" i="59" s="1"/>
  <c r="P66" i="59"/>
  <c r="R66" i="59" s="1"/>
  <c r="X66" i="59" s="1"/>
  <c r="AF66" i="59" s="1"/>
  <c r="AF119" i="59" s="1"/>
  <c r="P74" i="59"/>
  <c r="R74" i="59" s="1"/>
  <c r="X74" i="59" s="1"/>
  <c r="AF74" i="59" s="1"/>
  <c r="R78" i="59"/>
  <c r="X78" i="59" s="1"/>
  <c r="AF78" i="59" s="1"/>
  <c r="P85" i="59"/>
  <c r="P112" i="59" s="1"/>
  <c r="J91" i="59"/>
  <c r="R91" i="59" s="1"/>
  <c r="X91" i="59" s="1"/>
  <c r="AF91" i="59" s="1"/>
  <c r="J109" i="59"/>
  <c r="R109" i="59" s="1"/>
  <c r="P140" i="59"/>
  <c r="R140" i="59" s="1"/>
  <c r="X140" i="59" s="1"/>
  <c r="AF140" i="59" s="1"/>
  <c r="P161" i="59"/>
  <c r="R161" i="59" s="1"/>
  <c r="X161" i="59" s="1"/>
  <c r="AF161" i="59" s="1"/>
  <c r="O188" i="59"/>
  <c r="P188" i="59" s="1"/>
  <c r="R188" i="59" s="1"/>
  <c r="X188" i="59" s="1"/>
  <c r="AF188" i="59" s="1"/>
  <c r="J105" i="59"/>
  <c r="R105" i="59" s="1"/>
  <c r="X105" i="59" s="1"/>
  <c r="AF105" i="59" s="1"/>
  <c r="P134" i="59"/>
  <c r="R134" i="59" s="1"/>
  <c r="X134" i="59" s="1"/>
  <c r="AF134" i="59" s="1"/>
  <c r="P136" i="59"/>
  <c r="R136" i="59" s="1"/>
  <c r="X136" i="59" s="1"/>
  <c r="AF136" i="59" s="1"/>
  <c r="P138" i="59"/>
  <c r="R138" i="59" s="1"/>
  <c r="X138" i="59" s="1"/>
  <c r="AF138" i="59" s="1"/>
  <c r="R151" i="59"/>
  <c r="X151" i="59" s="1"/>
  <c r="AF151" i="59" s="1"/>
  <c r="P152" i="59"/>
  <c r="R152" i="59" s="1"/>
  <c r="X152" i="59" s="1"/>
  <c r="AF152" i="59" s="1"/>
  <c r="N160" i="59"/>
  <c r="O160" i="59" s="1"/>
  <c r="M160" i="59"/>
  <c r="P160" i="59" s="1"/>
  <c r="R173" i="59"/>
  <c r="X173" i="59" s="1"/>
  <c r="AF173" i="59" s="1"/>
  <c r="P184" i="59"/>
  <c r="O184" i="59"/>
  <c r="R204" i="59"/>
  <c r="X204" i="59" s="1"/>
  <c r="AF204" i="59" s="1"/>
  <c r="I193" i="59"/>
  <c r="J193" i="59" s="1"/>
  <c r="R193" i="59" s="1"/>
  <c r="X193" i="59" s="1"/>
  <c r="AF193" i="59" s="1"/>
  <c r="J97" i="59"/>
  <c r="R97" i="59" s="1"/>
  <c r="X97" i="59" s="1"/>
  <c r="AF97" i="59" s="1"/>
  <c r="G222" i="59"/>
  <c r="J133" i="59"/>
  <c r="J135" i="59"/>
  <c r="J137" i="59"/>
  <c r="R137" i="59" s="1"/>
  <c r="X137" i="59" s="1"/>
  <c r="AF137" i="59" s="1"/>
  <c r="R147" i="59"/>
  <c r="X147" i="59" s="1"/>
  <c r="AF147" i="59" s="1"/>
  <c r="N149" i="59"/>
  <c r="O149" i="59" s="1"/>
  <c r="N156" i="59"/>
  <c r="O156" i="59" s="1"/>
  <c r="M156" i="59"/>
  <c r="R174" i="59"/>
  <c r="X174" i="59" s="1"/>
  <c r="AF174" i="59" s="1"/>
  <c r="P189" i="59"/>
  <c r="P190" i="59"/>
  <c r="R202" i="59"/>
  <c r="X202" i="59" s="1"/>
  <c r="AF202" i="59" s="1"/>
  <c r="P216" i="59"/>
  <c r="L114" i="59"/>
  <c r="G112" i="59"/>
  <c r="J100" i="59"/>
  <c r="R100" i="59" s="1"/>
  <c r="X100" i="59" s="1"/>
  <c r="AF100" i="59" s="1"/>
  <c r="J139" i="59"/>
  <c r="R139" i="59" s="1"/>
  <c r="X139" i="59" s="1"/>
  <c r="AF139" i="59" s="1"/>
  <c r="J141" i="59"/>
  <c r="R141" i="59" s="1"/>
  <c r="X141" i="59" s="1"/>
  <c r="AF141" i="59" s="1"/>
  <c r="N146" i="59"/>
  <c r="O146" i="59" s="1"/>
  <c r="M146" i="59"/>
  <c r="P146" i="59" s="1"/>
  <c r="R146" i="59" s="1"/>
  <c r="X146" i="59" s="1"/>
  <c r="AF146" i="59" s="1"/>
  <c r="J154" i="59"/>
  <c r="J162" i="59"/>
  <c r="F196" i="59"/>
  <c r="H194" i="59"/>
  <c r="I183" i="59"/>
  <c r="J183" i="59" s="1"/>
  <c r="P211" i="59"/>
  <c r="P213" i="59"/>
  <c r="I112" i="59"/>
  <c r="R98" i="59"/>
  <c r="X98" i="59" s="1"/>
  <c r="AF98" i="59" s="1"/>
  <c r="J101" i="59"/>
  <c r="R101" i="59" s="1"/>
  <c r="X101" i="59" s="1"/>
  <c r="AF101" i="59" s="1"/>
  <c r="I164" i="59"/>
  <c r="J144" i="59"/>
  <c r="P155" i="59"/>
  <c r="J160" i="59"/>
  <c r="R160" i="59" s="1"/>
  <c r="X160" i="59" s="1"/>
  <c r="AF160" i="59" s="1"/>
  <c r="P163" i="59"/>
  <c r="L180" i="59"/>
  <c r="L194" i="59"/>
  <c r="N183" i="59"/>
  <c r="P202" i="59"/>
  <c r="I205" i="59"/>
  <c r="I220" i="59" s="1"/>
  <c r="P162" i="59"/>
  <c r="F222" i="59"/>
  <c r="P200" i="59"/>
  <c r="P201" i="59"/>
  <c r="R201" i="59" s="1"/>
  <c r="X201" i="59" s="1"/>
  <c r="AF201" i="59" s="1"/>
  <c r="N203" i="59"/>
  <c r="O203" i="59" s="1"/>
  <c r="M203" i="59"/>
  <c r="P203" i="59" s="1"/>
  <c r="R203" i="59" s="1"/>
  <c r="X203" i="59" s="1"/>
  <c r="AF203" i="59" s="1"/>
  <c r="J145" i="59"/>
  <c r="R145" i="59" s="1"/>
  <c r="X145" i="59" s="1"/>
  <c r="AF145" i="59" s="1"/>
  <c r="J155" i="59"/>
  <c r="R155" i="59" s="1"/>
  <c r="X155" i="59" s="1"/>
  <c r="AF155" i="59" s="1"/>
  <c r="R169" i="59"/>
  <c r="G180" i="59"/>
  <c r="G196" i="59" s="1"/>
  <c r="J199" i="59"/>
  <c r="P204" i="59"/>
  <c r="J209" i="59"/>
  <c r="J211" i="59"/>
  <c r="R211" i="59" s="1"/>
  <c r="X211" i="59" s="1"/>
  <c r="AF211" i="59" s="1"/>
  <c r="H196" i="59"/>
  <c r="J189" i="59"/>
  <c r="R189" i="59" s="1"/>
  <c r="X189" i="59" s="1"/>
  <c r="AF189" i="59" s="1"/>
  <c r="J217" i="59"/>
  <c r="R217" i="59" s="1"/>
  <c r="X217" i="59" s="1"/>
  <c r="AF217" i="59" s="1"/>
  <c r="P144" i="59"/>
  <c r="J149" i="59"/>
  <c r="P154" i="59"/>
  <c r="J159" i="59"/>
  <c r="R159" i="59" s="1"/>
  <c r="X159" i="59" s="1"/>
  <c r="AF159" i="59" s="1"/>
  <c r="M180" i="59"/>
  <c r="M196" i="59" s="1"/>
  <c r="R177" i="59"/>
  <c r="X177" i="59" s="1"/>
  <c r="AF177" i="59" s="1"/>
  <c r="P205" i="59"/>
  <c r="J208" i="59"/>
  <c r="R208" i="59" s="1"/>
  <c r="X208" i="59" s="1"/>
  <c r="AF208" i="59" s="1"/>
  <c r="I208" i="59"/>
  <c r="J213" i="59"/>
  <c r="L220" i="59"/>
  <c r="R190" i="59"/>
  <c r="X190" i="59" s="1"/>
  <c r="AF190" i="59" s="1"/>
  <c r="R207" i="59"/>
  <c r="X207" i="59" s="1"/>
  <c r="AF207" i="59" s="1"/>
  <c r="N209" i="59"/>
  <c r="O209" i="59" s="1"/>
  <c r="O220" i="59" s="1"/>
  <c r="M209" i="59"/>
  <c r="I216" i="59"/>
  <c r="J216" i="59" s="1"/>
  <c r="R216" i="59" s="1"/>
  <c r="X216" i="59" s="1"/>
  <c r="AF216" i="59" s="1"/>
  <c r="H164" i="59"/>
  <c r="P148" i="59"/>
  <c r="R148" i="59" s="1"/>
  <c r="X148" i="59" s="1"/>
  <c r="AF148" i="59" s="1"/>
  <c r="P158" i="59"/>
  <c r="J163" i="59"/>
  <c r="R163" i="59" s="1"/>
  <c r="X163" i="59" s="1"/>
  <c r="AF163" i="59" s="1"/>
  <c r="P187" i="59"/>
  <c r="R187" i="59" s="1"/>
  <c r="P207" i="59"/>
  <c r="P208" i="59"/>
  <c r="M210" i="59"/>
  <c r="P210" i="59" s="1"/>
  <c r="R210" i="59" s="1"/>
  <c r="X210" i="59" s="1"/>
  <c r="AF210" i="59" s="1"/>
  <c r="N217" i="59"/>
  <c r="O217" i="59" s="1"/>
  <c r="M217" i="59"/>
  <c r="P217" i="59" s="1"/>
  <c r="N219" i="59"/>
  <c r="O219" i="59" s="1"/>
  <c r="H220" i="59"/>
  <c r="M214" i="59"/>
  <c r="P214" i="59" s="1"/>
  <c r="R214" i="59" s="1"/>
  <c r="X214" i="59" s="1"/>
  <c r="AF214" i="59" s="1"/>
  <c r="I154" i="54"/>
  <c r="I168" i="54" s="1"/>
  <c r="I27" i="54"/>
  <c r="I153" i="54"/>
  <c r="K27" i="54"/>
  <c r="Q23" i="54"/>
  <c r="Q11" i="54"/>
  <c r="E33" i="54"/>
  <c r="F33" i="54" s="1"/>
  <c r="G33" i="54" s="1"/>
  <c r="H33" i="54" s="1"/>
  <c r="I33" i="54" s="1"/>
  <c r="J33" i="54" s="1"/>
  <c r="K33" i="54" s="1"/>
  <c r="L33" i="54" s="1"/>
  <c r="M33" i="54" s="1"/>
  <c r="N33" i="54" s="1"/>
  <c r="O33" i="54" s="1"/>
  <c r="P33" i="54" s="1"/>
  <c r="Q33" i="54" s="1"/>
  <c r="E93" i="33"/>
  <c r="G93" i="33" s="1"/>
  <c r="C105" i="33"/>
  <c r="P36" i="56"/>
  <c r="D42" i="56"/>
  <c r="D44" i="56" s="1"/>
  <c r="P35" i="56"/>
  <c r="P33" i="56"/>
  <c r="L62" i="33"/>
  <c r="L27" i="33"/>
  <c r="N62" i="33"/>
  <c r="N68" i="33"/>
  <c r="J69" i="33"/>
  <c r="P16" i="33"/>
  <c r="Q16" i="33" s="1"/>
  <c r="T16" i="33" s="1"/>
  <c r="M70" i="33"/>
  <c r="M52" i="33"/>
  <c r="G52" i="33"/>
  <c r="P40" i="33"/>
  <c r="R40" i="33" s="1"/>
  <c r="T40" i="33" s="1"/>
  <c r="K52" i="33"/>
  <c r="K65" i="33"/>
  <c r="P37" i="33"/>
  <c r="R37" i="33" s="1"/>
  <c r="T37" i="33" s="1"/>
  <c r="C52" i="33"/>
  <c r="C65" i="33"/>
  <c r="F113" i="28"/>
  <c r="F116" i="28" s="1"/>
  <c r="H44" i="52"/>
  <c r="J31" i="52"/>
  <c r="O52" i="33"/>
  <c r="O63" i="33"/>
  <c r="D113" i="28"/>
  <c r="D116" i="28" s="1"/>
  <c r="E63" i="30"/>
  <c r="E66" i="30" s="1"/>
  <c r="E68" i="30" s="1"/>
  <c r="C66" i="30"/>
  <c r="G13" i="56"/>
  <c r="J29" i="6" s="1"/>
  <c r="K76" i="52"/>
  <c r="J76" i="52"/>
  <c r="E52" i="33"/>
  <c r="E70" i="33"/>
  <c r="J57" i="52"/>
  <c r="H58" i="52"/>
  <c r="P34" i="33"/>
  <c r="S34" i="33" s="1"/>
  <c r="D27" i="33"/>
  <c r="P21" i="56"/>
  <c r="P38" i="33"/>
  <c r="R38" i="33" s="1"/>
  <c r="T38" i="33" s="1"/>
  <c r="P14" i="33"/>
  <c r="R14" i="33" s="1"/>
  <c r="T14" i="33" s="1"/>
  <c r="I27" i="33"/>
  <c r="F65" i="33"/>
  <c r="F27" i="33"/>
  <c r="K64" i="33"/>
  <c r="K27" i="33"/>
  <c r="C64" i="33"/>
  <c r="C27" i="33"/>
  <c r="M69" i="33"/>
  <c r="M27" i="33"/>
  <c r="J83" i="52"/>
  <c r="E79" i="30"/>
  <c r="E81" i="30" s="1"/>
  <c r="M42" i="56"/>
  <c r="M44" i="56" s="1"/>
  <c r="E42" i="56"/>
  <c r="E44" i="56" s="1"/>
  <c r="K86" i="52"/>
  <c r="K31" i="52"/>
  <c r="P9" i="33"/>
  <c r="S9" i="33" s="1"/>
  <c r="H42" i="56"/>
  <c r="H44" i="56" s="1"/>
  <c r="P38" i="56"/>
  <c r="J35" i="6" s="1"/>
  <c r="J27" i="32"/>
  <c r="J30" i="32" s="1"/>
  <c r="D78" i="28"/>
  <c r="D81" i="28" s="1"/>
  <c r="C91" i="30"/>
  <c r="J86" i="52"/>
  <c r="P17" i="33"/>
  <c r="Q17" i="33" s="1"/>
  <c r="T17" i="33" s="1"/>
  <c r="D124" i="5"/>
  <c r="J42" i="56"/>
  <c r="J44" i="56" s="1"/>
  <c r="P13" i="33"/>
  <c r="R13" i="33" s="1"/>
  <c r="T13" i="33" s="1"/>
  <c r="P41" i="33"/>
  <c r="Q41" i="33" s="1"/>
  <c r="T41" i="33" s="1"/>
  <c r="K42" i="56"/>
  <c r="K44" i="56" s="1"/>
  <c r="C42" i="56"/>
  <c r="C44" i="56" s="1"/>
  <c r="K18" i="52"/>
  <c r="K50" i="52"/>
  <c r="K38" i="52"/>
  <c r="P18" i="33"/>
  <c r="R18" i="33" s="1"/>
  <c r="T18" i="33" s="1"/>
  <c r="J75" i="52"/>
  <c r="I102" i="52"/>
  <c r="G120" i="5"/>
  <c r="H120" i="5"/>
  <c r="H102" i="52"/>
  <c r="D79" i="30"/>
  <c r="D81" i="30" s="1"/>
  <c r="D6" i="30"/>
  <c r="E124" i="5"/>
  <c r="E91" i="30"/>
  <c r="E93" i="30" s="1"/>
  <c r="D12" i="30"/>
  <c r="I26" i="52"/>
  <c r="H68" i="52"/>
  <c r="J60" i="52"/>
  <c r="D86" i="30"/>
  <c r="D91" i="30" s="1"/>
  <c r="D93" i="30" s="1"/>
  <c r="J71" i="52"/>
  <c r="J52" i="52"/>
  <c r="P39" i="33"/>
  <c r="R39" i="33" s="1"/>
  <c r="T39" i="33" s="1"/>
  <c r="P42" i="33"/>
  <c r="Q42" i="33" s="1"/>
  <c r="T42" i="33" s="1"/>
  <c r="H42" i="49"/>
  <c r="P35" i="33"/>
  <c r="Q35" i="33" s="1"/>
  <c r="P43" i="33"/>
  <c r="R43" i="33" s="1"/>
  <c r="T43" i="33" s="1"/>
  <c r="F78" i="28"/>
  <c r="F81" i="28" s="1"/>
  <c r="P36" i="33"/>
  <c r="R36" i="33" s="1"/>
  <c r="D105" i="33"/>
  <c r="F174" i="28"/>
  <c r="F177" i="28" s="1"/>
  <c r="H24" i="5"/>
  <c r="D100" i="1" s="1"/>
  <c r="E78" i="28"/>
  <c r="E81" i="28" s="1"/>
  <c r="F22" i="56"/>
  <c r="D22" i="56"/>
  <c r="P10" i="33"/>
  <c r="Q10" i="33" s="1"/>
  <c r="K39" i="52"/>
  <c r="P11" i="33"/>
  <c r="R11" i="33" s="1"/>
  <c r="G27" i="32"/>
  <c r="E26" i="16"/>
  <c r="G78" i="28"/>
  <c r="G81" i="28" s="1"/>
  <c r="G113" i="28"/>
  <c r="G116" i="28" s="1"/>
  <c r="E22" i="56"/>
  <c r="C22" i="56"/>
  <c r="N22" i="56"/>
  <c r="L22" i="56"/>
  <c r="P15" i="33"/>
  <c r="R15" i="33" s="1"/>
  <c r="T15" i="33" s="1"/>
  <c r="P12" i="33"/>
  <c r="R12" i="33" s="1"/>
  <c r="T12" i="33" s="1"/>
  <c r="E174" i="28"/>
  <c r="E177" i="28" s="1"/>
  <c r="G174" i="28"/>
  <c r="G177" i="28" s="1"/>
  <c r="K19" i="52"/>
  <c r="E77" i="49"/>
  <c r="H77" i="49" s="1"/>
  <c r="G103" i="5" l="1"/>
  <c r="G107" i="5"/>
  <c r="H98" i="5"/>
  <c r="K83" i="27"/>
  <c r="G11" i="29"/>
  <c r="G108" i="5"/>
  <c r="K68" i="52"/>
  <c r="L12" i="6" s="1"/>
  <c r="D134" i="1" s="1"/>
  <c r="F9" i="29"/>
  <c r="K95" i="27"/>
  <c r="H104" i="5"/>
  <c r="I77" i="27"/>
  <c r="E41" i="54"/>
  <c r="F83" i="27"/>
  <c r="F82" i="27"/>
  <c r="H91" i="5"/>
  <c r="G111" i="5"/>
  <c r="G121" i="5"/>
  <c r="E30" i="16"/>
  <c r="J30" i="16" s="1"/>
  <c r="O66" i="54"/>
  <c r="N66" i="54"/>
  <c r="P66" i="54"/>
  <c r="G66" i="54"/>
  <c r="K66" i="54"/>
  <c r="J66" i="54"/>
  <c r="L66" i="54"/>
  <c r="M66" i="54"/>
  <c r="E66" i="54"/>
  <c r="H66" i="54"/>
  <c r="I66" i="54"/>
  <c r="F66" i="54"/>
  <c r="H116" i="5"/>
  <c r="D88" i="54"/>
  <c r="E88" i="54"/>
  <c r="F88" i="54"/>
  <c r="G88" i="54"/>
  <c r="H88" i="54"/>
  <c r="G93" i="5"/>
  <c r="G94" i="5"/>
  <c r="P67" i="33"/>
  <c r="R67" i="33" s="1"/>
  <c r="T67" i="33" s="1"/>
  <c r="D135" i="54"/>
  <c r="E135" i="54"/>
  <c r="F135" i="54"/>
  <c r="G135" i="54"/>
  <c r="H135" i="54"/>
  <c r="I135" i="54"/>
  <c r="F95" i="27"/>
  <c r="O113" i="54"/>
  <c r="M113" i="54"/>
  <c r="J113" i="54"/>
  <c r="F113" i="54"/>
  <c r="E113" i="54"/>
  <c r="P113" i="54"/>
  <c r="G113" i="54"/>
  <c r="N113" i="54"/>
  <c r="I113" i="54"/>
  <c r="L113" i="54"/>
  <c r="H113" i="54"/>
  <c r="K113" i="54"/>
  <c r="K58" i="52"/>
  <c r="K12" i="6" s="1"/>
  <c r="D133" i="1" s="1"/>
  <c r="H106" i="5"/>
  <c r="G101" i="5"/>
  <c r="C9" i="29"/>
  <c r="C12" i="29" s="1"/>
  <c r="G10" i="29"/>
  <c r="G12" i="29" s="1"/>
  <c r="J135" i="54"/>
  <c r="M129" i="54"/>
  <c r="K135" i="54"/>
  <c r="L133" i="54"/>
  <c r="J88" i="54"/>
  <c r="K86" i="54"/>
  <c r="M127" i="54"/>
  <c r="K94" i="54"/>
  <c r="J96" i="54"/>
  <c r="K141" i="54"/>
  <c r="J143" i="54"/>
  <c r="K80" i="54"/>
  <c r="N82" i="54"/>
  <c r="I39" i="54"/>
  <c r="I41" i="54" s="1"/>
  <c r="H41" i="54"/>
  <c r="F49" i="54"/>
  <c r="Q168" i="54"/>
  <c r="G41" i="54"/>
  <c r="G80" i="33"/>
  <c r="G92" i="5"/>
  <c r="H109" i="5"/>
  <c r="F94" i="27"/>
  <c r="H100" i="5"/>
  <c r="J26" i="52"/>
  <c r="E9" i="29"/>
  <c r="G15" i="27"/>
  <c r="K77" i="27"/>
  <c r="K15" i="27"/>
  <c r="F41" i="54"/>
  <c r="G78" i="27"/>
  <c r="H78" i="27" s="1"/>
  <c r="G102" i="5"/>
  <c r="F11" i="29"/>
  <c r="F12" i="29" s="1"/>
  <c r="G95" i="27"/>
  <c r="H95" i="27" s="1"/>
  <c r="G44" i="27"/>
  <c r="H44" i="27" s="1"/>
  <c r="Q27" i="54"/>
  <c r="G110" i="5"/>
  <c r="I95" i="27"/>
  <c r="H114" i="5"/>
  <c r="G83" i="27"/>
  <c r="H83" i="27" s="1"/>
  <c r="G32" i="27"/>
  <c r="I83" i="27"/>
  <c r="I32" i="27"/>
  <c r="I34" i="27" s="1"/>
  <c r="J44" i="52"/>
  <c r="G118" i="5"/>
  <c r="P66" i="33"/>
  <c r="R66" i="33" s="1"/>
  <c r="T66" i="33" s="1"/>
  <c r="C80" i="33"/>
  <c r="Q19" i="54"/>
  <c r="F76" i="27"/>
  <c r="F78" i="27" s="1"/>
  <c r="Q153" i="54"/>
  <c r="E11" i="29"/>
  <c r="I80" i="33"/>
  <c r="O80" i="33"/>
  <c r="H80" i="33"/>
  <c r="G97" i="5"/>
  <c r="E105" i="33"/>
  <c r="G105" i="33" s="1"/>
  <c r="G117" i="5"/>
  <c r="D80" i="33"/>
  <c r="P69" i="33"/>
  <c r="Q69" i="33" s="1"/>
  <c r="T69" i="33" s="1"/>
  <c r="P70" i="33"/>
  <c r="Q70" i="33" s="1"/>
  <c r="T70" i="33" s="1"/>
  <c r="L80" i="33"/>
  <c r="E10" i="29"/>
  <c r="K102" i="52"/>
  <c r="J12" i="6" s="1"/>
  <c r="D136" i="1" s="1"/>
  <c r="G105" i="5"/>
  <c r="K80" i="33"/>
  <c r="E49" i="54"/>
  <c r="P63" i="33"/>
  <c r="Q63" i="33" s="1"/>
  <c r="T63" i="33" s="1"/>
  <c r="G24" i="5"/>
  <c r="D96" i="1" s="1"/>
  <c r="E80" i="33"/>
  <c r="K44" i="52"/>
  <c r="C21" i="6" s="1"/>
  <c r="D132" i="1" s="1"/>
  <c r="N80" i="33"/>
  <c r="K26" i="52"/>
  <c r="D114" i="52" s="1"/>
  <c r="F114" i="52" s="1"/>
  <c r="J58" i="52"/>
  <c r="M80" i="33"/>
  <c r="E9" i="28"/>
  <c r="J72" i="52"/>
  <c r="P27" i="33"/>
  <c r="D102" i="1"/>
  <c r="J80" i="33"/>
  <c r="F80" i="33"/>
  <c r="J68" i="52"/>
  <c r="H95" i="5"/>
  <c r="P68" i="33"/>
  <c r="R68" i="33" s="1"/>
  <c r="T68" i="33" s="1"/>
  <c r="H99" i="5"/>
  <c r="H115" i="5"/>
  <c r="H119" i="5"/>
  <c r="J194" i="59"/>
  <c r="J196" i="59" s="1"/>
  <c r="R180" i="59"/>
  <c r="X169" i="59"/>
  <c r="R162" i="59"/>
  <c r="X162" i="59" s="1"/>
  <c r="AF162" i="59" s="1"/>
  <c r="R112" i="59"/>
  <c r="X85" i="59"/>
  <c r="L196" i="59"/>
  <c r="R154" i="59"/>
  <c r="X154" i="59" s="1"/>
  <c r="AF154" i="59" s="1"/>
  <c r="P149" i="59"/>
  <c r="P215" i="59"/>
  <c r="R215" i="59" s="1"/>
  <c r="X215" i="59" s="1"/>
  <c r="AF215" i="59" s="1"/>
  <c r="R59" i="59"/>
  <c r="J82" i="59"/>
  <c r="H222" i="59"/>
  <c r="R135" i="59"/>
  <c r="X135" i="59" s="1"/>
  <c r="AF135" i="59" s="1"/>
  <c r="R37" i="59"/>
  <c r="X37" i="59" s="1"/>
  <c r="AF37" i="59" s="1"/>
  <c r="M114" i="59"/>
  <c r="P219" i="59"/>
  <c r="R219" i="59" s="1"/>
  <c r="X219" i="59" s="1"/>
  <c r="AF219" i="59" s="1"/>
  <c r="J205" i="59"/>
  <c r="R205" i="59" s="1"/>
  <c r="R133" i="59"/>
  <c r="J164" i="59"/>
  <c r="M220" i="59"/>
  <c r="O133" i="59"/>
  <c r="O164" i="59" s="1"/>
  <c r="N164" i="59"/>
  <c r="J112" i="59"/>
  <c r="R213" i="59"/>
  <c r="X213" i="59" s="1"/>
  <c r="AF213" i="59" s="1"/>
  <c r="R144" i="59"/>
  <c r="X144" i="59" s="1"/>
  <c r="AF144" i="59" s="1"/>
  <c r="I194" i="59"/>
  <c r="I196" i="59" s="1"/>
  <c r="P54" i="59"/>
  <c r="P114" i="59" s="1"/>
  <c r="M164" i="59"/>
  <c r="M222" i="59" s="1"/>
  <c r="P133" i="59"/>
  <c r="G114" i="59"/>
  <c r="P82" i="59"/>
  <c r="R149" i="59"/>
  <c r="X149" i="59" s="1"/>
  <c r="AF149" i="59" s="1"/>
  <c r="R199" i="59"/>
  <c r="P220" i="59"/>
  <c r="I222" i="59"/>
  <c r="P156" i="59"/>
  <c r="R156" i="59" s="1"/>
  <c r="X156" i="59" s="1"/>
  <c r="AF156" i="59" s="1"/>
  <c r="N220" i="59"/>
  <c r="L222" i="59"/>
  <c r="R12" i="59"/>
  <c r="J54" i="59"/>
  <c r="J114" i="59" s="1"/>
  <c r="T187" i="59"/>
  <c r="T194" i="59" s="1"/>
  <c r="T196" i="59" s="1"/>
  <c r="T222" i="59" s="1"/>
  <c r="P209" i="59"/>
  <c r="R209" i="59" s="1"/>
  <c r="X209" i="59" s="1"/>
  <c r="AF209" i="59" s="1"/>
  <c r="O183" i="59"/>
  <c r="O194" i="59" s="1"/>
  <c r="O196" i="59" s="1"/>
  <c r="P183" i="59"/>
  <c r="P194" i="59" s="1"/>
  <c r="P196" i="59" s="1"/>
  <c r="N194" i="59"/>
  <c r="N196" i="59" s="1"/>
  <c r="I114" i="59"/>
  <c r="Q154" i="54"/>
  <c r="H47" i="54"/>
  <c r="G49" i="54"/>
  <c r="P65" i="33"/>
  <c r="R65" i="33" s="1"/>
  <c r="T65" i="33" s="1"/>
  <c r="P62" i="33"/>
  <c r="S27" i="33"/>
  <c r="T9" i="33"/>
  <c r="I76" i="27"/>
  <c r="F9" i="28"/>
  <c r="P42" i="56"/>
  <c r="J33" i="6" s="1"/>
  <c r="J37" i="6" s="1"/>
  <c r="F44" i="6" s="1"/>
  <c r="D214" i="1" s="1"/>
  <c r="E14" i="16" s="1"/>
  <c r="S52" i="33"/>
  <c r="E131" i="52" s="1"/>
  <c r="T34" i="33"/>
  <c r="P52" i="33"/>
  <c r="D118" i="52"/>
  <c r="F118" i="52" s="1"/>
  <c r="K118" i="52" s="1"/>
  <c r="F131" i="52" s="1"/>
  <c r="J102" i="52"/>
  <c r="P64" i="33"/>
  <c r="R64" i="33" s="1"/>
  <c r="H30" i="49"/>
  <c r="E66" i="49"/>
  <c r="H66" i="49" s="1"/>
  <c r="H24" i="49"/>
  <c r="E60" i="49"/>
  <c r="H60" i="49" s="1"/>
  <c r="K82" i="27"/>
  <c r="G10" i="28"/>
  <c r="I94" i="27"/>
  <c r="F11" i="28"/>
  <c r="H22" i="49"/>
  <c r="E58" i="49"/>
  <c r="H58" i="49" s="1"/>
  <c r="H31" i="49"/>
  <c r="E67" i="49"/>
  <c r="H67" i="49" s="1"/>
  <c r="H44" i="49"/>
  <c r="E79" i="49"/>
  <c r="H79" i="49" s="1"/>
  <c r="G82" i="27"/>
  <c r="E10" i="28"/>
  <c r="P22" i="56"/>
  <c r="F42" i="6" s="1"/>
  <c r="R27" i="33"/>
  <c r="R29" i="33" s="1"/>
  <c r="T11" i="33"/>
  <c r="H26" i="49"/>
  <c r="E62" i="49"/>
  <c r="H62" i="49" s="1"/>
  <c r="E83" i="49"/>
  <c r="H83" i="49" s="1"/>
  <c r="H48" i="49"/>
  <c r="H33" i="49"/>
  <c r="E69" i="49"/>
  <c r="H69" i="49" s="1"/>
  <c r="H27" i="49"/>
  <c r="E63" i="49"/>
  <c r="H63" i="49" s="1"/>
  <c r="E75" i="49"/>
  <c r="H75" i="49" s="1"/>
  <c r="H40" i="49"/>
  <c r="I82" i="27"/>
  <c r="F10" i="28"/>
  <c r="D24" i="5"/>
  <c r="D50" i="1" s="1"/>
  <c r="H47" i="49"/>
  <c r="E82" i="49"/>
  <c r="H82" i="49" s="1"/>
  <c r="H25" i="49"/>
  <c r="E61" i="49"/>
  <c r="H61" i="49" s="1"/>
  <c r="E78" i="49"/>
  <c r="H78" i="49" s="1"/>
  <c r="H43" i="49"/>
  <c r="K94" i="27"/>
  <c r="G11" i="28"/>
  <c r="J44" i="5"/>
  <c r="D32" i="30"/>
  <c r="E76" i="49"/>
  <c r="H76" i="49" s="1"/>
  <c r="H41" i="49"/>
  <c r="R52" i="33"/>
  <c r="T36" i="33"/>
  <c r="H29" i="49"/>
  <c r="E65" i="49"/>
  <c r="H65" i="49" s="1"/>
  <c r="H23" i="49"/>
  <c r="E59" i="49"/>
  <c r="H59" i="49" s="1"/>
  <c r="K76" i="27"/>
  <c r="G9" i="28"/>
  <c r="Q52" i="33"/>
  <c r="T35" i="33"/>
  <c r="C24" i="5"/>
  <c r="D47" i="1" s="1"/>
  <c r="J24" i="5"/>
  <c r="E127" i="52" s="1"/>
  <c r="H21" i="49"/>
  <c r="E34" i="49"/>
  <c r="E57" i="49"/>
  <c r="E84" i="49"/>
  <c r="H84" i="49" s="1"/>
  <c r="H49" i="49"/>
  <c r="H38" i="49"/>
  <c r="E51" i="49"/>
  <c r="E85" i="49"/>
  <c r="H85" i="49" s="1"/>
  <c r="Q27" i="33"/>
  <c r="T10" i="33"/>
  <c r="G94" i="27"/>
  <c r="E11" i="28"/>
  <c r="E117" i="52"/>
  <c r="D107" i="33"/>
  <c r="K24" i="5"/>
  <c r="E128" i="52" s="1"/>
  <c r="M35" i="54"/>
  <c r="C12" i="28"/>
  <c r="H28" i="49"/>
  <c r="E64" i="49"/>
  <c r="H64" i="49" s="1"/>
  <c r="H32" i="49"/>
  <c r="E68" i="49"/>
  <c r="H68" i="49" s="1"/>
  <c r="E80" i="49"/>
  <c r="H80" i="49" s="1"/>
  <c r="H45" i="49"/>
  <c r="E74" i="49"/>
  <c r="H39" i="49"/>
  <c r="E81" i="49"/>
  <c r="H81" i="49" s="1"/>
  <c r="H46" i="49"/>
  <c r="P44" i="56"/>
  <c r="F84" i="27" l="1"/>
  <c r="I78" i="27"/>
  <c r="D116" i="52"/>
  <c r="F116" i="52" s="1"/>
  <c r="Q66" i="54"/>
  <c r="F96" i="27"/>
  <c r="D117" i="52"/>
  <c r="Q113" i="54"/>
  <c r="K70" i="52"/>
  <c r="K72" i="52" s="1"/>
  <c r="D119" i="52" s="1"/>
  <c r="E107" i="33"/>
  <c r="J39" i="54"/>
  <c r="K39" i="54" s="1"/>
  <c r="E119" i="52"/>
  <c r="G124" i="5"/>
  <c r="L141" i="54"/>
  <c r="K143" i="54"/>
  <c r="K96" i="54"/>
  <c r="L94" i="54"/>
  <c r="N127" i="54"/>
  <c r="K88" i="54"/>
  <c r="L86" i="54"/>
  <c r="L135" i="54"/>
  <c r="M133" i="54"/>
  <c r="O82" i="54"/>
  <c r="N129" i="54"/>
  <c r="L80" i="54"/>
  <c r="H32" i="27"/>
  <c r="H34" i="27" s="1"/>
  <c r="G34" i="27"/>
  <c r="K78" i="27"/>
  <c r="I12" i="6"/>
  <c r="D131" i="1" s="1"/>
  <c r="E12" i="29"/>
  <c r="E24" i="5"/>
  <c r="D52" i="1" s="1"/>
  <c r="Q80" i="33"/>
  <c r="Q82" i="33" s="1"/>
  <c r="H124" i="5"/>
  <c r="D115" i="52"/>
  <c r="F115" i="52" s="1"/>
  <c r="K115" i="52" s="1"/>
  <c r="F128" i="52" s="1"/>
  <c r="G128" i="52" s="1"/>
  <c r="X112" i="59"/>
  <c r="AF85" i="59"/>
  <c r="AF112" i="59" s="1"/>
  <c r="X187" i="59"/>
  <c r="AF187" i="59" s="1"/>
  <c r="X199" i="59"/>
  <c r="R220" i="59"/>
  <c r="R164" i="59"/>
  <c r="X133" i="59"/>
  <c r="J220" i="59"/>
  <c r="J222" i="59" s="1"/>
  <c r="X12" i="59"/>
  <c r="R54" i="59"/>
  <c r="X59" i="59"/>
  <c r="R82" i="59"/>
  <c r="X180" i="59"/>
  <c r="AF169" i="59"/>
  <c r="AF180" i="59" s="1"/>
  <c r="N222" i="59"/>
  <c r="V205" i="59"/>
  <c r="V220" i="59" s="1"/>
  <c r="V222" i="59" s="1"/>
  <c r="P164" i="59"/>
  <c r="P222" i="59" s="1"/>
  <c r="O222" i="59"/>
  <c r="R183" i="59"/>
  <c r="I47" i="54"/>
  <c r="H49" i="54"/>
  <c r="J41" i="54"/>
  <c r="T64" i="33"/>
  <c r="R80" i="33"/>
  <c r="R82" i="33" s="1"/>
  <c r="G131" i="52"/>
  <c r="S62" i="33"/>
  <c r="P80" i="33"/>
  <c r="F12" i="28"/>
  <c r="I187" i="1"/>
  <c r="D33" i="30"/>
  <c r="D34" i="30" s="1"/>
  <c r="D35" i="30" s="1"/>
  <c r="K84" i="27"/>
  <c r="H114" i="52"/>
  <c r="L114" i="52" s="1"/>
  <c r="K114" i="52"/>
  <c r="F127" i="52" s="1"/>
  <c r="G127" i="52" s="1"/>
  <c r="I96" i="27"/>
  <c r="E86" i="49"/>
  <c r="H86" i="49" s="1"/>
  <c r="D137" i="1" s="1"/>
  <c r="H74" i="49"/>
  <c r="T52" i="33"/>
  <c r="E130" i="52"/>
  <c r="Q54" i="33"/>
  <c r="D89" i="1"/>
  <c r="I89" i="1" s="1"/>
  <c r="I5" i="55"/>
  <c r="H82" i="27"/>
  <c r="H84" i="27" s="1"/>
  <c r="G84" i="27"/>
  <c r="N35" i="54"/>
  <c r="F117" i="52"/>
  <c r="H94" i="27"/>
  <c r="H96" i="27" s="1"/>
  <c r="G96" i="27"/>
  <c r="E70" i="49"/>
  <c r="H57" i="49"/>
  <c r="H70" i="49" s="1"/>
  <c r="E132" i="52"/>
  <c r="R54" i="33"/>
  <c r="K96" i="27"/>
  <c r="I84" i="27"/>
  <c r="H51" i="49"/>
  <c r="D64" i="1" s="1"/>
  <c r="G12" i="28"/>
  <c r="K116" i="52"/>
  <c r="F129" i="52" s="1"/>
  <c r="F45" i="6"/>
  <c r="D212" i="1"/>
  <c r="E12" i="16" s="1"/>
  <c r="E15" i="16" s="1"/>
  <c r="I42" i="6"/>
  <c r="G212" i="1" s="1"/>
  <c r="H12" i="16" s="1"/>
  <c r="Q29" i="33"/>
  <c r="T27" i="33"/>
  <c r="D51" i="1" s="1"/>
  <c r="H34" i="49"/>
  <c r="D53" i="1" s="1"/>
  <c r="E12" i="28"/>
  <c r="F119" i="52" l="1"/>
  <c r="K119" i="52" s="1"/>
  <c r="F132" i="52" s="1"/>
  <c r="G132" i="52" s="1"/>
  <c r="I132" i="52" s="1"/>
  <c r="M12" i="6"/>
  <c r="D135" i="1" s="1"/>
  <c r="D139" i="1" s="1"/>
  <c r="O127" i="54"/>
  <c r="O129" i="54"/>
  <c r="M135" i="54"/>
  <c r="N133" i="54"/>
  <c r="M94" i="54"/>
  <c r="L96" i="54"/>
  <c r="M80" i="54"/>
  <c r="P82" i="54"/>
  <c r="L88" i="54"/>
  <c r="M86" i="54"/>
  <c r="M141" i="54"/>
  <c r="L143" i="54"/>
  <c r="X164" i="59"/>
  <c r="AF133" i="59"/>
  <c r="X220" i="59"/>
  <c r="AF199" i="59"/>
  <c r="AF220" i="59" s="1"/>
  <c r="AF59" i="59"/>
  <c r="X82" i="59"/>
  <c r="R114" i="59"/>
  <c r="X205" i="59"/>
  <c r="AF205" i="59" s="1"/>
  <c r="X54" i="59"/>
  <c r="AF12" i="59"/>
  <c r="R194" i="59"/>
  <c r="R196" i="59" s="1"/>
  <c r="R222" i="59" s="1"/>
  <c r="X183" i="59"/>
  <c r="I49" i="54"/>
  <c r="J47" i="54"/>
  <c r="L39" i="54"/>
  <c r="K41" i="54"/>
  <c r="S80" i="33"/>
  <c r="T62" i="33"/>
  <c r="T80" i="33" s="1"/>
  <c r="D61" i="1"/>
  <c r="D72" i="1" s="1"/>
  <c r="O35" i="54"/>
  <c r="D75" i="1"/>
  <c r="K117" i="52"/>
  <c r="F130" i="52" s="1"/>
  <c r="G130" i="52" s="1"/>
  <c r="H117" i="52"/>
  <c r="L117" i="52" s="1"/>
  <c r="I190" i="1"/>
  <c r="I192" i="1" s="1"/>
  <c r="D58" i="1"/>
  <c r="I127" i="52"/>
  <c r="E133" i="52"/>
  <c r="D54" i="1"/>
  <c r="G44" i="6"/>
  <c r="G43" i="6"/>
  <c r="D215" i="1"/>
  <c r="H119" i="52" l="1"/>
  <c r="L119" i="52" s="1"/>
  <c r="Q82" i="54"/>
  <c r="N80" i="54"/>
  <c r="N135" i="54"/>
  <c r="O133" i="54"/>
  <c r="N141" i="54"/>
  <c r="M143" i="54"/>
  <c r="P127" i="54"/>
  <c r="N94" i="54"/>
  <c r="M96" i="54"/>
  <c r="P129" i="54"/>
  <c r="M88" i="54"/>
  <c r="N86" i="54"/>
  <c r="AF82" i="59"/>
  <c r="AF117" i="59"/>
  <c r="AF183" i="59"/>
  <c r="X194" i="59"/>
  <c r="X196" i="59" s="1"/>
  <c r="X222" i="59" s="1"/>
  <c r="AF120" i="59"/>
  <c r="AF122" i="59" s="1"/>
  <c r="AF54" i="59"/>
  <c r="AF114" i="59" s="1"/>
  <c r="X114" i="59"/>
  <c r="AF226" i="59"/>
  <c r="AF164" i="59"/>
  <c r="J49" i="54"/>
  <c r="K47" i="54"/>
  <c r="M39" i="54"/>
  <c r="L41" i="54"/>
  <c r="G47" i="1"/>
  <c r="E198" i="1"/>
  <c r="G198" i="1" s="1"/>
  <c r="G206" i="1" s="1"/>
  <c r="I206" i="1" s="1"/>
  <c r="G117" i="1"/>
  <c r="G14" i="1"/>
  <c r="P35" i="54"/>
  <c r="I130" i="52"/>
  <c r="G133" i="52"/>
  <c r="D62" i="1" s="1"/>
  <c r="D73" i="1" s="1"/>
  <c r="F133" i="52"/>
  <c r="K43" i="6"/>
  <c r="I213" i="1" s="1"/>
  <c r="E213" i="1"/>
  <c r="F13" i="16" s="1"/>
  <c r="J13" i="16" s="1"/>
  <c r="G42" i="6"/>
  <c r="K44" i="6"/>
  <c r="I214" i="1" s="1"/>
  <c r="E214" i="1"/>
  <c r="F14" i="16" s="1"/>
  <c r="J14" i="16" s="1"/>
  <c r="D69" i="1"/>
  <c r="O94" i="54" l="1"/>
  <c r="N96" i="54"/>
  <c r="Q127" i="54"/>
  <c r="O141" i="54"/>
  <c r="N143" i="54"/>
  <c r="O135" i="54"/>
  <c r="P133" i="54"/>
  <c r="O80" i="54"/>
  <c r="N88" i="54"/>
  <c r="O86" i="54"/>
  <c r="Q129" i="54"/>
  <c r="AF225" i="59"/>
  <c r="AF228" i="59" s="1"/>
  <c r="AF230" i="59" s="1"/>
  <c r="AF194" i="59"/>
  <c r="AF196" i="59" s="1"/>
  <c r="AF124" i="59"/>
  <c r="AF222" i="59"/>
  <c r="L47" i="54"/>
  <c r="K49" i="54"/>
  <c r="M41" i="54"/>
  <c r="N39" i="54"/>
  <c r="G50" i="1"/>
  <c r="G29" i="32"/>
  <c r="G30" i="32" s="1"/>
  <c r="G127" i="1"/>
  <c r="I127" i="1" s="1"/>
  <c r="E14" i="54"/>
  <c r="S28" i="33"/>
  <c r="L12" i="27"/>
  <c r="I9" i="55" s="1"/>
  <c r="G132" i="1"/>
  <c r="G115" i="52"/>
  <c r="G126" i="1"/>
  <c r="I126" i="1" s="1"/>
  <c r="G136" i="1"/>
  <c r="I136" i="1" s="1"/>
  <c r="H53" i="5"/>
  <c r="G80" i="30"/>
  <c r="G81" i="30" s="1"/>
  <c r="G92" i="30"/>
  <c r="G93" i="30" s="1"/>
  <c r="G51" i="30"/>
  <c r="G67" i="30"/>
  <c r="G68" i="30" s="1"/>
  <c r="G58" i="1"/>
  <c r="I47" i="1"/>
  <c r="Q35" i="54"/>
  <c r="G124" i="1"/>
  <c r="I124" i="1" s="1"/>
  <c r="I125" i="1" s="1"/>
  <c r="G100" i="1"/>
  <c r="I100" i="1" s="1"/>
  <c r="I117" i="1"/>
  <c r="G118" i="1"/>
  <c r="K42" i="6"/>
  <c r="E212" i="1"/>
  <c r="F12" i="16" s="1"/>
  <c r="J12" i="16" s="1"/>
  <c r="J15" i="16" s="1"/>
  <c r="D130" i="54" l="1"/>
  <c r="E61" i="54"/>
  <c r="D83" i="54"/>
  <c r="E108" i="54"/>
  <c r="P135" i="54"/>
  <c r="Q135" i="54" s="1"/>
  <c r="Q133" i="54"/>
  <c r="P141" i="54"/>
  <c r="O143" i="54"/>
  <c r="P94" i="54"/>
  <c r="O96" i="54"/>
  <c r="O88" i="54"/>
  <c r="P86" i="54"/>
  <c r="P80" i="54"/>
  <c r="L49" i="54"/>
  <c r="M47" i="54"/>
  <c r="O39" i="54"/>
  <c r="N41" i="54"/>
  <c r="L15" i="54"/>
  <c r="L21" i="54" s="1"/>
  <c r="L151" i="54" s="1"/>
  <c r="D36" i="54"/>
  <c r="G15" i="54"/>
  <c r="G21" i="54" s="1"/>
  <c r="G151" i="54" s="1"/>
  <c r="O15" i="54"/>
  <c r="O21" i="54" s="1"/>
  <c r="O151" i="54" s="1"/>
  <c r="J15" i="54"/>
  <c r="J21" i="54" s="1"/>
  <c r="J151" i="54" s="1"/>
  <c r="E15" i="54"/>
  <c r="M15" i="54"/>
  <c r="M21" i="54" s="1"/>
  <c r="M151" i="54" s="1"/>
  <c r="K15" i="54"/>
  <c r="K21" i="54" s="1"/>
  <c r="K151" i="54" s="1"/>
  <c r="F15" i="54"/>
  <c r="F21" i="54" s="1"/>
  <c r="F151" i="54" s="1"/>
  <c r="N15" i="54"/>
  <c r="N21" i="54" s="1"/>
  <c r="N151" i="54" s="1"/>
  <c r="I15" i="54"/>
  <c r="I21" i="54" s="1"/>
  <c r="I151" i="54" s="1"/>
  <c r="P15" i="54"/>
  <c r="P21" i="54" s="1"/>
  <c r="P151" i="54" s="1"/>
  <c r="H15" i="54"/>
  <c r="H21" i="54" s="1"/>
  <c r="H151" i="54" s="1"/>
  <c r="I58" i="1"/>
  <c r="I69" i="1" s="1"/>
  <c r="G96" i="1"/>
  <c r="I118" i="1"/>
  <c r="G119" i="1"/>
  <c r="I119" i="1" s="1"/>
  <c r="G116" i="52"/>
  <c r="H128" i="52"/>
  <c r="I128" i="52" s="1"/>
  <c r="H115" i="52"/>
  <c r="L115" i="52" s="1"/>
  <c r="I132" i="1"/>
  <c r="G134" i="1"/>
  <c r="I134" i="1" s="1"/>
  <c r="G143" i="1"/>
  <c r="G52" i="30"/>
  <c r="H52" i="30" s="1"/>
  <c r="H51" i="30"/>
  <c r="I8" i="55"/>
  <c r="L73" i="27"/>
  <c r="L33" i="27"/>
  <c r="L52" i="27"/>
  <c r="L19" i="27"/>
  <c r="L17" i="27"/>
  <c r="L49" i="27"/>
  <c r="L29" i="27"/>
  <c r="L46" i="27"/>
  <c r="L47" i="27"/>
  <c r="L53" i="27"/>
  <c r="L27" i="27"/>
  <c r="L22" i="27"/>
  <c r="L51" i="27"/>
  <c r="L55" i="27"/>
  <c r="L50" i="27"/>
  <c r="L21" i="27"/>
  <c r="L23" i="27"/>
  <c r="L48" i="27"/>
  <c r="L26" i="27"/>
  <c r="L20" i="27"/>
  <c r="L18" i="27"/>
  <c r="L54" i="27"/>
  <c r="L45" i="27"/>
  <c r="L25" i="27"/>
  <c r="L56" i="27"/>
  <c r="L32" i="27"/>
  <c r="L24" i="27"/>
  <c r="L16" i="27"/>
  <c r="L44" i="27"/>
  <c r="E20" i="16"/>
  <c r="H54" i="5"/>
  <c r="I53" i="5"/>
  <c r="I50" i="1"/>
  <c r="G52" i="1"/>
  <c r="G61" i="1"/>
  <c r="I61" i="1" s="1"/>
  <c r="S53" i="33"/>
  <c r="S29" i="33"/>
  <c r="T29" i="33" s="1"/>
  <c r="I51" i="1" s="1"/>
  <c r="I212" i="1"/>
  <c r="K45" i="6"/>
  <c r="I215" i="1" s="1"/>
  <c r="I18" i="2"/>
  <c r="E66" i="2"/>
  <c r="P109" i="54" l="1"/>
  <c r="P115" i="54" s="1"/>
  <c r="O109" i="54"/>
  <c r="O115" i="54" s="1"/>
  <c r="J109" i="54"/>
  <c r="J115" i="54" s="1"/>
  <c r="F109" i="54"/>
  <c r="F115" i="54" s="1"/>
  <c r="I109" i="54"/>
  <c r="I115" i="54" s="1"/>
  <c r="N109" i="54"/>
  <c r="N115" i="54" s="1"/>
  <c r="L109" i="54"/>
  <c r="L115" i="54" s="1"/>
  <c r="K109" i="54"/>
  <c r="K115" i="54" s="1"/>
  <c r="M109" i="54"/>
  <c r="M115" i="54" s="1"/>
  <c r="E109" i="54"/>
  <c r="G109" i="54"/>
  <c r="G115" i="54" s="1"/>
  <c r="H109" i="54"/>
  <c r="H115" i="54" s="1"/>
  <c r="E84" i="54"/>
  <c r="E90" i="54" s="1"/>
  <c r="D84" i="54"/>
  <c r="D90" i="54" s="1"/>
  <c r="F84" i="54"/>
  <c r="F90" i="54" s="1"/>
  <c r="G84" i="54"/>
  <c r="G90" i="54" s="1"/>
  <c r="H84" i="54"/>
  <c r="H90" i="54" s="1"/>
  <c r="I84" i="54"/>
  <c r="I90" i="54" s="1"/>
  <c r="J84" i="54"/>
  <c r="J90" i="54" s="1"/>
  <c r="K84" i="54"/>
  <c r="K90" i="54" s="1"/>
  <c r="L84" i="54"/>
  <c r="L90" i="54" s="1"/>
  <c r="M84" i="54"/>
  <c r="M90" i="54" s="1"/>
  <c r="N84" i="54"/>
  <c r="N90" i="54" s="1"/>
  <c r="O84" i="54"/>
  <c r="O90" i="54" s="1"/>
  <c r="P84" i="54"/>
  <c r="K62" i="54"/>
  <c r="K68" i="54" s="1"/>
  <c r="J62" i="54"/>
  <c r="J68" i="54" s="1"/>
  <c r="I62" i="54"/>
  <c r="I68" i="54" s="1"/>
  <c r="H62" i="54"/>
  <c r="H68" i="54" s="1"/>
  <c r="P62" i="54"/>
  <c r="P68" i="54" s="1"/>
  <c r="O62" i="54"/>
  <c r="O68" i="54" s="1"/>
  <c r="G62" i="54"/>
  <c r="G68" i="54" s="1"/>
  <c r="E62" i="54"/>
  <c r="L62" i="54"/>
  <c r="L68" i="54" s="1"/>
  <c r="F62" i="54"/>
  <c r="F68" i="54" s="1"/>
  <c r="M62" i="54"/>
  <c r="M68" i="54" s="1"/>
  <c r="N62" i="54"/>
  <c r="N68" i="54" s="1"/>
  <c r="E131" i="54"/>
  <c r="E137" i="54" s="1"/>
  <c r="D131" i="54"/>
  <c r="D137" i="54" s="1"/>
  <c r="F131" i="54"/>
  <c r="F137" i="54" s="1"/>
  <c r="G131" i="54"/>
  <c r="G137" i="54" s="1"/>
  <c r="H131" i="54"/>
  <c r="H137" i="54" s="1"/>
  <c r="I131" i="54"/>
  <c r="I137" i="54" s="1"/>
  <c r="J131" i="54"/>
  <c r="J137" i="54" s="1"/>
  <c r="K131" i="54"/>
  <c r="K137" i="54" s="1"/>
  <c r="L131" i="54"/>
  <c r="L137" i="54" s="1"/>
  <c r="M131" i="54"/>
  <c r="M137" i="54" s="1"/>
  <c r="N131" i="54"/>
  <c r="N137" i="54" s="1"/>
  <c r="O131" i="54"/>
  <c r="O137" i="54" s="1"/>
  <c r="P131" i="54"/>
  <c r="Q80" i="54"/>
  <c r="P88" i="54"/>
  <c r="Q88" i="54" s="1"/>
  <c r="Q86" i="54"/>
  <c r="P143" i="54"/>
  <c r="Q141" i="54"/>
  <c r="Q143" i="54" s="1"/>
  <c r="P96" i="54"/>
  <c r="Q94" i="54"/>
  <c r="Q96" i="54" s="1"/>
  <c r="N47" i="54"/>
  <c r="M49" i="54"/>
  <c r="P39" i="54"/>
  <c r="O41" i="54"/>
  <c r="I72" i="1"/>
  <c r="I10" i="55"/>
  <c r="M156" i="54"/>
  <c r="M160" i="54" s="1"/>
  <c r="M169" i="54"/>
  <c r="M171" i="54" s="1"/>
  <c r="K156" i="54"/>
  <c r="K160" i="54" s="1"/>
  <c r="K169" i="54"/>
  <c r="K171" i="54" s="1"/>
  <c r="I143" i="1"/>
  <c r="G144" i="1"/>
  <c r="I144" i="1" s="1"/>
  <c r="G131" i="1"/>
  <c r="I96" i="1"/>
  <c r="D156" i="1"/>
  <c r="I54" i="5"/>
  <c r="H55" i="5"/>
  <c r="L34" i="27"/>
  <c r="E21" i="54"/>
  <c r="Q15" i="54"/>
  <c r="H169" i="54"/>
  <c r="H171" i="54" s="1"/>
  <c r="H156" i="54"/>
  <c r="H160" i="54" s="1"/>
  <c r="J169" i="54"/>
  <c r="J171" i="54" s="1"/>
  <c r="J156" i="54"/>
  <c r="J160" i="54" s="1"/>
  <c r="S81" i="33"/>
  <c r="S54" i="33"/>
  <c r="T54" i="33" s="1"/>
  <c r="L78" i="27"/>
  <c r="L83" i="27"/>
  <c r="L95" i="27"/>
  <c r="L82" i="27"/>
  <c r="L94" i="27"/>
  <c r="P156" i="54"/>
  <c r="P160" i="54" s="1"/>
  <c r="P169" i="54"/>
  <c r="P171" i="54" s="1"/>
  <c r="O156" i="54"/>
  <c r="O160" i="54" s="1"/>
  <c r="O169" i="54"/>
  <c r="O171" i="54" s="1"/>
  <c r="E95" i="2"/>
  <c r="I169" i="54"/>
  <c r="I171" i="54" s="1"/>
  <c r="I156" i="54"/>
  <c r="I160" i="54" s="1"/>
  <c r="G156" i="54"/>
  <c r="G160" i="54" s="1"/>
  <c r="G169" i="54"/>
  <c r="G171" i="54" s="1"/>
  <c r="G118" i="52"/>
  <c r="H129" i="52"/>
  <c r="H116" i="52"/>
  <c r="L116" i="52" s="1"/>
  <c r="N156" i="54"/>
  <c r="N160" i="54" s="1"/>
  <c r="N169" i="54"/>
  <c r="N171" i="54" s="1"/>
  <c r="D37" i="54"/>
  <c r="G37" i="54"/>
  <c r="G43" i="54" s="1"/>
  <c r="F37" i="54"/>
  <c r="F43" i="54" s="1"/>
  <c r="H37" i="54"/>
  <c r="H43" i="54" s="1"/>
  <c r="E37" i="54"/>
  <c r="E43" i="54" s="1"/>
  <c r="I37" i="54"/>
  <c r="I43" i="54" s="1"/>
  <c r="J37" i="54"/>
  <c r="J43" i="54" s="1"/>
  <c r="K37" i="54"/>
  <c r="K43" i="54" s="1"/>
  <c r="L37" i="54"/>
  <c r="L43" i="54" s="1"/>
  <c r="M37" i="54"/>
  <c r="M43" i="54" s="1"/>
  <c r="N37" i="54"/>
  <c r="N43" i="54" s="1"/>
  <c r="O37" i="54"/>
  <c r="P37" i="54"/>
  <c r="I19" i="2"/>
  <c r="H66" i="2"/>
  <c r="G53" i="1"/>
  <c r="I53" i="1" s="1"/>
  <c r="I52" i="1"/>
  <c r="G63" i="1"/>
  <c r="H54" i="30"/>
  <c r="D36" i="30" s="1"/>
  <c r="D37" i="30" s="1"/>
  <c r="D38" i="30" s="1"/>
  <c r="D23" i="30" s="1"/>
  <c r="F169" i="54"/>
  <c r="F171" i="54" s="1"/>
  <c r="F156" i="54"/>
  <c r="F160" i="54" s="1"/>
  <c r="L169" i="54"/>
  <c r="L171" i="54" s="1"/>
  <c r="L156" i="54"/>
  <c r="L160" i="54" s="1"/>
  <c r="P90" i="54" l="1"/>
  <c r="Q90" i="54"/>
  <c r="Q84" i="54"/>
  <c r="Q109" i="54"/>
  <c r="E115" i="54"/>
  <c r="Q115" i="54" s="1"/>
  <c r="Q62" i="54"/>
  <c r="E68" i="54"/>
  <c r="Q68" i="54" s="1"/>
  <c r="Q131" i="54"/>
  <c r="P137" i="54"/>
  <c r="Q137" i="54" s="1"/>
  <c r="L84" i="27"/>
  <c r="O47" i="54"/>
  <c r="N49" i="54"/>
  <c r="P41" i="54"/>
  <c r="Q41" i="54" s="1"/>
  <c r="Q39" i="54"/>
  <c r="O43" i="54"/>
  <c r="Q21" i="54"/>
  <c r="L21" i="6" s="1"/>
  <c r="E151" i="54"/>
  <c r="H95" i="2"/>
  <c r="F106" i="33"/>
  <c r="F107" i="33" s="1"/>
  <c r="G107" i="33" s="1"/>
  <c r="S82" i="33"/>
  <c r="T82" i="33" s="1"/>
  <c r="D43" i="54"/>
  <c r="Q37" i="54"/>
  <c r="H131" i="52"/>
  <c r="I131" i="52" s="1"/>
  <c r="I133" i="52" s="1"/>
  <c r="I62" i="1" s="1"/>
  <c r="H118" i="52"/>
  <c r="L118" i="52" s="1"/>
  <c r="G133" i="1"/>
  <c r="I133" i="1" s="1"/>
  <c r="I131" i="1"/>
  <c r="I54" i="1"/>
  <c r="G54" i="1" s="1"/>
  <c r="G137" i="1"/>
  <c r="I137" i="1" s="1"/>
  <c r="G64" i="1"/>
  <c r="I64" i="1" s="1"/>
  <c r="I75" i="1" s="1"/>
  <c r="L96" i="27"/>
  <c r="I55" i="5"/>
  <c r="H56" i="5"/>
  <c r="D161" i="1" l="1"/>
  <c r="D165" i="1" s="1"/>
  <c r="I165" i="1" s="1"/>
  <c r="O49" i="54"/>
  <c r="P47" i="54"/>
  <c r="P43" i="54"/>
  <c r="Q43" i="54" s="1"/>
  <c r="I56" i="5"/>
  <c r="H57" i="5"/>
  <c r="I73" i="1"/>
  <c r="K66" i="2"/>
  <c r="K95" i="2" s="1"/>
  <c r="I139" i="1"/>
  <c r="G146" i="1"/>
  <c r="H29" i="32"/>
  <c r="H30" i="32" s="1"/>
  <c r="J31" i="32" s="1"/>
  <c r="I121" i="1" s="1"/>
  <c r="I128" i="1" s="1"/>
  <c r="J12" i="27"/>
  <c r="F80" i="30"/>
  <c r="F81" i="30" s="1"/>
  <c r="H81" i="30" s="1"/>
  <c r="D15" i="30" s="1"/>
  <c r="F67" i="30"/>
  <c r="F68" i="30" s="1"/>
  <c r="F92" i="30"/>
  <c r="F93" i="30" s="1"/>
  <c r="H93" i="30" s="1"/>
  <c r="I26" i="2"/>
  <c r="I27" i="2" s="1"/>
  <c r="L27" i="2" s="1"/>
  <c r="D151" i="54"/>
  <c r="E156" i="54"/>
  <c r="E160" i="54" s="1"/>
  <c r="E169" i="54"/>
  <c r="E171" i="54" s="1"/>
  <c r="E25" i="16" l="1"/>
  <c r="E29" i="16" s="1"/>
  <c r="J29" i="16" s="1"/>
  <c r="D83" i="1"/>
  <c r="I83" i="1" s="1"/>
  <c r="P49" i="54"/>
  <c r="Q47" i="54"/>
  <c r="D169" i="54"/>
  <c r="Q151" i="54"/>
  <c r="Q156" i="54" s="1"/>
  <c r="Q160" i="54" s="1"/>
  <c r="D156" i="54"/>
  <c r="D160" i="54" s="1"/>
  <c r="I146" i="1"/>
  <c r="G148" i="1"/>
  <c r="I148" i="1" s="1"/>
  <c r="G149" i="1"/>
  <c r="I149" i="1" s="1"/>
  <c r="I99" i="1"/>
  <c r="I102" i="1" s="1"/>
  <c r="I22" i="2"/>
  <c r="I23" i="2" s="1"/>
  <c r="L23" i="2" s="1"/>
  <c r="D7" i="30"/>
  <c r="D8" i="30" s="1"/>
  <c r="D22" i="30" s="1"/>
  <c r="H68" i="30"/>
  <c r="I57" i="5"/>
  <c r="H58" i="5"/>
  <c r="J73" i="27"/>
  <c r="J17" i="27"/>
  <c r="M17" i="27" s="1"/>
  <c r="J26" i="27"/>
  <c r="M26" i="27" s="1"/>
  <c r="J32" i="27"/>
  <c r="J20" i="27"/>
  <c r="M20" i="27" s="1"/>
  <c r="J22" i="27"/>
  <c r="M22" i="27" s="1"/>
  <c r="J47" i="27"/>
  <c r="M47" i="27" s="1"/>
  <c r="J49" i="27"/>
  <c r="M49" i="27" s="1"/>
  <c r="J44" i="27"/>
  <c r="M44" i="27" s="1"/>
  <c r="J25" i="27"/>
  <c r="M25" i="27" s="1"/>
  <c r="J21" i="27"/>
  <c r="M21" i="27" s="1"/>
  <c r="J18" i="27"/>
  <c r="M18" i="27" s="1"/>
  <c r="J27" i="27"/>
  <c r="M27" i="27" s="1"/>
  <c r="J48" i="27"/>
  <c r="M48" i="27" s="1"/>
  <c r="J23" i="27"/>
  <c r="M23" i="27" s="1"/>
  <c r="J33" i="27"/>
  <c r="M33" i="27" s="1"/>
  <c r="J54" i="27"/>
  <c r="M54" i="27" s="1"/>
  <c r="J55" i="27"/>
  <c r="M55" i="27" s="1"/>
  <c r="J29" i="27"/>
  <c r="M29" i="27" s="1"/>
  <c r="J46" i="27"/>
  <c r="M46" i="27" s="1"/>
  <c r="J19" i="27"/>
  <c r="M19" i="27" s="1"/>
  <c r="J56" i="27"/>
  <c r="M56" i="27" s="1"/>
  <c r="J52" i="27"/>
  <c r="M52" i="27" s="1"/>
  <c r="J16" i="27"/>
  <c r="M16" i="27" s="1"/>
  <c r="J24" i="27"/>
  <c r="M24" i="27" s="1"/>
  <c r="J51" i="27"/>
  <c r="M51" i="27" s="1"/>
  <c r="J50" i="27"/>
  <c r="M50" i="27" s="1"/>
  <c r="J53" i="27"/>
  <c r="M53" i="27" s="1"/>
  <c r="J45" i="27"/>
  <c r="M45" i="27" s="1"/>
  <c r="J78" i="27"/>
  <c r="M78" i="27" s="1"/>
  <c r="M57" i="27" l="1"/>
  <c r="H44" i="5" s="1"/>
  <c r="I12" i="55"/>
  <c r="I14" i="55" s="1"/>
  <c r="I16" i="55" s="1"/>
  <c r="I20" i="55" s="1"/>
  <c r="D172" i="1" s="1"/>
  <c r="I172" i="1" s="1"/>
  <c r="Q49" i="54"/>
  <c r="D85" i="1" s="1"/>
  <c r="I85" i="1" s="1"/>
  <c r="J77" i="27"/>
  <c r="J76" i="27"/>
  <c r="J83" i="27"/>
  <c r="J95" i="27"/>
  <c r="M95" i="27" s="1"/>
  <c r="J82" i="27"/>
  <c r="J94" i="27"/>
  <c r="Q169" i="54"/>
  <c r="Q171" i="54" s="1"/>
  <c r="D171" i="54"/>
  <c r="J34" i="27"/>
  <c r="M34" i="27" s="1"/>
  <c r="G44" i="5" s="1"/>
  <c r="M32" i="27"/>
  <c r="D24" i="30"/>
  <c r="D43" i="30"/>
  <c r="H60" i="5"/>
  <c r="I58" i="5"/>
  <c r="I150" i="1"/>
  <c r="I30" i="2" s="1"/>
  <c r="I31" i="2" s="1"/>
  <c r="L31" i="2" s="1"/>
  <c r="L36" i="2" s="1"/>
  <c r="J84" i="27" l="1"/>
  <c r="M84" i="27" s="1"/>
  <c r="D81" i="1"/>
  <c r="I81" i="1" s="1"/>
  <c r="F80" i="2"/>
  <c r="G80" i="2" s="1"/>
  <c r="F69" i="2"/>
  <c r="G69" i="2" s="1"/>
  <c r="F70" i="2"/>
  <c r="G70" i="2" s="1"/>
  <c r="F87" i="2"/>
  <c r="G87" i="2" s="1"/>
  <c r="F88" i="2"/>
  <c r="G88" i="2" s="1"/>
  <c r="F82" i="2"/>
  <c r="G82" i="2" s="1"/>
  <c r="F91" i="2"/>
  <c r="G91" i="2" s="1"/>
  <c r="F79" i="2"/>
  <c r="G79" i="2" s="1"/>
  <c r="F83" i="2"/>
  <c r="G83" i="2" s="1"/>
  <c r="F75" i="2"/>
  <c r="G75" i="2" s="1"/>
  <c r="F86" i="2"/>
  <c r="G86" i="2" s="1"/>
  <c r="F85" i="2"/>
  <c r="G85" i="2" s="1"/>
  <c r="F74" i="2"/>
  <c r="G74" i="2" s="1"/>
  <c r="F71" i="2"/>
  <c r="G71" i="2" s="1"/>
  <c r="F68" i="2"/>
  <c r="G68" i="2" s="1"/>
  <c r="F72" i="2"/>
  <c r="G72" i="2" s="1"/>
  <c r="F66" i="2"/>
  <c r="G66" i="2" s="1"/>
  <c r="F67" i="2"/>
  <c r="G67" i="2" s="1"/>
  <c r="F77" i="2"/>
  <c r="G77" i="2" s="1"/>
  <c r="F90" i="2"/>
  <c r="G90" i="2" s="1"/>
  <c r="F89" i="2"/>
  <c r="G89" i="2" s="1"/>
  <c r="F78" i="2"/>
  <c r="G78" i="2" s="1"/>
  <c r="F84" i="2"/>
  <c r="G84" i="2" s="1"/>
  <c r="F92" i="2"/>
  <c r="G92" i="2" s="1"/>
  <c r="F81" i="2"/>
  <c r="G81" i="2" s="1"/>
  <c r="F76" i="2"/>
  <c r="G76" i="2" s="1"/>
  <c r="F73" i="2"/>
  <c r="G73" i="2" s="1"/>
  <c r="I60" i="5"/>
  <c r="H61" i="5"/>
  <c r="J96" i="27"/>
  <c r="M94" i="27"/>
  <c r="M96" i="27" s="1"/>
  <c r="D82" i="1" s="1"/>
  <c r="I82" i="1" s="1"/>
  <c r="I14" i="1"/>
  <c r="I33" i="2" s="1"/>
  <c r="D14" i="1"/>
  <c r="H62" i="5" l="1"/>
  <c r="I61" i="5"/>
  <c r="I62" i="5" l="1"/>
  <c r="H63" i="5"/>
  <c r="H64" i="5" l="1"/>
  <c r="I63" i="5"/>
  <c r="H65" i="5" l="1"/>
  <c r="I64" i="5"/>
  <c r="I65" i="5" l="1"/>
  <c r="H66" i="5"/>
  <c r="L24" i="5" l="1"/>
  <c r="E129" i="52" s="1"/>
  <c r="G129" i="52" s="1"/>
  <c r="I66" i="5"/>
  <c r="H67" i="5"/>
  <c r="I67" i="5" s="1"/>
  <c r="I71" i="5" l="1"/>
  <c r="D87" i="1" s="1"/>
  <c r="I87" i="1" s="1"/>
  <c r="D63" i="1"/>
  <c r="I129" i="52"/>
  <c r="D74" i="1" l="1"/>
  <c r="D76" i="1" s="1"/>
  <c r="D65" i="1"/>
  <c r="I63" i="1"/>
  <c r="I74" i="1" l="1"/>
  <c r="I76" i="1" s="1"/>
  <c r="I65" i="1"/>
  <c r="G76" i="1" l="1"/>
  <c r="H15" i="27" l="1"/>
  <c r="H28" i="27" s="1"/>
  <c r="H30" i="27" s="1"/>
  <c r="G28" i="27"/>
  <c r="G30" i="27" s="1"/>
  <c r="K28" i="27"/>
  <c r="K30" i="27" s="1"/>
  <c r="L15" i="27"/>
  <c r="L28" i="27" s="1"/>
  <c r="L30" i="27" s="1"/>
  <c r="I28" i="27"/>
  <c r="J15" i="27"/>
  <c r="M15" i="27" l="1"/>
  <c r="M28" i="27" s="1"/>
  <c r="M30" i="27" s="1"/>
  <c r="I30" i="27"/>
  <c r="J28" i="27"/>
  <c r="J30" i="27" s="1"/>
  <c r="F44" i="5" l="1"/>
  <c r="D80" i="1" s="1"/>
  <c r="M60" i="27"/>
  <c r="I80" i="1" l="1"/>
  <c r="I94" i="1" s="1"/>
  <c r="I104" i="1" s="1"/>
  <c r="D94" i="1"/>
  <c r="D104" i="1" s="1"/>
  <c r="D170" i="1" s="1"/>
  <c r="D163" i="1" s="1"/>
  <c r="D167" i="1" s="1"/>
  <c r="D173" i="1" s="1"/>
  <c r="K7" i="16" l="1"/>
  <c r="I170" i="1"/>
  <c r="I43" i="2" l="1"/>
  <c r="I44" i="2" s="1"/>
  <c r="K35" i="16"/>
  <c r="I163" i="1"/>
  <c r="I167" i="1" s="1"/>
  <c r="I173" i="1" s="1"/>
  <c r="I11" i="1" s="1"/>
  <c r="I16" i="1" s="1"/>
  <c r="K39" i="16"/>
  <c r="K16" i="16"/>
  <c r="E27" i="16" l="1"/>
  <c r="E31" i="16" s="1"/>
  <c r="J27" i="16"/>
  <c r="J31" i="16" s="1"/>
  <c r="K31" i="16" s="1"/>
  <c r="K33" i="16" s="1"/>
  <c r="K36" i="16"/>
  <c r="K37" i="16" s="1"/>
  <c r="I39" i="2"/>
  <c r="I40" i="2" s="1"/>
  <c r="L40" i="2" s="1"/>
  <c r="L44" i="2"/>
  <c r="L46" i="2" l="1"/>
  <c r="I66" i="2" s="1"/>
  <c r="J66" i="2" s="1"/>
  <c r="I46" i="2"/>
  <c r="K38" i="16"/>
  <c r="K40" i="16" s="1"/>
  <c r="I73" i="2" l="1"/>
  <c r="J73" i="2" s="1"/>
  <c r="L73" i="2" s="1"/>
  <c r="I74" i="2"/>
  <c r="J74" i="2" s="1"/>
  <c r="L74" i="2" s="1"/>
  <c r="I67" i="2"/>
  <c r="J67" i="2" s="1"/>
  <c r="L67" i="2" s="1"/>
  <c r="I70" i="2"/>
  <c r="J70" i="2" s="1"/>
  <c r="L70" i="2" s="1"/>
  <c r="I91" i="2"/>
  <c r="J91" i="2" s="1"/>
  <c r="L91" i="2" s="1"/>
  <c r="I86" i="2"/>
  <c r="J86" i="2" s="1"/>
  <c r="L86" i="2" s="1"/>
  <c r="I72" i="2"/>
  <c r="J72" i="2" s="1"/>
  <c r="L72" i="2" s="1"/>
  <c r="I85" i="2"/>
  <c r="J85" i="2" s="1"/>
  <c r="L85" i="2" s="1"/>
  <c r="I80" i="2"/>
  <c r="J80" i="2" s="1"/>
  <c r="L80" i="2" s="1"/>
  <c r="I84" i="2"/>
  <c r="J84" i="2" s="1"/>
  <c r="L84" i="2" s="1"/>
  <c r="I81" i="2"/>
  <c r="J81" i="2" s="1"/>
  <c r="L81" i="2" s="1"/>
  <c r="I92" i="2"/>
  <c r="J92" i="2" s="1"/>
  <c r="L92" i="2" s="1"/>
  <c r="I78" i="2"/>
  <c r="J78" i="2" s="1"/>
  <c r="L78" i="2" s="1"/>
  <c r="I76" i="2"/>
  <c r="J76" i="2" s="1"/>
  <c r="L76" i="2" s="1"/>
  <c r="I71" i="2"/>
  <c r="J71" i="2" s="1"/>
  <c r="L71" i="2" s="1"/>
  <c r="I68" i="2"/>
  <c r="J68" i="2" s="1"/>
  <c r="L68" i="2" s="1"/>
  <c r="I77" i="2"/>
  <c r="J77" i="2" s="1"/>
  <c r="L77" i="2" s="1"/>
  <c r="I88" i="2"/>
  <c r="J88" i="2" s="1"/>
  <c r="L88" i="2" s="1"/>
  <c r="I75" i="2"/>
  <c r="J75" i="2" s="1"/>
  <c r="L75" i="2" s="1"/>
  <c r="I69" i="2"/>
  <c r="J69" i="2" s="1"/>
  <c r="L69" i="2" s="1"/>
  <c r="I87" i="2"/>
  <c r="J87" i="2" s="1"/>
  <c r="L87" i="2" s="1"/>
  <c r="I83" i="2"/>
  <c r="J83" i="2" s="1"/>
  <c r="L83" i="2" s="1"/>
  <c r="I82" i="2"/>
  <c r="J82" i="2" s="1"/>
  <c r="L82" i="2" s="1"/>
  <c r="I79" i="2"/>
  <c r="J79" i="2" s="1"/>
  <c r="L79" i="2" s="1"/>
  <c r="I89" i="2"/>
  <c r="J89" i="2" s="1"/>
  <c r="L89" i="2" s="1"/>
  <c r="I90" i="2"/>
  <c r="J90" i="2" s="1"/>
  <c r="L90" i="2" s="1"/>
  <c r="N79" i="2"/>
  <c r="N81" i="2"/>
  <c r="N85" i="2"/>
  <c r="N84" i="2"/>
  <c r="N90" i="2"/>
  <c r="N86" i="2"/>
  <c r="N83" i="2"/>
  <c r="N70" i="2"/>
  <c r="N92" i="2"/>
  <c r="N75" i="2"/>
  <c r="N87" i="2"/>
  <c r="N68" i="2"/>
  <c r="N69" i="2"/>
  <c r="N88" i="2"/>
  <c r="N77" i="2"/>
  <c r="N74" i="2"/>
  <c r="N91" i="2"/>
  <c r="N71" i="2"/>
  <c r="N78" i="2"/>
  <c r="N80" i="2"/>
  <c r="N73" i="2"/>
  <c r="N76" i="2"/>
  <c r="N89" i="2"/>
  <c r="N66" i="2"/>
  <c r="N82" i="2"/>
  <c r="N72" i="2"/>
  <c r="N67" i="2"/>
  <c r="O67" i="2" s="1"/>
  <c r="L66" i="2"/>
  <c r="O88" i="2" l="1"/>
  <c r="Q69" i="2"/>
  <c r="Q74" i="2"/>
  <c r="Q84" i="2"/>
  <c r="Q76" i="2"/>
  <c r="Q78" i="2"/>
  <c r="O87" i="2"/>
  <c r="Q77" i="2"/>
  <c r="Q73" i="2"/>
  <c r="Q80" i="2"/>
  <c r="Q75" i="2"/>
  <c r="O81" i="2"/>
  <c r="Q86" i="2"/>
  <c r="O91" i="2"/>
  <c r="O72" i="2"/>
  <c r="Q71" i="2"/>
  <c r="Q85" i="2"/>
  <c r="Q82" i="2"/>
  <c r="O70" i="2"/>
  <c r="O92" i="2"/>
  <c r="O68" i="2"/>
  <c r="O79" i="2"/>
  <c r="O90" i="2"/>
  <c r="O83" i="2"/>
  <c r="Q89" i="2"/>
  <c r="Q92" i="2"/>
  <c r="Q79" i="2"/>
  <c r="J95" i="2"/>
  <c r="Q72" i="2"/>
  <c r="Q90" i="2"/>
  <c r="O74" i="2"/>
  <c r="Q70" i="2"/>
  <c r="O76" i="2"/>
  <c r="O77" i="2"/>
  <c r="O89" i="2"/>
  <c r="O73" i="2"/>
  <c r="Q88" i="2"/>
  <c r="O80" i="2"/>
  <c r="Q81" i="2"/>
  <c r="O78" i="2"/>
  <c r="Q67" i="2"/>
  <c r="O71" i="2"/>
  <c r="N95" i="2"/>
  <c r="O69" i="2"/>
  <c r="O75" i="2"/>
  <c r="Q68" i="2"/>
  <c r="O84" i="2"/>
  <c r="O85" i="2"/>
  <c r="Q83" i="2"/>
  <c r="Q87" i="2"/>
  <c r="O82" i="2"/>
  <c r="Q91" i="2"/>
  <c r="L95" i="2"/>
  <c r="Q66" i="2"/>
  <c r="O66" i="2"/>
  <c r="O86" i="2"/>
  <c r="Q95" i="2" l="1"/>
  <c r="O95" i="2"/>
  <c r="S83" i="2" l="1"/>
  <c r="S67" i="2"/>
  <c r="S68" i="2"/>
  <c r="S87" i="2"/>
  <c r="S91" i="2"/>
  <c r="S66" i="2"/>
  <c r="S84" i="2"/>
  <c r="S70" i="2"/>
  <c r="S79" i="2"/>
  <c r="S90" i="2"/>
  <c r="S92" i="2"/>
  <c r="S78" i="2"/>
  <c r="S74" i="2"/>
  <c r="S73" i="2"/>
  <c r="S77" i="2"/>
  <c r="S72" i="2"/>
  <c r="S89" i="2"/>
  <c r="S69" i="2"/>
  <c r="S75" i="2"/>
  <c r="S80" i="2"/>
  <c r="S76" i="2"/>
  <c r="S81" i="2"/>
  <c r="S71" i="2"/>
  <c r="S82" i="2"/>
  <c r="S85" i="2"/>
  <c r="S86" i="2"/>
  <c r="S88" i="2"/>
  <c r="S95" i="2" l="1"/>
  <c r="I22" i="1"/>
  <c r="I18" i="1" l="1"/>
  <c r="E68" i="21"/>
  <c r="D48" i="21" l="1"/>
  <c r="H44" i="21"/>
  <c r="D67" i="7" l="1"/>
  <c r="G67" i="7" s="1"/>
  <c r="J44" i="21" s="1"/>
  <c r="K44" i="21" s="1"/>
  <c r="R92" i="2" s="1"/>
  <c r="T92" i="2" s="1"/>
  <c r="H23" i="21"/>
  <c r="D46" i="7" s="1"/>
  <c r="G46" i="7" s="1"/>
  <c r="J23" i="21" s="1"/>
  <c r="K23" i="21" s="1"/>
  <c r="R71" i="2" s="1"/>
  <c r="T71" i="2" s="1"/>
  <c r="H34" i="21"/>
  <c r="D57" i="7" s="1"/>
  <c r="G57" i="7" s="1"/>
  <c r="J34" i="21" s="1"/>
  <c r="K34" i="21" s="1"/>
  <c r="R82" i="2" s="1"/>
  <c r="T82" i="2" s="1"/>
  <c r="H41" i="21"/>
  <c r="D64" i="7" s="1"/>
  <c r="G64" i="7" s="1"/>
  <c r="J41" i="21" s="1"/>
  <c r="K41" i="21" s="1"/>
  <c r="R89" i="2" s="1"/>
  <c r="T89" i="2" s="1"/>
  <c r="H43" i="21"/>
  <c r="D66" i="7" s="1"/>
  <c r="G66" i="7" s="1"/>
  <c r="J43" i="21" s="1"/>
  <c r="K43" i="21" s="1"/>
  <c r="R91" i="2" s="1"/>
  <c r="T91" i="2" s="1"/>
  <c r="H28" i="21"/>
  <c r="D51" i="7" s="1"/>
  <c r="G51" i="7" s="1"/>
  <c r="J28" i="21" s="1"/>
  <c r="K28" i="21" s="1"/>
  <c r="R76" i="2" s="1"/>
  <c r="T76" i="2" s="1"/>
  <c r="H32" i="21"/>
  <c r="D55" i="7" s="1"/>
  <c r="G55" i="7" s="1"/>
  <c r="J32" i="21" s="1"/>
  <c r="K32" i="21" s="1"/>
  <c r="R80" i="2" s="1"/>
  <c r="T80" i="2" s="1"/>
  <c r="H38" i="21"/>
  <c r="D61" i="7" s="1"/>
  <c r="G61" i="7" s="1"/>
  <c r="J38" i="21" s="1"/>
  <c r="K38" i="21" s="1"/>
  <c r="R86" i="2" s="1"/>
  <c r="T86" i="2" s="1"/>
  <c r="H37" i="21"/>
  <c r="D60" i="7" s="1"/>
  <c r="G60" i="7" s="1"/>
  <c r="J37" i="21" s="1"/>
  <c r="K37" i="21" s="1"/>
  <c r="R85" i="2" s="1"/>
  <c r="T85" i="2" s="1"/>
  <c r="H24" i="21"/>
  <c r="D47" i="7" s="1"/>
  <c r="G47" i="7" s="1"/>
  <c r="J24" i="21" s="1"/>
  <c r="K24" i="21" s="1"/>
  <c r="R72" i="2" s="1"/>
  <c r="T72" i="2" s="1"/>
  <c r="H33" i="21"/>
  <c r="D56" i="7" s="1"/>
  <c r="G56" i="7" s="1"/>
  <c r="J33" i="21" s="1"/>
  <c r="K33" i="21" s="1"/>
  <c r="R81" i="2" s="1"/>
  <c r="T81" i="2" s="1"/>
  <c r="H42" i="21"/>
  <c r="D65" i="7" s="1"/>
  <c r="G65" i="7" s="1"/>
  <c r="J42" i="21" s="1"/>
  <c r="K42" i="21" s="1"/>
  <c r="R90" i="2" s="1"/>
  <c r="T90" i="2" s="1"/>
  <c r="H29" i="21"/>
  <c r="D52" i="7" s="1"/>
  <c r="G52" i="7" s="1"/>
  <c r="J29" i="21" s="1"/>
  <c r="K29" i="21" s="1"/>
  <c r="R77" i="2" s="1"/>
  <c r="T77" i="2" s="1"/>
  <c r="H26" i="21"/>
  <c r="D49" i="7" s="1"/>
  <c r="G49" i="7" s="1"/>
  <c r="J26" i="21" s="1"/>
  <c r="K26" i="21" s="1"/>
  <c r="R74" i="2" s="1"/>
  <c r="T74" i="2" s="1"/>
  <c r="H31" i="21"/>
  <c r="D54" i="7" s="1"/>
  <c r="G54" i="7" s="1"/>
  <c r="J31" i="21" s="1"/>
  <c r="K31" i="21" s="1"/>
  <c r="R79" i="2" s="1"/>
  <c r="T79" i="2" s="1"/>
  <c r="H27" i="21"/>
  <c r="D50" i="7" s="1"/>
  <c r="G50" i="7" s="1"/>
  <c r="J27" i="21" s="1"/>
  <c r="K27" i="21" s="1"/>
  <c r="R75" i="2" s="1"/>
  <c r="T75" i="2" s="1"/>
  <c r="H39" i="21"/>
  <c r="D62" i="7" s="1"/>
  <c r="G62" i="7" s="1"/>
  <c r="J39" i="21" s="1"/>
  <c r="K39" i="21" s="1"/>
  <c r="R87" i="2" s="1"/>
  <c r="T87" i="2" s="1"/>
  <c r="H19" i="21"/>
  <c r="H22" i="21"/>
  <c r="D45" i="7" s="1"/>
  <c r="G45" i="7" s="1"/>
  <c r="J22" i="21" s="1"/>
  <c r="K22" i="21" s="1"/>
  <c r="R70" i="2" s="1"/>
  <c r="T70" i="2" s="1"/>
  <c r="H21" i="21"/>
  <c r="D44" i="7" s="1"/>
  <c r="G44" i="7" s="1"/>
  <c r="J21" i="21" s="1"/>
  <c r="K21" i="21" s="1"/>
  <c r="R69" i="2" s="1"/>
  <c r="T69" i="2" s="1"/>
  <c r="H25" i="21"/>
  <c r="D48" i="7" s="1"/>
  <c r="G48" i="7" s="1"/>
  <c r="J25" i="21" s="1"/>
  <c r="K25" i="21" s="1"/>
  <c r="R73" i="2" s="1"/>
  <c r="T73" i="2" s="1"/>
  <c r="H40" i="21"/>
  <c r="D63" i="7" s="1"/>
  <c r="G63" i="7" s="1"/>
  <c r="J40" i="21" s="1"/>
  <c r="K40" i="21" s="1"/>
  <c r="R88" i="2" s="1"/>
  <c r="T88" i="2" s="1"/>
  <c r="H20" i="21"/>
  <c r="D43" i="7" s="1"/>
  <c r="G43" i="7" s="1"/>
  <c r="J20" i="21" s="1"/>
  <c r="K20" i="21" s="1"/>
  <c r="R68" i="2" s="1"/>
  <c r="T68" i="2" s="1"/>
  <c r="H30" i="21"/>
  <c r="D53" i="7" s="1"/>
  <c r="G53" i="7" s="1"/>
  <c r="J30" i="21" s="1"/>
  <c r="K30" i="21" s="1"/>
  <c r="R78" i="2" s="1"/>
  <c r="T78" i="2" s="1"/>
  <c r="H36" i="21"/>
  <c r="D59" i="7" s="1"/>
  <c r="G59" i="7" s="1"/>
  <c r="J36" i="21" s="1"/>
  <c r="K36" i="21" s="1"/>
  <c r="R84" i="2" s="1"/>
  <c r="T84" i="2" s="1"/>
  <c r="H35" i="21"/>
  <c r="D58" i="7" s="1"/>
  <c r="G58" i="7" s="1"/>
  <c r="J35" i="21" s="1"/>
  <c r="K35" i="21" s="1"/>
  <c r="R83" i="2" s="1"/>
  <c r="T83" i="2" s="1"/>
  <c r="E23" i="21"/>
  <c r="E44" i="21"/>
  <c r="E19" i="21"/>
  <c r="E33" i="21"/>
  <c r="E36" i="21"/>
  <c r="E42" i="21"/>
  <c r="E31" i="21"/>
  <c r="E40" i="21"/>
  <c r="E38" i="21"/>
  <c r="E28" i="21"/>
  <c r="E34" i="21"/>
  <c r="E32" i="21"/>
  <c r="E30" i="21"/>
  <c r="E20" i="21"/>
  <c r="E26" i="21"/>
  <c r="E27" i="21"/>
  <c r="E24" i="21"/>
  <c r="E22" i="21"/>
  <c r="E41" i="21"/>
  <c r="E18" i="21"/>
  <c r="E25" i="21"/>
  <c r="E37" i="21"/>
  <c r="E43" i="21"/>
  <c r="E39" i="21"/>
  <c r="E29" i="21"/>
  <c r="E35" i="21"/>
  <c r="E21" i="21"/>
  <c r="D42" i="7" l="1"/>
  <c r="G42" i="7" s="1"/>
  <c r="J19" i="21" s="1"/>
  <c r="K19" i="21" s="1"/>
  <c r="R67" i="2" s="1"/>
  <c r="E48" i="21"/>
  <c r="H18" i="21"/>
  <c r="G48" i="21"/>
  <c r="H48" i="21" l="1"/>
  <c r="D41" i="7"/>
  <c r="G41" i="7" s="1"/>
  <c r="J18" i="21" s="1"/>
  <c r="T67" i="2"/>
  <c r="T95" i="2" l="1"/>
  <c r="K18" i="21"/>
  <c r="J48" i="21"/>
  <c r="J51" i="21" s="1"/>
  <c r="R66" i="2" l="1"/>
  <c r="K48" i="21"/>
  <c r="I23" i="1" l="1"/>
  <c r="I24" i="1" s="1"/>
  <c r="I30" i="1" s="1"/>
  <c r="R95" i="2"/>
  <c r="I19" i="1" l="1"/>
  <c r="I20" i="1" s="1"/>
</calcChain>
</file>

<file path=xl/sharedStrings.xml><?xml version="1.0" encoding="utf-8"?>
<sst xmlns="http://schemas.openxmlformats.org/spreadsheetml/2006/main" count="4593" uniqueCount="1925">
  <si>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</si>
  <si>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</si>
  <si>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</si>
  <si>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</si>
  <si>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</si>
  <si>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</si>
  <si>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</si>
  <si>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</si>
  <si>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</si>
  <si>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</si>
  <si>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</si>
  <si>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</si>
  <si>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</si>
  <si>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</si>
  <si>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</si>
  <si>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</si>
  <si>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</si>
  <si>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</si>
  <si>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</si>
  <si>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</si>
  <si>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</si>
  <si>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</si>
  <si>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</si>
  <si>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</si>
  <si>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</si>
  <si>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</si>
  <si>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</si>
  <si>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</si>
  <si>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</si>
  <si>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</si>
  <si>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</si>
  <si>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</si>
  <si>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</si>
  <si>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</si>
  <si>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</si>
  <si>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</si>
  <si>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</si>
  <si>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</si>
  <si>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</si>
  <si>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</si>
  <si>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</si>
  <si>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</si>
  <si>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</si>
  <si>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</si>
  <si>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</si>
  <si>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</si>
  <si>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</si>
  <si>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</si>
  <si>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</si>
  <si>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</si>
  <si>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</si>
  <si>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</si>
  <si>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</si>
  <si>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</si>
  <si>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</si>
  <si>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</si>
  <si>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</si>
  <si>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</si>
  <si>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</si>
  <si>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</si>
  <si>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</si>
  <si>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</si>
  <si>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</si>
  <si>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</si>
  <si>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</si>
  <si>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</si>
  <si>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</si>
  <si>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</si>
  <si>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</si>
  <si>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</si>
  <si>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</si>
  <si>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</si>
  <si>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</si>
  <si>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</si>
  <si>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</si>
  <si>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</si>
  <si>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</si>
  <si>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</si>
  <si>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</si>
  <si>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</si>
  <si>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</si>
  <si>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</si>
  <si>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</si>
  <si>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</si>
  <si>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</si>
  <si>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</si>
  <si>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</si>
  <si>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</si>
  <si>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</si>
  <si>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</si>
  <si>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</si>
  <si>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</si>
  <si>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</si>
  <si>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</si>
  <si>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</si>
  <si>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</si>
  <si>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</si>
  <si>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</si>
  <si>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</si>
  <si>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</si>
  <si>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</si>
  <si>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</si>
  <si>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</si>
  <si>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</si>
  <si>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</si>
  <si>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</si>
  <si>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</si>
  <si>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</si>
  <si>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</si>
  <si>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</si>
  <si>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</si>
  <si>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</si>
  <si>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</si>
  <si>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</si>
  <si>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</si>
  <si>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</si>
  <si>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</si>
  <si>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</si>
  <si>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</si>
  <si>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</si>
  <si>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</si>
  <si>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</si>
  <si>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</si>
  <si>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</si>
  <si>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</si>
  <si>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</si>
  <si>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</si>
  <si>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</si>
  <si>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</si>
  <si>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</si>
  <si>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</si>
  <si>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</si>
  <si>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</si>
  <si>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</si>
  <si>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</si>
  <si>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</si>
  <si>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</si>
  <si>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</si>
  <si>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</si>
  <si>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</si>
  <si>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</si>
  <si>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</si>
  <si>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</si>
  <si>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</si>
  <si>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</si>
  <si>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</si>
  <si>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</si>
  <si>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</si>
  <si>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</si>
  <si>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</si>
  <si>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</si>
  <si>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</si>
  <si>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</si>
  <si>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</si>
  <si>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</si>
  <si>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</si>
  <si>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</si>
  <si>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</si>
  <si>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</si>
  <si>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</si>
  <si>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</si>
  <si>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</si>
  <si>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</si>
  <si>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</si>
  <si>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</si>
  <si>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</si>
  <si>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</si>
  <si>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</si>
  <si>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</si>
  <si>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</si>
  <si>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</si>
  <si>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</si>
  <si>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</si>
  <si>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</si>
  <si>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</si>
  <si>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</si>
  <si>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</si>
  <si>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</si>
  <si>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</si>
  <si>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</si>
  <si>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</si>
  <si>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</si>
  <si>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</si>
  <si>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</si>
  <si>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</si>
  <si>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</si>
  <si>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</si>
  <si>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</si>
  <si>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</si>
  <si>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</si>
  <si>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</si>
  <si>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</si>
  <si>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</si>
  <si>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</si>
  <si>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</si>
  <si>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</si>
  <si>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</si>
  <si>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</si>
  <si>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</si>
  <si>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</si>
  <si>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</si>
  <si>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</si>
  <si>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</si>
  <si>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</si>
  <si>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</si>
  <si>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</si>
  <si>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</si>
  <si>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</si>
  <si>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</si>
  <si>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</si>
  <si>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</si>
  <si>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</si>
  <si>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</si>
  <si>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</si>
  <si>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</si>
  <si>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</si>
  <si>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</si>
  <si>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</si>
  <si>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</si>
  <si>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</si>
  <si>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</si>
  <si>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</si>
  <si>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</si>
  <si>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</si>
  <si>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</si>
  <si>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</si>
  <si>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</si>
  <si>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</si>
  <si>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</si>
  <si>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</si>
  <si>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</si>
  <si>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</si>
  <si>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</si>
  <si>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</si>
  <si>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</si>
  <si>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</si>
  <si>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</si>
  <si>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</si>
  <si>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</si>
  <si>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</si>
  <si>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</si>
  <si>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</si>
  <si>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</si>
  <si>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</si>
  <si>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</si>
  <si>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</si>
  <si>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</si>
  <si>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</si>
  <si>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</si>
  <si>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</si>
  <si>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</si>
  <si>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</si>
  <si>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</si>
  <si>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</si>
  <si>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</si>
  <si>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</si>
  <si>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</si>
  <si>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</si>
  <si>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</si>
  <si>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</si>
  <si>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</si>
  <si>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</si>
  <si>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</si>
  <si>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</si>
  <si>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</si>
  <si>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</si>
  <si>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</si>
  <si>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</si>
  <si>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</si>
  <si>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</si>
  <si>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</si>
  <si>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</si>
  <si>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</si>
  <si>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</si>
  <si>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</si>
  <si>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</si>
  <si>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</si>
  <si>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</si>
  <si>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</si>
  <si>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</si>
  <si>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</si>
  <si>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</si>
  <si>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</si>
  <si>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</si>
  <si>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</si>
  <si>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</si>
  <si>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</si>
  <si>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</si>
  <si>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</si>
  <si>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</si>
  <si>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</si>
  <si>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</si>
  <si>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</si>
  <si>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</si>
  <si>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</si>
  <si>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</si>
  <si>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</si>
  <si>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</si>
  <si>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</si>
  <si>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</si>
  <si>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</si>
  <si>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</si>
  <si>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</si>
  <si>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</si>
  <si>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</si>
  <si>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</si>
  <si>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</si>
  <si>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</si>
  <si>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</si>
  <si>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</si>
  <si>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</si>
  <si>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</si>
  <si>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</si>
  <si>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</si>
  <si>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</si>
  <si>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</si>
  <si>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</si>
  <si>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</si>
  <si>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</si>
  <si>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</si>
  <si>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</si>
  <si>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</si>
  <si>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</si>
  <si>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</si>
  <si>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</si>
  <si>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</si>
  <si>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</si>
  <si>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</si>
  <si>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</si>
  <si>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</si>
  <si>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</si>
  <si>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</si>
  <si>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</si>
  <si>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</si>
  <si>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</si>
  <si>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</si>
  <si>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</si>
  <si>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</si>
  <si>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</si>
  <si>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</si>
  <si>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</si>
  <si>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</si>
  <si>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</si>
  <si>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</si>
  <si>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</si>
  <si>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</si>
  <si>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</si>
  <si>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</si>
  <si>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</si>
  <si>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</si>
  <si>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</si>
  <si>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</si>
  <si>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</si>
  <si>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</si>
  <si>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</si>
  <si>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</si>
  <si>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</si>
  <si>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</si>
  <si>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</si>
  <si>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</si>
  <si>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</si>
  <si>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</si>
  <si>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</si>
  <si>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</si>
  <si>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</si>
  <si>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</si>
  <si>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</si>
  <si>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</si>
  <si>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</si>
  <si>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</si>
  <si>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</si>
  <si>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</si>
  <si>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</si>
  <si>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</si>
  <si>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</si>
  <si>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</si>
  <si>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</si>
  <si>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</si>
  <si>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</si>
  <si>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</si>
  <si>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</si>
  <si>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</si>
  <si>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</si>
  <si>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</si>
  <si>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</si>
  <si>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</si>
  <si>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</si>
  <si>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</si>
  <si>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</si>
  <si>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</si>
  <si>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</si>
  <si>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</si>
  <si>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</si>
  <si>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</si>
  <si>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</si>
  <si>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</si>
  <si>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</si>
  <si>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</si>
  <si>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</si>
  <si>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</si>
  <si>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</si>
  <si>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</si>
  <si>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</si>
  <si>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</si>
  <si>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</si>
  <si>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</si>
  <si>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</si>
  <si>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</si>
  <si>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</si>
  <si>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</si>
  <si>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</si>
  <si>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</si>
  <si>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</si>
  <si>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</si>
  <si>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</si>
  <si>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</si>
  <si>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</si>
  <si>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</si>
  <si>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</si>
  <si>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</si>
  <si>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</si>
  <si>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</si>
  <si>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</si>
  <si>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</si>
  <si>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</si>
  <si>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</si>
  <si>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</si>
  <si>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</si>
  <si>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</si>
  <si>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</si>
  <si>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</si>
  <si>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</si>
  <si>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</si>
  <si>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</si>
  <si>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</si>
  <si>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</si>
  <si>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</si>
  <si>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</si>
  <si>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</si>
  <si>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</si>
  <si>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</si>
  <si>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</si>
  <si>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</si>
  <si>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</si>
  <si>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</si>
  <si>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</si>
  <si>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</si>
  <si>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</si>
  <si>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</si>
  <si>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</si>
  <si>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</si>
  <si>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</si>
  <si>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</si>
  <si>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</si>
  <si>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</si>
  <si>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</si>
  <si>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</si>
  <si>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</si>
  <si>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</si>
  <si>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</si>
  <si>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</si>
  <si>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</si>
  <si>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</si>
  <si>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</si>
  <si>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</si>
  <si>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</si>
  <si>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</si>
  <si>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</si>
  <si>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</si>
  <si>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</si>
  <si>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</si>
  <si>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</si>
  <si>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</si>
  <si>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</si>
  <si>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</si>
  <si>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</si>
  <si>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</si>
  <si>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</si>
  <si>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</si>
  <si>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</si>
  <si>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</si>
  <si>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</si>
  <si>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</si>
  <si>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</si>
  <si>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</si>
  <si>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</si>
  <si>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</si>
  <si>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</si>
  <si>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</si>
  <si>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</si>
  <si>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</si>
  <si>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</si>
  <si>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</si>
  <si>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</si>
  <si>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</si>
  <si>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</si>
  <si>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</si>
  <si>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</si>
  <si>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</si>
  <si>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</si>
  <si>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</si>
  <si>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</si>
  <si>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</si>
  <si>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</si>
  <si>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</si>
  <si>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</si>
  <si>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</si>
  <si>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</si>
  <si>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</si>
  <si>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</si>
  <si>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</si>
  <si>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</si>
  <si>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</si>
  <si>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</si>
  <si>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</si>
  <si>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</si>
  <si>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</si>
  <si>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</si>
  <si>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</si>
  <si>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</si>
  <si>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</si>
  <si>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</si>
  <si>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</si>
  <si>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</si>
  <si>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</si>
  <si>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</si>
  <si>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</si>
  <si>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</si>
  <si>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</si>
  <si>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</si>
  <si>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</si>
  <si>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</si>
  <si>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</si>
  <si>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</si>
  <si>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</si>
  <si>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</si>
  <si>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</si>
  <si>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</si>
  <si>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</si>
  <si>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</si>
  <si>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</si>
  <si>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</si>
  <si>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</si>
  <si>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</si>
  <si>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</si>
  <si>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</si>
  <si>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</si>
  <si>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</si>
  <si>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</si>
  <si>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</si>
  <si>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</si>
  <si>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</si>
  <si>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</si>
  <si>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</si>
  <si>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</si>
  <si>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</si>
  <si>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</si>
  <si>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</si>
  <si>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</si>
  <si>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</si>
  <si>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</si>
  <si>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</si>
  <si>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</si>
  <si>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</si>
  <si>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</si>
  <si>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</si>
  <si>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</si>
  <si>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</si>
  <si>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</si>
  <si>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</si>
  <si>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</si>
  <si>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</si>
  <si>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</si>
  <si>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</si>
  <si>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</si>
  <si>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</si>
  <si>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</si>
  <si>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</si>
  <si>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</si>
  <si>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</si>
  <si>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</si>
  <si>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</si>
  <si>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</si>
  <si>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</si>
  <si>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</si>
  <si>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</si>
  <si>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</si>
  <si>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</si>
  <si>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</si>
  <si>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</si>
  <si>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</si>
  <si>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</si>
  <si>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</si>
  <si>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</si>
  <si>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</si>
  <si>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</si>
  <si>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</si>
  <si>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</si>
  <si>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</si>
  <si>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</si>
  <si>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</si>
  <si>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</si>
  <si>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</si>
  <si>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</si>
  <si>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</si>
  <si>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</si>
  <si>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</si>
  <si>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</si>
  <si>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</si>
  <si>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</si>
  <si>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</si>
  <si>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</si>
  <si>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</si>
  <si>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</si>
  <si>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</si>
  <si>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</si>
  <si>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</si>
  <si>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</si>
  <si>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</si>
  <si>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</si>
  <si>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</si>
  <si>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</si>
  <si>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</si>
  <si>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</si>
  <si>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</si>
  <si>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</si>
  <si>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</si>
  <si>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</si>
  <si>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</si>
  <si>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</si>
  <si>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</si>
  <si>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</si>
  <si>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</si>
  <si>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</si>
  <si>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</si>
  <si>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</si>
  <si>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</si>
  <si>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</si>
  <si>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</si>
  <si>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</si>
  <si>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</si>
  <si>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</si>
  <si>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</si>
  <si>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</si>
  <si>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</si>
  <si>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</si>
  <si>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</si>
  <si>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</si>
  <si>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</si>
  <si>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</si>
  <si>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</si>
  <si>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</si>
  <si>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</si>
  <si>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</si>
  <si>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</si>
  <si>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</si>
  <si>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</si>
  <si>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</si>
  <si>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</si>
  <si>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</si>
  <si>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</si>
  <si>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</si>
  <si>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</si>
  <si>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</si>
  <si>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</si>
  <si>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</si>
  <si>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</si>
  <si>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</si>
  <si>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</si>
  <si>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</si>
  <si>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</si>
  <si>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</si>
  <si>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</si>
  <si>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</si>
  <si>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</si>
  <si>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</si>
  <si>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</si>
  <si>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</si>
  <si>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</si>
  <si>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</si>
  <si>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</si>
  <si>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</si>
  <si>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</si>
  <si>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</si>
  <si>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</si>
  <si>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</si>
  <si>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</si>
  <si>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</si>
  <si>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</si>
  <si>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</si>
  <si>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</si>
  <si>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</si>
  <si>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</si>
  <si>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</si>
  <si>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</si>
  <si>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</si>
  <si>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</si>
  <si>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</si>
  <si>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</si>
  <si>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</si>
  <si>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</si>
  <si>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</si>
  <si>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</si>
  <si>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</si>
  <si>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</si>
  <si>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</si>
  <si>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</si>
  <si>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</si>
  <si>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</si>
  <si>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</si>
  <si>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</si>
  <si>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</si>
  <si>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</si>
  <si>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</si>
  <si>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</si>
  <si>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</si>
  <si>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</si>
  <si>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</si>
  <si>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</si>
  <si>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</si>
  <si>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</si>
  <si>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</si>
  <si>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</si>
  <si>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</si>
  <si>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</si>
  <si>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</si>
  <si>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</si>
  <si>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</si>
  <si>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</si>
  <si>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</si>
  <si>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</si>
  <si>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</si>
  <si>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</si>
  <si>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</si>
  <si>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</si>
  <si>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</si>
  <si>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</si>
  <si>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</si>
  <si>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</si>
  <si>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</si>
  <si>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</si>
  <si>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</si>
  <si>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</si>
  <si>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</si>
  <si>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</si>
  <si>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</si>
  <si>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</si>
  <si>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</si>
  <si>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</si>
  <si>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</si>
  <si>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</si>
  <si>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</si>
  <si>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</si>
  <si>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</si>
  <si>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</si>
  <si>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</si>
  <si>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</si>
  <si>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</si>
  <si>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</si>
  <si>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</si>
  <si>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</si>
  <si>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</si>
  <si>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</si>
  <si>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</si>
  <si>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</si>
  <si>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</si>
  <si>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</si>
  <si>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</si>
  <si>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</si>
  <si>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</si>
  <si>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</si>
  <si>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</si>
  <si>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</si>
  <si>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</si>
  <si>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</si>
  <si>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</si>
  <si>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</si>
  <si>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</si>
  <si>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</si>
  <si>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</si>
  <si>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</si>
  <si>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</si>
  <si>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</si>
  <si>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</si>
  <si>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</si>
  <si>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</si>
  <si>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</si>
  <si>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</si>
  <si>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</si>
  <si>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</si>
  <si>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</si>
  <si>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</si>
  <si>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</si>
  <si>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</si>
  <si>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</si>
  <si>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</si>
  <si>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</si>
  <si>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</si>
  <si>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</si>
  <si>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</si>
  <si>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</si>
  <si>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</si>
  <si>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</si>
  <si>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</si>
  <si>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</si>
  <si>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</si>
  <si>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</si>
  <si>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</si>
  <si>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</si>
  <si>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</si>
  <si>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</si>
  <si>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</si>
  <si>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</si>
  <si>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</si>
  <si>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</si>
  <si>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</si>
  <si>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</si>
  <si>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</si>
  <si>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</si>
  <si>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</si>
  <si>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</si>
  <si>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</si>
  <si>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</si>
  <si>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</si>
  <si>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</si>
  <si>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</si>
  <si>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</si>
  <si>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</si>
  <si>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</si>
  <si>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</si>
  <si>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</si>
  <si>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</si>
  <si>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</si>
  <si>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</si>
  <si>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</si>
  <si>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</si>
  <si>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</si>
  <si>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</si>
  <si>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</si>
  <si>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</si>
  <si>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</si>
  <si>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</si>
  <si>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</si>
  <si>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</si>
  <si>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</si>
  <si>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</si>
  <si>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</si>
  <si>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</si>
  <si>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</si>
  <si>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</si>
  <si>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</si>
  <si>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</si>
  <si>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</si>
  <si>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</si>
  <si>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</si>
  <si>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</si>
  <si>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</si>
  <si>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</si>
  <si>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</si>
  <si>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</si>
  <si>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</si>
  <si>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</si>
  <si>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</si>
  <si>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</si>
  <si>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</si>
  <si>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</si>
  <si>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</si>
  <si>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</si>
  <si>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</si>
  <si>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</si>
  <si>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</si>
  <si>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</si>
  <si>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FAS 112</t>
  </si>
  <si>
    <t xml:space="preserve">Included because plant in service is included in rate base.  </t>
  </si>
  <si>
    <t>Electric General</t>
  </si>
  <si>
    <t>FIN 47 ARO</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</si>
  <si>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</si>
  <si>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</si>
  <si>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</si>
  <si>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</si>
  <si>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</si>
  <si>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</si>
  <si>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</si>
  <si>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</si>
  <si>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Included because plant in service is included in rate base.</t>
  </si>
  <si>
    <t>Related to Distribution property.</t>
  </si>
  <si>
    <t>Gross Up on State Def Tax Adj- AMR Reg Asset</t>
  </si>
  <si>
    <t>OCI-Def FIT &amp; SIT</t>
  </si>
  <si>
    <t>PURTA</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</si>
  <si>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</si>
  <si>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</si>
  <si>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</si>
  <si>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</si>
  <si>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</si>
  <si>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</si>
  <si>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</si>
  <si>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</si>
  <si>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</si>
  <si>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</si>
  <si>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</si>
  <si>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</si>
  <si>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</si>
  <si>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</si>
  <si>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</si>
  <si>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</si>
  <si>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</si>
  <si>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</si>
  <si>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</si>
  <si>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</si>
  <si>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</si>
  <si>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</si>
  <si>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</si>
  <si>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</si>
  <si>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</si>
  <si>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</si>
  <si>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</si>
  <si>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</si>
  <si>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</si>
  <si>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</si>
  <si>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</si>
  <si>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</si>
  <si>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</si>
  <si>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</si>
  <si>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</si>
  <si>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</si>
  <si>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</si>
  <si>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</si>
  <si>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</si>
  <si>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</si>
  <si>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</si>
  <si>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</si>
  <si>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</si>
  <si>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</si>
  <si>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</si>
  <si>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</si>
  <si>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</si>
  <si>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</si>
  <si>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</si>
  <si>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</si>
  <si>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</si>
  <si>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</si>
  <si>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</si>
  <si>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</si>
  <si>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</si>
  <si>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</si>
  <si>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</si>
  <si>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</si>
  <si>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</si>
  <si>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</si>
  <si>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</si>
  <si>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</si>
  <si>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</si>
  <si>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</si>
  <si>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</si>
  <si>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</si>
  <si>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</si>
  <si>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</si>
  <si>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</si>
  <si>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</si>
  <si>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</si>
  <si>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</si>
  <si>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</si>
  <si>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</si>
  <si>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</si>
  <si>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</si>
  <si>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</si>
  <si>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</si>
  <si>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</si>
  <si>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</si>
  <si>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</si>
  <si>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</si>
  <si>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</si>
  <si>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</si>
  <si>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</si>
  <si>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</si>
  <si>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</si>
  <si>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</si>
  <si>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</si>
  <si>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</si>
  <si>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</si>
  <si>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</si>
  <si>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</si>
  <si>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</si>
  <si>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</si>
  <si>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</si>
  <si>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</si>
  <si>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</si>
  <si>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</si>
  <si>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</si>
  <si>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</si>
  <si>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</si>
  <si>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</si>
  <si>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</si>
  <si>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</si>
  <si>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</si>
  <si>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</si>
  <si>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</si>
  <si>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</si>
  <si>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</si>
  <si>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</si>
  <si>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</si>
  <si>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</si>
  <si>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</si>
  <si>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</si>
  <si>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</si>
  <si>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</si>
  <si>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</si>
  <si>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</si>
  <si>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</si>
  <si>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</si>
  <si>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</si>
  <si>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</si>
  <si>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</si>
  <si>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</si>
  <si>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</si>
  <si>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</si>
  <si>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</si>
  <si>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</si>
  <si>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</si>
  <si>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</si>
  <si>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</si>
  <si>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</si>
  <si>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</si>
  <si>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</si>
  <si>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</si>
  <si>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</si>
  <si>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</si>
  <si>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</si>
  <si>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</si>
  <si>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</si>
  <si>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</si>
  <si>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</si>
  <si>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</si>
  <si>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</si>
  <si>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</si>
  <si>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</si>
  <si>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</si>
  <si>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</si>
  <si>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</si>
  <si>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</si>
  <si>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</si>
  <si>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</si>
  <si>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</si>
  <si>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</si>
  <si>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</si>
  <si>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</si>
  <si>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</si>
  <si>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</si>
  <si>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</si>
  <si>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</si>
  <si>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</si>
  <si>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</si>
  <si>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</si>
  <si>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</si>
  <si>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</si>
  <si>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</si>
  <si>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</si>
  <si>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</si>
  <si>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</si>
  <si>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</si>
  <si>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</si>
  <si>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</si>
  <si>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</si>
  <si>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</si>
  <si>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</si>
  <si>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</si>
  <si>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</si>
  <si>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</si>
  <si>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</si>
  <si>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</si>
  <si>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</si>
  <si>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</si>
  <si>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</si>
  <si>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</si>
  <si>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</si>
  <si>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</si>
  <si>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</si>
  <si>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</si>
  <si>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</si>
  <si>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</si>
  <si>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</si>
  <si>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</si>
  <si>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</si>
  <si>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</si>
  <si>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</si>
  <si>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</si>
  <si>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</si>
  <si>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</si>
  <si>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</si>
  <si>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</si>
  <si>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</si>
  <si>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</si>
  <si>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</si>
  <si>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</si>
  <si>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</si>
  <si>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</si>
  <si>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</si>
  <si>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</si>
  <si>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</si>
  <si>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</si>
  <si>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</si>
  <si>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</si>
  <si>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</si>
  <si>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</si>
  <si>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</si>
  <si>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</si>
  <si>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</si>
  <si>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</si>
  <si>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</si>
  <si>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ARAM</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</si>
  <si>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</si>
  <si>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</si>
  <si>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</si>
  <si>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</si>
  <si>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</si>
  <si>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</si>
  <si>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</si>
  <si>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</si>
  <si>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</si>
  <si>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</si>
  <si>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</si>
  <si>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</si>
  <si>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</si>
  <si>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</si>
  <si>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</si>
  <si>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</si>
  <si>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</si>
  <si>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</si>
  <si>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</si>
  <si>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</si>
  <si>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</si>
  <si>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</si>
  <si>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</si>
  <si>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</si>
  <si>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</si>
  <si>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</si>
  <si>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</si>
  <si>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</si>
  <si>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</si>
  <si>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</si>
  <si>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</si>
  <si>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</si>
  <si>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</si>
  <si>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</si>
  <si>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</si>
  <si>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</si>
  <si>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</si>
  <si>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</si>
  <si>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Elroy 500 kV Dynamic Reactive Device</t>
  </si>
  <si>
    <t>Heaton 230 kV Capacitor Bank Addition</t>
  </si>
  <si>
    <t>Environmental Liab - Superfund</t>
  </si>
  <si>
    <t xml:space="preserve">Accrued Severance Plans </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</si>
  <si>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</si>
  <si>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</si>
  <si>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</si>
  <si>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</si>
  <si>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</si>
  <si>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</si>
  <si>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</si>
  <si>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</si>
  <si>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</si>
  <si>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</si>
  <si>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</si>
  <si>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</si>
  <si>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</si>
  <si>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</si>
  <si>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</si>
  <si>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</si>
  <si>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</si>
  <si>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</si>
  <si>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</si>
  <si>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</si>
  <si>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</si>
  <si>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</si>
  <si>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</si>
  <si>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</si>
  <si>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</si>
  <si>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</si>
  <si>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</si>
  <si>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</si>
  <si>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</si>
  <si>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</si>
  <si>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</si>
  <si>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</si>
  <si>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</si>
  <si>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</si>
  <si>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</si>
  <si>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</si>
  <si>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</si>
  <si>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</si>
  <si>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</si>
  <si>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</si>
  <si>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</si>
  <si>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</si>
  <si>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</si>
  <si>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</si>
  <si>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</si>
  <si>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</si>
  <si>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</si>
  <si>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</si>
  <si>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</si>
  <si>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</si>
  <si>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</si>
  <si>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</si>
  <si>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</si>
  <si>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</si>
  <si>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</si>
  <si>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</si>
  <si>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</si>
  <si>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</si>
  <si>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</si>
  <si>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</si>
  <si>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</si>
  <si>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</si>
  <si>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</si>
  <si>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</si>
  <si>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</si>
  <si>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</si>
  <si>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</si>
  <si>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</si>
  <si>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</si>
  <si>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</si>
  <si>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</si>
  <si>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</si>
  <si>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</si>
  <si>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</si>
  <si>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</si>
  <si>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</si>
  <si>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</si>
  <si>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</si>
  <si>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</si>
  <si>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</si>
  <si>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</si>
  <si>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</si>
  <si>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</si>
  <si>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 xml:space="preserve">Facilities </t>
  </si>
  <si>
    <t>Fleet Activity</t>
  </si>
  <si>
    <t>Membership dues</t>
  </si>
  <si>
    <t>Postage</t>
  </si>
  <si>
    <t>Prepaid property tax</t>
  </si>
  <si>
    <t>Retention Incentive</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</si>
  <si>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</si>
  <si>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</si>
  <si>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</si>
  <si>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</si>
  <si>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</si>
  <si>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</si>
  <si>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</si>
  <si>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</si>
  <si>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</si>
  <si>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</si>
  <si>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</si>
  <si>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</si>
  <si>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</si>
  <si>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</si>
  <si>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</si>
  <si>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</si>
  <si>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</si>
  <si>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</si>
  <si>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</si>
  <si>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</si>
  <si>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</si>
  <si>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</si>
  <si>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</si>
  <si>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</si>
  <si>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</si>
  <si>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</si>
  <si>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</si>
  <si>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</si>
  <si>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</si>
  <si>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</si>
  <si>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</si>
  <si>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</si>
  <si>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</si>
  <si>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</si>
  <si>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</si>
  <si>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</si>
  <si>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</si>
  <si>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</si>
  <si>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</si>
  <si>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</si>
  <si>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</si>
  <si>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</si>
  <si>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</si>
  <si>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</si>
  <si>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</si>
  <si>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</si>
  <si>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</si>
  <si>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Times Pension Discount %</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</si>
  <si>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</si>
  <si>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</si>
  <si>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</si>
  <si>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</si>
  <si>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</si>
  <si>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</si>
  <si>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</si>
  <si>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</si>
  <si>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</si>
  <si>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 xml:space="preserve">  Unamortized EDIT Balance - Non-Protected Property (enter negative)</t>
  </si>
  <si>
    <t xml:space="preserve">  Unamortized EDIT Balance - Non-Protected, Non-Property (enter negative)</t>
  </si>
  <si>
    <t>Current Year End Total</t>
  </si>
  <si>
    <t>Attachment 5C - Taxes Other Than Income</t>
  </si>
  <si>
    <t>Page 263</t>
  </si>
  <si>
    <t>Col (i)</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</si>
  <si>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</si>
  <si>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</si>
  <si>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</si>
  <si>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</si>
  <si>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</si>
  <si>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</si>
  <si>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</si>
  <si>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</si>
  <si>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</si>
  <si>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</si>
  <si>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</si>
  <si>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</si>
  <si>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</si>
  <si>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</si>
  <si>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</si>
  <si>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</si>
  <si>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</si>
  <si>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</si>
  <si>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</si>
  <si>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</si>
  <si>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</si>
  <si>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</si>
  <si>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</si>
  <si>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</si>
  <si>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</si>
  <si>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</si>
  <si>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</si>
  <si>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</si>
  <si>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</si>
  <si>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</si>
  <si>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</si>
  <si>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</si>
  <si>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</si>
  <si>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</si>
  <si>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</si>
  <si>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</si>
  <si>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</si>
  <si>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</si>
  <si>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</si>
  <si>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</si>
  <si>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</si>
  <si>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</si>
  <si>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</si>
  <si>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</si>
  <si>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</si>
  <si>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</si>
  <si>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</si>
  <si>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</si>
  <si>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</si>
  <si>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</si>
  <si>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</si>
  <si>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</si>
  <si>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</si>
  <si>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</si>
  <si>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</si>
  <si>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</si>
  <si>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</si>
  <si>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</si>
  <si>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</si>
  <si>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</si>
  <si>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</si>
  <si>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</si>
  <si>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</si>
  <si>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</si>
  <si>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</si>
  <si>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</si>
  <si>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</si>
  <si>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</si>
  <si>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</si>
  <si>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</si>
  <si>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</si>
  <si>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</si>
  <si>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</si>
  <si>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</si>
  <si>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</si>
  <si>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</si>
  <si>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</si>
  <si>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</si>
  <si>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</si>
  <si>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</si>
  <si>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</si>
  <si>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</si>
  <si>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</si>
  <si>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</si>
  <si>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</si>
  <si>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</si>
  <si>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</si>
  <si>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</si>
  <si>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</si>
  <si>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</si>
  <si>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</si>
  <si>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</si>
  <si>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</si>
  <si>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</si>
  <si>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</si>
  <si>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</si>
  <si>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</si>
  <si>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</si>
  <si>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</si>
  <si>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</si>
  <si>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</si>
  <si>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</si>
  <si>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</si>
  <si>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</si>
  <si>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</si>
  <si>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</si>
  <si>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</si>
  <si>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</si>
  <si>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</si>
  <si>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</si>
  <si>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</si>
  <si>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</si>
  <si>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</si>
  <si>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</si>
  <si>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</si>
  <si>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</si>
  <si>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</si>
  <si>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</si>
  <si>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</si>
  <si>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</si>
  <si>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</si>
  <si>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</si>
  <si>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</si>
  <si>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</si>
  <si>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</si>
  <si>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</si>
  <si>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</si>
  <si>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</si>
  <si>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</si>
  <si>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</si>
  <si>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</si>
  <si>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</si>
  <si>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</si>
  <si>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</si>
  <si>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</si>
  <si>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</si>
  <si>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</si>
  <si>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</si>
  <si>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</si>
  <si>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</si>
  <si>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</si>
  <si>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</si>
  <si>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</si>
  <si>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</si>
  <si>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</si>
  <si>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</si>
  <si>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</si>
  <si>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</si>
  <si>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</si>
  <si>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</si>
  <si>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</si>
  <si>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</si>
  <si>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</si>
  <si>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</si>
  <si>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</si>
  <si>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</si>
  <si>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</si>
  <si>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</si>
  <si>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</si>
  <si>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</si>
  <si>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</si>
  <si>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</si>
  <si>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</si>
  <si>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</si>
  <si>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</si>
  <si>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</si>
  <si>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</si>
  <si>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</si>
  <si>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</si>
  <si>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</si>
  <si>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</si>
  <si>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</si>
  <si>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</si>
  <si>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</si>
  <si>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</si>
  <si>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</si>
  <si>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</si>
  <si>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</si>
  <si>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</si>
  <si>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</si>
  <si>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</si>
  <si>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</si>
  <si>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</si>
  <si>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</si>
  <si>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</si>
  <si>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</si>
  <si>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</si>
  <si>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</si>
  <si>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</si>
  <si>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</si>
  <si>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IT License &amp; Maintenance Agreements</t>
  </si>
  <si>
    <t>Prepaid Rent</t>
  </si>
  <si>
    <t>Land Acquisitions</t>
  </si>
  <si>
    <t>k22</t>
  </si>
  <si>
    <t>k23</t>
  </si>
  <si>
    <t>k24</t>
  </si>
  <si>
    <t>k25</t>
  </si>
  <si>
    <t>AIP</t>
  </si>
  <si>
    <t>401K Match</t>
  </si>
  <si>
    <t>Long-term incentive Plans</t>
  </si>
  <si>
    <t>Mgmt. Retiention Incentive Plan</t>
  </si>
  <si>
    <t>Stock Comp</t>
  </si>
  <si>
    <t>Severance - Long Term</t>
  </si>
  <si>
    <t>IT Business Intelligence Data Analysis - Transmission</t>
  </si>
  <si>
    <t>Peach Bottom 500-230 kV Transformer Rating Increase</t>
  </si>
  <si>
    <t>b2694</t>
  </si>
  <si>
    <t>3t</t>
  </si>
  <si>
    <t>b1398.8</t>
  </si>
  <si>
    <t>17t</t>
  </si>
  <si>
    <t>21y</t>
  </si>
  <si>
    <t>21z</t>
  </si>
  <si>
    <t>3n</t>
  </si>
  <si>
    <t>17n</t>
  </si>
  <si>
    <t>24f</t>
  </si>
  <si>
    <t>Intercompany Rent - Transmission</t>
  </si>
  <si>
    <t>17aa</t>
  </si>
  <si>
    <t>Peach Bottom 500 kV Substation Upgrades</t>
  </si>
  <si>
    <t>b2766.2</t>
  </si>
  <si>
    <t>3z</t>
  </si>
  <si>
    <t>Prepaid Commission - Distribution</t>
  </si>
  <si>
    <t xml:space="preserve">Prepaid Commission - Transmission </t>
  </si>
  <si>
    <t>PA Commission Fee</t>
  </si>
  <si>
    <t>Voluntary Employees Beneficiary Association Plan</t>
  </si>
  <si>
    <t>30n</t>
  </si>
  <si>
    <t>Employer social security tax payable</t>
  </si>
  <si>
    <t xml:space="preserve">Accrued Benefits </t>
  </si>
  <si>
    <t>Pennsylvania Charitable Contribution Carry-Forward, net of Federal</t>
  </si>
  <si>
    <t>Customer Advances for Construction</t>
  </si>
  <si>
    <t>Deferred Compensation</t>
  </si>
  <si>
    <t xml:space="preserve">Deferred Revenue </t>
  </si>
  <si>
    <t xml:space="preserve">Asset Retirement Costs </t>
  </si>
  <si>
    <t>Other Accrued Expenses</t>
  </si>
  <si>
    <t xml:space="preserve">Accrued Employee Bonus </t>
  </si>
  <si>
    <t xml:space="preserve">Obsolete Materials </t>
  </si>
  <si>
    <t>Other Unearned Revenue - Deferred Rents</t>
  </si>
  <si>
    <t>Post Retirement Benefits</t>
  </si>
  <si>
    <t>Accrued Sales and Use Taxes</t>
  </si>
  <si>
    <t xml:space="preserve">Unbilled Revenue </t>
  </si>
  <si>
    <t>Accrued Severance</t>
  </si>
  <si>
    <t xml:space="preserve">Accrued Vegetation Management </t>
  </si>
  <si>
    <t xml:space="preserve">Accrued Workers Compensation </t>
  </si>
  <si>
    <t>Allowance for Doubtful Accounts (Bad Debt)</t>
  </si>
  <si>
    <t>Other Flow-Through Items</t>
  </si>
  <si>
    <t>AEC Receivable</t>
  </si>
  <si>
    <t xml:space="preserve">Regulatory Asset (Covid) </t>
  </si>
  <si>
    <t>Regulatory Asset (DSP)</t>
  </si>
  <si>
    <t>Regulatory Asset (Electric Rate Case Costs)</t>
  </si>
  <si>
    <t>Regulatory Asset (ARO)</t>
  </si>
  <si>
    <t xml:space="preserve">Regulatory Asset (Other) </t>
  </si>
  <si>
    <t>Loss on Reacquired Debt</t>
  </si>
  <si>
    <t>Accrued Holiday Pay</t>
  </si>
  <si>
    <t>Accrued State Income Tax Receivable</t>
  </si>
  <si>
    <t xml:space="preserve">Cloud Computing </t>
  </si>
  <si>
    <t>FAS 109 Regulatory Asset</t>
  </si>
  <si>
    <t>Center Point 500 kV Substation Addition</t>
  </si>
  <si>
    <t>Center Point 230 kV Substation Addition</t>
  </si>
  <si>
    <t>b0269.10</t>
  </si>
  <si>
    <t>b1590.1 and b1590.2</t>
  </si>
  <si>
    <t xml:space="preserve"> Bradford-Planebrook 230 kV Line Upgrades</t>
  </si>
  <si>
    <t>B0264</t>
  </si>
  <si>
    <t>Constellation Merger</t>
  </si>
  <si>
    <t>PHI Merger</t>
  </si>
  <si>
    <t>Accumulated Deferred Income Taxes attributable to income tax related regulatory assets and liabilities.  This balance is excluded from rate base.</t>
  </si>
  <si>
    <t>Accumulated Deferred Income Taxes Remeasurement</t>
  </si>
  <si>
    <t>Attachment 9A - Deficient / (Excess) Deferred Income Taxes  Worksheet</t>
  </si>
  <si>
    <t>Tax Cuts and Jobs Act of 2017</t>
  </si>
  <si>
    <t>ADIT - Pre Rate Change (December 31, 2017)</t>
  </si>
  <si>
    <t>ADIT - Post Rate Change (December 31, 2017)</t>
  </si>
  <si>
    <t>Deficient / (Excess) Deferred Income Taxes (December 31, 2017)</t>
  </si>
  <si>
    <t>Detailed Description</t>
  </si>
  <si>
    <t>Description</t>
  </si>
  <si>
    <t>Category</t>
  </si>
  <si>
    <t>Federal Gross
Timing Difference</t>
  </si>
  <si>
    <t>Federal ADIT
@ 35%</t>
  </si>
  <si>
    <t>State 
ADIT</t>
  </si>
  <si>
    <t>FIT on SIT</t>
  </si>
  <si>
    <t>Total 
ADIT</t>
  </si>
  <si>
    <t>Federal ADIT
@ 21%</t>
  </si>
  <si>
    <t>Rate Change 
Deferred Tax Impact</t>
  </si>
  <si>
    <t>Income Tax  Regulatory 
Asset / Liability 
Deferred Taxes</t>
  </si>
  <si>
    <t>Total
Deficient / (Excess)
ADIT Balance</t>
  </si>
  <si>
    <t>Jurisdiction 
Allocator</t>
  </si>
  <si>
    <t>Electric
Transmission</t>
  </si>
  <si>
    <r>
      <t>Allocator
(</t>
    </r>
    <r>
      <rPr>
        <b/>
        <sz val="10"/>
        <color rgb="FF0070C0"/>
        <rFont val="Times New Roman"/>
        <family val="1"/>
      </rPr>
      <t>Note B,C</t>
    </r>
    <r>
      <rPr>
        <b/>
        <sz val="10"/>
        <color theme="1"/>
        <rFont val="Times New Roman"/>
        <family val="1"/>
      </rPr>
      <t>)</t>
    </r>
  </si>
  <si>
    <t>Transmission Allocated
Deficient / (Excess)
ADIT Balance</t>
  </si>
  <si>
    <t>FERC
Account</t>
  </si>
  <si>
    <t>(E) = (D) * 35%</t>
  </si>
  <si>
    <t>(G) = (F) * 35%</t>
  </si>
  <si>
    <t>(H) = (E) + (F) + (G)</t>
  </si>
  <si>
    <t>(J) = (I) * 21%</t>
  </si>
  <si>
    <t>(K)</t>
  </si>
  <si>
    <t>(L) = (K) * 21%</t>
  </si>
  <si>
    <t>(M) = (J) + (K) + (L)</t>
  </si>
  <si>
    <t>(N) = (H) - (M)</t>
  </si>
  <si>
    <t>(O)</t>
  </si>
  <si>
    <t>(P)</t>
  </si>
  <si>
    <t>(Q) = (N) - (O) - (P)</t>
  </si>
  <si>
    <t>(R)</t>
  </si>
  <si>
    <t>(S)</t>
  </si>
  <si>
    <t>(T)</t>
  </si>
  <si>
    <t>(U) = (Q) * (T)</t>
  </si>
  <si>
    <t>(V)</t>
  </si>
  <si>
    <r>
      <t>FERC Account 190 (</t>
    </r>
    <r>
      <rPr>
        <b/>
        <u/>
        <sz val="10"/>
        <color rgb="FF0070C0"/>
        <rFont val="Times New Roman"/>
        <family val="1"/>
      </rPr>
      <t>Note A</t>
    </r>
    <r>
      <rPr>
        <b/>
        <u/>
        <sz val="10"/>
        <color theme="1"/>
        <rFont val="Times New Roman"/>
        <family val="1"/>
      </rPr>
      <t>)</t>
    </r>
  </si>
  <si>
    <t>Accrued Benefits</t>
  </si>
  <si>
    <t>Non-Property</t>
  </si>
  <si>
    <t>100% Distribution</t>
  </si>
  <si>
    <t>No</t>
  </si>
  <si>
    <t>Addback of NQSO Expense</t>
  </si>
  <si>
    <t>A&amp;G Ratio</t>
  </si>
  <si>
    <t>Yes</t>
  </si>
  <si>
    <t>Addback of OtherEquity Comp Expense</t>
  </si>
  <si>
    <t>Amort-Organizational Costs</t>
  </si>
  <si>
    <t>Bad Debt - Change in Provision</t>
  </si>
  <si>
    <t>Charitable Carryforward</t>
  </si>
  <si>
    <t>Customer Advances - Construction</t>
  </si>
  <si>
    <t>Deferred Revenue</t>
  </si>
  <si>
    <t>Federal NOL</t>
  </si>
  <si>
    <t xml:space="preserve">Gross Up-Bill E Credit </t>
  </si>
  <si>
    <t>Incentive Pay</t>
  </si>
  <si>
    <t>Injuries and Damage Payments</t>
  </si>
  <si>
    <t>Merger Costs</t>
  </si>
  <si>
    <t>Deferred Charges - Tax Repairs Bill Credit-Dist</t>
  </si>
  <si>
    <t>Obsolete Materials Provision</t>
  </si>
  <si>
    <t>Other Current</t>
  </si>
  <si>
    <t>Facility Commitment Fees</t>
  </si>
  <si>
    <t>Fines &amp; Other</t>
  </si>
  <si>
    <t>MGP Liability Reg Asset</t>
  </si>
  <si>
    <t>100% Gas</t>
  </si>
  <si>
    <t>MGP Reserve-Current</t>
  </si>
  <si>
    <t>Other Current Reg Asset</t>
  </si>
  <si>
    <t>Other Noncurrent- Railroad Liability</t>
  </si>
  <si>
    <t>Other Unearned Revenue-Deferred Rents</t>
  </si>
  <si>
    <t>Payroll Taxes</t>
  </si>
  <si>
    <t>Pennsylvania NOL</t>
  </si>
  <si>
    <t>Pension Expense Provision</t>
  </si>
  <si>
    <t>Pole Attachment Reserve</t>
  </si>
  <si>
    <t>Rabbi Trust &amp; Maxi Flat Income</t>
  </si>
  <si>
    <t>Reserve For Employee Litigations</t>
  </si>
  <si>
    <t>Sec 162(m) - Excess Officers Comp - Temp</t>
  </si>
  <si>
    <t>Sec 263A  - Inventory Adjustment</t>
  </si>
  <si>
    <t>SA Unbilled Reserve</t>
  </si>
  <si>
    <t>SECA Refund</t>
  </si>
  <si>
    <t>SEPTA Railroad Rent</t>
  </si>
  <si>
    <t>Severance PMTS Change in Provision</t>
  </si>
  <si>
    <t>Vacation Pay Change in Provision</t>
  </si>
  <si>
    <t>Vegetation MGMT Accrual</t>
  </si>
  <si>
    <t>Workers Compensation Reserve</t>
  </si>
  <si>
    <t>Total FERC Account 190</t>
  </si>
  <si>
    <r>
      <t>FERC Account 282 (</t>
    </r>
    <r>
      <rPr>
        <b/>
        <u/>
        <sz val="11"/>
        <color rgb="FF0070C0"/>
        <rFont val="Times New Roman"/>
        <family val="1"/>
      </rPr>
      <t>Note A</t>
    </r>
    <r>
      <rPr>
        <b/>
        <u/>
        <sz val="11"/>
        <color theme="1"/>
        <rFont val="Times New Roman"/>
        <family val="1"/>
      </rPr>
      <t>)</t>
    </r>
  </si>
  <si>
    <t>Property Related ADIT, Excl. ARO - Federal</t>
  </si>
  <si>
    <t>Distribution - Electric</t>
  </si>
  <si>
    <t>Distribution - Gas</t>
  </si>
  <si>
    <t>Unprotected Property</t>
  </si>
  <si>
    <t>Transmission - CIAC</t>
  </si>
  <si>
    <t>Property Related ADIT, Excl. ARO - State</t>
  </si>
  <si>
    <t>Other Flow-through</t>
  </si>
  <si>
    <t>Total FERC Account 282</t>
  </si>
  <si>
    <r>
      <t>FERC Account 283 (</t>
    </r>
    <r>
      <rPr>
        <b/>
        <u/>
        <sz val="11"/>
        <color rgb="FF0070C0"/>
        <rFont val="Times New Roman"/>
        <family val="1"/>
      </rPr>
      <t>Note A</t>
    </r>
    <r>
      <rPr>
        <b/>
        <u/>
        <sz val="11"/>
        <color theme="1"/>
        <rFont val="Times New Roman"/>
        <family val="1"/>
      </rPr>
      <t>)</t>
    </r>
  </si>
  <si>
    <t>ACT 129 Smart Meter</t>
  </si>
  <si>
    <t>Amort-BK-Premiums on Reacqd Debt-9.5%</t>
  </si>
  <si>
    <t>CAP Forgiveness Reg Asset</t>
  </si>
  <si>
    <t>CAP Shopping Reg Asset</t>
  </si>
  <si>
    <t>DSP 2 - Regulatory Asset</t>
  </si>
  <si>
    <t>Elec Rate Case EXP - Reg Asset</t>
  </si>
  <si>
    <t>Energy Efficiency Reg Asset</t>
  </si>
  <si>
    <t>FAS109 Non TCJA</t>
  </si>
  <si>
    <t>FAS 109 TCJA</t>
  </si>
  <si>
    <t>FAS 109 NonTCJA</t>
  </si>
  <si>
    <t>Gas Rate Case - Reg Asset</t>
  </si>
  <si>
    <t>Holiday Pay Change in Provision</t>
  </si>
  <si>
    <t>Loss of Reaquired Debt</t>
  </si>
  <si>
    <t>Vacation Accrual</t>
  </si>
  <si>
    <t>Smart Meter</t>
  </si>
  <si>
    <t>CAP Shopping Reg Asset - Current</t>
  </si>
  <si>
    <t>CAP Forgiveness Reg Asset - Current</t>
  </si>
  <si>
    <t>Elec Rate Case Exp - Reg Asset - Current</t>
  </si>
  <si>
    <t>Seamless Moves</t>
  </si>
  <si>
    <t>Rate Chance Reg Asset</t>
  </si>
  <si>
    <t>State Tax Reserve</t>
  </si>
  <si>
    <t>Total FERC Account 283</t>
  </si>
  <si>
    <t>Grand Total</t>
  </si>
  <si>
    <t>Total Unprotected</t>
  </si>
  <si>
    <t>Total Deficient / (Excess)ADIT</t>
  </si>
  <si>
    <t xml:space="preserve">Instructions </t>
  </si>
  <si>
    <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t>
  </si>
  <si>
    <t xml:space="preserve">2. Set the allocation percentages equal to the applicable percentages at the date of the rate change. </t>
  </si>
  <si>
    <t xml:space="preserve">Notes </t>
  </si>
  <si>
    <t>The allocation percentage in Column T are based on the applicable percentages at the date of the rate change.</t>
  </si>
  <si>
    <t>The allocation factors for lines 45 and 47 are subject to the change as reflected in Attachment 9 – Excess / (Deficient) Deferred Income Taxes, lines 17 and 20.</t>
  </si>
  <si>
    <t>END</t>
  </si>
  <si>
    <t>S0</t>
  </si>
  <si>
    <t>S4</t>
  </si>
  <si>
    <t>L1.5</t>
  </si>
  <si>
    <t>R1.5</t>
  </si>
  <si>
    <t>Intercompany Rent - Distribution</t>
  </si>
  <si>
    <t>24g</t>
  </si>
  <si>
    <t xml:space="preserve">PA Gross Receipts Tax </t>
  </si>
  <si>
    <t>Separation</t>
  </si>
  <si>
    <t xml:space="preserve">Property Tax  </t>
  </si>
  <si>
    <t>Pennsylvania Unemployment Tax</t>
  </si>
  <si>
    <t>Use Tax</t>
  </si>
  <si>
    <t>Miscellaneous Tax</t>
  </si>
  <si>
    <t>Sales Tax</t>
  </si>
  <si>
    <t xml:space="preserve">Accrued Employee Vacation </t>
  </si>
  <si>
    <t>7a</t>
  </si>
  <si>
    <t>Electric Production - Exelon Business Services Company</t>
  </si>
  <si>
    <t>Electric Transmission - Utility</t>
  </si>
  <si>
    <t>8a</t>
  </si>
  <si>
    <t>Electric Production - Utility</t>
  </si>
  <si>
    <t>Electric Transmission - Exelon Business Services Company</t>
  </si>
  <si>
    <t xml:space="preserve">9a </t>
  </si>
  <si>
    <t>Electric Distribution - Exelon Business Services Company</t>
  </si>
  <si>
    <t>Electric Other - Utility</t>
  </si>
  <si>
    <t xml:space="preserve">354-355 Footnotes </t>
  </si>
  <si>
    <t>Electric Other - Exelon Business Services Company</t>
  </si>
  <si>
    <t>Electric Labor - Exelon Business Services Company (354-355 Footnotes)</t>
  </si>
  <si>
    <t>k26</t>
  </si>
  <si>
    <t>k27</t>
  </si>
  <si>
    <t xml:space="preserve">Payroll Tax to be Excluded </t>
  </si>
  <si>
    <t>Electric Distribution - Utility</t>
  </si>
  <si>
    <t>30o</t>
  </si>
  <si>
    <t>Energy Efficiency Phase IV Program Administration Costs</t>
  </si>
  <si>
    <t>Commodity Charges</t>
  </si>
  <si>
    <t>Gas Training &amp; Methods</t>
  </si>
  <si>
    <t>k28</t>
  </si>
  <si>
    <t>k29</t>
  </si>
  <si>
    <t>Federal Unemployment Tax</t>
  </si>
  <si>
    <t>Electric Labor - Utility (354.28.b)</t>
  </si>
  <si>
    <t>Electric Labor Total</t>
  </si>
  <si>
    <t>Gas Labor sum - Utility (355.62.b)</t>
  </si>
  <si>
    <t>Gas Labor - Exelon Business Services Company (354-355 Footnotes)</t>
  </si>
  <si>
    <t>Gas Labor Total</t>
  </si>
  <si>
    <t>Deferred Comp Plan - Level 2</t>
  </si>
  <si>
    <t>Distribution Substation - Philadelphia</t>
  </si>
  <si>
    <t>Leases</t>
  </si>
  <si>
    <t>Matching Energy Assistance Fund Agency Fees</t>
  </si>
  <si>
    <t>Natural Gas Reliability Project</t>
  </si>
  <si>
    <t>Lab Equipment</t>
  </si>
  <si>
    <t>True-Up for the 12 months ended 12/31/2024</t>
  </si>
  <si>
    <t>As of 12/31/2024</t>
  </si>
  <si>
    <t>FY 2024</t>
  </si>
  <si>
    <t>IT CC&amp;B - Distribution only portion</t>
  </si>
  <si>
    <t>Computer Hardware</t>
  </si>
  <si>
    <t>Computer Software</t>
  </si>
  <si>
    <t>Communications Equipment</t>
  </si>
  <si>
    <t>23a</t>
  </si>
  <si>
    <t>23b</t>
  </si>
  <si>
    <t>23c</t>
  </si>
  <si>
    <t>Electric Distribution IT - CIMS (upgrades)</t>
  </si>
  <si>
    <t>k30</t>
  </si>
  <si>
    <t>k31</t>
  </si>
  <si>
    <t>Building Acquisition - Transmission</t>
  </si>
  <si>
    <t>Building Acquisition - Other</t>
  </si>
  <si>
    <t>26f</t>
  </si>
  <si>
    <t>Monthly Deferred Tax Adjustment Credit</t>
  </si>
  <si>
    <t>Energy Storage</t>
  </si>
  <si>
    <t>12a</t>
  </si>
  <si>
    <t>204-207.84.13g for end of year, records for other months</t>
  </si>
  <si>
    <t>219.27.1c for end of year, records for other months</t>
  </si>
  <si>
    <t>9c</t>
  </si>
  <si>
    <t>Electric Energy Storage -Utility</t>
  </si>
  <si>
    <t>354.22.1.b</t>
  </si>
  <si>
    <t>Electric Energy Storage - Exelon Business Services Company</t>
  </si>
  <si>
    <t>354-355 Footnotes</t>
  </si>
  <si>
    <t>14a</t>
  </si>
  <si>
    <t>14b</t>
  </si>
  <si>
    <t>14c</t>
  </si>
  <si>
    <t>Administrative &amp; General - Total (Sum of lines 1-14c)</t>
  </si>
  <si>
    <t>Maintenance of Computer Hardware</t>
  </si>
  <si>
    <t>Maintenance of Computer Software</t>
  </si>
  <si>
    <t>Maintenance of Communications Equipment</t>
  </si>
  <si>
    <t>323.181.b to 323.196.3.b</t>
  </si>
  <si>
    <t>Attachment 9 - EDIT, Line 22, Col. (o)</t>
  </si>
  <si>
    <t>Attachment 9 - EDIT, Line 23, Col. (o)</t>
  </si>
  <si>
    <t>Attachment 9 - EDIT, Line 26, Col. (o)</t>
  </si>
  <si>
    <t>ZZ</t>
  </si>
  <si>
    <t>The revisions made in the Order No. 864 Cleanup Filing will not require any adjustment to rates, or annual update filings, for rates charged and annual update filings made prior to the date of the order accepting the revised tariff sheets.</t>
  </si>
  <si>
    <t>FERC Account 
ADIT Deficient / (Excess) 
Amortization</t>
  </si>
  <si>
    <t>Total Federal Deficient / (Excess) Deferred Income Taxes</t>
  </si>
  <si>
    <t xml:space="preserve">Deficient / (Excess) Deferred Income Taxes </t>
  </si>
  <si>
    <t>BOY
Balance</t>
  </si>
  <si>
    <t>EOY
Balance</t>
  </si>
  <si>
    <t xml:space="preserve">Protected Property </t>
  </si>
  <si>
    <t>Unprotected Non-Property - Pension Asset</t>
  </si>
  <si>
    <t>Unprotected Non-Property - Non-Pension Asset</t>
  </si>
  <si>
    <t xml:space="preserve">Total - Deficient / (Excess) ADIT </t>
  </si>
  <si>
    <t>Tax Gross-Up Factor</t>
  </si>
  <si>
    <t>Regulatory Asset / (Liability)</t>
  </si>
  <si>
    <t>Federal Income Tax Regulatory Asset / (Liability)</t>
  </si>
  <si>
    <t>Regulatory Assets / (Liabilities)</t>
  </si>
  <si>
    <t>BOY 
Balance</t>
  </si>
  <si>
    <t>EOY 
Balance</t>
  </si>
  <si>
    <t>Account 182.3 (Other Regulatory Assets)</t>
  </si>
  <si>
    <t>Account 254 (Other Regulatory Liabilities)</t>
  </si>
  <si>
    <t>Total - Transmission Regulatory Asset / (Liability)</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</si>
  <si>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The amount and categorization for future tax rate changes will be specified in the Annual Update following the tax change.  New footnotes will be added for future tax rate changes. </t>
  </si>
  <si>
    <t>Unprotected Non-Property</t>
  </si>
  <si>
    <t>EDIT Balance (Note C)</t>
  </si>
  <si>
    <t>Accrued Incentive Plan</t>
  </si>
  <si>
    <t>Accrued Payroll Taxes - AIP</t>
  </si>
  <si>
    <t>Corporate Alternative Minimum Tax</t>
  </si>
  <si>
    <t>Employee Stock Compensation</t>
  </si>
  <si>
    <t>Environmental Liability - Other</t>
  </si>
  <si>
    <t>Environmental Liability - Superfund</t>
  </si>
  <si>
    <t>Pennsylvania Net Operating Loss, net of Federal</t>
  </si>
  <si>
    <t>Public Claims</t>
  </si>
  <si>
    <t>Rabbi Trust</t>
  </si>
  <si>
    <t xml:space="preserve">ADIT relates to all functions and attributable to underlying operating and maintenance expenses that are recoverable in the transmission formula. </t>
  </si>
  <si>
    <t xml:space="preserve">ADIT excluded because the underlying account(s) are not recoverable in the transmission formula. </t>
  </si>
  <si>
    <t>Electric portion included in rate base.</t>
  </si>
  <si>
    <t>Pennsylvania Law Change - 2022</t>
  </si>
  <si>
    <t>ADIT - Pre Rate Change (2022)</t>
  </si>
  <si>
    <t>ADIT - Post Rate Change (2022)</t>
  </si>
  <si>
    <t>Deficient / (Excess) Deferred Income Taxes (2022)</t>
  </si>
  <si>
    <t>Gross
Timing Difference</t>
  </si>
  <si>
    <t>Federal ADIT @ 21%</t>
  </si>
  <si>
    <t>Pennsylvania ADIT
@ 9.99%</t>
  </si>
  <si>
    <t>Pennsylvania ADIT
@ 4.99%</t>
  </si>
  <si>
    <t>Gas / 
Nonrecoverable</t>
  </si>
  <si>
    <t>Electric
Deficient / (Excess)
ADIT Balance</t>
  </si>
  <si>
    <r>
      <t>Allocator
(</t>
    </r>
    <r>
      <rPr>
        <b/>
        <sz val="10"/>
        <color rgb="FF0070C0"/>
        <rFont val="Arial"/>
        <family val="2"/>
      </rPr>
      <t>Note B</t>
    </r>
    <r>
      <rPr>
        <b/>
        <sz val="10"/>
        <color theme="1"/>
        <rFont val="Arial"/>
        <family val="2"/>
      </rPr>
      <t>)</t>
    </r>
  </si>
  <si>
    <t>(E) = (D) * 9.99%</t>
  </si>
  <si>
    <t>(F) = (E) * 21%</t>
  </si>
  <si>
    <t>(G) = (E) + (F)</t>
  </si>
  <si>
    <t>(I) = (H) * 4.99%</t>
  </si>
  <si>
    <t>(K) = (I) + (J)</t>
  </si>
  <si>
    <t>(L) = (G) - (K)</t>
  </si>
  <si>
    <t>(M)</t>
  </si>
  <si>
    <t>(N)</t>
  </si>
  <si>
    <t>(O) = (L) - (M) - (N)</t>
  </si>
  <si>
    <t>(Q)</t>
  </si>
  <si>
    <t>(S) = (O) * (R)</t>
  </si>
  <si>
    <r>
      <t>FERC Account 190 (</t>
    </r>
    <r>
      <rPr>
        <b/>
        <u/>
        <sz val="10"/>
        <color rgb="FF0070C0"/>
        <rFont val="Arial"/>
        <family val="2"/>
      </rPr>
      <t>Note A</t>
    </r>
    <r>
      <rPr>
        <b/>
        <u/>
        <sz val="10"/>
        <color theme="1"/>
        <rFont val="Arial"/>
        <family val="2"/>
      </rPr>
      <t>)</t>
    </r>
  </si>
  <si>
    <t>Addback of Other Equity Comp Expense</t>
  </si>
  <si>
    <t>Environmental Liability</t>
  </si>
  <si>
    <t>Interest Accrual</t>
  </si>
  <si>
    <t>Investment Tax Credit</t>
  </si>
  <si>
    <t>Sales/Use Tax Adjustment</t>
  </si>
  <si>
    <r>
      <t>FERC Account 282 (</t>
    </r>
    <r>
      <rPr>
        <b/>
        <u/>
        <sz val="11"/>
        <color rgb="FF0070C0"/>
        <rFont val="Arial"/>
        <family val="2"/>
      </rPr>
      <t>Note A</t>
    </r>
    <r>
      <rPr>
        <b/>
        <u/>
        <sz val="11"/>
        <color theme="1"/>
        <rFont val="Arial"/>
        <family val="2"/>
      </rPr>
      <t>)</t>
    </r>
  </si>
  <si>
    <t>Property Related ADIT, Excl. ARO - Fed</t>
  </si>
  <si>
    <t>Common - Flow-Through</t>
  </si>
  <si>
    <t>Distribution - Electric - Flow-Through</t>
  </si>
  <si>
    <t>Electric General - Flow-Through</t>
  </si>
  <si>
    <t>Distribution - Gas - Flow-Through</t>
  </si>
  <si>
    <t>Transmission - Flow-Through</t>
  </si>
  <si>
    <t>Total Federal Account 282</t>
  </si>
  <si>
    <t>Total Pennsylvania (net of Fed) Account 282</t>
  </si>
  <si>
    <r>
      <t>FERC Account 283 (</t>
    </r>
    <r>
      <rPr>
        <b/>
        <u/>
        <sz val="11"/>
        <color rgb="FF0070C0"/>
        <rFont val="Arial"/>
        <family val="2"/>
      </rPr>
      <t>Note A</t>
    </r>
    <r>
      <rPr>
        <b/>
        <u/>
        <sz val="11"/>
        <color theme="1"/>
        <rFont val="Arial"/>
        <family val="2"/>
      </rPr>
      <t>)</t>
    </r>
  </si>
  <si>
    <t>Cloud Computing</t>
  </si>
  <si>
    <t>COVID-19 Regulatory Asset</t>
  </si>
  <si>
    <t>FAS109 Non PA Law Change</t>
  </si>
  <si>
    <t>FAS109 PA Law Change</t>
  </si>
  <si>
    <t>OTHER CURRENT REG ASSET</t>
  </si>
  <si>
    <t>Gas Rate Case Exp - Reg Asset - Current</t>
  </si>
  <si>
    <t>Regulatory Asset - FERC 494</t>
  </si>
  <si>
    <t>Regulatory Asset - Tax Reform</t>
  </si>
  <si>
    <t>Total Deficient / (Excess) ADIT</t>
  </si>
  <si>
    <t xml:space="preserve">Categorization of items as protected or Unprotected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t>
  </si>
  <si>
    <t>For  the 12 months ended 12/31/2025</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</si>
  <si>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</si>
  <si>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 xml:space="preserve">Employee Nonqualified Stock Plan </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</si>
  <si>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</si>
  <si>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</si>
  <si>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Excluded because the underlying account(s) are not included in model</t>
  </si>
  <si>
    <t>Book records estimated accrued compensation; tax deducts only upon the retirement or other separation from service by the employees. Relates to all functions.</t>
  </si>
  <si>
    <t>Other Employee Provided Benefits</t>
  </si>
  <si>
    <t>Employer provided benefits to former employees.</t>
  </si>
  <si>
    <t>Accrual of future removal/retirements.  Book recognized the expense estimate accrual, tax recognizes when paid. Related to all functions. ARO must be approved by FERC in order to include amounts.</t>
  </si>
  <si>
    <t xml:space="preserve">Accrued expenses recorded for book purposes not currently deductible for income tax purposes. </t>
  </si>
  <si>
    <t>Book records an accrual in filing year on estimated payouts; tax reverses the accrual and deducts the actual paid out.  Relates to all functions.</t>
  </si>
  <si>
    <t>Attributable to rent received under long term lease agreement.  Books will recognize rental income ratably over the term of the lease; Tax will recognize the rental income when the cash is received.</t>
  </si>
  <si>
    <t>Accrued Payroll Taxes</t>
  </si>
  <si>
    <t>Book records a payroll tax accrual; tax reverses the accrual and deducts the actual amount paid out.  Relates to all functions.</t>
  </si>
  <si>
    <t xml:space="preserve">Pennsylvania Net Operating Loss, net of Federal. </t>
  </si>
  <si>
    <t xml:space="preserve">PECO is in a net operating loss situation, therefore, losses are carried forward until such losses can be applied to taxable income. </t>
  </si>
  <si>
    <t xml:space="preserve">Book accrues anticipated post retirement costs based on actuarial analysis.  Tax deducts retirement benefits only when the amounts are paid or contributed to a fund. </t>
  </si>
  <si>
    <t>Related to reserves associated with pending sales and use tax audits. This is an accrual for possible liability payments upon resoution of ongoing audit examinations. Since we have accrued, but not yet paid, we have to book the tax reserve.</t>
  </si>
  <si>
    <t>Retail related</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</si>
  <si>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</si>
  <si>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</si>
  <si>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</si>
  <si>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the related underlying liability is included in rate base.</t>
  </si>
  <si>
    <t>Corporate Alternative Minimum Tax Credit Carry-Forward</t>
  </si>
  <si>
    <t xml:space="preserve">Electric portion included in rate base. </t>
  </si>
  <si>
    <t>Pennsylvania House Bill 1342 Rate Change</t>
  </si>
  <si>
    <t>Unamortized Pennyslvania House Bill 1342 Rate Change (deficient)/excess deferred income taxes included above</t>
  </si>
  <si>
    <t>Regulatory Asset (Accrued Vacation)</t>
  </si>
  <si>
    <t>Regulatory Asset (AMR)</t>
  </si>
  <si>
    <t>Regulatory Asset (Rate Change)</t>
  </si>
  <si>
    <t xml:space="preserve">Book recapitalizes costs incurred to retire or reacquire debt issuances.  Tax deducts these costs when incurred. </t>
  </si>
  <si>
    <t>The book expense on Jan 1 of calendar year; accelerated tax expense taken in previous calendar year. Related to all functions.</t>
  </si>
  <si>
    <t>Property taxes. Book records on an accrual method based on the prior year; tax reverses the book accrual and deducts the actual payments made.  Relates to all functions.</t>
  </si>
  <si>
    <t>Book accrues and capitalizes anticipated Pension costs based on actuarial analysis.  Tax deducts or capitalizes retirement benefits only when the amounts are paid.  Related to all functions.</t>
  </si>
  <si>
    <t>Accrued State Tax Receivable</t>
  </si>
  <si>
    <t xml:space="preserve">Included because the related underlying asset is included in rate base.  Related to accelerated deductibility of these amounts for tax purposes. </t>
  </si>
  <si>
    <t>Projection for the 12 months ended 12/31/2025</t>
  </si>
  <si>
    <t>On July 8, 2022, Pennsylvania enacted House Bill 1342, which permanently reduces the corporate income tax rate from 9.99% to 4.99% ("Pennsylvania (2022 Corporate Tax Rate Change)").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t>
  </si>
  <si>
    <t>The amortization schedule of the EDIT balance related to Pennsylvania (2022 Corporate Tax Rate Change) will begin amortizing on January 1, 2023 based on the following periods:</t>
  </si>
  <si>
    <t>Unprotected Property:</t>
  </si>
  <si>
    <t xml:space="preserve">Unprotected, Non-Property: </t>
  </si>
  <si>
    <t>The Unprotected Property EDIT balance shall be fully amortized by the end of 2029 and the Unprotected Non-Property EDIT balance shall be fully amortized by the end of 2027.</t>
  </si>
  <si>
    <t>The Unprotected Property EDIT balance shall be fully amortized by the end of 2024 and the Unprotected, non-Property EDIT balance shall be fully amortized by the end of 2022.</t>
  </si>
  <si>
    <t xml:space="preserve">Total Excess / (Deficient) Deferred Income Taxes </t>
  </si>
  <si>
    <t>Unprotected Property (Note A)</t>
  </si>
  <si>
    <t>Unprotected, Non-Property - Pension Asset  (Note A)</t>
  </si>
  <si>
    <t>Unprotected, Non-Property - Non-Pension Asset (Note A)</t>
  </si>
  <si>
    <t>Total Unprotected, Non-Property (Note A)</t>
  </si>
  <si>
    <t>FERC Account 
ADIT Excess / (Deficient) 
Amortization</t>
  </si>
  <si>
    <t>Pennsylvania (2022 Corporate Rate Change)</t>
  </si>
  <si>
    <t>Unprotected Property (Note D)</t>
  </si>
  <si>
    <t>Unprotected, Non-Property - Pension Asset  (Note D)</t>
  </si>
  <si>
    <t>Unprotected, Non-Property - Non-Pension Asset (Note D)</t>
  </si>
  <si>
    <t>Total Unprotected, Non-Property (Note D)</t>
  </si>
  <si>
    <t xml:space="preserve"> 214.13-17, 19-20.d for end of year, records for other months</t>
  </si>
  <si>
    <t>Excess / (Deficient) Deferred Income Taxes (Note B and Attachment H-7 Notes N, O and P)</t>
  </si>
  <si>
    <t>EDIT Amortization Amount</t>
  </si>
  <si>
    <t xml:space="preserve">Unprotected, Non-Property - Pension Asset </t>
  </si>
  <si>
    <t xml:space="preserve">Unprotected, Non-Property - Non-Pension Asset </t>
  </si>
  <si>
    <t>Total Unprotected, Non-Property</t>
  </si>
  <si>
    <t>EDIT Balance</t>
  </si>
  <si>
    <t>Unprotected, Non-Property - Non-Pension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</si>
</sst>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6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
      <sz val="10"/>
      <color theme="1"/>
      <name val="Arial"/>
      <family val="2"/>
    </font>
    <font>
      <b/>
      <sz val="15"/>
      <color theme="0"/>
      <name val="Times New Roman"/>
      <family val="1"/>
    </font>
    <font>
      <sz val="12"/>
      <color theme="0"/>
      <name val="Times New Roman"/>
      <family val="1"/>
    </font>
    <font>
      <b/>
      <sz val="10"/>
      <color theme="1"/>
      <name val="Times New Roman"/>
      <family val="1"/>
    </font>
    <font>
      <b/>
      <sz val="10"/>
      <color rgb="FF0070C0"/>
      <name val="Times New Roman"/>
      <family val="1"/>
    </font>
    <font>
      <b/>
      <sz val="10"/>
      <color theme="0"/>
      <name val="Times New Roman"/>
      <family val="1"/>
    </font>
    <font>
      <sz val="10"/>
      <color theme="0"/>
      <name val="Times New Roman"/>
      <family val="1"/>
    </font>
    <font>
      <b/>
      <u/>
      <sz val="10"/>
      <color theme="1"/>
      <name val="Times New Roman"/>
      <family val="1"/>
    </font>
    <font>
      <b/>
      <u/>
      <sz val="10"/>
      <color rgb="FF0070C0"/>
      <name val="Times New Roman"/>
      <family val="1"/>
    </font>
    <font>
      <b/>
      <u/>
      <sz val="11"/>
      <color theme="1"/>
      <name val="Times New Roman"/>
      <family val="1"/>
    </font>
    <font>
      <b/>
      <u/>
      <sz val="11"/>
      <color rgb="FF0070C0"/>
      <name val="Times New Roman"/>
      <family val="1"/>
    </font>
    <font>
      <sz val="10"/>
      <color theme="3"/>
      <name val="Times New Roman"/>
      <family val="1"/>
    </font>
    <font>
      <b/>
      <sz val="14"/>
      <color theme="0"/>
      <name val="Times New Roman"/>
      <family val="1"/>
    </font>
    <font>
      <b/>
      <sz val="10"/>
      <color indexed="13"/>
      <name val="Times New Roman"/>
      <family val="1"/>
    </font>
    <font>
      <sz val="12"/>
      <name val="Arial MT"/>
      <family val="2"/>
    </font>
    <font>
      <sz val="11"/>
      <color theme="1"/>
      <name val="Calibri"/>
      <family val="2"/>
    </font>
    <font>
      <b/>
      <sz val="15"/>
      <color theme="0"/>
      <name val="Arial"/>
      <family val="2"/>
    </font>
    <font>
      <b/>
      <sz val="11"/>
      <color theme="1"/>
      <name val="Arial"/>
      <family val="2"/>
    </font>
    <font>
      <sz val="12"/>
      <color theme="1"/>
      <name val="Arial"/>
      <family val="2"/>
    </font>
    <font>
      <b/>
      <sz val="12"/>
      <color theme="1"/>
      <name val="Arial"/>
      <family val="2"/>
    </font>
    <font>
      <sz val="12"/>
      <color theme="0"/>
      <name val="Arial"/>
      <family val="2"/>
    </font>
    <font>
      <b/>
      <sz val="10"/>
      <color theme="1"/>
      <name val="Arial"/>
      <family val="2"/>
    </font>
    <font>
      <b/>
      <sz val="10"/>
      <color rgb="FF0070C0"/>
      <name val="Arial"/>
      <family val="2"/>
    </font>
    <font>
      <b/>
      <sz val="10"/>
      <color theme="0"/>
      <name val="Arial"/>
      <family val="2"/>
    </font>
    <font>
      <sz val="10"/>
      <color theme="0"/>
      <name val="Arial"/>
      <family val="2"/>
    </font>
    <font>
      <b/>
      <u/>
      <sz val="10"/>
      <color theme="1"/>
      <name val="Arial"/>
      <family val="2"/>
    </font>
    <font>
      <b/>
      <u/>
      <sz val="10"/>
      <color rgb="FF0070C0"/>
      <name val="Arial"/>
      <family val="2"/>
    </font>
    <font>
      <b/>
      <u/>
      <sz val="11"/>
      <color theme="1"/>
      <name val="Arial"/>
      <family val="2"/>
    </font>
    <font>
      <b/>
      <u/>
      <sz val="11"/>
      <color rgb="FF0070C0"/>
      <name val="Arial"/>
      <family val="2"/>
    </font>
    <font>
      <sz val="10"/>
      <color theme="3"/>
      <name val="Arial"/>
      <family val="2"/>
    </font>
  </fonts>
  <fills count="2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indexed="8"/>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67">
    <xf numFmtId="172" fontId="0" fillId="0" borderId="0" applyProtection="0"/>
    <xf numFmtId="0" fontId="20" fillId="0" borderId="0"/>
    <xf numFmtId="183" fontId="58" fillId="0" borderId="0" applyFont="0" applyFill="0" applyBorder="0" applyAlignment="0" applyProtection="0"/>
    <xf numFmtId="184" fontId="58" fillId="0" borderId="0" applyFont="0" applyFill="0" applyBorder="0" applyAlignment="0" applyProtection="0"/>
    <xf numFmtId="185" fontId="58" fillId="0" borderId="0" applyFont="0" applyFill="0" applyBorder="0" applyAlignment="0" applyProtection="0"/>
    <xf numFmtId="186" fontId="58" fillId="0" borderId="0" applyFont="0" applyFill="0" applyBorder="0" applyAlignment="0" applyProtection="0"/>
    <xf numFmtId="187" fontId="58" fillId="0" borderId="0" applyFont="0" applyFill="0" applyBorder="0" applyAlignment="0" applyProtection="0"/>
    <xf numFmtId="188" fontId="58" fillId="0" borderId="0" applyFont="0" applyFill="0" applyBorder="0" applyAlignment="0" applyProtection="0"/>
    <xf numFmtId="0" fontId="28" fillId="0" borderId="0"/>
    <xf numFmtId="189" fontId="20" fillId="2" borderId="0" applyNumberFormat="0" applyFill="0" applyBorder="0" applyAlignment="0" applyProtection="0">
      <alignment horizontal="right" vertical="center"/>
    </xf>
    <xf numFmtId="189" fontId="52" fillId="0" borderId="0" applyNumberFormat="0" applyFill="0" applyBorder="0" applyAlignment="0" applyProtection="0"/>
    <xf numFmtId="0" fontId="20" fillId="0" borderId="1" applyNumberFormat="0" applyFont="0" applyFill="0" applyAlignment="0" applyProtection="0"/>
    <xf numFmtId="190" fontId="50" fillId="0" borderId="0" applyFont="0" applyFill="0" applyBorder="0" applyAlignment="0" applyProtection="0"/>
    <xf numFmtId="191" fontId="58" fillId="0" borderId="0" applyFont="0" applyFill="0" applyBorder="0" applyProtection="0">
      <alignment horizontal="left"/>
    </xf>
    <xf numFmtId="192" fontId="58" fillId="0" borderId="0" applyFont="0" applyFill="0" applyBorder="0" applyProtection="0">
      <alignment horizontal="left"/>
    </xf>
    <xf numFmtId="193" fontId="58" fillId="0" borderId="0" applyFont="0" applyFill="0" applyBorder="0" applyProtection="0">
      <alignment horizontal="left"/>
    </xf>
    <xf numFmtId="37" fontId="59" fillId="0" borderId="0" applyFont="0" applyFill="0" applyBorder="0" applyAlignment="0" applyProtection="0">
      <alignment vertical="center"/>
      <protection locked="0"/>
    </xf>
    <xf numFmtId="194" fontId="60" fillId="0" borderId="0" applyFont="0" applyFill="0" applyBorder="0" applyAlignment="0" applyProtection="0"/>
    <xf numFmtId="0" fontId="61" fillId="0" borderId="0"/>
    <xf numFmtId="0" fontId="61" fillId="0" borderId="0"/>
    <xf numFmtId="172" fontId="18" fillId="0" borderId="0" applyFill="0"/>
    <xf numFmtId="172" fontId="18" fillId="0" borderId="0">
      <alignment horizontal="center"/>
    </xf>
    <xf numFmtId="0" fontId="18" fillId="0" borderId="0" applyFill="0">
      <alignment horizontal="center"/>
    </xf>
    <xf numFmtId="172" fontId="19" fillId="0" borderId="2" applyFill="0"/>
    <xf numFmtId="0" fontId="20" fillId="0" borderId="0" applyFont="0" applyAlignment="0"/>
    <xf numFmtId="0" fontId="21" fillId="0" borderId="0" applyFill="0">
      <alignment vertical="top"/>
    </xf>
    <xf numFmtId="0" fontId="19" fillId="0" borderId="0" applyFill="0">
      <alignment horizontal="left" vertical="top"/>
    </xf>
    <xf numFmtId="172" fontId="22" fillId="0" borderId="3" applyFill="0"/>
    <xf numFmtId="0" fontId="20" fillId="0" borderId="0" applyNumberFormat="0" applyFont="0" applyAlignment="0"/>
    <xf numFmtId="0" fontId="21" fillId="0" borderId="0" applyFill="0">
      <alignment wrapText="1"/>
    </xf>
    <xf numFmtId="0" fontId="19" fillId="0" borderId="0" applyFill="0">
      <alignment horizontal="left" vertical="top" wrapText="1"/>
    </xf>
    <xf numFmtId="172" fontId="23" fillId="0" borderId="0" applyFill="0"/>
    <xf numFmtId="0" fontId="24" fillId="0" borderId="0" applyNumberFormat="0" applyFont="0" applyAlignment="0">
      <alignment horizontal="center"/>
    </xf>
    <xf numFmtId="0" fontId="25" fillId="0" borderId="0" applyFill="0">
      <alignment vertical="top" wrapText="1"/>
    </xf>
    <xf numFmtId="0" fontId="22" fillId="0" borderId="0" applyFill="0">
      <alignment horizontal="left" vertical="top" wrapText="1"/>
    </xf>
    <xf numFmtId="172" fontId="20"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2" fontId="28" fillId="0" borderId="0" applyFill="0"/>
    <xf numFmtId="0" fontId="24"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0" fontId="20" fillId="0" borderId="0" applyFill="0">
      <alignment horizontal="center" vertical="center" wrapText="1"/>
    </xf>
    <xf numFmtId="172" fontId="31" fillId="0" borderId="0" applyFill="0"/>
    <xf numFmtId="0" fontId="24"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4" fillId="0" borderId="0" applyNumberFormat="0" applyFont="0" applyAlignment="0">
      <alignment horizontal="center"/>
    </xf>
    <xf numFmtId="0" fontId="35" fillId="0" borderId="0">
      <alignment horizontal="center" wrapText="1"/>
    </xf>
    <xf numFmtId="0" fontId="31" fillId="0" borderId="0" applyFill="0">
      <alignment horizontal="center" wrapText="1"/>
    </xf>
    <xf numFmtId="178" fontId="62" fillId="0" borderId="0" applyFont="0" applyFill="0" applyBorder="0" applyAlignment="0" applyProtection="0">
      <protection locked="0"/>
    </xf>
    <xf numFmtId="195" fontId="62" fillId="0" borderId="0" applyFont="0" applyFill="0" applyBorder="0" applyAlignment="0" applyProtection="0">
      <protection locked="0"/>
    </xf>
    <xf numFmtId="39" fontId="20" fillId="0" borderId="0" applyFont="0" applyFill="0" applyBorder="0" applyAlignment="0" applyProtection="0"/>
    <xf numFmtId="196" fontId="63" fillId="0" borderId="0" applyFont="0" applyFill="0" applyBorder="0" applyAlignment="0" applyProtection="0"/>
    <xf numFmtId="181" fontId="60" fillId="0" borderId="0" applyFont="0" applyFill="0" applyBorder="0" applyAlignment="0" applyProtection="0"/>
    <xf numFmtId="0" fontId="20" fillId="0" borderId="1" applyNumberFormat="0" applyFont="0" applyFill="0" applyBorder="0" applyProtection="0">
      <alignment horizontal="centerContinuous" vertical="center"/>
    </xf>
    <xf numFmtId="0" fontId="44" fillId="0" borderId="0" applyFill="0" applyBorder="0" applyProtection="0">
      <alignment horizontal="center"/>
      <protection locked="0"/>
    </xf>
    <xf numFmtId="43" fontId="20" fillId="0" borderId="0" applyFont="0" applyFill="0" applyBorder="0" applyAlignment="0" applyProtection="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41" fontId="20" fillId="0" borderId="0" applyFont="0" applyFill="0" applyBorder="0" applyAlignment="0" applyProtection="0"/>
    <xf numFmtId="197" fontId="58" fillId="0" borderId="0" applyFont="0" applyFill="0" applyBorder="0" applyAlignment="0" applyProtection="0"/>
    <xf numFmtId="198" fontId="58" fillId="0" borderId="0" applyFont="0" applyFill="0" applyBorder="0" applyAlignment="0" applyProtection="0"/>
    <xf numFmtId="199" fontId="58" fillId="0" borderId="0" applyFont="0" applyFill="0" applyBorder="0" applyAlignment="0" applyProtection="0"/>
    <xf numFmtId="200" fontId="56" fillId="0" borderId="0" applyFont="0" applyFill="0" applyBorder="0" applyAlignment="0" applyProtection="0"/>
    <xf numFmtId="201" fontId="65" fillId="0" borderId="0" applyFont="0" applyFill="0" applyBorder="0" applyAlignment="0" applyProtection="0"/>
    <xf numFmtId="202" fontId="65" fillId="0" borderId="0" applyFont="0" applyFill="0" applyBorder="0" applyAlignment="0" applyProtection="0"/>
    <xf numFmtId="203" fontId="23" fillId="0" borderId="0" applyFont="0" applyFill="0" applyBorder="0" applyAlignment="0" applyProtection="0">
      <protection locked="0"/>
    </xf>
    <xf numFmtId="43" fontId="16" fillId="0" borderId="0" applyFont="0" applyFill="0" applyBorder="0" applyAlignment="0" applyProtection="0"/>
    <xf numFmtId="43" fontId="40"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43" fontId="5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97" fillId="0" borderId="0" applyFont="0" applyFill="0" applyBorder="0" applyAlignment="0" applyProtection="0"/>
    <xf numFmtId="37" fontId="66" fillId="0" borderId="0" applyFill="0" applyBorder="0" applyAlignment="0" applyProtection="0"/>
    <xf numFmtId="3" fontId="20" fillId="0" borderId="0" applyFont="0" applyFill="0" applyBorder="0" applyAlignment="0" applyProtection="0"/>
    <xf numFmtId="0" fontId="19" fillId="0" borderId="0" applyFill="0" applyBorder="0" applyAlignment="0" applyProtection="0">
      <protection locked="0"/>
    </xf>
    <xf numFmtId="0" fontId="20" fillId="0" borderId="4"/>
    <xf numFmtId="44" fontId="20" fillId="0" borderId="0" applyFont="0" applyFill="0" applyBorder="0" applyAlignment="0" applyProtection="0"/>
    <xf numFmtId="204" fontId="58" fillId="0" borderId="0" applyFont="0" applyFill="0" applyBorder="0" applyAlignment="0" applyProtection="0"/>
    <xf numFmtId="205" fontId="58" fillId="0" borderId="0" applyFont="0" applyFill="0" applyBorder="0" applyAlignment="0" applyProtection="0"/>
    <xf numFmtId="206" fontId="58" fillId="0" borderId="0" applyFont="0" applyFill="0" applyBorder="0" applyAlignment="0" applyProtection="0"/>
    <xf numFmtId="207" fontId="65" fillId="0" borderId="0" applyFont="0" applyFill="0" applyBorder="0" applyAlignment="0" applyProtection="0"/>
    <xf numFmtId="208" fontId="65" fillId="0" borderId="0" applyFont="0" applyFill="0" applyBorder="0" applyAlignment="0" applyProtection="0"/>
    <xf numFmtId="209" fontId="65" fillId="0" borderId="0" applyFont="0" applyFill="0" applyBorder="0" applyAlignment="0" applyProtection="0"/>
    <xf numFmtId="210" fontId="23" fillId="0" borderId="0" applyFont="0" applyFill="0" applyBorder="0" applyAlignment="0" applyProtection="0">
      <protection locked="0"/>
    </xf>
    <xf numFmtId="44" fontId="30" fillId="0" borderId="0" applyFont="0" applyFill="0" applyBorder="0" applyAlignment="0" applyProtection="0"/>
    <xf numFmtId="44" fontId="20" fillId="0" borderId="0" applyFont="0" applyFill="0" applyBorder="0" applyAlignment="0" applyProtection="0"/>
    <xf numFmtId="44" fontId="5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5" fontId="66" fillId="0" borderId="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211" fontId="60" fillId="0" borderId="0" applyFont="0" applyFill="0" applyBorder="0" applyAlignment="0" applyProtection="0"/>
    <xf numFmtId="180" fontId="20" fillId="0" borderId="0" applyFont="0" applyFill="0" applyBorder="0" applyAlignment="0" applyProtection="0"/>
    <xf numFmtId="212" fontId="62" fillId="0" borderId="0" applyFont="0" applyFill="0" applyBorder="0" applyAlignment="0" applyProtection="0">
      <protection locked="0"/>
    </xf>
    <xf numFmtId="7" fontId="18" fillId="0" borderId="0" applyFont="0" applyFill="0" applyBorder="0" applyAlignment="0" applyProtection="0"/>
    <xf numFmtId="213" fontId="63" fillId="0" borderId="0" applyFont="0" applyFill="0" applyBorder="0" applyAlignment="0" applyProtection="0"/>
    <xf numFmtId="179" fontId="67" fillId="0" borderId="0" applyFont="0" applyFill="0" applyBorder="0" applyAlignment="0" applyProtection="0"/>
    <xf numFmtId="0" fontId="68" fillId="3" borderId="5" applyNumberFormat="0" applyFont="0" applyFill="0" applyAlignment="0" applyProtection="0">
      <alignment horizontal="left" indent="1"/>
    </xf>
    <xf numFmtId="14" fontId="20" fillId="0" borderId="0" applyFont="0" applyFill="0" applyBorder="0" applyAlignment="0" applyProtection="0"/>
    <xf numFmtId="214" fontId="58" fillId="0" borderId="0" applyFont="0" applyFill="0" applyBorder="0" applyProtection="0"/>
    <xf numFmtId="215" fontId="58" fillId="0" borderId="0" applyFont="0" applyFill="0" applyBorder="0" applyProtection="0"/>
    <xf numFmtId="216" fontId="58" fillId="0" borderId="0" applyFont="0" applyFill="0" applyBorder="0" applyAlignment="0" applyProtection="0"/>
    <xf numFmtId="217" fontId="58" fillId="0" borderId="0" applyFont="0" applyFill="0" applyBorder="0" applyAlignment="0" applyProtection="0"/>
    <xf numFmtId="218" fontId="58" fillId="0" borderId="0" applyFont="0" applyFill="0" applyBorder="0" applyAlignment="0" applyProtection="0"/>
    <xf numFmtId="219" fontId="69" fillId="0" borderId="0" applyFont="0" applyFill="0" applyBorder="0" applyAlignment="0" applyProtection="0"/>
    <xf numFmtId="5" fontId="70" fillId="0" borderId="0" applyBorder="0"/>
    <xf numFmtId="180" fontId="70" fillId="0" borderId="0" applyBorder="0"/>
    <xf numFmtId="7" fontId="70" fillId="0" borderId="0" applyBorder="0"/>
    <xf numFmtId="37" fontId="70" fillId="0" borderId="0" applyBorder="0"/>
    <xf numFmtId="178" fontId="70" fillId="0" borderId="0" applyBorder="0"/>
    <xf numFmtId="220" fontId="70" fillId="0" borderId="0" applyBorder="0"/>
    <xf numFmtId="39" fontId="70" fillId="0" borderId="0" applyBorder="0"/>
    <xf numFmtId="221" fontId="70" fillId="0" borderId="0" applyBorder="0"/>
    <xf numFmtId="7" fontId="20" fillId="0" borderId="0" applyFont="0" applyFill="0" applyBorder="0" applyAlignment="0" applyProtection="0"/>
    <xf numFmtId="222" fontId="60" fillId="0" borderId="0" applyFont="0" applyFill="0" applyBorder="0" applyAlignment="0" applyProtection="0"/>
    <xf numFmtId="223" fontId="60" fillId="0" borderId="0" applyFont="0" applyFill="0" applyAlignment="0" applyProtection="0"/>
    <xf numFmtId="222" fontId="60" fillId="0" borderId="0" applyFont="0" applyFill="0" applyBorder="0" applyAlignment="0" applyProtection="0"/>
    <xf numFmtId="224" fontId="18" fillId="0" borderId="0" applyFont="0" applyFill="0" applyBorder="0" applyAlignment="0" applyProtection="0"/>
    <xf numFmtId="2" fontId="20" fillId="0" borderId="0" applyFont="0" applyFill="0" applyBorder="0" applyAlignment="0" applyProtection="0"/>
    <xf numFmtId="0" fontId="71" fillId="0" borderId="0"/>
    <xf numFmtId="178" fontId="72" fillId="0" borderId="0" applyNumberFormat="0" applyFill="0" applyBorder="0" applyAlignment="0" applyProtection="0"/>
    <xf numFmtId="0" fontId="18" fillId="0" borderId="0" applyFont="0" applyFill="0" applyBorder="0" applyAlignment="0" applyProtection="0"/>
    <xf numFmtId="0" fontId="58" fillId="0" borderId="0" applyFont="0" applyFill="0" applyBorder="0" applyProtection="0">
      <alignment horizontal="center" wrapText="1"/>
    </xf>
    <xf numFmtId="225" fontId="58" fillId="0" borderId="0" applyFont="0" applyFill="0" applyBorder="0" applyProtection="0">
      <alignment horizontal="right"/>
    </xf>
    <xf numFmtId="0" fontId="72" fillId="0" borderId="0" applyNumberFormat="0" applyFill="0" applyBorder="0" applyAlignment="0" applyProtection="0"/>
    <xf numFmtId="0" fontId="73" fillId="4" borderId="0" applyNumberFormat="0" applyFill="0" applyBorder="0" applyAlignment="0" applyProtection="0"/>
    <xf numFmtId="0" fontId="22" fillId="0" borderId="6" applyNumberFormat="0" applyAlignment="0" applyProtection="0">
      <alignment horizontal="left" vertical="center"/>
    </xf>
    <xf numFmtId="0" fontId="22" fillId="0" borderId="7">
      <alignment horizontal="left" vertical="center"/>
    </xf>
    <xf numFmtId="14" fontId="45" fillId="5" borderId="8">
      <alignment horizontal="center" vertical="center" wrapText="1"/>
    </xf>
    <xf numFmtId="0" fontId="36" fillId="0" borderId="0" applyFont="0" applyFill="0" applyBorder="0" applyAlignment="0" applyProtection="0"/>
    <xf numFmtId="0" fontId="37" fillId="0" borderId="0" applyFont="0" applyFill="0" applyBorder="0" applyAlignment="0" applyProtection="0"/>
    <xf numFmtId="0" fontId="22" fillId="0" borderId="0" applyFont="0" applyFill="0" applyBorder="0" applyAlignment="0" applyProtection="0"/>
    <xf numFmtId="0" fontId="44" fillId="0" borderId="0" applyFill="0" applyAlignment="0" applyProtection="0">
      <protection locked="0"/>
    </xf>
    <xf numFmtId="0" fontId="44" fillId="0" borderId="1" applyFill="0" applyAlignment="0" applyProtection="0">
      <protection locked="0"/>
    </xf>
    <xf numFmtId="0" fontId="38" fillId="0" borderId="8"/>
    <xf numFmtId="0" fontId="39" fillId="0" borderId="0"/>
    <xf numFmtId="0" fontId="74" fillId="0" borderId="1" applyNumberFormat="0" applyFill="0" applyAlignment="0" applyProtection="0"/>
    <xf numFmtId="0" fontId="69" fillId="6" borderId="0" applyNumberFormat="0" applyFont="0" applyBorder="0" applyAlignment="0" applyProtection="0"/>
    <xf numFmtId="0" fontId="75" fillId="0" borderId="0" applyNumberFormat="0" applyFill="0" applyBorder="0" applyAlignment="0" applyProtection="0">
      <alignment vertical="top"/>
      <protection locked="0"/>
    </xf>
    <xf numFmtId="0" fontId="55" fillId="7" borderId="9" applyNumberFormat="0" applyAlignment="0" applyProtection="0"/>
    <xf numFmtId="226" fontId="58" fillId="0" borderId="0" applyFont="0" applyFill="0" applyBorder="0" applyProtection="0">
      <alignment horizontal="left"/>
    </xf>
    <xf numFmtId="227" fontId="58" fillId="0" borderId="0" applyFont="0" applyFill="0" applyBorder="0" applyProtection="0">
      <alignment horizontal="left"/>
    </xf>
    <xf numFmtId="228" fontId="58" fillId="0" borderId="0" applyFont="0" applyFill="0" applyBorder="0" applyProtection="0">
      <alignment horizontal="left"/>
    </xf>
    <xf numFmtId="229" fontId="58" fillId="0" borderId="0" applyFont="0" applyFill="0" applyBorder="0" applyProtection="0">
      <alignment horizontal="left"/>
    </xf>
    <xf numFmtId="10" fontId="18" fillId="8" borderId="9" applyNumberFormat="0" applyBorder="0" applyAlignment="0" applyProtection="0"/>
    <xf numFmtId="5" fontId="76" fillId="0" borderId="0" applyBorder="0"/>
    <xf numFmtId="180" fontId="76" fillId="0" borderId="0" applyBorder="0"/>
    <xf numFmtId="7" fontId="76" fillId="0" borderId="0" applyBorder="0"/>
    <xf numFmtId="37" fontId="76" fillId="0" borderId="0" applyBorder="0"/>
    <xf numFmtId="178" fontId="76" fillId="0" borderId="0" applyBorder="0"/>
    <xf numFmtId="220" fontId="76" fillId="0" borderId="0" applyBorder="0"/>
    <xf numFmtId="39" fontId="76" fillId="0" borderId="0" applyBorder="0"/>
    <xf numFmtId="221" fontId="76" fillId="0" borderId="0" applyBorder="0"/>
    <xf numFmtId="0" fontId="69" fillId="0" borderId="10" applyNumberFormat="0" applyFont="0" applyFill="0" applyAlignment="0" applyProtection="0"/>
    <xf numFmtId="0" fontId="77" fillId="0" borderId="0"/>
    <xf numFmtId="0" fontId="18" fillId="9" borderId="0"/>
    <xf numFmtId="230" fontId="20" fillId="0" borderId="0" applyFont="0" applyFill="0" applyBorder="0" applyAlignment="0" applyProtection="0"/>
    <xf numFmtId="231" fontId="20" fillId="0" borderId="0" applyFont="0" applyFill="0" applyBorder="0" applyAlignment="0" applyProtection="0"/>
    <xf numFmtId="232" fontId="20" fillId="0" borderId="0" applyFont="0" applyFill="0" applyBorder="0" applyAlignment="0" applyProtection="0"/>
    <xf numFmtId="233" fontId="20" fillId="0" borderId="0" applyFont="0" applyFill="0" applyBorder="0" applyAlignment="0" applyProtection="0"/>
    <xf numFmtId="0" fontId="20" fillId="0" borderId="0" applyFont="0" applyFill="0" applyBorder="0" applyAlignment="0" applyProtection="0">
      <alignment horizontal="right"/>
    </xf>
    <xf numFmtId="234" fontId="20" fillId="0" borderId="0" applyFont="0" applyFill="0" applyBorder="0" applyAlignment="0" applyProtection="0"/>
    <xf numFmtId="37" fontId="78" fillId="0" borderId="0"/>
    <xf numFmtId="0" fontId="60" fillId="0" borderId="0"/>
    <xf numFmtId="0" fontId="99" fillId="0" borderId="0"/>
    <xf numFmtId="7" fontId="98" fillId="0" borderId="0"/>
    <xf numFmtId="0" fontId="20" fillId="0" borderId="0"/>
    <xf numFmtId="0" fontId="56" fillId="0" borderId="0"/>
    <xf numFmtId="0" fontId="30" fillId="0" borderId="0"/>
    <xf numFmtId="0" fontId="20" fillId="0" borderId="0"/>
    <xf numFmtId="0" fontId="20" fillId="0" borderId="0"/>
    <xf numFmtId="0" fontId="54" fillId="0" borderId="0"/>
    <xf numFmtId="0" fontId="20" fillId="0" borderId="0"/>
    <xf numFmtId="0" fontId="20" fillId="0" borderId="0"/>
    <xf numFmtId="0" fontId="20"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2" fontId="40" fillId="0" borderId="0" applyProtection="0"/>
    <xf numFmtId="0" fontId="99" fillId="0" borderId="0"/>
    <xf numFmtId="0" fontId="99" fillId="0" borderId="0"/>
    <xf numFmtId="0" fontId="99" fillId="0" borderId="0"/>
    <xf numFmtId="0" fontId="99" fillId="0" borderId="0"/>
    <xf numFmtId="0" fontId="40" fillId="0" borderId="0" applyProtection="0"/>
    <xf numFmtId="172" fontId="40" fillId="0" borderId="0" applyProtection="0"/>
    <xf numFmtId="172" fontId="40" fillId="0" borderId="0" applyProtection="0"/>
    <xf numFmtId="172" fontId="40" fillId="0" borderId="0" applyProtection="0"/>
    <xf numFmtId="0" fontId="20" fillId="0" borderId="0"/>
    <xf numFmtId="172" fontId="40" fillId="0" borderId="0" applyProtection="0"/>
    <xf numFmtId="0" fontId="20" fillId="0" borderId="0"/>
    <xf numFmtId="0" fontId="50" fillId="10" borderId="0" applyNumberFormat="0" applyFont="0" applyBorder="0" applyAlignment="0"/>
    <xf numFmtId="235" fontId="20" fillId="0" borderId="0" applyFont="0" applyFill="0" applyBorder="0" applyAlignment="0" applyProtection="0"/>
    <xf numFmtId="236" fontId="79" fillId="0" borderId="0"/>
    <xf numFmtId="235" fontId="20" fillId="0" borderId="0" applyFont="0" applyFill="0" applyBorder="0" applyAlignment="0" applyProtection="0"/>
    <xf numFmtId="235" fontId="20" fillId="0" borderId="0" applyFont="0" applyFill="0" applyBorder="0" applyAlignment="0" applyProtection="0"/>
    <xf numFmtId="235" fontId="20" fillId="0" borderId="0" applyFont="0" applyFill="0" applyBorder="0" applyAlignment="0" applyProtection="0"/>
    <xf numFmtId="237" fontId="20" fillId="0" borderId="0"/>
    <xf numFmtId="238" fontId="60" fillId="0" borderId="0"/>
    <xf numFmtId="238" fontId="60" fillId="0" borderId="0"/>
    <xf numFmtId="236" fontId="79" fillId="0" borderId="0"/>
    <xf numFmtId="0" fontId="60" fillId="0" borderId="0"/>
    <xf numFmtId="236" fontId="66" fillId="0" borderId="0"/>
    <xf numFmtId="237" fontId="20" fillId="0" borderId="0"/>
    <xf numFmtId="238" fontId="60" fillId="0" borderId="0"/>
    <xf numFmtId="238" fontId="60" fillId="0" borderId="0"/>
    <xf numFmtId="0" fontId="60" fillId="0" borderId="0"/>
    <xf numFmtId="0" fontId="60" fillId="0" borderId="0"/>
    <xf numFmtId="239" fontId="60" fillId="0" borderId="0"/>
    <xf numFmtId="169" fontId="60" fillId="0" borderId="0"/>
    <xf numFmtId="240" fontId="60" fillId="0" borderId="0"/>
    <xf numFmtId="239" fontId="60" fillId="0" borderId="0"/>
    <xf numFmtId="169" fontId="60" fillId="0" borderId="0"/>
    <xf numFmtId="241" fontId="60" fillId="0" borderId="0"/>
    <xf numFmtId="241" fontId="60" fillId="0" borderId="0"/>
    <xf numFmtId="176" fontId="60" fillId="0" borderId="0"/>
    <xf numFmtId="240" fontId="60" fillId="0" borderId="0"/>
    <xf numFmtId="168" fontId="60" fillId="0" borderId="0"/>
    <xf numFmtId="176" fontId="60" fillId="0" borderId="0"/>
    <xf numFmtId="176" fontId="60" fillId="0" borderId="0"/>
    <xf numFmtId="0" fontId="60" fillId="0" borderId="0"/>
    <xf numFmtId="235" fontId="20" fillId="0" borderId="0" applyFont="0" applyFill="0" applyBorder="0" applyAlignment="0" applyProtection="0"/>
    <xf numFmtId="235" fontId="20" fillId="0" borderId="0" applyFont="0" applyFill="0" applyBorder="0" applyAlignment="0" applyProtection="0"/>
    <xf numFmtId="235" fontId="20" fillId="0" borderId="0" applyFont="0" applyFill="0" applyBorder="0" applyAlignment="0" applyProtection="0"/>
    <xf numFmtId="236" fontId="79" fillId="0" borderId="0"/>
    <xf numFmtId="236" fontId="79" fillId="0" borderId="0"/>
    <xf numFmtId="235" fontId="20" fillId="0" borderId="0" applyFont="0" applyFill="0" applyBorder="0" applyAlignment="0" applyProtection="0"/>
    <xf numFmtId="236" fontId="79" fillId="0" borderId="0"/>
    <xf numFmtId="236" fontId="79" fillId="0" borderId="0"/>
    <xf numFmtId="239" fontId="60" fillId="0" borderId="0"/>
    <xf numFmtId="169" fontId="60" fillId="0" borderId="0"/>
    <xf numFmtId="240" fontId="60" fillId="0" borderId="0"/>
    <xf numFmtId="239" fontId="60" fillId="0" borderId="0"/>
    <xf numFmtId="169" fontId="60" fillId="0" borderId="0"/>
    <xf numFmtId="241" fontId="60" fillId="0" borderId="0"/>
    <xf numFmtId="241" fontId="60" fillId="0" borderId="0"/>
    <xf numFmtId="176" fontId="60" fillId="0" borderId="0"/>
    <xf numFmtId="240" fontId="60" fillId="0" borderId="0"/>
    <xf numFmtId="168" fontId="60" fillId="0" borderId="0"/>
    <xf numFmtId="176" fontId="60" fillId="0" borderId="0"/>
    <xf numFmtId="176" fontId="60" fillId="0" borderId="0"/>
    <xf numFmtId="242" fontId="28" fillId="11" borderId="0" applyFont="0" applyFill="0" applyBorder="0" applyAlignment="0" applyProtection="0"/>
    <xf numFmtId="243" fontId="28" fillId="11" borderId="0" applyFont="0" applyFill="0" applyBorder="0" applyAlignment="0" applyProtection="0"/>
    <xf numFmtId="244" fontId="20" fillId="0" borderId="0" applyFont="0" applyFill="0" applyBorder="0" applyAlignment="0" applyProtection="0"/>
    <xf numFmtId="9" fontId="20" fillId="0" borderId="0" applyFont="0" applyFill="0" applyBorder="0" applyAlignment="0" applyProtection="0"/>
    <xf numFmtId="245" fontId="65" fillId="0" borderId="0" applyFont="0" applyFill="0" applyBorder="0" applyAlignment="0" applyProtection="0"/>
    <xf numFmtId="246" fontId="56" fillId="0" borderId="0" applyFont="0" applyFill="0" applyBorder="0" applyAlignment="0" applyProtection="0"/>
    <xf numFmtId="247" fontId="20" fillId="0" borderId="0" applyFont="0" applyFill="0" applyBorder="0" applyAlignment="0" applyProtection="0"/>
    <xf numFmtId="248" fontId="58" fillId="0" borderId="0" applyFont="0" applyFill="0" applyBorder="0" applyAlignment="0" applyProtection="0"/>
    <xf numFmtId="249" fontId="58" fillId="0" borderId="0" applyFont="0" applyFill="0" applyBorder="0" applyAlignment="0" applyProtection="0"/>
    <xf numFmtId="250" fontId="58" fillId="0" borderId="0" applyFont="0" applyFill="0" applyBorder="0" applyAlignment="0" applyProtection="0"/>
    <xf numFmtId="251" fontId="58" fillId="0" borderId="0" applyFont="0" applyFill="0" applyBorder="0" applyAlignment="0" applyProtection="0"/>
    <xf numFmtId="252" fontId="65" fillId="0" borderId="0" applyFont="0" applyFill="0" applyBorder="0" applyAlignment="0" applyProtection="0"/>
    <xf numFmtId="253" fontId="56" fillId="0" borderId="0" applyFont="0" applyFill="0" applyBorder="0" applyAlignment="0" applyProtection="0"/>
    <xf numFmtId="254" fontId="65" fillId="0" borderId="0" applyFont="0" applyFill="0" applyBorder="0" applyAlignment="0" applyProtection="0"/>
    <xf numFmtId="255" fontId="56" fillId="0" borderId="0" applyFont="0" applyFill="0" applyBorder="0" applyAlignment="0" applyProtection="0"/>
    <xf numFmtId="256" fontId="65" fillId="0" borderId="0" applyFont="0" applyFill="0" applyBorder="0" applyAlignment="0" applyProtection="0"/>
    <xf numFmtId="257" fontId="56" fillId="0" borderId="0" applyFont="0" applyFill="0" applyBorder="0" applyAlignment="0" applyProtection="0"/>
    <xf numFmtId="258" fontId="23" fillId="0" borderId="0" applyFont="0" applyFill="0" applyBorder="0" applyAlignment="0" applyProtection="0">
      <protection locked="0"/>
    </xf>
    <xf numFmtId="259" fontId="56" fillId="0" borderId="0" applyFont="0" applyFill="0" applyBorder="0" applyAlignment="0" applyProtection="0"/>
    <xf numFmtId="9" fontId="30" fillId="0" borderId="0" applyFont="0" applyFill="0" applyBorder="0" applyAlignment="0" applyProtection="0"/>
    <xf numFmtId="9" fontId="20" fillId="0" borderId="0" applyFont="0" applyFill="0" applyBorder="0" applyAlignment="0" applyProtection="0"/>
    <xf numFmtId="9" fontId="5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189" fontId="66" fillId="0" borderId="0" applyFill="0" applyBorder="0" applyAlignment="0" applyProtection="0"/>
    <xf numFmtId="9" fontId="70" fillId="0" borderId="0" applyBorder="0"/>
    <xf numFmtId="170" fontId="70" fillId="0" borderId="0" applyBorder="0"/>
    <xf numFmtId="10" fontId="70" fillId="0" borderId="0" applyBorder="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3" fontId="20" fillId="0" borderId="0">
      <alignment horizontal="left" vertical="top"/>
    </xf>
    <xf numFmtId="0" fontId="42" fillId="0" borderId="8">
      <alignment horizontal="center"/>
    </xf>
    <xf numFmtId="3" fontId="41" fillId="0" borderId="0" applyFont="0" applyFill="0" applyBorder="0" applyAlignment="0" applyProtection="0"/>
    <xf numFmtId="0" fontId="41" fillId="12" borderId="0" applyNumberFormat="0" applyFont="0" applyBorder="0" applyAlignment="0" applyProtection="0"/>
    <xf numFmtId="3" fontId="20" fillId="0" borderId="0">
      <alignment horizontal="right" vertical="top"/>
    </xf>
    <xf numFmtId="41" fontId="27" fillId="9" borderId="11" applyFill="0"/>
    <xf numFmtId="0" fontId="43" fillId="0" borderId="0">
      <alignment horizontal="left" indent="7"/>
    </xf>
    <xf numFmtId="41" fontId="27" fillId="0" borderId="11" applyFill="0">
      <alignment horizontal="left" indent="2"/>
    </xf>
    <xf numFmtId="172" fontId="44" fillId="0" borderId="1" applyFill="0">
      <alignment horizontal="right"/>
    </xf>
    <xf numFmtId="0" fontId="45" fillId="0" borderId="9" applyNumberFormat="0" applyFont="0" applyBorder="0">
      <alignment horizontal="right"/>
    </xf>
    <xf numFmtId="0" fontId="46" fillId="0" borderId="0" applyFill="0"/>
    <xf numFmtId="0" fontId="22" fillId="0" borderId="0" applyFill="0"/>
    <xf numFmtId="4" fontId="44" fillId="0" borderId="1" applyFill="0"/>
    <xf numFmtId="0" fontId="20" fillId="0" borderId="0" applyNumberFormat="0" applyFont="0" applyBorder="0" applyAlignment="0"/>
    <xf numFmtId="0" fontId="25" fillId="0" borderId="0" applyFill="0">
      <alignment horizontal="left" indent="1"/>
    </xf>
    <xf numFmtId="0" fontId="47" fillId="0" borderId="0" applyFill="0">
      <alignment horizontal="left" indent="1"/>
    </xf>
    <xf numFmtId="4" fontId="28" fillId="0" borderId="0" applyFill="0"/>
    <xf numFmtId="0" fontId="20" fillId="0" borderId="0" applyNumberFormat="0" applyFont="0" applyFill="0" applyBorder="0" applyAlignment="0"/>
    <xf numFmtId="0" fontId="25" fillId="0" borderId="0" applyFill="0">
      <alignment horizontal="left" indent="2"/>
    </xf>
    <xf numFmtId="0" fontId="22" fillId="0" borderId="0" applyFill="0">
      <alignment horizontal="left" indent="2"/>
    </xf>
    <xf numFmtId="4" fontId="28" fillId="0" borderId="0" applyFill="0"/>
    <xf numFmtId="0" fontId="20" fillId="0" borderId="0" applyNumberFormat="0" applyFont="0" applyBorder="0" applyAlignment="0"/>
    <xf numFmtId="0" fontId="48" fillId="0" borderId="0">
      <alignment horizontal="left" indent="3"/>
    </xf>
    <xf numFmtId="0" fontId="49" fillId="0" borderId="0" applyFill="0">
      <alignment horizontal="left" indent="3"/>
    </xf>
    <xf numFmtId="4" fontId="28" fillId="0" borderId="0" applyFill="0"/>
    <xf numFmtId="0" fontId="20" fillId="0" borderId="0" applyNumberFormat="0" applyFont="0" applyBorder="0" applyAlignment="0"/>
    <xf numFmtId="0" fontId="29" fillId="0" borderId="0">
      <alignment horizontal="left" indent="4"/>
    </xf>
    <xf numFmtId="0" fontId="30" fillId="0" borderId="0" applyFill="0">
      <alignment horizontal="left" indent="4"/>
    </xf>
    <xf numFmtId="0" fontId="20" fillId="0" borderId="0" applyFill="0">
      <alignment horizontal="left" indent="4"/>
    </xf>
    <xf numFmtId="4" fontId="31" fillId="0" borderId="0" applyFill="0"/>
    <xf numFmtId="0" fontId="20" fillId="0" borderId="0" applyNumberFormat="0" applyFont="0" applyBorder="0" applyAlignment="0"/>
    <xf numFmtId="0" fontId="32" fillId="0" borderId="0">
      <alignment horizontal="left" indent="5"/>
    </xf>
    <xf numFmtId="0" fontId="33" fillId="0" borderId="0" applyFill="0">
      <alignment horizontal="left" indent="5"/>
    </xf>
    <xf numFmtId="4" fontId="34" fillId="0" borderId="0" applyFill="0"/>
    <xf numFmtId="0" fontId="20" fillId="0" borderId="0" applyNumberFormat="0" applyFont="0" applyFill="0" applyBorder="0" applyAlignment="0"/>
    <xf numFmtId="0" fontId="35" fillId="0" borderId="0" applyFill="0">
      <alignment horizontal="left" indent="6"/>
    </xf>
    <xf numFmtId="0" fontId="31" fillId="0" borderId="0" applyFill="0">
      <alignment horizontal="left" indent="6"/>
    </xf>
    <xf numFmtId="0" fontId="69" fillId="0" borderId="12" applyNumberFormat="0" applyFont="0" applyFill="0" applyAlignment="0" applyProtection="0"/>
    <xf numFmtId="0" fontId="80" fillId="0" borderId="0" applyNumberFormat="0" applyFill="0" applyBorder="0" applyAlignment="0" applyProtection="0"/>
    <xf numFmtId="0" fontId="81" fillId="0" borderId="0"/>
    <xf numFmtId="0" fontId="81" fillId="0" borderId="0"/>
    <xf numFmtId="0" fontId="57" fillId="0" borderId="8">
      <alignment horizontal="right"/>
    </xf>
    <xf numFmtId="0" fontId="19" fillId="13" borderId="0"/>
    <xf numFmtId="260" fontId="67" fillId="0" borderId="0">
      <alignment horizontal="center"/>
    </xf>
    <xf numFmtId="261" fontId="82" fillId="0" borderId="0">
      <alignment horizontal="center"/>
    </xf>
    <xf numFmtId="0" fontId="83" fillId="0" borderId="0" applyNumberFormat="0" applyFill="0" applyBorder="0" applyAlignment="0" applyProtection="0"/>
    <xf numFmtId="0" fontId="84" fillId="0" borderId="0" applyNumberFormat="0" applyBorder="0" applyAlignment="0"/>
    <xf numFmtId="0" fontId="53" fillId="0" borderId="0" applyNumberFormat="0" applyBorder="0" applyAlignment="0"/>
    <xf numFmtId="0" fontId="20" fillId="9" borderId="4" applyNumberFormat="0" applyFont="0" applyAlignment="0"/>
    <xf numFmtId="0" fontId="69" fillId="3" borderId="0" applyNumberFormat="0" applyFont="0" applyBorder="0" applyAlignment="0" applyProtection="0"/>
    <xf numFmtId="242" fontId="85" fillId="0" borderId="7" applyNumberFormat="0" applyFont="0" applyFill="0" applyAlignment="0" applyProtection="0"/>
    <xf numFmtId="0" fontId="51" fillId="0" borderId="0" applyFill="0" applyBorder="0" applyProtection="0">
      <alignment horizontal="left" vertical="top"/>
    </xf>
    <xf numFmtId="0" fontId="86" fillId="0" borderId="0" applyAlignment="0">
      <alignment horizontal="centerContinuous"/>
    </xf>
    <xf numFmtId="0" fontId="20" fillId="0" borderId="3" applyNumberFormat="0" applyFont="0" applyFill="0" applyAlignment="0" applyProtection="0"/>
    <xf numFmtId="0" fontId="20" fillId="0" borderId="0" applyFont="0" applyFill="0" applyBorder="0" applyAlignment="0" applyProtection="0"/>
    <xf numFmtId="0" fontId="87" fillId="0" borderId="0" applyNumberFormat="0" applyFill="0" applyBorder="0" applyAlignment="0" applyProtection="0"/>
    <xf numFmtId="262" fontId="56" fillId="0" borderId="0" applyFont="0" applyFill="0" applyBorder="0" applyAlignment="0" applyProtection="0"/>
    <xf numFmtId="263" fontId="56" fillId="0" borderId="0" applyFont="0" applyFill="0" applyBorder="0" applyAlignment="0" applyProtection="0"/>
    <xf numFmtId="264" fontId="56" fillId="0" borderId="0" applyFont="0" applyFill="0" applyBorder="0" applyAlignment="0" applyProtection="0"/>
    <xf numFmtId="265" fontId="56" fillId="0" borderId="0" applyFont="0" applyFill="0" applyBorder="0" applyAlignment="0" applyProtection="0"/>
    <xf numFmtId="266" fontId="56" fillId="0" borderId="0" applyFont="0" applyFill="0" applyBorder="0" applyAlignment="0" applyProtection="0"/>
    <xf numFmtId="267" fontId="56" fillId="0" borderId="0" applyFont="0" applyFill="0" applyBorder="0" applyAlignment="0" applyProtection="0"/>
    <xf numFmtId="268" fontId="56" fillId="0" borderId="0" applyFont="0" applyFill="0" applyBorder="0" applyAlignment="0" applyProtection="0"/>
    <xf numFmtId="269" fontId="56" fillId="0" borderId="0" applyFont="0" applyFill="0" applyBorder="0" applyAlignment="0" applyProtection="0"/>
    <xf numFmtId="270" fontId="88" fillId="3" borderId="13" applyFont="0" applyFill="0" applyBorder="0" applyAlignment="0" applyProtection="0"/>
    <xf numFmtId="270" fontId="60" fillId="0" borderId="0" applyFont="0" applyFill="0" applyBorder="0" applyAlignment="0" applyProtection="0"/>
    <xf numFmtId="271" fontId="63" fillId="0" borderId="0" applyFont="0" applyFill="0" applyBorder="0" applyAlignment="0" applyProtection="0"/>
    <xf numFmtId="272" fontId="67" fillId="0" borderId="7" applyFont="0" applyFill="0" applyBorder="0" applyAlignment="0" applyProtection="0">
      <alignment horizontal="right"/>
      <protection locked="0"/>
    </xf>
    <xf numFmtId="43" fontId="16" fillId="0" borderId="0" applyFont="0" applyFill="0" applyBorder="0" applyAlignment="0" applyProtection="0"/>
    <xf numFmtId="43" fontId="8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0" fontId="102" fillId="0" borderId="0"/>
    <xf numFmtId="0" fontId="13" fillId="0" borderId="0"/>
    <xf numFmtId="43" fontId="13" fillId="0" borderId="0" applyFont="0" applyFill="0" applyBorder="0" applyAlignment="0" applyProtection="0"/>
    <xf numFmtId="0" fontId="20" fillId="0" borderId="0"/>
    <xf numFmtId="172" fontId="40" fillId="0" borderId="0" applyProtection="0"/>
    <xf numFmtId="0" fontId="12" fillId="0" borderId="0"/>
    <xf numFmtId="0" fontId="11" fillId="0" borderId="0"/>
    <xf numFmtId="172" fontId="40" fillId="0" borderId="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41" fontId="11" fillId="0" borderId="0" applyFont="0" applyFill="0" applyBorder="0" applyAlignment="0" applyProtection="0"/>
    <xf numFmtId="0" fontId="11" fillId="0" borderId="0"/>
    <xf numFmtId="43" fontId="20" fillId="0" borderId="0" applyFont="0" applyFill="0" applyBorder="0" applyAlignment="0" applyProtection="0"/>
    <xf numFmtId="0" fontId="20" fillId="0" borderId="0"/>
    <xf numFmtId="0" fontId="103" fillId="0" borderId="0"/>
    <xf numFmtId="0" fontId="10" fillId="0" borderId="0"/>
    <xf numFmtId="0" fontId="10" fillId="0" borderId="0"/>
    <xf numFmtId="9" fontId="16" fillId="0" borderId="0" applyFont="0" applyFill="0" applyBorder="0" applyAlignment="0" applyProtection="0"/>
    <xf numFmtId="43" fontId="16" fillId="0" borderId="0" applyFont="0" applyFill="0" applyBorder="0" applyAlignment="0" applyProtection="0"/>
    <xf numFmtId="0" fontId="10" fillId="0" borderId="0"/>
    <xf numFmtId="43" fontId="16" fillId="0" borderId="0" applyFon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7" fillId="0" borderId="0"/>
    <xf numFmtId="9" fontId="7" fillId="0" borderId="0" applyFont="0" applyFill="0" applyBorder="0" applyAlignment="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0" fontId="36" fillId="0" borderId="0" applyFont="0" applyFill="0" applyBorder="0" applyAlignment="0" applyProtection="0"/>
    <xf numFmtId="0"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40" fillId="0" borderId="0" applyProtection="0"/>
    <xf numFmtId="9" fontId="20" fillId="0" borderId="0" applyFont="0" applyFill="0" applyBorder="0" applyAlignment="0" applyProtection="0"/>
    <xf numFmtId="0" fontId="20"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2" fontId="40" fillId="0" borderId="0" applyProtection="0"/>
    <xf numFmtId="9" fontId="20" fillId="0" borderId="0" applyFont="0" applyFill="0" applyBorder="0" applyAlignment="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72" fontId="40" fillId="0" borderId="0" applyProtection="0"/>
    <xf numFmtId="44" fontId="20" fillId="0" borderId="0" applyFont="0" applyFill="0" applyBorder="0" applyAlignment="0" applyProtection="0"/>
    <xf numFmtId="44" fontId="20" fillId="0" borderId="0" applyFont="0" applyFill="0" applyBorder="0" applyAlignment="0" applyProtection="0"/>
    <xf numFmtId="172" fontId="40" fillId="0" borderId="0" applyProtection="0"/>
    <xf numFmtId="172" fontId="40" fillId="0" borderId="0" applyProtection="0"/>
    <xf numFmtId="9"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72" fontId="40" fillId="0" borderId="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2" fontId="40" fillId="0" borderId="0" applyProtection="0"/>
    <xf numFmtId="9"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172" fontId="40" fillId="0" borderId="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41" fillId="0" borderId="0" applyNumberFormat="0" applyFont="0" applyFill="0" applyBorder="0" applyProtection="0"/>
    <xf numFmtId="43" fontId="1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72" fontId="40" fillId="0" borderId="0" applyProtection="0"/>
    <xf numFmtId="0" fontId="136" fillId="0" borderId="0"/>
    <xf numFmtId="43" fontId="20" fillId="0" borderId="0" applyFont="0" applyFill="0" applyBorder="0" applyAlignment="0" applyProtection="0"/>
    <xf numFmtId="172" fontId="150" fillId="0" borderId="0" applyProtection="0"/>
    <xf numFmtId="9"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172" fontId="150" fillId="0" borderId="0" applyProtection="0"/>
    <xf numFmtId="0" fontId="20" fillId="0" borderId="0"/>
    <xf numFmtId="0" fontId="20" fillId="0" borderId="0"/>
    <xf numFmtId="172" fontId="150" fillId="0" borderId="0" applyProtection="0"/>
    <xf numFmtId="172" fontId="40" fillId="0" borderId="0" applyProtection="0"/>
    <xf numFmtId="0" fontId="20" fillId="0" borderId="0"/>
    <xf numFmtId="0" fontId="20" fillId="0" borderId="0"/>
    <xf numFmtId="9" fontId="20" fillId="0" borderId="0" applyFont="0" applyFill="0" applyBorder="0" applyAlignment="0" applyProtection="0"/>
    <xf numFmtId="43" fontId="5" fillId="0" borderId="0" applyFont="0" applyFill="0" applyBorder="0" applyAlignment="0" applyProtection="0"/>
    <xf numFmtId="0" fontId="5" fillId="0" borderId="0"/>
    <xf numFmtId="44" fontId="20" fillId="0" borderId="0" applyFont="0" applyFill="0" applyBorder="0" applyAlignment="0" applyProtection="0"/>
    <xf numFmtId="44" fontId="20" fillId="0" borderId="0" applyFont="0" applyFill="0" applyBorder="0" applyAlignment="0" applyProtection="0"/>
    <xf numFmtId="0" fontId="20" fillId="0" borderId="0"/>
    <xf numFmtId="0" fontId="151" fillId="0" borderId="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172" fontId="150" fillId="0" borderId="0" applyProtection="0"/>
    <xf numFmtId="9" fontId="20" fillId="0" borderId="0" applyFont="0" applyFill="0" applyBorder="0" applyAlignment="0" applyProtection="0"/>
    <xf numFmtId="172" fontId="150" fillId="0" borderId="0" applyProtection="0"/>
    <xf numFmtId="0" fontId="4" fillId="0" borderId="0"/>
    <xf numFmtId="0" fontId="3" fillId="0" borderId="0"/>
    <xf numFmtId="0" fontId="2" fillId="0" borderId="0"/>
    <xf numFmtId="0" fontId="1" fillId="0" borderId="0"/>
  </cellStyleXfs>
  <cellXfs count="1292">
    <xf numFmtId="172" fontId="0" fillId="0" borderId="0" xfId="0" applyAlignment="1"/>
    <xf numFmtId="0" fontId="60" fillId="0" borderId="0" xfId="201" applyNumberFormat="1" applyFont="1" applyFill="1" applyBorder="1" applyProtection="1">
      <protection locked="0"/>
    </xf>
    <xf numFmtId="0" fontId="60" fillId="0" borderId="0" xfId="201" applyNumberFormat="1" applyFont="1" applyFill="1" applyBorder="1"/>
    <xf numFmtId="172" fontId="60" fillId="0" borderId="0" xfId="211" applyFont="1" applyFill="1" applyAlignment="1" applyProtection="1"/>
    <xf numFmtId="3" fontId="60" fillId="0" borderId="0" xfId="211" applyNumberFormat="1" applyFont="1" applyFill="1" applyAlignment="1" applyProtection="1"/>
    <xf numFmtId="169" fontId="60" fillId="0" borderId="0" xfId="211" applyNumberFormat="1" applyFont="1" applyFill="1" applyBorder="1" applyAlignment="1" applyProtection="1"/>
    <xf numFmtId="172" fontId="60" fillId="0" borderId="0" xfId="0" applyFont="1" applyFill="1"/>
    <xf numFmtId="172" fontId="50" fillId="0" borderId="0" xfId="0" applyFont="1" applyAlignment="1"/>
    <xf numFmtId="169" fontId="50" fillId="0" borderId="0" xfId="0" applyNumberFormat="1" applyFont="1" applyAlignment="1"/>
    <xf numFmtId="169" fontId="60" fillId="0" borderId="0" xfId="211" applyNumberFormat="1" applyFont="1" applyFill="1" applyBorder="1" applyAlignment="1" applyProtection="1">
      <alignment vertical="top"/>
    </xf>
    <xf numFmtId="3" fontId="60" fillId="0" borderId="0" xfId="211" applyNumberFormat="1" applyFont="1" applyFill="1" applyAlignment="1" applyProtection="1">
      <alignment vertical="top"/>
    </xf>
    <xf numFmtId="173" fontId="50" fillId="0" borderId="0" xfId="59" applyNumberFormat="1" applyFont="1" applyAlignment="1"/>
    <xf numFmtId="172" fontId="60" fillId="0" borderId="0" xfId="0" applyNumberFormat="1" applyFont="1" applyFill="1" applyBorder="1" applyAlignment="1" applyProtection="1"/>
    <xf numFmtId="172" fontId="60" fillId="0" borderId="0" xfId="201" applyFont="1" applyFill="1" applyBorder="1" applyAlignment="1"/>
    <xf numFmtId="172" fontId="60" fillId="0" borderId="0" xfId="0" applyFont="1" applyFill="1" applyBorder="1" applyAlignment="1">
      <alignment horizontal="center"/>
    </xf>
    <xf numFmtId="172" fontId="130" fillId="0" borderId="0" xfId="0" applyFont="1" applyAlignment="1" applyProtection="1">
      <alignment vertical="center"/>
    </xf>
    <xf numFmtId="172" fontId="50" fillId="0" borderId="0" xfId="0" applyFont="1" applyAlignment="1" applyProtection="1"/>
    <xf numFmtId="172" fontId="50" fillId="0" borderId="0" xfId="0" applyFont="1" applyAlignment="1" applyProtection="1">
      <alignment horizontal="center"/>
    </xf>
    <xf numFmtId="0" fontId="60" fillId="0" borderId="0" xfId="188" applyFont="1" applyFill="1" applyProtection="1"/>
    <xf numFmtId="0" fontId="67" fillId="0" borderId="0" xfId="188" applyFont="1" applyFill="1" applyProtection="1"/>
    <xf numFmtId="0" fontId="60" fillId="0" borderId="0" xfId="188" applyFont="1" applyFill="1" applyAlignment="1" applyProtection="1">
      <alignment horizontal="right"/>
    </xf>
    <xf numFmtId="172" fontId="60" fillId="0" borderId="0" xfId="0" applyFont="1" applyFill="1" applyAlignment="1" applyProtection="1"/>
    <xf numFmtId="0" fontId="60" fillId="0" borderId="0" xfId="211" applyNumberFormat="1" applyFont="1" applyFill="1" applyAlignment="1" applyProtection="1"/>
    <xf numFmtId="172" fontId="60" fillId="0" borderId="0" xfId="211" applyNumberFormat="1" applyFont="1" applyFill="1" applyAlignment="1" applyProtection="1"/>
    <xf numFmtId="0" fontId="60" fillId="0" borderId="0" xfId="211" applyNumberFormat="1" applyFont="1" applyFill="1" applyAlignment="1" applyProtection="1">
      <alignment horizontal="center"/>
    </xf>
    <xf numFmtId="0" fontId="60" fillId="0" borderId="0" xfId="211" applyNumberFormat="1" applyFont="1" applyFill="1" applyProtection="1"/>
    <xf numFmtId="0" fontId="60" fillId="17" borderId="0" xfId="201" applyNumberFormat="1" applyFont="1" applyFill="1" applyAlignment="1" applyProtection="1">
      <alignment horizontal="right"/>
    </xf>
    <xf numFmtId="3" fontId="60" fillId="0" borderId="0" xfId="211" applyNumberFormat="1" applyFont="1" applyFill="1" applyAlignment="1" applyProtection="1">
      <alignment horizontal="center"/>
    </xf>
    <xf numFmtId="0" fontId="95" fillId="0" borderId="0" xfId="211" applyNumberFormat="1" applyFont="1" applyFill="1" applyProtection="1"/>
    <xf numFmtId="172" fontId="101" fillId="0" borderId="0" xfId="0" applyFont="1" applyFill="1" applyAlignment="1" applyProtection="1">
      <alignment horizontal="center" vertical="center"/>
    </xf>
    <xf numFmtId="49" fontId="60" fillId="0" borderId="0" xfId="211" applyNumberFormat="1" applyFont="1" applyFill="1" applyAlignment="1" applyProtection="1"/>
    <xf numFmtId="49" fontId="60" fillId="0" borderId="0" xfId="211" applyNumberFormat="1" applyFont="1" applyFill="1" applyAlignment="1" applyProtection="1">
      <alignment horizontal="center"/>
    </xf>
    <xf numFmtId="173" fontId="60" fillId="0" borderId="0" xfId="59" applyNumberFormat="1" applyFont="1" applyFill="1" applyProtection="1"/>
    <xf numFmtId="173" fontId="60" fillId="0" borderId="0" xfId="59" applyNumberFormat="1" applyFont="1" applyFill="1" applyAlignment="1" applyProtection="1">
      <alignment horizontal="center"/>
    </xf>
    <xf numFmtId="49" fontId="60" fillId="0" borderId="0" xfId="211" applyNumberFormat="1" applyFont="1" applyFill="1" applyProtection="1"/>
    <xf numFmtId="0" fontId="60" fillId="0" borderId="8" xfId="211" applyNumberFormat="1" applyFont="1" applyFill="1" applyBorder="1" applyAlignment="1" applyProtection="1">
      <alignment horizontal="center"/>
    </xf>
    <xf numFmtId="173" fontId="60" fillId="0" borderId="8" xfId="59" applyNumberFormat="1" applyFont="1" applyFill="1" applyBorder="1" applyAlignment="1" applyProtection="1">
      <alignment horizontal="center"/>
    </xf>
    <xf numFmtId="3" fontId="60" fillId="0" borderId="0" xfId="211" applyNumberFormat="1" applyFont="1" applyFill="1" applyProtection="1"/>
    <xf numFmtId="43" fontId="60" fillId="0" borderId="0" xfId="59" applyNumberFormat="1" applyFont="1" applyFill="1" applyProtection="1"/>
    <xf numFmtId="173" fontId="60" fillId="0" borderId="0" xfId="59" applyNumberFormat="1" applyFont="1" applyFill="1" applyAlignment="1" applyProtection="1"/>
    <xf numFmtId="0" fontId="60" fillId="0" borderId="8" xfId="211" applyNumberFormat="1" applyFont="1" applyFill="1" applyBorder="1" applyAlignment="1" applyProtection="1">
      <alignment horizontal="centerContinuous"/>
    </xf>
    <xf numFmtId="43" fontId="60" fillId="0" borderId="0" xfId="59" applyFont="1" applyFill="1" applyAlignment="1" applyProtection="1"/>
    <xf numFmtId="10" fontId="60" fillId="0" borderId="0" xfId="266" applyNumberFormat="1" applyFont="1" applyFill="1" applyAlignment="1" applyProtection="1"/>
    <xf numFmtId="3" fontId="60" fillId="0" borderId="0" xfId="188" applyNumberFormat="1" applyFont="1" applyFill="1" applyAlignment="1" applyProtection="1"/>
    <xf numFmtId="3" fontId="60" fillId="0" borderId="0" xfId="211" applyNumberFormat="1" applyFont="1" applyFill="1" applyBorder="1" applyProtection="1"/>
    <xf numFmtId="3" fontId="60" fillId="0" borderId="0" xfId="211" applyNumberFormat="1" applyFont="1" applyFill="1" applyAlignment="1" applyProtection="1">
      <alignment horizontal="left"/>
    </xf>
    <xf numFmtId="173" fontId="60" fillId="0" borderId="8" xfId="59" applyNumberFormat="1" applyFont="1" applyFill="1" applyBorder="1" applyAlignment="1" applyProtection="1"/>
    <xf numFmtId="3" fontId="60" fillId="0" borderId="0" xfId="211" applyNumberFormat="1" applyFont="1" applyFill="1" applyAlignment="1" applyProtection="1">
      <alignment horizontal="fill"/>
    </xf>
    <xf numFmtId="173" fontId="60" fillId="0" borderId="18" xfId="59" applyNumberFormat="1" applyFont="1" applyFill="1" applyBorder="1" applyAlignment="1" applyProtection="1">
      <alignment horizontal="right"/>
    </xf>
    <xf numFmtId="43" fontId="60" fillId="0" borderId="0" xfId="211" applyNumberFormat="1" applyFont="1" applyFill="1" applyProtection="1"/>
    <xf numFmtId="0" fontId="60" fillId="0" borderId="0" xfId="206" applyNumberFormat="1" applyFont="1" applyFill="1" applyBorder="1" applyProtection="1"/>
    <xf numFmtId="3" fontId="60" fillId="0" borderId="0" xfId="211" applyNumberFormat="1" applyFont="1" applyFill="1" applyBorder="1" applyAlignment="1" applyProtection="1">
      <alignment horizontal="fill"/>
    </xf>
    <xf numFmtId="3" fontId="60" fillId="0" borderId="0" xfId="211" applyNumberFormat="1" applyFont="1" applyFill="1" applyBorder="1" applyAlignment="1" applyProtection="1"/>
    <xf numFmtId="173" fontId="60" fillId="0" borderId="0" xfId="59" applyNumberFormat="1" applyFont="1" applyFill="1" applyBorder="1" applyAlignment="1" applyProtection="1"/>
    <xf numFmtId="0" fontId="60" fillId="0" borderId="0" xfId="211" applyNumberFormat="1" applyFont="1" applyFill="1" applyBorder="1" applyProtection="1"/>
    <xf numFmtId="0" fontId="60" fillId="0" borderId="0" xfId="206" applyNumberFormat="1" applyFont="1" applyFill="1" applyAlignment="1" applyProtection="1"/>
    <xf numFmtId="173" fontId="60" fillId="0" borderId="0" xfId="59" applyNumberFormat="1" applyFont="1" applyFill="1" applyBorder="1" applyProtection="1"/>
    <xf numFmtId="0" fontId="60" fillId="0" borderId="0" xfId="206" applyNumberFormat="1" applyFont="1" applyFill="1" applyAlignment="1" applyProtection="1">
      <alignment horizontal="center"/>
    </xf>
    <xf numFmtId="0" fontId="60" fillId="0" borderId="0" xfId="206" applyNumberFormat="1" applyFont="1" applyFill="1" applyBorder="1" applyAlignment="1" applyProtection="1">
      <alignment horizontal="left"/>
    </xf>
    <xf numFmtId="43" fontId="60" fillId="0" borderId="0" xfId="59" applyFont="1" applyFill="1" applyBorder="1" applyAlignment="1" applyProtection="1"/>
    <xf numFmtId="0" fontId="60" fillId="0" borderId="0" xfId="206" applyNumberFormat="1" applyFont="1" applyFill="1" applyBorder="1" applyAlignment="1" applyProtection="1"/>
    <xf numFmtId="166" fontId="60" fillId="0" borderId="0" xfId="206" applyNumberFormat="1" applyFont="1" applyFill="1" applyBorder="1" applyAlignment="1" applyProtection="1"/>
    <xf numFmtId="172" fontId="60" fillId="0" borderId="0" xfId="0" applyFont="1" applyFill="1" applyBorder="1" applyAlignment="1" applyProtection="1"/>
    <xf numFmtId="0" fontId="60" fillId="0" borderId="0" xfId="206" applyFont="1" applyFill="1" applyBorder="1" applyAlignment="1" applyProtection="1"/>
    <xf numFmtId="173" fontId="60" fillId="0" borderId="0" xfId="211" applyNumberFormat="1" applyFont="1" applyFill="1" applyBorder="1" applyProtection="1"/>
    <xf numFmtId="3" fontId="60" fillId="0" borderId="0" xfId="206" applyNumberFormat="1" applyFont="1" applyFill="1" applyBorder="1" applyAlignment="1" applyProtection="1"/>
    <xf numFmtId="173" fontId="60" fillId="0" borderId="0" xfId="59" applyNumberFormat="1" applyFont="1" applyFill="1" applyBorder="1" applyAlignment="1" applyProtection="1">
      <alignment horizontal="right"/>
    </xf>
    <xf numFmtId="172" fontId="60" fillId="0" borderId="0" xfId="211" applyFont="1" applyFill="1" applyBorder="1" applyAlignment="1" applyProtection="1"/>
    <xf numFmtId="0" fontId="60" fillId="0" borderId="0" xfId="211" applyNumberFormat="1" applyFont="1" applyFill="1" applyBorder="1" applyAlignment="1" applyProtection="1">
      <alignment horizontal="center"/>
    </xf>
    <xf numFmtId="0" fontId="60" fillId="0" borderId="0" xfId="211" applyNumberFormat="1" applyFont="1" applyFill="1" applyBorder="1" applyAlignment="1" applyProtection="1"/>
    <xf numFmtId="171" fontId="60" fillId="0" borderId="0" xfId="211" applyNumberFormat="1" applyFont="1" applyFill="1" applyBorder="1" applyProtection="1"/>
    <xf numFmtId="171" fontId="60" fillId="0" borderId="0" xfId="211" applyNumberFormat="1" applyFont="1" applyFill="1" applyProtection="1"/>
    <xf numFmtId="169" fontId="60" fillId="0" borderId="0" xfId="211" applyNumberFormat="1" applyFont="1" applyFill="1" applyProtection="1"/>
    <xf numFmtId="278" fontId="60" fillId="0" borderId="0" xfId="211" applyNumberFormat="1" applyFont="1" applyFill="1" applyProtection="1"/>
    <xf numFmtId="168" fontId="60" fillId="0" borderId="0" xfId="211" applyNumberFormat="1" applyFont="1" applyFill="1" applyProtection="1"/>
    <xf numFmtId="0" fontId="60" fillId="0" borderId="0" xfId="211" applyNumberFormat="1" applyFont="1" applyFill="1" applyAlignment="1" applyProtection="1">
      <alignment horizontal="right"/>
    </xf>
    <xf numFmtId="3" fontId="67" fillId="0" borderId="0" xfId="211" applyNumberFormat="1" applyFont="1" applyFill="1" applyAlignment="1" applyProtection="1">
      <alignment horizontal="center"/>
    </xf>
    <xf numFmtId="0" fontId="67" fillId="0" borderId="0" xfId="211" applyNumberFormat="1" applyFont="1" applyFill="1" applyAlignment="1" applyProtection="1">
      <alignment horizontal="center"/>
    </xf>
    <xf numFmtId="172" fontId="67" fillId="0" borderId="0" xfId="211" applyFont="1" applyFill="1" applyAlignment="1" applyProtection="1">
      <alignment horizontal="center"/>
    </xf>
    <xf numFmtId="3" fontId="67" fillId="0" borderId="0" xfId="211" applyNumberFormat="1" applyFont="1" applyFill="1" applyAlignment="1" applyProtection="1"/>
    <xf numFmtId="0" fontId="67" fillId="0" borderId="0" xfId="211" applyNumberFormat="1" applyFont="1" applyFill="1" applyAlignment="1" applyProtection="1"/>
    <xf numFmtId="165" fontId="60" fillId="0" borderId="0" xfId="211" applyNumberFormat="1" applyFont="1" applyFill="1" applyAlignment="1" applyProtection="1"/>
    <xf numFmtId="10" fontId="60" fillId="0" borderId="0" xfId="266" applyNumberFormat="1" applyFont="1" applyFill="1" applyAlignment="1" applyProtection="1">
      <alignment horizontal="center"/>
    </xf>
    <xf numFmtId="164" fontId="60" fillId="0" borderId="0" xfId="211" applyNumberFormat="1" applyFont="1" applyFill="1" applyAlignment="1" applyProtection="1">
      <alignment horizontal="center"/>
    </xf>
    <xf numFmtId="10" fontId="60" fillId="0" borderId="0" xfId="266" applyNumberFormat="1" applyFont="1" applyFill="1" applyAlignment="1" applyProtection="1">
      <alignment horizontal="right"/>
    </xf>
    <xf numFmtId="0" fontId="60" fillId="0" borderId="0" xfId="206" applyFont="1" applyFill="1" applyAlignment="1" applyProtection="1"/>
    <xf numFmtId="3" fontId="60" fillId="0" borderId="0" xfId="206" applyNumberFormat="1" applyFont="1" applyFill="1" applyAlignment="1" applyProtection="1"/>
    <xf numFmtId="10" fontId="60" fillId="0" borderId="0" xfId="266" applyNumberFormat="1" applyFont="1" applyFill="1" applyBorder="1" applyAlignment="1" applyProtection="1"/>
    <xf numFmtId="172" fontId="60" fillId="0" borderId="0" xfId="0" applyFont="1" applyFill="1" applyProtection="1"/>
    <xf numFmtId="172" fontId="60" fillId="0" borderId="0" xfId="0" applyFont="1" applyFill="1" applyBorder="1" applyProtection="1"/>
    <xf numFmtId="3" fontId="60" fillId="0" borderId="0" xfId="211" quotePrefix="1" applyNumberFormat="1" applyFont="1" applyFill="1" applyAlignment="1" applyProtection="1">
      <alignment horizontal="left"/>
    </xf>
    <xf numFmtId="0" fontId="60" fillId="0" borderId="0" xfId="188" applyNumberFormat="1" applyFont="1" applyFill="1" applyProtection="1"/>
    <xf numFmtId="173" fontId="60" fillId="0" borderId="18" xfId="59" applyNumberFormat="1" applyFont="1" applyFill="1" applyBorder="1" applyAlignment="1" applyProtection="1"/>
    <xf numFmtId="164" fontId="60" fillId="0" borderId="0" xfId="188" applyNumberFormat="1" applyFont="1" applyFill="1" applyAlignment="1" applyProtection="1">
      <alignment horizontal="center"/>
    </xf>
    <xf numFmtId="0" fontId="50" fillId="0" borderId="0" xfId="0" applyNumberFormat="1" applyFont="1" applyFill="1" applyBorder="1" applyAlignment="1" applyProtection="1">
      <alignment horizontal="left"/>
    </xf>
    <xf numFmtId="172" fontId="50" fillId="0" borderId="0" xfId="0" applyFont="1" applyFill="1" applyProtection="1"/>
    <xf numFmtId="172" fontId="50" fillId="0" borderId="0" xfId="0" applyFont="1" applyFill="1" applyBorder="1" applyAlignment="1" applyProtection="1">
      <alignment horizontal="left"/>
    </xf>
    <xf numFmtId="3" fontId="50" fillId="0" borderId="0" xfId="0" applyNumberFormat="1" applyFont="1" applyFill="1" applyBorder="1" applyAlignment="1" applyProtection="1"/>
    <xf numFmtId="172" fontId="50" fillId="0" borderId="0" xfId="0" applyFont="1" applyFill="1" applyBorder="1" applyProtection="1"/>
    <xf numFmtId="3" fontId="50" fillId="0" borderId="0" xfId="0" applyNumberFormat="1" applyFont="1" applyFill="1" applyBorder="1" applyAlignment="1" applyProtection="1">
      <alignment horizontal="right"/>
    </xf>
    <xf numFmtId="3" fontId="60" fillId="0" borderId="0" xfId="188" applyNumberFormat="1" applyFont="1" applyFill="1" applyBorder="1" applyAlignment="1" applyProtection="1"/>
    <xf numFmtId="172" fontId="133" fillId="0" borderId="0" xfId="0" applyFont="1" applyFill="1" applyBorder="1" applyAlignment="1" applyProtection="1">
      <alignment horizontal="center"/>
    </xf>
    <xf numFmtId="3" fontId="60" fillId="0" borderId="0" xfId="211" applyNumberFormat="1" applyFont="1" applyFill="1" applyAlignment="1" applyProtection="1">
      <alignment horizontal="right"/>
    </xf>
    <xf numFmtId="172" fontId="50" fillId="0" borderId="0" xfId="0" applyFont="1" applyFill="1" applyAlignment="1" applyProtection="1">
      <alignment horizontal="center"/>
    </xf>
    <xf numFmtId="3" fontId="60" fillId="0" borderId="0" xfId="211" quotePrefix="1" applyNumberFormat="1" applyFont="1" applyFill="1" applyAlignment="1" applyProtection="1"/>
    <xf numFmtId="0" fontId="60" fillId="0" borderId="0" xfId="211" applyNumberFormat="1" applyFont="1" applyFill="1" applyAlignment="1" applyProtection="1">
      <alignment wrapText="1"/>
    </xf>
    <xf numFmtId="3" fontId="60" fillId="0" borderId="0" xfId="211" applyNumberFormat="1" applyFont="1" applyFill="1" applyAlignment="1" applyProtection="1">
      <alignment wrapText="1"/>
    </xf>
    <xf numFmtId="0" fontId="60" fillId="0" borderId="0" xfId="211" quotePrefix="1" applyNumberFormat="1" applyFont="1" applyFill="1" applyAlignment="1" applyProtection="1">
      <alignment horizontal="left"/>
    </xf>
    <xf numFmtId="0" fontId="60" fillId="0" borderId="0" xfId="211" applyNumberFormat="1" applyFont="1" applyFill="1" applyAlignment="1" applyProtection="1">
      <alignment horizontal="left" indent="2"/>
    </xf>
    <xf numFmtId="0" fontId="60" fillId="0" borderId="0" xfId="0" applyNumberFormat="1" applyFont="1" applyFill="1" applyAlignment="1" applyProtection="1">
      <alignment horizontal="left"/>
    </xf>
    <xf numFmtId="164" fontId="60" fillId="0" borderId="0" xfId="211" applyNumberFormat="1" applyFont="1" applyFill="1" applyAlignment="1" applyProtection="1">
      <alignment horizontal="left"/>
    </xf>
    <xf numFmtId="182" fontId="60" fillId="0" borderId="0" xfId="59" applyNumberFormat="1" applyFont="1" applyFill="1" applyAlignment="1" applyProtection="1">
      <alignment horizontal="right"/>
    </xf>
    <xf numFmtId="10" fontId="60" fillId="0" borderId="0" xfId="211" applyNumberFormat="1" applyFont="1" applyFill="1" applyAlignment="1" applyProtection="1">
      <alignment horizontal="left"/>
    </xf>
    <xf numFmtId="173" fontId="60" fillId="0" borderId="0" xfId="59" applyNumberFormat="1" applyFont="1" applyFill="1" applyAlignment="1" applyProtection="1">
      <alignment horizontal="right"/>
    </xf>
    <xf numFmtId="0" fontId="60" fillId="0" borderId="0" xfId="188" applyFont="1" applyFill="1" applyAlignment="1" applyProtection="1"/>
    <xf numFmtId="173" fontId="60" fillId="0" borderId="8" xfId="59" applyNumberFormat="1" applyFont="1" applyFill="1" applyBorder="1" applyAlignment="1" applyProtection="1">
      <alignment horizontal="right"/>
    </xf>
    <xf numFmtId="166" fontId="60" fillId="0" borderId="0" xfId="188" applyNumberFormat="1" applyFont="1" applyFill="1" applyAlignment="1" applyProtection="1"/>
    <xf numFmtId="167" fontId="60" fillId="0" borderId="0" xfId="211" applyNumberFormat="1" applyFont="1" applyFill="1" applyAlignment="1" applyProtection="1"/>
    <xf numFmtId="166" fontId="60" fillId="0" borderId="0" xfId="211" applyNumberFormat="1" applyFont="1" applyFill="1" applyAlignment="1" applyProtection="1"/>
    <xf numFmtId="166" fontId="60" fillId="0" borderId="0" xfId="188" applyNumberFormat="1" applyFont="1" applyFill="1" applyAlignment="1" applyProtection="1">
      <alignment horizontal="center"/>
    </xf>
    <xf numFmtId="173" fontId="60" fillId="0" borderId="14" xfId="59" applyNumberFormat="1" applyFont="1" applyFill="1" applyBorder="1" applyAlignment="1" applyProtection="1"/>
    <xf numFmtId="0" fontId="60" fillId="0" borderId="0" xfId="188" applyNumberFormat="1" applyFont="1" applyFill="1" applyAlignment="1" applyProtection="1"/>
    <xf numFmtId="172" fontId="60" fillId="0" borderId="0" xfId="211" applyFont="1" applyFill="1" applyAlignment="1" applyProtection="1">
      <alignment horizontal="center"/>
    </xf>
    <xf numFmtId="172" fontId="60" fillId="0" borderId="0" xfId="211" applyFont="1" applyFill="1" applyAlignment="1" applyProtection="1">
      <alignment horizontal="right"/>
    </xf>
    <xf numFmtId="0" fontId="90" fillId="0" borderId="0" xfId="211" applyNumberFormat="1" applyFont="1" applyFill="1" applyAlignment="1" applyProtection="1">
      <alignment horizontal="center"/>
    </xf>
    <xf numFmtId="3" fontId="90" fillId="0" borderId="0" xfId="211" applyNumberFormat="1" applyFont="1" applyFill="1" applyAlignment="1" applyProtection="1"/>
    <xf numFmtId="172" fontId="90" fillId="0" borderId="0" xfId="0" applyFont="1" applyFill="1" applyAlignment="1" applyProtection="1"/>
    <xf numFmtId="0" fontId="60" fillId="0" borderId="8" xfId="211" applyNumberFormat="1" applyFont="1" applyFill="1" applyBorder="1" applyProtection="1"/>
    <xf numFmtId="3" fontId="60" fillId="0" borderId="8" xfId="211" applyNumberFormat="1" applyFont="1" applyFill="1" applyBorder="1" applyAlignment="1" applyProtection="1"/>
    <xf numFmtId="3" fontId="60" fillId="0" borderId="8" xfId="211" applyNumberFormat="1" applyFont="1" applyFill="1" applyBorder="1" applyAlignment="1" applyProtection="1">
      <alignment horizontal="center"/>
    </xf>
    <xf numFmtId="170" fontId="60" fillId="0" borderId="0" xfId="266" applyNumberFormat="1" applyFont="1" applyFill="1" applyAlignment="1" applyProtection="1"/>
    <xf numFmtId="4" fontId="60" fillId="0" borderId="0" xfId="211" applyNumberFormat="1" applyFont="1" applyFill="1" applyAlignment="1" applyProtection="1"/>
    <xf numFmtId="3" fontId="60" fillId="0" borderId="0" xfId="188" applyNumberFormat="1" applyFont="1" applyFill="1" applyBorder="1" applyAlignment="1" applyProtection="1">
      <alignment horizontal="center"/>
    </xf>
    <xf numFmtId="0" fontId="60" fillId="0" borderId="0" xfId="188" applyNumberFormat="1" applyFont="1" applyFill="1" applyAlignment="1" applyProtection="1">
      <alignment horizontal="center"/>
    </xf>
    <xf numFmtId="10" fontId="60" fillId="0" borderId="8" xfId="266" applyNumberFormat="1" applyFont="1" applyFill="1" applyBorder="1" applyAlignment="1" applyProtection="1">
      <alignment horizontal="center"/>
    </xf>
    <xf numFmtId="168" fontId="60" fillId="0" borderId="0" xfId="211" applyNumberFormat="1" applyFont="1" applyFill="1" applyAlignment="1" applyProtection="1"/>
    <xf numFmtId="169" fontId="60" fillId="0" borderId="0" xfId="211" applyNumberFormat="1" applyFont="1" applyFill="1" applyAlignment="1" applyProtection="1">
      <alignment horizontal="right"/>
    </xf>
    <xf numFmtId="3" fontId="60" fillId="0" borderId="0" xfId="211" applyNumberFormat="1" applyFont="1" applyFill="1" applyAlignment="1" applyProtection="1">
      <alignment vertical="top" wrapText="1"/>
    </xf>
    <xf numFmtId="0" fontId="60" fillId="0" borderId="0" xfId="211" applyNumberFormat="1" applyFont="1" applyFill="1" applyAlignment="1" applyProtection="1">
      <alignment vertical="top" wrapText="1"/>
    </xf>
    <xf numFmtId="0" fontId="60" fillId="0" borderId="0" xfId="211" applyNumberFormat="1" applyFont="1" applyFill="1" applyAlignment="1" applyProtection="1">
      <alignment vertical="top"/>
    </xf>
    <xf numFmtId="10" fontId="60" fillId="0" borderId="0" xfId="266" applyNumberFormat="1" applyFont="1" applyFill="1" applyAlignment="1" applyProtection="1">
      <alignment vertical="top"/>
    </xf>
    <xf numFmtId="43" fontId="60" fillId="0" borderId="0" xfId="59" applyFont="1" applyFill="1" applyAlignment="1" applyProtection="1">
      <alignment vertical="top"/>
    </xf>
    <xf numFmtId="0" fontId="60" fillId="0" borderId="0" xfId="188" quotePrefix="1" applyNumberFormat="1" applyFont="1" applyFill="1" applyAlignment="1" applyProtection="1">
      <alignment vertical="top" wrapText="1"/>
    </xf>
    <xf numFmtId="0" fontId="60" fillId="0" borderId="0" xfId="188" applyNumberFormat="1" applyFont="1" applyFill="1" applyAlignment="1" applyProtection="1">
      <alignment vertical="top" wrapText="1"/>
    </xf>
    <xf numFmtId="0" fontId="60" fillId="0" borderId="0" xfId="188" applyNumberFormat="1" applyFont="1" applyFill="1" applyAlignment="1" applyProtection="1">
      <alignment vertical="top"/>
    </xf>
    <xf numFmtId="172" fontId="60" fillId="0" borderId="0" xfId="0" applyFont="1" applyFill="1" applyAlignment="1" applyProtection="1">
      <alignment vertical="top"/>
    </xf>
    <xf numFmtId="0" fontId="60" fillId="0" borderId="0" xfId="388" applyFont="1" applyFill="1" applyAlignment="1" applyProtection="1">
      <alignment vertical="center"/>
    </xf>
    <xf numFmtId="172" fontId="60" fillId="0" borderId="0" xfId="201" applyFont="1" applyFill="1" applyBorder="1" applyAlignment="1" applyProtection="1"/>
    <xf numFmtId="172" fontId="60" fillId="0" borderId="0" xfId="201" applyFont="1" applyFill="1" applyBorder="1" applyAlignment="1" applyProtection="1">
      <alignment horizontal="right"/>
    </xf>
    <xf numFmtId="0" fontId="60" fillId="0" borderId="0" xfId="201" applyNumberFormat="1" applyFont="1" applyFill="1" applyBorder="1" applyAlignment="1" applyProtection="1"/>
    <xf numFmtId="0" fontId="60" fillId="0" borderId="0" xfId="201" applyNumberFormat="1" applyFont="1" applyFill="1" applyBorder="1" applyAlignment="1" applyProtection="1">
      <alignment horizontal="center"/>
    </xf>
    <xf numFmtId="0" fontId="60" fillId="0" borderId="0" xfId="201" applyNumberFormat="1" applyFont="1" applyFill="1" applyBorder="1" applyProtection="1"/>
    <xf numFmtId="0" fontId="60" fillId="0" borderId="0" xfId="201" applyNumberFormat="1" applyFont="1" applyFill="1" applyAlignment="1" applyProtection="1">
      <alignment horizontal="right"/>
    </xf>
    <xf numFmtId="173" fontId="92" fillId="0" borderId="0" xfId="59" applyNumberFormat="1" applyFont="1" applyFill="1" applyBorder="1" applyProtection="1"/>
    <xf numFmtId="3" fontId="60" fillId="0" borderId="0" xfId="201" applyNumberFormat="1" applyFont="1" applyFill="1" applyBorder="1" applyAlignment="1" applyProtection="1"/>
    <xf numFmtId="0" fontId="92" fillId="0" borderId="0" xfId="201" applyNumberFormat="1" applyFont="1" applyFill="1" applyBorder="1" applyAlignment="1" applyProtection="1">
      <alignment horizontal="center"/>
    </xf>
    <xf numFmtId="0" fontId="92" fillId="0" borderId="0" xfId="201" applyNumberFormat="1" applyFont="1" applyFill="1" applyBorder="1" applyProtection="1"/>
    <xf numFmtId="49" fontId="60" fillId="0" borderId="0" xfId="201" applyNumberFormat="1" applyFont="1" applyFill="1" applyBorder="1" applyProtection="1"/>
    <xf numFmtId="3" fontId="60" fillId="0" borderId="0" xfId="201" applyNumberFormat="1" applyFont="1" applyFill="1" applyBorder="1" applyProtection="1"/>
    <xf numFmtId="49" fontId="60" fillId="0" borderId="0" xfId="201" applyNumberFormat="1" applyFont="1" applyFill="1" applyBorder="1" applyAlignment="1" applyProtection="1">
      <alignment horizontal="center"/>
    </xf>
    <xf numFmtId="3" fontId="67" fillId="0" borderId="0" xfId="201" applyNumberFormat="1" applyFont="1" applyFill="1" applyBorder="1" applyAlignment="1" applyProtection="1">
      <alignment horizontal="center"/>
    </xf>
    <xf numFmtId="173" fontId="60" fillId="0" borderId="0" xfId="59" applyNumberFormat="1" applyFont="1" applyFill="1" applyBorder="1" applyAlignment="1" applyProtection="1">
      <alignment horizontal="center"/>
    </xf>
    <xf numFmtId="172" fontId="67" fillId="0" borderId="0" xfId="201" applyFont="1" applyFill="1" applyBorder="1" applyAlignment="1" applyProtection="1">
      <alignment horizontal="center"/>
    </xf>
    <xf numFmtId="0" fontId="67" fillId="0" borderId="0" xfId="201" applyNumberFormat="1" applyFont="1" applyFill="1" applyBorder="1" applyAlignment="1" applyProtection="1">
      <alignment horizontal="center"/>
    </xf>
    <xf numFmtId="0" fontId="67" fillId="0" borderId="0" xfId="201" applyNumberFormat="1" applyFont="1" applyFill="1" applyBorder="1" applyAlignment="1" applyProtection="1"/>
    <xf numFmtId="0" fontId="93" fillId="0" borderId="0" xfId="201" applyNumberFormat="1" applyFont="1" applyFill="1" applyBorder="1" applyAlignment="1" applyProtection="1">
      <alignment horizontal="center"/>
    </xf>
    <xf numFmtId="3" fontId="60" fillId="0" borderId="0" xfId="201" applyNumberFormat="1" applyFont="1" applyFill="1" applyBorder="1" applyAlignment="1" applyProtection="1">
      <alignment horizontal="center"/>
    </xf>
    <xf numFmtId="3" fontId="60" fillId="0" borderId="0" xfId="201" applyNumberFormat="1" applyFont="1" applyFill="1" applyBorder="1" applyAlignment="1" applyProtection="1">
      <alignment horizontal="left"/>
    </xf>
    <xf numFmtId="43" fontId="60" fillId="0" borderId="0" xfId="59" applyNumberFormat="1" applyFont="1" applyFill="1" applyBorder="1" applyAlignment="1" applyProtection="1"/>
    <xf numFmtId="43" fontId="81" fillId="0" borderId="0" xfId="59" applyNumberFormat="1" applyFont="1" applyFill="1" applyBorder="1" applyAlignment="1" applyProtection="1"/>
    <xf numFmtId="10" fontId="81" fillId="0" borderId="0" xfId="266" applyNumberFormat="1" applyFont="1" applyFill="1" applyBorder="1" applyAlignment="1" applyProtection="1"/>
    <xf numFmtId="10" fontId="67" fillId="0" borderId="0" xfId="201" applyNumberFormat="1" applyFont="1" applyFill="1" applyBorder="1" applyAlignment="1" applyProtection="1"/>
    <xf numFmtId="3" fontId="67" fillId="0" borderId="0" xfId="201" applyNumberFormat="1" applyFont="1" applyFill="1" applyBorder="1" applyAlignment="1" applyProtection="1"/>
    <xf numFmtId="165" fontId="67" fillId="0" borderId="0" xfId="201" applyNumberFormat="1" applyFont="1" applyFill="1" applyBorder="1" applyAlignment="1" applyProtection="1"/>
    <xf numFmtId="10" fontId="60" fillId="0" borderId="0" xfId="201" applyNumberFormat="1" applyFont="1" applyFill="1" applyBorder="1" applyAlignment="1" applyProtection="1"/>
    <xf numFmtId="172" fontId="60" fillId="0" borderId="0" xfId="201" applyFont="1" applyFill="1" applyBorder="1" applyAlignment="1" applyProtection="1">
      <alignment horizontal="left"/>
    </xf>
    <xf numFmtId="172" fontId="60" fillId="0" borderId="0" xfId="201" applyFont="1" applyFill="1" applyBorder="1" applyAlignment="1" applyProtection="1">
      <alignment horizontal="center"/>
    </xf>
    <xf numFmtId="43" fontId="60" fillId="0" borderId="0" xfId="59" applyFont="1" applyFill="1" applyBorder="1" applyAlignment="1" applyProtection="1">
      <alignment horizontal="center"/>
    </xf>
    <xf numFmtId="49" fontId="67" fillId="0" borderId="0" xfId="201" applyNumberFormat="1" applyFont="1" applyFill="1" applyBorder="1" applyAlignment="1" applyProtection="1">
      <alignment horizontal="center"/>
    </xf>
    <xf numFmtId="172" fontId="67" fillId="0" borderId="0" xfId="201" applyFont="1" applyFill="1" applyBorder="1" applyAlignment="1" applyProtection="1"/>
    <xf numFmtId="3" fontId="67" fillId="0" borderId="0" xfId="201" applyNumberFormat="1" applyFont="1" applyFill="1" applyBorder="1" applyAlignment="1" applyProtection="1">
      <alignment horizontal="left"/>
    </xf>
    <xf numFmtId="43" fontId="67" fillId="0" borderId="0" xfId="59" applyNumberFormat="1" applyFont="1" applyFill="1" applyBorder="1" applyAlignment="1" applyProtection="1"/>
    <xf numFmtId="10" fontId="67" fillId="0" borderId="0" xfId="266" applyNumberFormat="1" applyFont="1" applyFill="1" applyBorder="1" applyAlignment="1" applyProtection="1"/>
    <xf numFmtId="0" fontId="60" fillId="0" borderId="0" xfId="201" applyNumberFormat="1" applyFont="1" applyFill="1" applyBorder="1" applyAlignment="1" applyProtection="1">
      <alignment horizontal="fill"/>
    </xf>
    <xf numFmtId="172" fontId="91" fillId="0" borderId="0" xfId="201" applyFont="1" applyFill="1" applyBorder="1" applyAlignment="1" applyProtection="1"/>
    <xf numFmtId="3" fontId="91" fillId="0" borderId="0" xfId="201" applyNumberFormat="1" applyFont="1" applyFill="1" applyBorder="1" applyAlignment="1" applyProtection="1"/>
    <xf numFmtId="164" fontId="60" fillId="0" borderId="0" xfId="201" applyNumberFormat="1" applyFont="1" applyFill="1" applyBorder="1" applyAlignment="1" applyProtection="1">
      <alignment horizontal="left"/>
    </xf>
    <xf numFmtId="164" fontId="60" fillId="0" borderId="0" xfId="201" applyNumberFormat="1" applyFont="1" applyFill="1" applyBorder="1" applyAlignment="1" applyProtection="1">
      <alignment horizontal="center"/>
    </xf>
    <xf numFmtId="169" fontId="60" fillId="0" borderId="0" xfId="201" applyNumberFormat="1" applyFont="1" applyFill="1" applyBorder="1" applyAlignment="1" applyProtection="1"/>
    <xf numFmtId="0" fontId="91" fillId="0" borderId="0" xfId="201" applyNumberFormat="1" applyFont="1" applyFill="1" applyBorder="1" applyProtection="1"/>
    <xf numFmtId="49" fontId="60" fillId="0" borderId="0" xfId="201" applyNumberFormat="1" applyFont="1" applyFill="1" applyBorder="1" applyAlignment="1" applyProtection="1">
      <alignment horizontal="left"/>
    </xf>
    <xf numFmtId="0" fontId="60" fillId="0" borderId="0" xfId="201" applyNumberFormat="1" applyFont="1" applyFill="1" applyBorder="1" applyAlignment="1" applyProtection="1">
      <alignment horizontal="right"/>
    </xf>
    <xf numFmtId="175" fontId="67" fillId="0" borderId="0" xfId="201" applyNumberFormat="1" applyFont="1" applyFill="1" applyBorder="1" applyAlignment="1" applyProtection="1">
      <alignment horizontal="center"/>
    </xf>
    <xf numFmtId="175" fontId="67" fillId="0" borderId="0" xfId="201" quotePrefix="1" applyNumberFormat="1" applyFont="1" applyFill="1" applyBorder="1" applyAlignment="1" applyProtection="1">
      <alignment horizontal="center"/>
    </xf>
    <xf numFmtId="172" fontId="67" fillId="0" borderId="16" xfId="201" applyFont="1" applyFill="1" applyBorder="1" applyAlignment="1" applyProtection="1">
      <alignment horizontal="center" wrapText="1"/>
    </xf>
    <xf numFmtId="172" fontId="67" fillId="0" borderId="7" xfId="201" applyFont="1" applyFill="1" applyBorder="1" applyAlignment="1" applyProtection="1"/>
    <xf numFmtId="172" fontId="67" fillId="0" borderId="3" xfId="201" applyFont="1" applyFill="1" applyBorder="1" applyAlignment="1" applyProtection="1"/>
    <xf numFmtId="172" fontId="67" fillId="0" borderId="7" xfId="201" applyFont="1" applyFill="1" applyBorder="1" applyAlignment="1" applyProtection="1">
      <alignment horizontal="center" wrapText="1"/>
    </xf>
    <xf numFmtId="0" fontId="67" fillId="0" borderId="7" xfId="201" applyNumberFormat="1" applyFont="1" applyFill="1" applyBorder="1" applyAlignment="1" applyProtection="1">
      <alignment horizontal="center" wrapText="1"/>
    </xf>
    <xf numFmtId="172" fontId="67" fillId="0" borderId="9" xfId="201" applyFont="1" applyFill="1" applyBorder="1" applyAlignment="1" applyProtection="1">
      <alignment horizontal="center" wrapText="1"/>
    </xf>
    <xf numFmtId="3" fontId="67" fillId="0" borderId="9" xfId="201" applyNumberFormat="1" applyFont="1" applyFill="1" applyBorder="1" applyAlignment="1" applyProtection="1">
      <alignment horizontal="center" wrapText="1"/>
    </xf>
    <xf numFmtId="0" fontId="60" fillId="0" borderId="16" xfId="201" applyNumberFormat="1" applyFont="1" applyFill="1" applyBorder="1" applyProtection="1"/>
    <xf numFmtId="0" fontId="60" fillId="0" borderId="7" xfId="201" applyNumberFormat="1" applyFont="1" applyFill="1" applyBorder="1" applyProtection="1"/>
    <xf numFmtId="0" fontId="60" fillId="0" borderId="7" xfId="201" applyNumberFormat="1" applyFont="1" applyFill="1" applyBorder="1" applyAlignment="1" applyProtection="1">
      <alignment horizontal="center"/>
    </xf>
    <xf numFmtId="0" fontId="60" fillId="0" borderId="9" xfId="201" applyNumberFormat="1" applyFont="1" applyFill="1" applyBorder="1" applyAlignment="1" applyProtection="1">
      <alignment horizontal="center"/>
    </xf>
    <xf numFmtId="0" fontId="60" fillId="0" borderId="9" xfId="201" applyNumberFormat="1" applyFont="1" applyFill="1" applyBorder="1" applyAlignment="1" applyProtection="1">
      <alignment horizontal="center" wrapText="1"/>
    </xf>
    <xf numFmtId="3" fontId="60" fillId="0" borderId="9" xfId="201" applyNumberFormat="1" applyFont="1" applyFill="1" applyBorder="1" applyAlignment="1" applyProtection="1">
      <alignment horizontal="center" wrapText="1"/>
    </xf>
    <xf numFmtId="0" fontId="60" fillId="0" borderId="7" xfId="201" applyNumberFormat="1" applyFont="1" applyFill="1" applyBorder="1" applyAlignment="1" applyProtection="1">
      <alignment horizontal="center" wrapText="1"/>
    </xf>
    <xf numFmtId="3" fontId="60" fillId="0" borderId="9" xfId="201" applyNumberFormat="1" applyFont="1" applyFill="1" applyBorder="1" applyAlignment="1" applyProtection="1">
      <alignment horizontal="center"/>
    </xf>
    <xf numFmtId="0" fontId="60" fillId="0" borderId="10" xfId="201" applyNumberFormat="1" applyFont="1" applyFill="1" applyBorder="1" applyProtection="1"/>
    <xf numFmtId="0" fontId="60" fillId="0" borderId="11" xfId="201" applyNumberFormat="1" applyFont="1" applyFill="1" applyBorder="1" applyProtection="1"/>
    <xf numFmtId="0" fontId="60" fillId="0" borderId="19" xfId="201" applyNumberFormat="1" applyFont="1" applyFill="1" applyBorder="1" applyProtection="1"/>
    <xf numFmtId="0" fontId="60" fillId="0" borderId="22" xfId="201" applyNumberFormat="1" applyFont="1" applyFill="1" applyBorder="1" applyProtection="1"/>
    <xf numFmtId="3" fontId="60" fillId="0" borderId="11" xfId="201" applyNumberFormat="1" applyFont="1" applyFill="1" applyBorder="1" applyAlignment="1" applyProtection="1"/>
    <xf numFmtId="172" fontId="60" fillId="0" borderId="10" xfId="209" applyFont="1" applyFill="1" applyBorder="1" applyAlignment="1" applyProtection="1"/>
    <xf numFmtId="172" fontId="60" fillId="0" borderId="0" xfId="209" applyFont="1" applyFill="1" applyBorder="1" applyAlignment="1" applyProtection="1"/>
    <xf numFmtId="0" fontId="60" fillId="0" borderId="0" xfId="59" applyNumberFormat="1" applyFont="1" applyFill="1" applyBorder="1" applyAlignment="1" applyProtection="1"/>
    <xf numFmtId="174" fontId="60" fillId="0" borderId="0" xfId="93" applyNumberFormat="1" applyFont="1" applyFill="1" applyBorder="1" applyAlignment="1" applyProtection="1"/>
    <xf numFmtId="173" fontId="60" fillId="0" borderId="11" xfId="59" applyNumberFormat="1" applyFont="1" applyFill="1" applyBorder="1" applyAlignment="1" applyProtection="1"/>
    <xf numFmtId="173" fontId="60" fillId="0" borderId="10" xfId="59" applyNumberFormat="1" applyFont="1" applyFill="1" applyBorder="1" applyAlignment="1" applyProtection="1"/>
    <xf numFmtId="173" fontId="60" fillId="16" borderId="11" xfId="59" applyNumberFormat="1" applyFont="1" applyFill="1" applyBorder="1" applyAlignment="1" applyProtection="1"/>
    <xf numFmtId="172" fontId="60" fillId="0" borderId="10" xfId="201" applyFont="1" applyFill="1" applyBorder="1" applyAlignment="1" applyProtection="1"/>
    <xf numFmtId="172" fontId="60" fillId="0" borderId="17" xfId="201" applyFont="1" applyFill="1" applyBorder="1" applyAlignment="1" applyProtection="1"/>
    <xf numFmtId="172" fontId="60" fillId="0" borderId="1" xfId="201" applyFont="1" applyFill="1" applyBorder="1" applyAlignment="1" applyProtection="1"/>
    <xf numFmtId="172" fontId="60" fillId="0" borderId="15" xfId="201" applyFont="1" applyFill="1" applyBorder="1" applyAlignment="1" applyProtection="1"/>
    <xf numFmtId="173" fontId="60" fillId="0" borderId="15" xfId="59" applyNumberFormat="1" applyFont="1" applyFill="1" applyBorder="1" applyAlignment="1" applyProtection="1"/>
    <xf numFmtId="173" fontId="89" fillId="0" borderId="15" xfId="59" applyNumberFormat="1" applyFont="1" applyFill="1" applyBorder="1" applyAlignment="1" applyProtection="1"/>
    <xf numFmtId="1" fontId="60" fillId="0" borderId="0" xfId="59" applyNumberFormat="1" applyFont="1" applyFill="1" applyBorder="1" applyAlignment="1" applyProtection="1">
      <alignment horizontal="center"/>
    </xf>
    <xf numFmtId="172" fontId="60" fillId="0" borderId="8" xfId="201" applyFont="1" applyFill="1" applyBorder="1" applyAlignment="1" applyProtection="1"/>
    <xf numFmtId="172" fontId="60" fillId="0" borderId="0" xfId="201" applyFont="1" applyFill="1" applyBorder="1" applyAlignment="1" applyProtection="1">
      <alignment horizontal="center" vertical="top"/>
    </xf>
    <xf numFmtId="172" fontId="106" fillId="0" borderId="0" xfId="201" applyFont="1" applyFill="1" applyBorder="1" applyAlignment="1" applyProtection="1"/>
    <xf numFmtId="173" fontId="50" fillId="0" borderId="0" xfId="59" applyNumberFormat="1" applyFont="1" applyAlignment="1" applyProtection="1"/>
    <xf numFmtId="0" fontId="50" fillId="0" borderId="0" xfId="201" applyNumberFormat="1" applyFont="1" applyFill="1" applyBorder="1" applyAlignment="1" applyProtection="1"/>
    <xf numFmtId="0" fontId="50" fillId="0" borderId="0" xfId="201" applyNumberFormat="1" applyFont="1" applyFill="1" applyBorder="1" applyAlignment="1" applyProtection="1">
      <alignment horizontal="center"/>
    </xf>
    <xf numFmtId="0" fontId="50" fillId="0" borderId="0" xfId="201" applyNumberFormat="1" applyFont="1" applyFill="1" applyAlignment="1" applyProtection="1">
      <alignment horizontal="right"/>
    </xf>
    <xf numFmtId="3" fontId="50" fillId="0" borderId="0" xfId="201" applyNumberFormat="1" applyFont="1" applyFill="1" applyBorder="1" applyAlignment="1" applyProtection="1"/>
    <xf numFmtId="0" fontId="50" fillId="0" borderId="0" xfId="201" applyNumberFormat="1" applyFont="1" applyFill="1" applyBorder="1" applyProtection="1"/>
    <xf numFmtId="172" fontId="50" fillId="0" borderId="0" xfId="201" applyFont="1" applyFill="1" applyBorder="1" applyAlignment="1" applyProtection="1"/>
    <xf numFmtId="173" fontId="50" fillId="0" borderId="0" xfId="59" applyNumberFormat="1" applyFont="1" applyFill="1" applyAlignment="1" applyProtection="1"/>
    <xf numFmtId="0" fontId="50" fillId="0" borderId="0" xfId="211" applyNumberFormat="1" applyFont="1" applyFill="1" applyAlignment="1" applyProtection="1">
      <alignment horizontal="center"/>
    </xf>
    <xf numFmtId="169" fontId="50" fillId="0" borderId="0" xfId="0" applyNumberFormat="1" applyFont="1" applyAlignment="1" applyProtection="1"/>
    <xf numFmtId="173" fontId="50" fillId="0" borderId="0" xfId="59" applyNumberFormat="1" applyFont="1" applyAlignment="1" applyProtection="1">
      <alignment horizontal="center"/>
    </xf>
    <xf numFmtId="0" fontId="50" fillId="0" borderId="0" xfId="211" applyNumberFormat="1" applyFont="1" applyAlignment="1" applyProtection="1"/>
    <xf numFmtId="3" fontId="50" fillId="0" borderId="0" xfId="211" applyNumberFormat="1" applyFont="1" applyAlignment="1" applyProtection="1"/>
    <xf numFmtId="3" fontId="50" fillId="0" borderId="8" xfId="211" applyNumberFormat="1" applyFont="1" applyBorder="1" applyAlignment="1" applyProtection="1">
      <alignment horizontal="center"/>
    </xf>
    <xf numFmtId="3" fontId="50" fillId="0" borderId="0" xfId="211" applyNumberFormat="1" applyFont="1" applyAlignment="1" applyProtection="1">
      <alignment horizontal="center"/>
    </xf>
    <xf numFmtId="0" fontId="50" fillId="0" borderId="8" xfId="211" applyNumberFormat="1" applyFont="1" applyBorder="1" applyAlignment="1" applyProtection="1">
      <alignment horizontal="center"/>
    </xf>
    <xf numFmtId="172" fontId="50" fillId="0" borderId="0" xfId="211" applyFont="1" applyFill="1" applyAlignment="1" applyProtection="1"/>
    <xf numFmtId="173" fontId="50" fillId="0" borderId="0" xfId="59" applyNumberFormat="1" applyFont="1" applyFill="1" applyAlignment="1" applyProtection="1">
      <alignment horizontal="center"/>
    </xf>
    <xf numFmtId="170" fontId="50" fillId="0" borderId="0" xfId="266" applyNumberFormat="1" applyFont="1" applyFill="1" applyAlignment="1" applyProtection="1">
      <alignment horizontal="center"/>
    </xf>
    <xf numFmtId="43" fontId="50" fillId="0" borderId="0" xfId="59" applyFont="1" applyAlignment="1" applyProtection="1"/>
    <xf numFmtId="10" fontId="50" fillId="0" borderId="0" xfId="266" applyNumberFormat="1" applyFont="1" applyFill="1" applyAlignment="1" applyProtection="1">
      <alignment horizontal="center"/>
    </xf>
    <xf numFmtId="170" fontId="50" fillId="0" borderId="0" xfId="266" applyNumberFormat="1" applyFont="1" applyAlignment="1" applyProtection="1"/>
    <xf numFmtId="172" fontId="50" fillId="0" borderId="0" xfId="211" applyFont="1" applyFill="1" applyAlignment="1" applyProtection="1">
      <alignment wrapText="1"/>
    </xf>
    <xf numFmtId="170" fontId="50" fillId="0" borderId="8" xfId="266" applyNumberFormat="1" applyFont="1" applyBorder="1" applyAlignment="1" applyProtection="1"/>
    <xf numFmtId="172" fontId="50" fillId="0" borderId="0" xfId="211" applyFont="1" applyAlignment="1" applyProtection="1"/>
    <xf numFmtId="43" fontId="50" fillId="0" borderId="0" xfId="59" applyFont="1" applyFill="1" applyAlignment="1" applyProtection="1">
      <alignment horizontal="center"/>
    </xf>
    <xf numFmtId="3" fontId="50" fillId="0" borderId="0" xfId="211" applyNumberFormat="1" applyFont="1" applyFill="1" applyAlignment="1" applyProtection="1"/>
    <xf numFmtId="166" fontId="50" fillId="0" borderId="0" xfId="211" applyNumberFormat="1" applyFont="1" applyAlignment="1" applyProtection="1">
      <alignment horizontal="center"/>
    </xf>
    <xf numFmtId="164" fontId="50" fillId="0" borderId="0" xfId="211" applyNumberFormat="1" applyFont="1" applyAlignment="1" applyProtection="1">
      <alignment horizontal="left"/>
    </xf>
    <xf numFmtId="274" fontId="50" fillId="0" borderId="0" xfId="266" applyNumberFormat="1" applyFont="1" applyFill="1" applyAlignment="1" applyProtection="1">
      <alignment horizontal="right"/>
    </xf>
    <xf numFmtId="182" fontId="50" fillId="0" borderId="0" xfId="59" applyNumberFormat="1" applyFont="1" applyFill="1" applyAlignment="1" applyProtection="1">
      <alignment horizontal="right"/>
    </xf>
    <xf numFmtId="0" fontId="50" fillId="0" borderId="0" xfId="211" applyNumberFormat="1" applyFont="1" applyFill="1" applyAlignment="1" applyProtection="1"/>
    <xf numFmtId="164" fontId="50" fillId="0" borderId="0" xfId="211" applyNumberFormat="1" applyFont="1" applyFill="1" applyAlignment="1" applyProtection="1">
      <alignment horizontal="left"/>
    </xf>
    <xf numFmtId="173" fontId="50" fillId="0" borderId="0" xfId="59" applyNumberFormat="1" applyFont="1" applyFill="1" applyAlignment="1" applyProtection="1">
      <alignment horizontal="right"/>
    </xf>
    <xf numFmtId="173" fontId="50" fillId="0" borderId="0" xfId="59" applyNumberFormat="1" applyFont="1" applyBorder="1" applyAlignment="1" applyProtection="1"/>
    <xf numFmtId="10" fontId="50" fillId="0" borderId="0" xfId="211" applyNumberFormat="1" applyFont="1" applyFill="1" applyAlignment="1" applyProtection="1">
      <alignment horizontal="left"/>
    </xf>
    <xf numFmtId="173" fontId="50" fillId="0" borderId="0" xfId="59" applyNumberFormat="1" applyFont="1" applyAlignment="1" applyProtection="1">
      <alignment horizontal="right"/>
    </xf>
    <xf numFmtId="3" fontId="50" fillId="0" borderId="0" xfId="188" applyNumberFormat="1" applyFont="1" applyAlignment="1" applyProtection="1"/>
    <xf numFmtId="166" fontId="50" fillId="0" borderId="0" xfId="188" applyNumberFormat="1" applyFont="1" applyAlignment="1" applyProtection="1"/>
    <xf numFmtId="0" fontId="50" fillId="0" borderId="0" xfId="188" applyFont="1" applyAlignment="1" applyProtection="1"/>
    <xf numFmtId="173" fontId="50" fillId="0" borderId="1" xfId="59" applyNumberFormat="1" applyFont="1" applyBorder="1" applyAlignment="1" applyProtection="1">
      <alignment horizontal="right"/>
    </xf>
    <xf numFmtId="173" fontId="50" fillId="0" borderId="0" xfId="0" applyNumberFormat="1" applyFont="1" applyAlignment="1" applyProtection="1"/>
    <xf numFmtId="173" fontId="50" fillId="0" borderId="1" xfId="59" applyNumberFormat="1" applyFont="1" applyBorder="1" applyAlignment="1" applyProtection="1"/>
    <xf numFmtId="173" fontId="50" fillId="0" borderId="0" xfId="59" applyNumberFormat="1" applyFont="1" applyAlignment="1" applyProtection="1">
      <alignment horizontal="left" indent="2"/>
    </xf>
    <xf numFmtId="182" fontId="50" fillId="0" borderId="0" xfId="59" applyNumberFormat="1" applyFont="1" applyAlignment="1" applyProtection="1"/>
    <xf numFmtId="173" fontId="50" fillId="0" borderId="8" xfId="59" applyNumberFormat="1" applyFont="1" applyBorder="1" applyAlignment="1" applyProtection="1"/>
    <xf numFmtId="0" fontId="60" fillId="0" borderId="0" xfId="59" applyNumberFormat="1" applyFont="1" applyFill="1" applyBorder="1" applyAlignment="1" applyProtection="1">
      <alignment horizontal="center"/>
    </xf>
    <xf numFmtId="0" fontId="60" fillId="0" borderId="0" xfId="208" applyNumberFormat="1" applyFont="1" applyFill="1" applyBorder="1" applyAlignment="1" applyProtection="1">
      <alignment horizontal="center"/>
    </xf>
    <xf numFmtId="0" fontId="60" fillId="0" borderId="0" xfId="59" applyNumberFormat="1" applyFont="1" applyFill="1" applyAlignment="1" applyProtection="1">
      <alignment horizontal="center"/>
    </xf>
    <xf numFmtId="172" fontId="60" fillId="0" borderId="0" xfId="0" applyFont="1" applyFill="1" applyAlignment="1" applyProtection="1">
      <alignment horizontal="center"/>
    </xf>
    <xf numFmtId="172" fontId="60" fillId="0" borderId="19" xfId="0" applyFont="1" applyFill="1" applyBorder="1" applyProtection="1"/>
    <xf numFmtId="172" fontId="60" fillId="0" borderId="22" xfId="0" applyFont="1" applyFill="1" applyBorder="1" applyAlignment="1" applyProtection="1">
      <alignment horizontal="center"/>
    </xf>
    <xf numFmtId="172" fontId="60" fillId="0" borderId="3" xfId="0" applyFont="1" applyFill="1" applyBorder="1" applyProtection="1"/>
    <xf numFmtId="172" fontId="60" fillId="0" borderId="20" xfId="0" applyFont="1" applyFill="1" applyBorder="1" applyProtection="1"/>
    <xf numFmtId="172" fontId="60" fillId="0" borderId="17" xfId="0" applyFont="1" applyFill="1" applyBorder="1" applyAlignment="1" applyProtection="1">
      <alignment horizontal="center"/>
    </xf>
    <xf numFmtId="172" fontId="60" fillId="0" borderId="15" xfId="0" applyFont="1" applyFill="1" applyBorder="1" applyAlignment="1" applyProtection="1">
      <alignment horizontal="center"/>
    </xf>
    <xf numFmtId="172" fontId="60" fillId="0" borderId="17" xfId="0" applyFont="1" applyFill="1" applyBorder="1" applyAlignment="1" applyProtection="1"/>
    <xf numFmtId="172" fontId="60" fillId="0" borderId="1" xfId="0" applyFont="1" applyFill="1" applyBorder="1" applyAlignment="1" applyProtection="1"/>
    <xf numFmtId="172" fontId="60" fillId="0" borderId="21" xfId="0" applyFont="1" applyFill="1" applyBorder="1" applyAlignment="1" applyProtection="1"/>
    <xf numFmtId="172" fontId="60" fillId="0" borderId="22" xfId="0" applyFont="1" applyFill="1" applyBorder="1" applyProtection="1"/>
    <xf numFmtId="174" fontId="60" fillId="0" borderId="10" xfId="93" applyNumberFormat="1" applyFont="1" applyFill="1" applyBorder="1" applyProtection="1"/>
    <xf numFmtId="172" fontId="60" fillId="0" borderId="11" xfId="0" applyFont="1" applyFill="1" applyBorder="1" applyProtection="1"/>
    <xf numFmtId="172" fontId="60" fillId="0" borderId="9" xfId="0" applyFont="1" applyFill="1" applyBorder="1" applyAlignment="1" applyProtection="1">
      <alignment horizontal="center"/>
    </xf>
    <xf numFmtId="172" fontId="60" fillId="0" borderId="11" xfId="0" applyFont="1" applyFill="1" applyBorder="1" applyAlignment="1" applyProtection="1">
      <alignment horizontal="center"/>
    </xf>
    <xf numFmtId="172" fontId="60" fillId="0" borderId="10" xfId="0" applyFont="1" applyFill="1" applyBorder="1" applyAlignment="1" applyProtection="1">
      <alignment horizontal="center"/>
    </xf>
    <xf numFmtId="172" fontId="60" fillId="0" borderId="19" xfId="0" applyFont="1" applyFill="1" applyBorder="1" applyAlignment="1" applyProtection="1">
      <alignment horizontal="center"/>
    </xf>
    <xf numFmtId="172" fontId="60" fillId="0" borderId="15" xfId="201" applyFont="1" applyFill="1" applyBorder="1" applyAlignment="1" applyProtection="1">
      <alignment horizontal="center"/>
    </xf>
    <xf numFmtId="173" fontId="60" fillId="0" borderId="11" xfId="59" applyNumberFormat="1" applyFont="1" applyFill="1" applyBorder="1" applyAlignment="1" applyProtection="1">
      <alignment horizontal="center"/>
    </xf>
    <xf numFmtId="43" fontId="60" fillId="0" borderId="11" xfId="59" applyFont="1" applyFill="1" applyBorder="1" applyAlignment="1" applyProtection="1">
      <alignment horizontal="center"/>
    </xf>
    <xf numFmtId="172" fontId="60" fillId="0" borderId="15" xfId="0" applyFont="1" applyFill="1" applyBorder="1" applyProtection="1"/>
    <xf numFmtId="173" fontId="60" fillId="0" borderId="17" xfId="93" applyNumberFormat="1" applyFont="1" applyFill="1" applyBorder="1" applyProtection="1"/>
    <xf numFmtId="10" fontId="60" fillId="0" borderId="15" xfId="266" applyNumberFormat="1" applyFont="1" applyFill="1" applyBorder="1" applyProtection="1"/>
    <xf numFmtId="174" fontId="60" fillId="0" borderId="15" xfId="93" applyNumberFormat="1" applyFont="1" applyFill="1" applyBorder="1" applyProtection="1"/>
    <xf numFmtId="172" fontId="60" fillId="0" borderId="21" xfId="0" applyFont="1" applyFill="1" applyBorder="1" applyProtection="1"/>
    <xf numFmtId="43" fontId="60" fillId="0" borderId="0" xfId="59" applyFont="1" applyFill="1" applyProtection="1"/>
    <xf numFmtId="172" fontId="79" fillId="0" borderId="0" xfId="0" applyFont="1" applyFill="1" applyProtection="1"/>
    <xf numFmtId="172" fontId="60" fillId="0" borderId="0" xfId="201" applyFont="1" applyFill="1" applyAlignment="1" applyProtection="1"/>
    <xf numFmtId="0" fontId="67" fillId="0" borderId="0" xfId="59" applyNumberFormat="1" applyFont="1" applyFill="1" applyBorder="1" applyAlignment="1" applyProtection="1">
      <alignment horizontal="left"/>
    </xf>
    <xf numFmtId="172" fontId="60" fillId="0" borderId="1" xfId="201" applyFont="1" applyFill="1" applyBorder="1" applyAlignment="1" applyProtection="1">
      <alignment horizontal="center"/>
    </xf>
    <xf numFmtId="172" fontId="60" fillId="0" borderId="0" xfId="201" applyFont="1" applyFill="1" applyAlignment="1" applyProtection="1">
      <alignment horizontal="center"/>
    </xf>
    <xf numFmtId="172" fontId="60" fillId="0" borderId="19" xfId="201" applyFont="1" applyFill="1" applyBorder="1" applyAlignment="1" applyProtection="1">
      <alignment horizontal="center"/>
    </xf>
    <xf numFmtId="172" fontId="60" fillId="0" borderId="22" xfId="201" applyFont="1" applyFill="1" applyBorder="1" applyAlignment="1" applyProtection="1">
      <alignment horizontal="center"/>
    </xf>
    <xf numFmtId="172" fontId="60" fillId="0" borderId="10" xfId="201" applyFont="1" applyFill="1" applyBorder="1" applyAlignment="1" applyProtection="1">
      <alignment horizontal="center"/>
    </xf>
    <xf numFmtId="172" fontId="60" fillId="0" borderId="11" xfId="201" applyFont="1" applyFill="1" applyBorder="1" applyAlignment="1" applyProtection="1">
      <alignment horizontal="center"/>
    </xf>
    <xf numFmtId="172" fontId="60" fillId="0" borderId="17" xfId="201" applyFont="1" applyFill="1" applyBorder="1" applyAlignment="1" applyProtection="1">
      <alignment horizontal="center"/>
    </xf>
    <xf numFmtId="0" fontId="60" fillId="0" borderId="8" xfId="59" applyNumberFormat="1" applyFont="1" applyFill="1" applyBorder="1" applyAlignment="1" applyProtection="1">
      <alignment horizontal="center"/>
    </xf>
    <xf numFmtId="0" fontId="60" fillId="0" borderId="0" xfId="210" applyFont="1" applyFill="1" applyProtection="1"/>
    <xf numFmtId="0" fontId="60" fillId="0" borderId="0" xfId="0" applyNumberFormat="1" applyFont="1" applyFill="1" applyAlignment="1" applyProtection="1">
      <alignment horizontal="center" vertical="top"/>
    </xf>
    <xf numFmtId="173" fontId="60" fillId="0" borderId="11" xfId="59" applyNumberFormat="1" applyFont="1" applyFill="1" applyBorder="1" applyAlignment="1" applyProtection="1">
      <alignment horizontal="center"/>
      <protection locked="0"/>
    </xf>
    <xf numFmtId="43" fontId="60" fillId="0" borderId="11" xfId="59" applyFont="1" applyFill="1" applyBorder="1" applyProtection="1">
      <protection locked="0"/>
    </xf>
    <xf numFmtId="0" fontId="90" fillId="0" borderId="0" xfId="0" applyNumberFormat="1" applyFont="1" applyFill="1" applyAlignment="1" applyProtection="1">
      <alignment horizontal="center"/>
    </xf>
    <xf numFmtId="0" fontId="60" fillId="0" borderId="0" xfId="212" applyFont="1" applyFill="1" applyProtection="1"/>
    <xf numFmtId="0" fontId="60" fillId="0" borderId="0" xfId="212" applyFont="1" applyFill="1" applyAlignment="1" applyProtection="1">
      <alignment horizontal="right"/>
    </xf>
    <xf numFmtId="0" fontId="60" fillId="0" borderId="0" xfId="0" applyNumberFormat="1" applyFont="1" applyFill="1" applyAlignment="1" applyProtection="1">
      <alignment horizontal="center"/>
    </xf>
    <xf numFmtId="0" fontId="60" fillId="0" borderId="0" xfId="212" applyFont="1" applyFill="1" applyAlignment="1" applyProtection="1">
      <alignment horizontal="center"/>
    </xf>
    <xf numFmtId="172" fontId="60" fillId="0" borderId="0" xfId="0" applyFont="1" applyFill="1" applyAlignment="1" applyProtection="1">
      <alignment horizontal="right"/>
    </xf>
    <xf numFmtId="0" fontId="67" fillId="0" borderId="0" xfId="212" applyFont="1" applyFill="1" applyAlignment="1" applyProtection="1">
      <alignment horizontal="centerContinuous"/>
    </xf>
    <xf numFmtId="0" fontId="67" fillId="0" borderId="0" xfId="212" applyFont="1" applyFill="1" applyAlignment="1" applyProtection="1">
      <alignment horizontal="center"/>
    </xf>
    <xf numFmtId="0" fontId="60" fillId="0" borderId="0" xfId="0" applyNumberFormat="1" applyFont="1" applyFill="1" applyAlignment="1" applyProtection="1">
      <alignment horizontal="center" wrapText="1"/>
    </xf>
    <xf numFmtId="0" fontId="67" fillId="0" borderId="0" xfId="212" applyFont="1" applyFill="1" applyAlignment="1" applyProtection="1">
      <alignment horizontal="center" wrapText="1"/>
    </xf>
    <xf numFmtId="172" fontId="67" fillId="0" borderId="0" xfId="0" applyFont="1" applyFill="1" applyAlignment="1" applyProtection="1">
      <alignment horizontal="center" wrapText="1"/>
    </xf>
    <xf numFmtId="172" fontId="60" fillId="0" borderId="0" xfId="0" applyFont="1" applyFill="1" applyAlignment="1" applyProtection="1">
      <alignment wrapText="1"/>
    </xf>
    <xf numFmtId="0" fontId="67" fillId="0" borderId="0" xfId="206" applyFont="1" applyFill="1" applyBorder="1" applyAlignment="1" applyProtection="1">
      <alignment horizontal="center" wrapText="1"/>
    </xf>
    <xf numFmtId="0" fontId="60" fillId="0" borderId="0" xfId="192" applyFont="1" applyFill="1" applyAlignment="1" applyProtection="1">
      <alignment horizontal="left" wrapText="1"/>
    </xf>
    <xf numFmtId="37" fontId="60" fillId="0" borderId="0" xfId="59" applyNumberFormat="1" applyFont="1" applyFill="1" applyAlignment="1" applyProtection="1">
      <alignment horizontal="center"/>
    </xf>
    <xf numFmtId="37" fontId="60" fillId="0" borderId="0" xfId="59" applyNumberFormat="1" applyFont="1" applyFill="1" applyAlignment="1" applyProtection="1">
      <alignment horizontal="center" wrapText="1"/>
    </xf>
    <xf numFmtId="37" fontId="60" fillId="0" borderId="0" xfId="59" applyNumberFormat="1" applyFont="1" applyFill="1" applyBorder="1" applyAlignment="1" applyProtection="1">
      <alignment horizontal="center" wrapText="1"/>
    </xf>
    <xf numFmtId="3" fontId="60" fillId="0" borderId="0" xfId="188" applyNumberFormat="1" applyFont="1" applyFill="1" applyAlignment="1" applyProtection="1">
      <alignment horizontal="left" wrapText="1"/>
    </xf>
    <xf numFmtId="3" fontId="60" fillId="0" borderId="0" xfId="188" applyNumberFormat="1" applyFont="1" applyFill="1" applyAlignment="1" applyProtection="1">
      <alignment wrapText="1"/>
    </xf>
    <xf numFmtId="3" fontId="60" fillId="0" borderId="0" xfId="188" applyNumberFormat="1" applyFont="1" applyFill="1" applyAlignment="1" applyProtection="1">
      <alignment horizontal="center" wrapText="1"/>
    </xf>
    <xf numFmtId="0" fontId="60" fillId="0" borderId="0" xfId="212" quotePrefix="1" applyFont="1" applyFill="1" applyAlignment="1" applyProtection="1">
      <alignment horizontal="left"/>
    </xf>
    <xf numFmtId="173" fontId="60" fillId="0" borderId="14" xfId="59" applyNumberFormat="1" applyFont="1" applyFill="1" applyBorder="1" applyProtection="1"/>
    <xf numFmtId="37" fontId="60" fillId="0" borderId="0" xfId="212" applyNumberFormat="1" applyFont="1" applyFill="1" applyProtection="1"/>
    <xf numFmtId="172" fontId="60" fillId="0" borderId="0" xfId="207" applyFont="1" applyFill="1" applyAlignment="1" applyProtection="1"/>
    <xf numFmtId="0" fontId="67" fillId="0" borderId="0" xfId="212" applyFont="1" applyFill="1" applyAlignment="1" applyProtection="1">
      <alignment horizontal="centerContinuous" wrapText="1"/>
    </xf>
    <xf numFmtId="0" fontId="60" fillId="0" borderId="0" xfId="206" applyFont="1" applyFill="1" applyBorder="1" applyAlignment="1" applyProtection="1">
      <alignment horizontal="center" wrapText="1"/>
    </xf>
    <xf numFmtId="41" fontId="104" fillId="16" borderId="0" xfId="212" applyNumberFormat="1" applyFont="1" applyFill="1" applyProtection="1"/>
    <xf numFmtId="0" fontId="60" fillId="0" borderId="0" xfId="212" applyFont="1" applyFill="1" applyAlignment="1" applyProtection="1">
      <alignment horizontal="left"/>
    </xf>
    <xf numFmtId="43" fontId="60" fillId="0" borderId="14" xfId="59" applyFont="1" applyFill="1" applyBorder="1" applyProtection="1"/>
    <xf numFmtId="44" fontId="60" fillId="0" borderId="0" xfId="0" applyNumberFormat="1" applyFont="1" applyFill="1" applyBorder="1" applyAlignment="1" applyProtection="1"/>
    <xf numFmtId="0" fontId="60" fillId="0" borderId="0" xfId="187" applyFont="1" applyFill="1" applyBorder="1" applyAlignment="1" applyProtection="1"/>
    <xf numFmtId="0" fontId="60" fillId="0" borderId="0" xfId="187" applyFont="1" applyFill="1" applyBorder="1" applyAlignment="1" applyProtection="1">
      <alignment horizontal="center"/>
    </xf>
    <xf numFmtId="3" fontId="60" fillId="0" borderId="0" xfId="187" applyNumberFormat="1" applyFont="1" applyFill="1" applyBorder="1" applyAlignment="1" applyProtection="1">
      <alignment horizontal="center" wrapText="1"/>
    </xf>
    <xf numFmtId="0" fontId="60" fillId="0" borderId="0" xfId="187" applyFont="1" applyFill="1" applyBorder="1" applyAlignment="1" applyProtection="1">
      <alignment horizontal="center" wrapText="1"/>
    </xf>
    <xf numFmtId="172" fontId="90" fillId="0" borderId="0" xfId="0" applyFont="1" applyFill="1" applyBorder="1" applyAlignment="1" applyProtection="1"/>
    <xf numFmtId="10" fontId="60" fillId="0" borderId="0" xfId="59" applyNumberFormat="1" applyFont="1" applyFill="1" applyBorder="1" applyAlignment="1" applyProtection="1">
      <alignment horizontal="center"/>
    </xf>
    <xf numFmtId="173" fontId="60" fillId="0" borderId="0" xfId="59" applyNumberFormat="1" applyFont="1" applyFill="1" applyBorder="1" applyAlignment="1" applyProtection="1">
      <alignment horizontal="center" wrapText="1"/>
    </xf>
    <xf numFmtId="173" fontId="60" fillId="0" borderId="1" xfId="59" applyNumberFormat="1" applyFont="1" applyFill="1" applyBorder="1" applyAlignment="1" applyProtection="1">
      <alignment horizontal="center" wrapText="1"/>
    </xf>
    <xf numFmtId="0" fontId="89" fillId="0" borderId="0" xfId="0" applyNumberFormat="1" applyFont="1" applyFill="1" applyAlignment="1" applyProtection="1">
      <alignment horizontal="center"/>
    </xf>
    <xf numFmtId="172" fontId="89" fillId="0" borderId="0" xfId="0" applyFont="1" applyFill="1" applyAlignment="1" applyProtection="1">
      <alignment horizontal="center"/>
    </xf>
    <xf numFmtId="44" fontId="89" fillId="0" borderId="0" xfId="0" applyNumberFormat="1" applyFont="1" applyFill="1" applyBorder="1" applyAlignment="1" applyProtection="1"/>
    <xf numFmtId="0" fontId="60" fillId="0" borderId="8" xfId="0" applyNumberFormat="1" applyFont="1" applyFill="1" applyBorder="1" applyAlignment="1" applyProtection="1">
      <alignment horizontal="center"/>
    </xf>
    <xf numFmtId="172" fontId="60" fillId="0" borderId="0" xfId="0" applyFont="1" applyFill="1" applyAlignment="1" applyProtection="1">
      <alignment vertical="center" wrapText="1"/>
    </xf>
    <xf numFmtId="172" fontId="60" fillId="0" borderId="0" xfId="0" applyFont="1" applyFill="1" applyAlignment="1" applyProtection="1">
      <alignment horizontal="left" vertical="center"/>
    </xf>
    <xf numFmtId="0" fontId="60" fillId="0" borderId="0" xfId="0" applyNumberFormat="1" applyFont="1" applyFill="1" applyBorder="1" applyAlignment="1" applyProtection="1">
      <alignment vertical="top"/>
    </xf>
    <xf numFmtId="0" fontId="108" fillId="0" borderId="0" xfId="389" applyFont="1" applyFill="1" applyAlignment="1" applyProtection="1">
      <alignment horizontal="center"/>
    </xf>
    <xf numFmtId="0" fontId="108" fillId="0" borderId="0" xfId="389" applyFont="1" applyFill="1" applyProtection="1"/>
    <xf numFmtId="0" fontId="56" fillId="0" borderId="0" xfId="389" applyFont="1" applyFill="1" applyProtection="1"/>
    <xf numFmtId="0" fontId="50" fillId="0" borderId="0" xfId="390" applyNumberFormat="1" applyFont="1" applyFill="1" applyAlignment="1" applyProtection="1">
      <alignment horizontal="right"/>
    </xf>
    <xf numFmtId="0" fontId="108" fillId="0" borderId="0" xfId="389" applyFont="1" applyFill="1" applyBorder="1" applyProtection="1"/>
    <xf numFmtId="49" fontId="101" fillId="0" borderId="0" xfId="390" applyNumberFormat="1" applyFont="1" applyFill="1" applyAlignment="1" applyProtection="1">
      <alignment horizontal="center"/>
    </xf>
    <xf numFmtId="0" fontId="109" fillId="0" borderId="0" xfId="389" applyFont="1" applyFill="1" applyAlignment="1" applyProtection="1"/>
    <xf numFmtId="0" fontId="110" fillId="0" borderId="0" xfId="389" applyFont="1" applyFill="1" applyAlignment="1" applyProtection="1"/>
    <xf numFmtId="0" fontId="109" fillId="0" borderId="0" xfId="389" applyFont="1" applyFill="1" applyAlignment="1" applyProtection="1">
      <alignment horizontal="center"/>
    </xf>
    <xf numFmtId="0" fontId="109" fillId="0" borderId="0" xfId="389" applyFont="1" applyFill="1" applyAlignment="1" applyProtection="1">
      <alignment horizontal="left"/>
    </xf>
    <xf numFmtId="9" fontId="108" fillId="0" borderId="0" xfId="389" applyNumberFormat="1" applyFont="1" applyFill="1" applyAlignment="1" applyProtection="1">
      <alignment horizontal="center"/>
    </xf>
    <xf numFmtId="9" fontId="109" fillId="0" borderId="0" xfId="391" applyNumberFormat="1" applyFont="1" applyFill="1" applyBorder="1" applyAlignment="1" applyProtection="1">
      <alignment horizontal="center"/>
    </xf>
    <xf numFmtId="182" fontId="108" fillId="0" borderId="0" xfId="392" applyNumberFormat="1" applyFont="1" applyFill="1" applyBorder="1" applyAlignment="1" applyProtection="1">
      <alignment horizontal="center"/>
    </xf>
    <xf numFmtId="182" fontId="108" fillId="0" borderId="0" xfId="392" applyNumberFormat="1" applyFont="1" applyFill="1" applyAlignment="1" applyProtection="1">
      <alignment horizontal="center"/>
    </xf>
    <xf numFmtId="10" fontId="108" fillId="0" borderId="0" xfId="391" applyNumberFormat="1" applyFont="1" applyFill="1" applyBorder="1" applyAlignment="1" applyProtection="1">
      <alignment horizontal="center"/>
    </xf>
    <xf numFmtId="0" fontId="50" fillId="0" borderId="0" xfId="389" applyFont="1" applyFill="1" applyBorder="1" applyProtection="1"/>
    <xf numFmtId="0" fontId="113" fillId="0" borderId="0" xfId="389" applyFont="1" applyFill="1" applyBorder="1" applyProtection="1"/>
    <xf numFmtId="10" fontId="108" fillId="0" borderId="0" xfId="391" applyNumberFormat="1" applyFont="1" applyFill="1" applyProtection="1"/>
    <xf numFmtId="182" fontId="108" fillId="0" borderId="0" xfId="392" applyNumberFormat="1" applyFont="1" applyFill="1" applyProtection="1"/>
    <xf numFmtId="0" fontId="123" fillId="0" borderId="0" xfId="393" applyFont="1" applyFill="1" applyBorder="1" applyAlignment="1" applyProtection="1">
      <alignment horizontal="center" vertical="center" wrapText="1"/>
    </xf>
    <xf numFmtId="9" fontId="108" fillId="0" borderId="0" xfId="391" applyFont="1" applyFill="1" applyProtection="1"/>
    <xf numFmtId="0" fontId="123" fillId="0" borderId="0" xfId="393" applyFont="1" applyFill="1" applyBorder="1" applyProtection="1"/>
    <xf numFmtId="0" fontId="123" fillId="0" borderId="0" xfId="393" applyFont="1" applyFill="1" applyBorder="1" applyAlignment="1" applyProtection="1">
      <alignment horizontal="left" vertical="center"/>
    </xf>
    <xf numFmtId="15" fontId="123" fillId="0" borderId="0" xfId="393" applyNumberFormat="1" applyFont="1" applyFill="1" applyBorder="1" applyAlignment="1" applyProtection="1">
      <alignment vertical="center" wrapText="1"/>
    </xf>
    <xf numFmtId="173" fontId="123" fillId="0" borderId="0" xfId="394" applyNumberFormat="1" applyFont="1" applyFill="1" applyBorder="1" applyAlignment="1" applyProtection="1">
      <alignment horizontal="right" vertical="center" wrapText="1"/>
    </xf>
    <xf numFmtId="173" fontId="123" fillId="0" borderId="0" xfId="394" applyNumberFormat="1" applyFont="1" applyFill="1" applyBorder="1" applyAlignment="1" applyProtection="1">
      <alignment vertical="center" wrapText="1"/>
    </xf>
    <xf numFmtId="10" fontId="123" fillId="0" borderId="0" xfId="391" applyNumberFormat="1" applyFont="1" applyFill="1" applyBorder="1" applyProtection="1"/>
    <xf numFmtId="43" fontId="108" fillId="0" borderId="0" xfId="392" applyFont="1" applyFill="1" applyBorder="1" applyProtection="1"/>
    <xf numFmtId="173" fontId="108" fillId="0" borderId="0" xfId="392" applyNumberFormat="1" applyFont="1" applyFill="1" applyBorder="1" applyProtection="1"/>
    <xf numFmtId="173" fontId="56" fillId="0" borderId="0" xfId="392" applyNumberFormat="1" applyFont="1" applyFill="1" applyProtection="1"/>
    <xf numFmtId="173" fontId="108" fillId="0" borderId="0" xfId="59" applyNumberFormat="1" applyFont="1" applyFill="1" applyProtection="1"/>
    <xf numFmtId="173" fontId="108" fillId="0" borderId="0" xfId="389" applyNumberFormat="1" applyFont="1" applyFill="1" applyProtection="1"/>
    <xf numFmtId="10" fontId="108" fillId="0" borderId="0" xfId="391" applyNumberFormat="1" applyFont="1" applyFill="1" applyBorder="1" applyProtection="1"/>
    <xf numFmtId="43" fontId="108" fillId="0" borderId="0" xfId="392" applyFont="1" applyFill="1" applyProtection="1"/>
    <xf numFmtId="182" fontId="50" fillId="0" borderId="0" xfId="392" applyNumberFormat="1" applyFont="1" applyFill="1" applyBorder="1" applyProtection="1"/>
    <xf numFmtId="9" fontId="50" fillId="0" borderId="0" xfId="391" applyFont="1" applyFill="1" applyBorder="1" applyProtection="1"/>
    <xf numFmtId="173" fontId="108" fillId="0" borderId="0" xfId="392" applyNumberFormat="1" applyFont="1" applyFill="1" applyProtection="1"/>
    <xf numFmtId="41" fontId="56" fillId="0" borderId="0" xfId="389" applyNumberFormat="1" applyFont="1" applyFill="1" applyProtection="1"/>
    <xf numFmtId="49" fontId="50" fillId="0" borderId="0" xfId="390" applyNumberFormat="1" applyFont="1" applyFill="1" applyAlignment="1" applyProtection="1">
      <alignment horizontal="center"/>
    </xf>
    <xf numFmtId="49" fontId="50" fillId="0" borderId="0" xfId="390" applyNumberFormat="1" applyFont="1" applyFill="1" applyAlignment="1" applyProtection="1"/>
    <xf numFmtId="0" fontId="109" fillId="0" borderId="0" xfId="389" applyFont="1" applyFill="1" applyProtection="1"/>
    <xf numFmtId="0" fontId="108" fillId="0" borderId="8" xfId="389" applyFont="1" applyFill="1" applyBorder="1" applyAlignment="1" applyProtection="1">
      <alignment horizontal="left"/>
    </xf>
    <xf numFmtId="0" fontId="108" fillId="0" borderId="0" xfId="389" applyFont="1" applyFill="1" applyAlignment="1" applyProtection="1">
      <alignment horizontal="left"/>
    </xf>
    <xf numFmtId="0" fontId="56" fillId="0" borderId="0" xfId="389" applyFont="1" applyFill="1" applyBorder="1" applyAlignment="1" applyProtection="1">
      <alignment horizontal="left"/>
    </xf>
    <xf numFmtId="0" fontId="56" fillId="0" borderId="0" xfId="389" applyFont="1" applyFill="1" applyBorder="1" applyProtection="1"/>
    <xf numFmtId="41" fontId="131" fillId="0" borderId="0" xfId="389" applyNumberFormat="1" applyFont="1" applyFill="1" applyBorder="1" applyAlignment="1" applyProtection="1">
      <alignment horizontal="center"/>
    </xf>
    <xf numFmtId="41" fontId="56" fillId="0" borderId="0" xfId="389" applyNumberFormat="1" applyFont="1" applyFill="1" applyBorder="1" applyProtection="1"/>
    <xf numFmtId="0" fontId="56" fillId="0" borderId="0" xfId="389" applyFont="1" applyFill="1" applyAlignment="1" applyProtection="1">
      <alignment horizontal="right"/>
    </xf>
    <xf numFmtId="0" fontId="56" fillId="0" borderId="0" xfId="389" applyFont="1" applyFill="1" applyBorder="1" applyAlignment="1" applyProtection="1">
      <alignment horizontal="right"/>
    </xf>
    <xf numFmtId="0" fontId="67" fillId="0" borderId="0" xfId="389" applyFont="1" applyFill="1" applyAlignment="1" applyProtection="1">
      <alignment horizontal="center"/>
    </xf>
    <xf numFmtId="41" fontId="67" fillId="0" borderId="0" xfId="389" applyNumberFormat="1" applyFont="1" applyFill="1" applyAlignment="1" applyProtection="1">
      <alignment horizontal="center"/>
    </xf>
    <xf numFmtId="41" fontId="131" fillId="0" borderId="0" xfId="389" applyNumberFormat="1" applyFont="1" applyFill="1" applyAlignment="1" applyProtection="1">
      <alignment horizontal="center"/>
    </xf>
    <xf numFmtId="0" fontId="131" fillId="0" borderId="0" xfId="389" applyFont="1" applyFill="1" applyBorder="1" applyProtection="1"/>
    <xf numFmtId="274" fontId="56" fillId="0" borderId="0" xfId="391" applyNumberFormat="1" applyFont="1" applyFill="1" applyBorder="1" applyProtection="1"/>
    <xf numFmtId="274" fontId="56" fillId="0" borderId="0" xfId="389" applyNumberFormat="1" applyFont="1" applyFill="1" applyBorder="1" applyProtection="1"/>
    <xf numFmtId="0" fontId="56" fillId="0" borderId="0" xfId="389" applyFont="1" applyFill="1" applyAlignment="1" applyProtection="1">
      <alignment horizontal="left"/>
    </xf>
    <xf numFmtId="41" fontId="56" fillId="0" borderId="0" xfId="389" applyNumberFormat="1" applyFont="1" applyFill="1" applyAlignment="1" applyProtection="1">
      <alignment horizontal="left"/>
    </xf>
    <xf numFmtId="0" fontId="131" fillId="0" borderId="0" xfId="389" applyFont="1" applyFill="1" applyProtection="1"/>
    <xf numFmtId="0" fontId="131" fillId="0" borderId="0" xfId="389" applyFont="1" applyFill="1" applyAlignment="1" applyProtection="1">
      <alignment horizontal="center"/>
    </xf>
    <xf numFmtId="0" fontId="60" fillId="0" borderId="0" xfId="389" applyFont="1" applyFill="1" applyProtection="1"/>
    <xf numFmtId="41" fontId="60" fillId="0" borderId="0" xfId="389" applyNumberFormat="1" applyFont="1" applyFill="1" applyProtection="1"/>
    <xf numFmtId="0" fontId="108" fillId="0" borderId="0" xfId="389" applyFont="1" applyFill="1" applyBorder="1" applyAlignment="1" applyProtection="1">
      <alignment horizontal="left"/>
    </xf>
    <xf numFmtId="0" fontId="67" fillId="0" borderId="9" xfId="389" applyFont="1" applyFill="1" applyBorder="1" applyProtection="1"/>
    <xf numFmtId="41" fontId="56" fillId="0" borderId="9" xfId="389" applyNumberFormat="1" applyFont="1" applyFill="1" applyBorder="1" applyProtection="1"/>
    <xf numFmtId="37" fontId="56" fillId="0" borderId="9" xfId="389" applyNumberFormat="1" applyFont="1" applyFill="1" applyBorder="1" applyProtection="1"/>
    <xf numFmtId="41" fontId="108" fillId="0" borderId="0" xfId="389" applyNumberFormat="1" applyFont="1" applyFill="1" applyProtection="1"/>
    <xf numFmtId="0" fontId="67" fillId="0" borderId="0" xfId="389" applyFont="1" applyFill="1" applyBorder="1" applyProtection="1"/>
    <xf numFmtId="41" fontId="67" fillId="0" borderId="0" xfId="389" applyNumberFormat="1" applyFont="1" applyFill="1" applyBorder="1" applyProtection="1"/>
    <xf numFmtId="41" fontId="56" fillId="0" borderId="0" xfId="389" applyNumberFormat="1" applyFont="1" applyFill="1" applyBorder="1" applyAlignment="1" applyProtection="1">
      <alignment horizontal="center"/>
    </xf>
    <xf numFmtId="37" fontId="56" fillId="0" borderId="0" xfId="389" applyNumberFormat="1" applyFont="1" applyFill="1" applyBorder="1" applyAlignment="1" applyProtection="1">
      <alignment horizontal="center"/>
    </xf>
    <xf numFmtId="0" fontId="67" fillId="0" borderId="19" xfId="389" applyFont="1" applyFill="1" applyBorder="1" applyProtection="1"/>
    <xf numFmtId="41" fontId="67" fillId="0" borderId="3" xfId="389" applyNumberFormat="1" applyFont="1" applyFill="1" applyBorder="1" applyProtection="1"/>
    <xf numFmtId="41" fontId="56" fillId="0" borderId="3" xfId="389" applyNumberFormat="1" applyFont="1" applyFill="1" applyBorder="1" applyProtection="1"/>
    <xf numFmtId="41" fontId="56" fillId="0" borderId="3" xfId="389" applyNumberFormat="1" applyFont="1" applyFill="1" applyBorder="1" applyAlignment="1" applyProtection="1">
      <alignment horizontal="center"/>
    </xf>
    <xf numFmtId="0" fontId="56" fillId="0" borderId="20" xfId="389" applyFont="1" applyFill="1" applyBorder="1" applyAlignment="1" applyProtection="1">
      <alignment horizontal="center"/>
    </xf>
    <xf numFmtId="0" fontId="67" fillId="0" borderId="10" xfId="389" applyFont="1" applyFill="1" applyBorder="1" applyAlignment="1" applyProtection="1">
      <alignment horizontal="left"/>
    </xf>
    <xf numFmtId="0" fontId="56" fillId="0" borderId="12" xfId="389" applyFont="1" applyFill="1" applyBorder="1" applyProtection="1"/>
    <xf numFmtId="41" fontId="67" fillId="0" borderId="0" xfId="389" applyNumberFormat="1" applyFont="1" applyFill="1" applyBorder="1" applyAlignment="1" applyProtection="1">
      <alignment horizontal="left"/>
    </xf>
    <xf numFmtId="0" fontId="56" fillId="0" borderId="12" xfId="389" applyFont="1" applyFill="1" applyBorder="1" applyAlignment="1" applyProtection="1">
      <alignment horizontal="center"/>
    </xf>
    <xf numFmtId="0" fontId="67" fillId="0" borderId="10" xfId="389" applyFont="1" applyFill="1" applyBorder="1" applyAlignment="1" applyProtection="1"/>
    <xf numFmtId="0" fontId="67" fillId="0" borderId="10" xfId="389" applyFont="1" applyFill="1" applyBorder="1" applyProtection="1"/>
    <xf numFmtId="0" fontId="67" fillId="0" borderId="17" xfId="389" applyFont="1" applyFill="1" applyBorder="1" applyAlignment="1" applyProtection="1">
      <alignment horizontal="left"/>
    </xf>
    <xf numFmtId="41" fontId="67" fillId="0" borderId="1" xfId="389" applyNumberFormat="1" applyFont="1" applyFill="1" applyBorder="1" applyAlignment="1" applyProtection="1">
      <alignment horizontal="left"/>
    </xf>
    <xf numFmtId="41" fontId="56" fillId="0" borderId="1" xfId="389" applyNumberFormat="1" applyFont="1" applyFill="1" applyBorder="1" applyProtection="1"/>
    <xf numFmtId="41" fontId="56" fillId="0" borderId="1" xfId="389" applyNumberFormat="1" applyFont="1" applyFill="1" applyBorder="1" applyAlignment="1" applyProtection="1">
      <alignment horizontal="center"/>
    </xf>
    <xf numFmtId="0" fontId="56" fillId="0" borderId="21" xfId="389" applyFont="1" applyFill="1" applyBorder="1" applyAlignment="1" applyProtection="1">
      <alignment horizontal="center"/>
    </xf>
    <xf numFmtId="0" fontId="60" fillId="0" borderId="0" xfId="389" applyFont="1" applyFill="1" applyBorder="1" applyAlignment="1" applyProtection="1">
      <alignment horizontal="left"/>
    </xf>
    <xf numFmtId="41" fontId="67" fillId="0" borderId="0" xfId="389" applyNumberFormat="1" applyFont="1" applyFill="1" applyBorder="1" applyAlignment="1" applyProtection="1">
      <alignment horizontal="center"/>
    </xf>
    <xf numFmtId="41" fontId="56" fillId="0" borderId="0" xfId="389" applyNumberFormat="1" applyFont="1" applyFill="1" applyBorder="1" applyAlignment="1" applyProtection="1"/>
    <xf numFmtId="0" fontId="67" fillId="0" borderId="0" xfId="389" applyFont="1" applyFill="1" applyBorder="1" applyAlignment="1" applyProtection="1">
      <alignment horizontal="center"/>
    </xf>
    <xf numFmtId="0" fontId="56" fillId="0" borderId="0" xfId="389" applyFont="1" applyFill="1" applyBorder="1" applyAlignment="1" applyProtection="1"/>
    <xf numFmtId="0" fontId="60" fillId="0" borderId="0" xfId="389" applyFont="1" applyFill="1" applyBorder="1" applyProtection="1"/>
    <xf numFmtId="41" fontId="60" fillId="0" borderId="0" xfId="389" applyNumberFormat="1" applyFont="1" applyFill="1" applyBorder="1" applyProtection="1"/>
    <xf numFmtId="41" fontId="60" fillId="0" borderId="0" xfId="389" applyNumberFormat="1" applyFont="1" applyFill="1" applyBorder="1" applyAlignment="1" applyProtection="1"/>
    <xf numFmtId="0" fontId="56" fillId="0" borderId="9" xfId="389" applyFont="1" applyFill="1" applyBorder="1" applyProtection="1"/>
    <xf numFmtId="41" fontId="132" fillId="0" borderId="0" xfId="389" applyNumberFormat="1" applyFont="1" applyFill="1" applyBorder="1" applyProtection="1"/>
    <xf numFmtId="37" fontId="56" fillId="0" borderId="0" xfId="389" applyNumberFormat="1" applyFont="1" applyFill="1" applyBorder="1" applyProtection="1"/>
    <xf numFmtId="0" fontId="67" fillId="0" borderId="24" xfId="389" applyFont="1" applyFill="1" applyBorder="1" applyProtection="1"/>
    <xf numFmtId="41" fontId="67" fillId="0" borderId="25" xfId="389" applyNumberFormat="1" applyFont="1" applyFill="1" applyBorder="1" applyProtection="1"/>
    <xf numFmtId="41" fontId="56" fillId="0" borderId="25" xfId="389" applyNumberFormat="1" applyFont="1" applyFill="1" applyBorder="1" applyProtection="1"/>
    <xf numFmtId="41" fontId="56" fillId="0" borderId="25" xfId="389" applyNumberFormat="1" applyFont="1" applyFill="1" applyBorder="1" applyAlignment="1" applyProtection="1">
      <alignment horizontal="center"/>
    </xf>
    <xf numFmtId="0" fontId="56" fillId="0" borderId="26" xfId="389" applyFont="1" applyFill="1" applyBorder="1" applyAlignment="1" applyProtection="1">
      <alignment horizontal="center"/>
    </xf>
    <xf numFmtId="41" fontId="67" fillId="0" borderId="0" xfId="389" applyNumberFormat="1" applyFont="1" applyFill="1" applyBorder="1" applyAlignment="1" applyProtection="1">
      <alignment horizontal="left" wrapText="1"/>
    </xf>
    <xf numFmtId="0" fontId="56" fillId="0" borderId="27" xfId="389" applyFont="1" applyFill="1" applyBorder="1" applyAlignment="1" applyProtection="1"/>
    <xf numFmtId="0" fontId="56" fillId="0" borderId="27" xfId="389" applyFont="1" applyFill="1" applyBorder="1" applyAlignment="1" applyProtection="1">
      <alignment horizontal="center"/>
    </xf>
    <xf numFmtId="41" fontId="67" fillId="0" borderId="0" xfId="389" applyNumberFormat="1" applyFont="1" applyFill="1" applyBorder="1" applyAlignment="1" applyProtection="1">
      <alignment wrapText="1"/>
    </xf>
    <xf numFmtId="41" fontId="56" fillId="0" borderId="0" xfId="389" applyNumberFormat="1" applyFont="1" applyFill="1" applyBorder="1" applyAlignment="1" applyProtection="1">
      <alignment wrapText="1"/>
    </xf>
    <xf numFmtId="0" fontId="56" fillId="0" borderId="27" xfId="389" applyFont="1" applyFill="1" applyBorder="1" applyAlignment="1" applyProtection="1">
      <alignment wrapText="1"/>
    </xf>
    <xf numFmtId="41" fontId="67" fillId="0" borderId="8" xfId="389" applyNumberFormat="1" applyFont="1" applyFill="1" applyBorder="1" applyAlignment="1" applyProtection="1">
      <alignment horizontal="left"/>
    </xf>
    <xf numFmtId="41" fontId="56" fillId="0" borderId="8" xfId="389" applyNumberFormat="1" applyFont="1" applyFill="1" applyBorder="1" applyProtection="1"/>
    <xf numFmtId="41" fontId="56" fillId="0" borderId="8" xfId="389" applyNumberFormat="1" applyFont="1" applyFill="1" applyBorder="1" applyAlignment="1" applyProtection="1">
      <alignment horizontal="center"/>
    </xf>
    <xf numFmtId="0" fontId="56" fillId="0" borderId="28" xfId="389" applyFont="1" applyFill="1" applyBorder="1" applyAlignment="1" applyProtection="1">
      <alignment horizontal="center"/>
    </xf>
    <xf numFmtId="0" fontId="67" fillId="0" borderId="0" xfId="389" applyFont="1" applyFill="1" applyBorder="1" applyAlignment="1" applyProtection="1">
      <alignment horizontal="left"/>
    </xf>
    <xf numFmtId="41" fontId="56" fillId="0" borderId="9" xfId="392" applyNumberFormat="1" applyFont="1" applyFill="1" applyBorder="1" applyAlignment="1" applyProtection="1">
      <alignment horizontal="right"/>
    </xf>
    <xf numFmtId="0" fontId="60" fillId="0" borderId="9" xfId="389" applyFont="1" applyFill="1" applyBorder="1" applyProtection="1"/>
    <xf numFmtId="41" fontId="56" fillId="0" borderId="0" xfId="392" applyNumberFormat="1" applyFont="1" applyFill="1" applyBorder="1" applyAlignment="1" applyProtection="1">
      <alignment horizontal="right"/>
    </xf>
    <xf numFmtId="41" fontId="56" fillId="14" borderId="9" xfId="440" applyNumberFormat="1" applyFont="1" applyFill="1" applyBorder="1" applyProtection="1">
      <protection locked="0"/>
    </xf>
    <xf numFmtId="37" fontId="56" fillId="14" borderId="9" xfId="440" applyNumberFormat="1" applyFont="1" applyFill="1" applyBorder="1" applyAlignment="1" applyProtection="1">
      <alignment wrapText="1"/>
      <protection locked="0"/>
    </xf>
    <xf numFmtId="0" fontId="56" fillId="0" borderId="0" xfId="389" applyFont="1" applyFill="1" applyBorder="1" applyAlignment="1" applyProtection="1">
      <alignment horizontal="right" wrapText="1"/>
    </xf>
    <xf numFmtId="0" fontId="56" fillId="0" borderId="0" xfId="389" applyFont="1" applyFill="1" applyBorder="1" applyAlignment="1" applyProtection="1">
      <alignment wrapText="1"/>
    </xf>
    <xf numFmtId="173" fontId="56" fillId="0" borderId="0" xfId="392" applyNumberFormat="1" applyFont="1" applyFill="1" applyBorder="1" applyProtection="1"/>
    <xf numFmtId="10" fontId="56" fillId="0" borderId="0" xfId="391" applyNumberFormat="1" applyFont="1" applyFill="1" applyBorder="1" applyProtection="1"/>
    <xf numFmtId="10" fontId="56" fillId="0" borderId="0" xfId="391" applyNumberFormat="1" applyFont="1" applyFill="1" applyBorder="1" applyAlignment="1" applyProtection="1">
      <alignment wrapText="1"/>
    </xf>
    <xf numFmtId="173" fontId="56" fillId="0" borderId="0" xfId="392" applyNumberFormat="1" applyFont="1" applyFill="1" applyBorder="1" applyAlignment="1" applyProtection="1">
      <alignment wrapText="1"/>
    </xf>
    <xf numFmtId="41" fontId="56" fillId="0" borderId="0" xfId="389" applyNumberFormat="1" applyFont="1" applyFill="1" applyBorder="1" applyAlignment="1" applyProtection="1">
      <alignment horizontal="left"/>
    </xf>
    <xf numFmtId="0" fontId="56" fillId="0" borderId="0" xfId="389" applyFont="1" applyFill="1" applyAlignment="1" applyProtection="1">
      <alignment wrapText="1"/>
    </xf>
    <xf numFmtId="0" fontId="67" fillId="0" borderId="0" xfId="389" applyFont="1" applyFill="1" applyAlignment="1" applyProtection="1">
      <alignment horizontal="center" wrapText="1"/>
    </xf>
    <xf numFmtId="0" fontId="131" fillId="0" borderId="0" xfId="389" applyFont="1" applyFill="1" applyAlignment="1" applyProtection="1">
      <alignment horizontal="center" wrapText="1"/>
    </xf>
    <xf numFmtId="41" fontId="56" fillId="0" borderId="0" xfId="389" applyNumberFormat="1" applyFont="1" applyFill="1" applyAlignment="1" applyProtection="1">
      <alignment horizontal="center"/>
    </xf>
    <xf numFmtId="0" fontId="107" fillId="0" borderId="0" xfId="396" applyFont="1" applyFill="1" applyProtection="1"/>
    <xf numFmtId="0" fontId="67" fillId="0" borderId="9" xfId="440" applyFont="1" applyFill="1" applyBorder="1" applyProtection="1"/>
    <xf numFmtId="41" fontId="56" fillId="0" borderId="9" xfId="440" applyNumberFormat="1" applyFont="1" applyFill="1" applyBorder="1" applyProtection="1"/>
    <xf numFmtId="37" fontId="56" fillId="0" borderId="9" xfId="440" applyNumberFormat="1" applyFont="1" applyFill="1" applyBorder="1" applyAlignment="1" applyProtection="1">
      <alignment wrapText="1"/>
    </xf>
    <xf numFmtId="37" fontId="56" fillId="0" borderId="0" xfId="389" applyNumberFormat="1" applyFont="1" applyFill="1" applyBorder="1" applyAlignment="1" applyProtection="1">
      <alignment horizontal="center" wrapText="1"/>
    </xf>
    <xf numFmtId="0" fontId="56" fillId="0" borderId="20" xfId="389" applyFont="1" applyFill="1" applyBorder="1" applyAlignment="1" applyProtection="1">
      <alignment horizontal="center" wrapText="1"/>
    </xf>
    <xf numFmtId="0" fontId="56" fillId="0" borderId="12" xfId="389" applyFont="1" applyFill="1" applyBorder="1" applyAlignment="1" applyProtection="1">
      <alignment wrapText="1"/>
    </xf>
    <xf numFmtId="0" fontId="56" fillId="0" borderId="12" xfId="389" applyFont="1" applyFill="1" applyBorder="1" applyAlignment="1" applyProtection="1">
      <alignment horizontal="center" wrapText="1"/>
    </xf>
    <xf numFmtId="0" fontId="56" fillId="0" borderId="21" xfId="389" applyFont="1" applyFill="1" applyBorder="1" applyAlignment="1" applyProtection="1">
      <alignment horizontal="center" wrapText="1"/>
    </xf>
    <xf numFmtId="0" fontId="50" fillId="0" borderId="0" xfId="390" applyNumberFormat="1" applyFont="1" applyFill="1" applyAlignment="1" applyProtection="1">
      <alignment horizontal="right" wrapText="1"/>
    </xf>
    <xf numFmtId="0" fontId="56" fillId="0" borderId="0" xfId="389" applyFont="1" applyFill="1" applyAlignment="1" applyProtection="1">
      <alignment horizontal="right" wrapText="1"/>
    </xf>
    <xf numFmtId="0" fontId="131" fillId="0" borderId="0" xfId="389" applyFont="1" applyFill="1" applyBorder="1" applyAlignment="1" applyProtection="1">
      <alignment wrapText="1"/>
    </xf>
    <xf numFmtId="0" fontId="67" fillId="0" borderId="0" xfId="389" applyFont="1" applyFill="1" applyBorder="1" applyAlignment="1" applyProtection="1">
      <alignment horizontal="center" wrapText="1"/>
    </xf>
    <xf numFmtId="0" fontId="56" fillId="0" borderId="9" xfId="389" applyFont="1" applyFill="1" applyBorder="1" applyAlignment="1" applyProtection="1">
      <alignment wrapText="1"/>
    </xf>
    <xf numFmtId="41" fontId="56" fillId="0" borderId="9" xfId="448" applyNumberFormat="1" applyFont="1" applyFill="1" applyBorder="1" applyProtection="1"/>
    <xf numFmtId="0" fontId="56" fillId="0" borderId="9" xfId="448" applyFont="1" applyFill="1" applyBorder="1" applyAlignment="1" applyProtection="1">
      <alignment wrapText="1"/>
    </xf>
    <xf numFmtId="37" fontId="56" fillId="0" borderId="0" xfId="389" applyNumberFormat="1" applyFont="1" applyFill="1" applyBorder="1" applyAlignment="1" applyProtection="1">
      <alignment wrapText="1"/>
    </xf>
    <xf numFmtId="0" fontId="56" fillId="0" borderId="0" xfId="389" applyFont="1" applyFill="1" applyBorder="1" applyAlignment="1" applyProtection="1">
      <alignment horizontal="center" wrapText="1"/>
    </xf>
    <xf numFmtId="0" fontId="56" fillId="0" borderId="26" xfId="389" applyFont="1" applyFill="1" applyBorder="1" applyAlignment="1" applyProtection="1">
      <alignment horizontal="center" wrapText="1"/>
    </xf>
    <xf numFmtId="0" fontId="56" fillId="0" borderId="27" xfId="389" applyFont="1" applyFill="1" applyBorder="1" applyAlignment="1" applyProtection="1">
      <alignment horizontal="center" wrapText="1"/>
    </xf>
    <xf numFmtId="0" fontId="67" fillId="0" borderId="29" xfId="389" applyFont="1" applyFill="1" applyBorder="1" applyAlignment="1" applyProtection="1">
      <alignment horizontal="left"/>
    </xf>
    <xf numFmtId="0" fontId="56" fillId="0" borderId="28" xfId="389" applyFont="1" applyFill="1" applyBorder="1" applyAlignment="1" applyProtection="1">
      <alignment horizontal="center" wrapText="1"/>
    </xf>
    <xf numFmtId="0" fontId="67" fillId="0" borderId="0" xfId="389" applyFont="1" applyFill="1" applyBorder="1" applyAlignment="1" applyProtection="1"/>
    <xf numFmtId="41" fontId="56" fillId="0" borderId="9" xfId="442" applyNumberFormat="1" applyFont="1" applyFill="1" applyBorder="1" applyAlignment="1" applyProtection="1">
      <alignment horizontal="right"/>
    </xf>
    <xf numFmtId="0" fontId="60" fillId="0" borderId="9" xfId="389" applyFont="1" applyFill="1" applyBorder="1" applyAlignment="1" applyProtection="1">
      <alignment wrapText="1"/>
    </xf>
    <xf numFmtId="0" fontId="60" fillId="0" borderId="0" xfId="389" applyFont="1" applyFill="1" applyBorder="1" applyAlignment="1" applyProtection="1">
      <alignment wrapText="1"/>
    </xf>
    <xf numFmtId="41" fontId="56" fillId="14" borderId="9" xfId="445" applyNumberFormat="1" applyFont="1" applyFill="1" applyBorder="1" applyProtection="1">
      <protection locked="0"/>
    </xf>
    <xf numFmtId="41" fontId="56" fillId="14" borderId="9" xfId="440" applyNumberFormat="1" applyFont="1" applyFill="1" applyBorder="1" applyAlignment="1" applyProtection="1">
      <alignment horizontal="left" vertical="top" wrapText="1"/>
      <protection locked="0"/>
    </xf>
    <xf numFmtId="0" fontId="56" fillId="14" borderId="9" xfId="440" applyFont="1" applyFill="1" applyBorder="1" applyAlignment="1" applyProtection="1">
      <alignment wrapText="1"/>
      <protection locked="0"/>
    </xf>
    <xf numFmtId="0" fontId="60" fillId="14" borderId="9" xfId="440" applyFont="1" applyFill="1" applyBorder="1" applyAlignment="1" applyProtection="1">
      <alignment wrapText="1"/>
      <protection locked="0"/>
    </xf>
    <xf numFmtId="37" fontId="56" fillId="14" borderId="9" xfId="440" applyNumberFormat="1" applyFont="1" applyFill="1" applyBorder="1" applyProtection="1">
      <protection locked="0"/>
    </xf>
    <xf numFmtId="41" fontId="60" fillId="14" borderId="9" xfId="440" applyNumberFormat="1" applyFont="1" applyFill="1" applyBorder="1" applyProtection="1">
      <protection locked="0"/>
    </xf>
    <xf numFmtId="172" fontId="56" fillId="0" borderId="0" xfId="0" applyFont="1" applyFill="1" applyAlignment="1" applyProtection="1"/>
    <xf numFmtId="172" fontId="110" fillId="0" borderId="0" xfId="0" applyFont="1" applyFill="1" applyAlignment="1" applyProtection="1"/>
    <xf numFmtId="0" fontId="56" fillId="0" borderId="0" xfId="212" quotePrefix="1" applyFont="1" applyFill="1" applyAlignment="1" applyProtection="1">
      <alignment horizontal="left"/>
    </xf>
    <xf numFmtId="172" fontId="56" fillId="0" borderId="0" xfId="0" applyFont="1" applyFill="1" applyAlignment="1" applyProtection="1">
      <alignment horizontal="center"/>
    </xf>
    <xf numFmtId="0" fontId="108" fillId="0" borderId="0" xfId="389" quotePrefix="1" applyFont="1" applyFill="1" applyAlignment="1" applyProtection="1">
      <alignment horizontal="center"/>
    </xf>
    <xf numFmtId="172" fontId="56" fillId="0" borderId="0" xfId="0" quotePrefix="1" applyFont="1" applyFill="1" applyAlignment="1" applyProtection="1">
      <alignment horizontal="center"/>
    </xf>
    <xf numFmtId="0" fontId="56" fillId="0" borderId="0" xfId="0" applyNumberFormat="1" applyFont="1" applyFill="1" applyAlignment="1" applyProtection="1">
      <alignment horizontal="center"/>
    </xf>
    <xf numFmtId="173" fontId="56" fillId="0" borderId="0" xfId="59" applyNumberFormat="1" applyFont="1" applyFill="1" applyAlignment="1" applyProtection="1"/>
    <xf numFmtId="173" fontId="56" fillId="0" borderId="0" xfId="59" applyNumberFormat="1" applyFont="1" applyFill="1" applyAlignment="1" applyProtection="1">
      <alignment horizontal="right"/>
    </xf>
    <xf numFmtId="10" fontId="56" fillId="0" borderId="0" xfId="266" applyNumberFormat="1" applyFont="1" applyFill="1" applyAlignment="1" applyProtection="1"/>
    <xf numFmtId="173" fontId="108" fillId="0" borderId="0" xfId="389" applyNumberFormat="1" applyFont="1" applyFill="1" applyAlignment="1" applyProtection="1">
      <alignment horizontal="center"/>
    </xf>
    <xf numFmtId="172" fontId="50" fillId="0" borderId="0" xfId="0" applyFont="1" applyFill="1" applyAlignment="1" applyProtection="1"/>
    <xf numFmtId="173" fontId="60" fillId="0" borderId="0" xfId="59" applyNumberFormat="1" applyFont="1" applyFill="1" applyAlignment="1" applyProtection="1">
      <alignment horizontal="left"/>
    </xf>
    <xf numFmtId="0" fontId="130" fillId="0" borderId="0" xfId="184" applyFont="1" applyFill="1" applyProtection="1"/>
    <xf numFmtId="0" fontId="60" fillId="0" borderId="0" xfId="184" applyFont="1" applyFill="1" applyProtection="1"/>
    <xf numFmtId="173" fontId="67" fillId="0" borderId="0" xfId="59" applyNumberFormat="1" applyFont="1" applyFill="1" applyAlignment="1" applyProtection="1"/>
    <xf numFmtId="0" fontId="67" fillId="0" borderId="0" xfId="212" quotePrefix="1" applyFont="1" applyFill="1" applyAlignment="1" applyProtection="1">
      <alignment horizontal="left"/>
    </xf>
    <xf numFmtId="0" fontId="60" fillId="0" borderId="0" xfId="212" quotePrefix="1" applyFont="1" applyFill="1" applyAlignment="1" applyProtection="1">
      <alignment horizontal="center"/>
    </xf>
    <xf numFmtId="174" fontId="60" fillId="0" borderId="0" xfId="93" quotePrefix="1" applyNumberFormat="1" applyFont="1" applyFill="1" applyAlignment="1" applyProtection="1">
      <alignment horizontal="left"/>
    </xf>
    <xf numFmtId="173" fontId="60" fillId="0" borderId="0" xfId="59" quotePrefix="1" applyNumberFormat="1" applyFont="1" applyFill="1" applyAlignment="1" applyProtection="1">
      <alignment horizontal="left"/>
    </xf>
    <xf numFmtId="172" fontId="50" fillId="0" borderId="8" xfId="0" applyFont="1" applyBorder="1" applyAlignment="1" applyProtection="1"/>
    <xf numFmtId="49" fontId="90" fillId="0" borderId="0" xfId="0" applyNumberFormat="1" applyFont="1" applyFill="1" applyAlignment="1" applyProtection="1">
      <alignment horizontal="center"/>
    </xf>
    <xf numFmtId="49" fontId="60" fillId="0" borderId="0" xfId="0" applyNumberFormat="1" applyFont="1" applyFill="1" applyAlignment="1" applyProtection="1">
      <alignment horizontal="center" vertical="center" wrapText="1"/>
    </xf>
    <xf numFmtId="0" fontId="60" fillId="0" borderId="0" xfId="192" applyFont="1" applyFill="1" applyAlignment="1" applyProtection="1">
      <alignment horizontal="center" vertical="center" wrapText="1"/>
    </xf>
    <xf numFmtId="0" fontId="60" fillId="0" borderId="0" xfId="206" applyNumberFormat="1" applyFont="1" applyFill="1" applyAlignment="1" applyProtection="1">
      <alignment horizontal="center" wrapText="1"/>
    </xf>
    <xf numFmtId="172" fontId="60" fillId="0" borderId="0" xfId="0" applyFont="1" applyFill="1" applyAlignment="1" applyProtection="1">
      <alignment horizontal="center" vertical="center" wrapText="1"/>
    </xf>
    <xf numFmtId="0" fontId="89" fillId="0" borderId="0" xfId="192" applyFont="1" applyFill="1" applyBorder="1" applyAlignment="1" applyProtection="1">
      <alignment horizontal="center" vertical="center" wrapText="1"/>
    </xf>
    <xf numFmtId="0" fontId="60" fillId="0" borderId="0" xfId="192" applyFont="1" applyFill="1" applyAlignment="1" applyProtection="1">
      <alignment horizontal="center"/>
    </xf>
    <xf numFmtId="0" fontId="60" fillId="0" borderId="0" xfId="212" applyFont="1" applyFill="1" applyAlignment="1" applyProtection="1">
      <alignment horizontal="center" wrapText="1"/>
    </xf>
    <xf numFmtId="49" fontId="60" fillId="0" borderId="0" xfId="0" applyNumberFormat="1" applyFont="1" applyFill="1" applyAlignment="1" applyProtection="1">
      <alignment horizontal="center"/>
    </xf>
    <xf numFmtId="0" fontId="89" fillId="0" borderId="0" xfId="192" applyFont="1" applyFill="1" applyBorder="1" applyAlignment="1" applyProtection="1">
      <alignment horizontal="center"/>
    </xf>
    <xf numFmtId="0" fontId="60" fillId="0" borderId="0" xfId="192" applyFont="1" applyFill="1" applyAlignment="1" applyProtection="1">
      <alignment horizontal="center" wrapText="1"/>
    </xf>
    <xf numFmtId="172" fontId="60" fillId="0" borderId="0" xfId="0" applyFont="1" applyFill="1" applyAlignment="1" applyProtection="1">
      <alignment horizontal="center" wrapText="1"/>
    </xf>
    <xf numFmtId="172" fontId="90" fillId="0" borderId="0" xfId="0" applyFont="1" applyFill="1" applyAlignment="1" applyProtection="1">
      <alignment horizontal="center"/>
    </xf>
    <xf numFmtId="172" fontId="90" fillId="0" borderId="0" xfId="0" applyFont="1" applyFill="1" applyBorder="1" applyAlignment="1" applyProtection="1">
      <alignment horizontal="center"/>
    </xf>
    <xf numFmtId="0" fontId="60" fillId="0" borderId="0" xfId="192" applyFont="1" applyFill="1" applyAlignment="1" applyProtection="1">
      <alignment wrapText="1"/>
    </xf>
    <xf numFmtId="0" fontId="60" fillId="0" borderId="3" xfId="192" applyFont="1" applyFill="1" applyBorder="1" applyProtection="1"/>
    <xf numFmtId="174" fontId="60" fillId="0" borderId="3" xfId="93" applyNumberFormat="1" applyFont="1" applyFill="1" applyBorder="1" applyProtection="1"/>
    <xf numFmtId="174" fontId="89" fillId="0" borderId="0" xfId="93" applyNumberFormat="1" applyFont="1" applyFill="1" applyBorder="1" applyProtection="1"/>
    <xf numFmtId="0" fontId="60" fillId="0" borderId="0" xfId="192" applyFont="1" applyFill="1" applyProtection="1"/>
    <xf numFmtId="0" fontId="89" fillId="0" borderId="0" xfId="192" applyFont="1" applyFill="1" applyBorder="1" applyProtection="1"/>
    <xf numFmtId="0" fontId="60" fillId="0" borderId="0" xfId="192" applyFont="1" applyFill="1" applyBorder="1" applyProtection="1"/>
    <xf numFmtId="174" fontId="60" fillId="0" borderId="0" xfId="93" applyNumberFormat="1" applyFont="1" applyFill="1" applyBorder="1" applyProtection="1"/>
    <xf numFmtId="0" fontId="89" fillId="0" borderId="0" xfId="192" applyFont="1" applyFill="1" applyProtection="1"/>
    <xf numFmtId="49" fontId="105" fillId="0" borderId="0" xfId="0" applyNumberFormat="1" applyFont="1" applyFill="1" applyAlignment="1" applyProtection="1">
      <alignment horizontal="center"/>
    </xf>
    <xf numFmtId="0" fontId="50" fillId="0" borderId="0" xfId="192" applyFont="1" applyFill="1" applyProtection="1"/>
    <xf numFmtId="172" fontId="50" fillId="0" borderId="0" xfId="0" applyFont="1" applyFill="1" applyAlignment="1" applyProtection="1">
      <alignment horizontal="center" vertical="center"/>
    </xf>
    <xf numFmtId="1" fontId="60" fillId="0" borderId="0" xfId="0" applyNumberFormat="1" applyFont="1" applyFill="1" applyAlignment="1" applyProtection="1">
      <alignment horizontal="center"/>
    </xf>
    <xf numFmtId="3" fontId="60" fillId="0" borderId="0" xfId="0" applyNumberFormat="1" applyFont="1" applyFill="1" applyAlignment="1" applyProtection="1"/>
    <xf numFmtId="3" fontId="60" fillId="0" borderId="8" xfId="0" applyNumberFormat="1" applyFont="1" applyFill="1" applyBorder="1" applyAlignment="1" applyProtection="1">
      <alignment horizontal="center"/>
    </xf>
    <xf numFmtId="3" fontId="60" fillId="0" borderId="0" xfId="211" applyNumberFormat="1" applyFont="1" applyFill="1" applyBorder="1" applyAlignment="1" applyProtection="1">
      <alignment horizontal="center"/>
    </xf>
    <xf numFmtId="43" fontId="60" fillId="0" borderId="0" xfId="192" applyNumberFormat="1" applyFont="1" applyFill="1" applyProtection="1"/>
    <xf numFmtId="0" fontId="60" fillId="0" borderId="0" xfId="0" applyNumberFormat="1" applyFont="1" applyFill="1" applyProtection="1"/>
    <xf numFmtId="3" fontId="60" fillId="0" borderId="0" xfId="0" applyNumberFormat="1" applyFont="1" applyFill="1" applyAlignment="1" applyProtection="1">
      <alignment horizontal="center"/>
    </xf>
    <xf numFmtId="10" fontId="60" fillId="0" borderId="8" xfId="266" applyNumberFormat="1" applyFont="1" applyFill="1" applyBorder="1" applyAlignment="1" applyProtection="1"/>
    <xf numFmtId="172" fontId="60" fillId="0" borderId="8" xfId="0" applyFont="1" applyFill="1" applyBorder="1" applyAlignment="1" applyProtection="1"/>
    <xf numFmtId="49" fontId="60" fillId="0" borderId="0" xfId="0" applyNumberFormat="1" applyFont="1" applyFill="1" applyAlignment="1" applyProtection="1">
      <alignment horizontal="center" vertical="center"/>
    </xf>
    <xf numFmtId="172" fontId="60" fillId="0" borderId="0" xfId="764" applyFont="1" applyFill="1" applyAlignment="1" applyProtection="1"/>
    <xf numFmtId="0" fontId="56" fillId="0" borderId="0" xfId="184" applyFont="1" applyFill="1" applyProtection="1"/>
    <xf numFmtId="0" fontId="56" fillId="0" borderId="0" xfId="184" applyFont="1" applyFill="1" applyAlignment="1" applyProtection="1">
      <alignment horizontal="center"/>
    </xf>
    <xf numFmtId="0" fontId="56" fillId="0" borderId="0" xfId="59" applyNumberFormat="1" applyFont="1" applyFill="1" applyAlignment="1" applyProtection="1">
      <alignment horizontal="center"/>
    </xf>
    <xf numFmtId="172" fontId="111" fillId="0" borderId="0" xfId="0" applyFont="1" applyFill="1" applyProtection="1"/>
    <xf numFmtId="172" fontId="56" fillId="0" borderId="0" xfId="0" applyFont="1" applyFill="1" applyProtection="1"/>
    <xf numFmtId="0" fontId="56" fillId="0" borderId="0" xfId="184" applyFont="1" applyFill="1" applyAlignment="1" applyProtection="1"/>
    <xf numFmtId="172" fontId="56" fillId="0" borderId="0" xfId="0" applyFont="1" applyFill="1" applyAlignment="1" applyProtection="1">
      <alignment horizontal="left"/>
    </xf>
    <xf numFmtId="173" fontId="56" fillId="0" borderId="0" xfId="59" applyNumberFormat="1" applyFont="1" applyFill="1" applyAlignment="1" applyProtection="1">
      <alignment wrapText="1"/>
    </xf>
    <xf numFmtId="173" fontId="56" fillId="0" borderId="0" xfId="59" applyNumberFormat="1" applyFont="1" applyFill="1" applyBorder="1" applyAlignment="1" applyProtection="1">
      <alignment wrapText="1"/>
    </xf>
    <xf numFmtId="0" fontId="56" fillId="0" borderId="0" xfId="184" applyFont="1" applyFill="1" applyAlignment="1" applyProtection="1">
      <alignment horizontal="left" vertical="center" wrapText="1"/>
    </xf>
    <xf numFmtId="0" fontId="110" fillId="0" borderId="0" xfId="184" applyFont="1" applyFill="1" applyProtection="1"/>
    <xf numFmtId="0" fontId="56" fillId="0" borderId="0" xfId="184" applyFont="1" applyFill="1" applyAlignment="1" applyProtection="1">
      <alignment horizontal="left" wrapText="1"/>
    </xf>
    <xf numFmtId="172" fontId="56" fillId="0" borderId="0" xfId="0" applyFont="1" applyFill="1" applyAlignment="1" applyProtection="1">
      <alignment horizontal="left" vertical="center"/>
    </xf>
    <xf numFmtId="172" fontId="56" fillId="0" borderId="0" xfId="0" applyFont="1" applyFill="1" applyAlignment="1" applyProtection="1">
      <alignment horizontal="left" vertical="center" wrapText="1"/>
    </xf>
    <xf numFmtId="173" fontId="56" fillId="0" borderId="0" xfId="59" applyNumberFormat="1" applyFont="1" applyFill="1" applyAlignment="1" applyProtection="1">
      <alignment vertical="center" wrapText="1"/>
    </xf>
    <xf numFmtId="172" fontId="56" fillId="0" borderId="0" xfId="0" applyFont="1" applyFill="1" applyAlignment="1" applyProtection="1">
      <alignment horizontal="left" wrapText="1"/>
    </xf>
    <xf numFmtId="174" fontId="56" fillId="0" borderId="0" xfId="0" applyNumberFormat="1" applyFont="1" applyFill="1" applyProtection="1"/>
    <xf numFmtId="173" fontId="56" fillId="0" borderId="0" xfId="397" applyNumberFormat="1" applyFont="1" applyFill="1" applyAlignment="1" applyProtection="1">
      <alignment wrapText="1"/>
    </xf>
    <xf numFmtId="172" fontId="114" fillId="0" borderId="0" xfId="0" applyFont="1" applyFill="1" applyAlignment="1" applyProtection="1">
      <alignment wrapText="1"/>
    </xf>
    <xf numFmtId="173" fontId="56" fillId="0" borderId="0" xfId="59" applyNumberFormat="1" applyFont="1" applyFill="1" applyBorder="1" applyAlignment="1" applyProtection="1"/>
    <xf numFmtId="172" fontId="112" fillId="0" borderId="0" xfId="0" applyFont="1" applyFill="1" applyAlignment="1" applyProtection="1"/>
    <xf numFmtId="0" fontId="56" fillId="0" borderId="0" xfId="184" applyFont="1" applyFill="1" applyAlignment="1" applyProtection="1">
      <alignment vertical="center" wrapText="1"/>
    </xf>
    <xf numFmtId="0" fontId="56" fillId="0" borderId="0" xfId="59" applyNumberFormat="1" applyFont="1" applyFill="1" applyAlignment="1" applyProtection="1">
      <alignment horizontal="center" vertical="top"/>
    </xf>
    <xf numFmtId="172" fontId="56" fillId="0" borderId="0" xfId="0" applyFont="1" applyFill="1" applyAlignment="1" applyProtection="1">
      <alignment wrapText="1"/>
    </xf>
    <xf numFmtId="172" fontId="56" fillId="0" borderId="0" xfId="0" applyFont="1" applyFill="1" applyAlignment="1" applyProtection="1">
      <alignment vertical="center" wrapText="1"/>
    </xf>
    <xf numFmtId="172" fontId="56" fillId="0" borderId="0" xfId="0" applyFont="1" applyFill="1" applyAlignment="1" applyProtection="1">
      <alignment horizontal="center" vertical="center"/>
    </xf>
    <xf numFmtId="173" fontId="56" fillId="0" borderId="0" xfId="0" applyNumberFormat="1" applyFont="1" applyFill="1" applyProtection="1"/>
    <xf numFmtId="0" fontId="110" fillId="0" borderId="0" xfId="59" applyNumberFormat="1" applyFont="1" applyFill="1" applyAlignment="1" applyProtection="1">
      <alignment horizontal="center"/>
    </xf>
    <xf numFmtId="173" fontId="110" fillId="0" borderId="0" xfId="59" applyNumberFormat="1" applyFont="1" applyFill="1" applyAlignment="1" applyProtection="1"/>
    <xf numFmtId="0" fontId="56" fillId="0" borderId="0" xfId="184" applyFont="1" applyFill="1" applyAlignment="1" applyProtection="1">
      <alignment horizontal="center" wrapText="1"/>
    </xf>
    <xf numFmtId="173" fontId="56" fillId="0" borderId="0" xfId="184" applyNumberFormat="1" applyFont="1" applyFill="1" applyProtection="1"/>
    <xf numFmtId="10" fontId="56" fillId="0" borderId="0" xfId="184" applyNumberFormat="1" applyFont="1" applyFill="1" applyProtection="1"/>
    <xf numFmtId="174" fontId="56" fillId="0" borderId="0" xfId="93" applyNumberFormat="1" applyFont="1" applyFill="1" applyAlignment="1" applyProtection="1"/>
    <xf numFmtId="174" fontId="56" fillId="0" borderId="0" xfId="93" applyNumberFormat="1" applyFont="1" applyFill="1" applyProtection="1"/>
    <xf numFmtId="0" fontId="56" fillId="0" borderId="9" xfId="184" applyFont="1" applyFill="1" applyBorder="1" applyProtection="1"/>
    <xf numFmtId="0" fontId="56" fillId="0" borderId="9" xfId="184" applyFont="1" applyFill="1" applyBorder="1" applyAlignment="1" applyProtection="1">
      <alignment horizontal="center" wrapText="1"/>
    </xf>
    <xf numFmtId="0" fontId="56" fillId="0" borderId="9" xfId="184" applyFont="1" applyFill="1" applyBorder="1" applyAlignment="1" applyProtection="1">
      <alignment horizontal="center"/>
    </xf>
    <xf numFmtId="174" fontId="56" fillId="0" borderId="9" xfId="93" applyNumberFormat="1" applyFont="1" applyFill="1" applyBorder="1" applyAlignment="1" applyProtection="1"/>
    <xf numFmtId="174" fontId="56" fillId="0" borderId="9" xfId="93" applyNumberFormat="1" applyFont="1" applyFill="1" applyBorder="1" applyProtection="1"/>
    <xf numFmtId="174" fontId="56" fillId="0" borderId="9" xfId="184" applyNumberFormat="1" applyFont="1" applyFill="1" applyBorder="1" applyProtection="1"/>
    <xf numFmtId="173" fontId="56" fillId="0" borderId="9" xfId="59" applyNumberFormat="1" applyFont="1" applyFill="1" applyBorder="1" applyAlignment="1" applyProtection="1"/>
    <xf numFmtId="173" fontId="56" fillId="0" borderId="9" xfId="184" applyNumberFormat="1" applyFont="1" applyFill="1" applyBorder="1" applyProtection="1"/>
    <xf numFmtId="173" fontId="56" fillId="0" borderId="9" xfId="59" applyNumberFormat="1" applyFont="1" applyFill="1" applyBorder="1" applyProtection="1"/>
    <xf numFmtId="0" fontId="56" fillId="0" borderId="9" xfId="184" applyFont="1" applyFill="1" applyBorder="1" applyAlignment="1" applyProtection="1">
      <alignment horizontal="left" indent="2"/>
    </xf>
    <xf numFmtId="0" fontId="56" fillId="0" borderId="9" xfId="184" applyFont="1" applyFill="1" applyBorder="1" applyAlignment="1" applyProtection="1">
      <alignment horizontal="right"/>
    </xf>
    <xf numFmtId="9" fontId="56" fillId="0" borderId="9" xfId="184" applyNumberFormat="1" applyFont="1" applyFill="1" applyBorder="1" applyProtection="1"/>
    <xf numFmtId="10" fontId="56" fillId="0" borderId="9" xfId="184" applyNumberFormat="1" applyFont="1" applyFill="1" applyBorder="1" applyProtection="1"/>
    <xf numFmtId="9" fontId="56" fillId="0" borderId="0" xfId="184" applyNumberFormat="1" applyFont="1" applyFill="1" applyProtection="1"/>
    <xf numFmtId="9" fontId="56" fillId="14" borderId="0" xfId="184" applyNumberFormat="1" applyFont="1" applyFill="1" applyProtection="1">
      <protection locked="0"/>
    </xf>
    <xf numFmtId="0" fontId="110" fillId="0" borderId="0" xfId="212" applyFont="1" applyFill="1" applyAlignment="1" applyProtection="1">
      <alignment horizontal="center"/>
    </xf>
    <xf numFmtId="0" fontId="110" fillId="0" borderId="0" xfId="212" applyFont="1" applyFill="1" applyAlignment="1" applyProtection="1">
      <alignment horizontal="center" wrapText="1"/>
    </xf>
    <xf numFmtId="172" fontId="56" fillId="0" borderId="0" xfId="0" applyFont="1" applyFill="1" applyAlignment="1" applyProtection="1">
      <alignment horizontal="center" wrapText="1"/>
    </xf>
    <xf numFmtId="1" fontId="56" fillId="0" borderId="1" xfId="0" applyNumberFormat="1" applyFont="1" applyFill="1" applyBorder="1" applyAlignment="1" applyProtection="1">
      <alignment horizontal="center"/>
    </xf>
    <xf numFmtId="172" fontId="56" fillId="0" borderId="1" xfId="0" applyFont="1" applyFill="1" applyBorder="1" applyProtection="1"/>
    <xf numFmtId="0" fontId="110" fillId="0" borderId="0" xfId="399" applyFont="1" applyFill="1" applyBorder="1" applyAlignment="1" applyProtection="1">
      <alignment horizontal="center"/>
    </xf>
    <xf numFmtId="0" fontId="56" fillId="0" borderId="0" xfId="59" applyNumberFormat="1" applyFont="1" applyFill="1" applyAlignment="1" applyProtection="1">
      <alignment horizontal="left"/>
    </xf>
    <xf numFmtId="1" fontId="56" fillId="0" borderId="0" xfId="399" applyNumberFormat="1" applyFont="1" applyFill="1" applyBorder="1" applyAlignment="1" applyProtection="1">
      <alignment horizontal="center"/>
    </xf>
    <xf numFmtId="173" fontId="56" fillId="0" borderId="1" xfId="399" applyNumberFormat="1" applyFont="1" applyFill="1" applyBorder="1" applyAlignment="1" applyProtection="1">
      <alignment horizontal="center"/>
    </xf>
    <xf numFmtId="275" fontId="56" fillId="0" borderId="0" xfId="399" applyNumberFormat="1" applyFont="1" applyFill="1" applyBorder="1" applyAlignment="1" applyProtection="1">
      <alignment horizontal="left"/>
    </xf>
    <xf numFmtId="276" fontId="56" fillId="0" borderId="0" xfId="399" applyNumberFormat="1" applyFont="1" applyFill="1" applyBorder="1" applyAlignment="1" applyProtection="1">
      <alignment horizontal="center"/>
    </xf>
    <xf numFmtId="174" fontId="56" fillId="0" borderId="0" xfId="93" applyNumberFormat="1" applyFont="1" applyFill="1" applyBorder="1" applyProtection="1"/>
    <xf numFmtId="173" fontId="56" fillId="0" borderId="0" xfId="59" applyNumberFormat="1" applyFont="1" applyFill="1" applyBorder="1" applyProtection="1"/>
    <xf numFmtId="276" fontId="56" fillId="0" borderId="0" xfId="0" applyNumberFormat="1" applyFont="1" applyFill="1" applyAlignment="1" applyProtection="1">
      <alignment horizontal="center"/>
    </xf>
    <xf numFmtId="0" fontId="56" fillId="0" borderId="0" xfId="399" applyFont="1" applyFill="1" applyBorder="1" applyAlignment="1" applyProtection="1">
      <alignment horizontal="left"/>
    </xf>
    <xf numFmtId="172" fontId="110" fillId="0" borderId="0" xfId="0" applyFont="1" applyFill="1" applyProtection="1"/>
    <xf numFmtId="174" fontId="56" fillId="0" borderId="7" xfId="93" applyNumberFormat="1" applyFont="1" applyFill="1" applyBorder="1" applyAlignment="1" applyProtection="1"/>
    <xf numFmtId="277" fontId="56" fillId="0" borderId="7" xfId="93" applyNumberFormat="1" applyFont="1" applyFill="1" applyBorder="1" applyAlignment="1" applyProtection="1"/>
    <xf numFmtId="172" fontId="56" fillId="0" borderId="0" xfId="0" applyFont="1" applyFill="1" applyAlignment="1" applyProtection="1">
      <alignment horizontal="right"/>
    </xf>
    <xf numFmtId="10" fontId="56" fillId="0" borderId="0" xfId="266" applyNumberFormat="1" applyFont="1" applyFill="1" applyProtection="1"/>
    <xf numFmtId="173" fontId="56" fillId="0" borderId="0" xfId="59" applyNumberFormat="1" applyFont="1" applyFill="1" applyProtection="1"/>
    <xf numFmtId="169" fontId="56" fillId="0" borderId="0" xfId="0" applyNumberFormat="1" applyFont="1" applyFill="1" applyAlignment="1" applyProtection="1"/>
    <xf numFmtId="173" fontId="56" fillId="0" borderId="0" xfId="59" quotePrefix="1" applyNumberFormat="1" applyFont="1" applyFill="1" applyAlignment="1" applyProtection="1">
      <alignment horizontal="left"/>
    </xf>
    <xf numFmtId="172" fontId="56" fillId="0" borderId="8" xfId="0" applyFont="1" applyFill="1" applyBorder="1" applyAlignment="1" applyProtection="1"/>
    <xf numFmtId="172" fontId="56" fillId="0" borderId="0" xfId="0" applyFont="1" applyProtection="1"/>
    <xf numFmtId="172" fontId="110" fillId="0" borderId="0" xfId="0" applyFont="1" applyFill="1" applyAlignment="1" applyProtection="1">
      <alignment horizontal="center"/>
    </xf>
    <xf numFmtId="172" fontId="110" fillId="0" borderId="0" xfId="0" applyFont="1" applyProtection="1"/>
    <xf numFmtId="172" fontId="56" fillId="0" borderId="0" xfId="0" applyFont="1" applyAlignment="1" applyProtection="1">
      <alignment horizontal="center"/>
    </xf>
    <xf numFmtId="172" fontId="110" fillId="0" borderId="0" xfId="0" applyFont="1" applyBorder="1" applyAlignment="1" applyProtection="1">
      <alignment horizontal="center"/>
    </xf>
    <xf numFmtId="0" fontId="56" fillId="0" borderId="0" xfId="0" applyNumberFormat="1" applyFont="1" applyAlignment="1" applyProtection="1">
      <alignment horizontal="center"/>
    </xf>
    <xf numFmtId="172" fontId="56" fillId="0" borderId="0" xfId="0" applyFont="1" applyAlignment="1" applyProtection="1">
      <alignment horizontal="right"/>
    </xf>
    <xf numFmtId="37" fontId="56" fillId="0" borderId="0" xfId="0" applyNumberFormat="1" applyFont="1" applyAlignment="1" applyProtection="1">
      <alignment horizontal="right" wrapText="1"/>
    </xf>
    <xf numFmtId="172" fontId="56" fillId="0" borderId="0" xfId="0" applyFont="1" applyAlignment="1" applyProtection="1">
      <alignment horizontal="right" wrapText="1"/>
    </xf>
    <xf numFmtId="0" fontId="110" fillId="0" borderId="0" xfId="0" applyNumberFormat="1" applyFont="1" applyFill="1" applyBorder="1" applyAlignment="1" applyProtection="1">
      <alignment horizontal="center"/>
    </xf>
    <xf numFmtId="37" fontId="56" fillId="0" borderId="0" xfId="0" applyNumberFormat="1" applyFont="1" applyFill="1" applyAlignment="1" applyProtection="1">
      <alignment horizontal="right"/>
    </xf>
    <xf numFmtId="37" fontId="56" fillId="0" borderId="0" xfId="0" applyNumberFormat="1" applyFont="1" applyAlignment="1" applyProtection="1">
      <alignment horizontal="right"/>
    </xf>
    <xf numFmtId="0" fontId="56" fillId="0" borderId="0" xfId="0" applyNumberFormat="1" applyFont="1" applyFill="1" applyBorder="1" applyAlignment="1" applyProtection="1">
      <alignment horizontal="left"/>
    </xf>
    <xf numFmtId="172" fontId="110" fillId="0" borderId="0" xfId="0" applyFont="1" applyFill="1" applyBorder="1" applyProtection="1"/>
    <xf numFmtId="37" fontId="110" fillId="0" borderId="0" xfId="0" applyNumberFormat="1" applyFont="1" applyFill="1" applyProtection="1"/>
    <xf numFmtId="41" fontId="56" fillId="0" borderId="0" xfId="0" applyNumberFormat="1" applyFont="1" applyFill="1" applyBorder="1" applyAlignment="1" applyProtection="1">
      <alignment horizontal="right"/>
    </xf>
    <xf numFmtId="37" fontId="56" fillId="0" borderId="0" xfId="0" applyNumberFormat="1" applyFont="1" applyFill="1" applyProtection="1"/>
    <xf numFmtId="41" fontId="122" fillId="0" borderId="0" xfId="0" applyNumberFormat="1" applyFont="1" applyFill="1" applyBorder="1" applyAlignment="1" applyProtection="1">
      <alignment horizontal="left"/>
    </xf>
    <xf numFmtId="172" fontId="112" fillId="0" borderId="0" xfId="0" applyFont="1" applyFill="1" applyProtection="1"/>
    <xf numFmtId="37" fontId="56" fillId="0" borderId="0" xfId="0" applyNumberFormat="1" applyFont="1" applyFill="1" applyAlignment="1" applyProtection="1">
      <alignment horizontal="right" wrapText="1"/>
    </xf>
    <xf numFmtId="37" fontId="56" fillId="14" borderId="0" xfId="0" applyNumberFormat="1" applyFont="1" applyFill="1" applyProtection="1">
      <protection locked="0"/>
    </xf>
    <xf numFmtId="173" fontId="56" fillId="14" borderId="0" xfId="59" applyNumberFormat="1" applyFont="1" applyFill="1" applyAlignment="1" applyProtection="1">
      <alignment horizontal="right"/>
      <protection locked="0"/>
    </xf>
    <xf numFmtId="0" fontId="50" fillId="0" borderId="0" xfId="383" applyNumberFormat="1" applyFont="1" applyFill="1" applyAlignment="1" applyProtection="1">
      <alignment horizontal="center"/>
    </xf>
    <xf numFmtId="0" fontId="50" fillId="0" borderId="0" xfId="383" applyFont="1" applyFill="1" applyBorder="1" applyAlignment="1" applyProtection="1">
      <alignment horizontal="center"/>
    </xf>
    <xf numFmtId="274" fontId="50" fillId="0" borderId="0" xfId="266" applyNumberFormat="1" applyFont="1" applyFill="1" applyBorder="1" applyAlignment="1" applyProtection="1">
      <alignment horizontal="center"/>
    </xf>
    <xf numFmtId="1" fontId="50" fillId="0" borderId="0" xfId="201" applyNumberFormat="1" applyFont="1" applyFill="1" applyAlignment="1" applyProtection="1">
      <alignment horizontal="left"/>
    </xf>
    <xf numFmtId="172" fontId="126" fillId="0" borderId="0" xfId="201" quotePrefix="1" applyFont="1" applyFill="1" applyAlignment="1" applyProtection="1">
      <alignment horizontal="left"/>
    </xf>
    <xf numFmtId="172" fontId="101" fillId="0" borderId="0" xfId="201" applyFont="1" applyFill="1" applyAlignment="1" applyProtection="1"/>
    <xf numFmtId="0" fontId="81" fillId="0" borderId="0" xfId="383" applyFont="1" applyFill="1" applyAlignment="1" applyProtection="1">
      <alignment horizontal="center" wrapText="1"/>
    </xf>
    <xf numFmtId="0" fontId="81" fillId="0" borderId="0" xfId="383" applyFont="1" applyFill="1" applyBorder="1" applyAlignment="1" applyProtection="1">
      <alignment horizontal="center" wrapText="1"/>
    </xf>
    <xf numFmtId="172" fontId="50" fillId="0" borderId="0" xfId="201" applyFont="1" applyFill="1" applyAlignment="1" applyProtection="1"/>
    <xf numFmtId="43" fontId="50" fillId="0" borderId="0" xfId="59" applyFont="1" applyFill="1" applyAlignment="1" applyProtection="1"/>
    <xf numFmtId="10" fontId="127" fillId="0" borderId="0" xfId="383" applyNumberFormat="1" applyFont="1" applyFill="1" applyBorder="1" applyProtection="1"/>
    <xf numFmtId="43" fontId="81" fillId="0" borderId="0" xfId="59" applyFont="1" applyFill="1" applyBorder="1" applyProtection="1"/>
    <xf numFmtId="0" fontId="81" fillId="0" borderId="0" xfId="383" applyFont="1" applyFill="1" applyBorder="1" applyProtection="1"/>
    <xf numFmtId="0" fontId="50" fillId="0" borderId="0" xfId="383" applyNumberFormat="1" applyFont="1" applyFill="1" applyBorder="1" applyAlignment="1" applyProtection="1">
      <alignment horizontal="center"/>
    </xf>
    <xf numFmtId="0" fontId="81" fillId="0" borderId="0" xfId="383" applyFont="1" applyFill="1" applyBorder="1" applyAlignment="1" applyProtection="1">
      <alignment horizontal="center"/>
    </xf>
    <xf numFmtId="10" fontId="81" fillId="0" borderId="0" xfId="383" applyNumberFormat="1" applyFont="1" applyFill="1" applyBorder="1" applyProtection="1"/>
    <xf numFmtId="172" fontId="50" fillId="0" borderId="0" xfId="201" quotePrefix="1" applyFont="1" applyFill="1" applyBorder="1" applyAlignment="1" applyProtection="1">
      <alignment horizontal="left"/>
    </xf>
    <xf numFmtId="43" fontId="50" fillId="0" borderId="0" xfId="59" applyFont="1" applyFill="1" applyBorder="1" applyAlignment="1" applyProtection="1"/>
    <xf numFmtId="0" fontId="128" fillId="0" borderId="0" xfId="383" applyFont="1" applyFill="1" applyBorder="1" applyProtection="1"/>
    <xf numFmtId="172" fontId="50" fillId="0" borderId="0" xfId="201" applyFont="1" applyFill="1" applyAlignment="1" applyProtection="1">
      <alignment horizontal="left"/>
    </xf>
    <xf numFmtId="182" fontId="50" fillId="0" borderId="0" xfId="59" applyNumberFormat="1" applyFont="1" applyFill="1" applyAlignment="1" applyProtection="1"/>
    <xf numFmtId="172" fontId="50" fillId="0" borderId="8" xfId="201" applyFont="1" applyFill="1" applyBorder="1" applyAlignment="1" applyProtection="1"/>
    <xf numFmtId="172" fontId="50" fillId="0" borderId="0" xfId="201" applyFont="1" applyFill="1" applyAlignment="1" applyProtection="1">
      <alignment horizontal="center"/>
    </xf>
    <xf numFmtId="0" fontId="81" fillId="0" borderId="0" xfId="383" applyFont="1" applyFill="1" applyProtection="1"/>
    <xf numFmtId="172" fontId="60" fillId="0" borderId="0" xfId="0" applyFont="1" applyFill="1" applyBorder="1" applyAlignment="1" applyProtection="1">
      <alignment horizontal="center"/>
    </xf>
    <xf numFmtId="172" fontId="60" fillId="0" borderId="3" xfId="0" applyFont="1" applyFill="1" applyBorder="1" applyAlignment="1" applyProtection="1">
      <alignment horizontal="center"/>
    </xf>
    <xf numFmtId="172" fontId="60" fillId="0" borderId="20" xfId="0" applyFont="1" applyFill="1" applyBorder="1" applyAlignment="1" applyProtection="1">
      <alignment horizontal="center"/>
    </xf>
    <xf numFmtId="172" fontId="60" fillId="0" borderId="10" xfId="0" applyFont="1" applyFill="1" applyBorder="1" applyProtection="1"/>
    <xf numFmtId="172" fontId="60" fillId="0" borderId="12" xfId="201" applyFont="1" applyFill="1" applyBorder="1" applyAlignment="1" applyProtection="1"/>
    <xf numFmtId="172" fontId="60" fillId="0" borderId="12" xfId="0" applyFont="1" applyFill="1" applyBorder="1" applyAlignment="1" applyProtection="1">
      <alignment horizontal="center"/>
    </xf>
    <xf numFmtId="172" fontId="60" fillId="0" borderId="0" xfId="201" applyFont="1" applyFill="1" applyBorder="1" applyAlignment="1" applyProtection="1">
      <alignment horizontal="center" wrapText="1"/>
    </xf>
    <xf numFmtId="172" fontId="60" fillId="0" borderId="0" xfId="0" applyFont="1" applyFill="1" applyBorder="1" applyAlignment="1" applyProtection="1">
      <alignment horizontal="center" wrapText="1"/>
    </xf>
    <xf numFmtId="172" fontId="60" fillId="0" borderId="12" xfId="201" applyFont="1" applyFill="1" applyBorder="1" applyAlignment="1" applyProtection="1">
      <alignment horizontal="center"/>
    </xf>
    <xf numFmtId="172" fontId="60" fillId="0" borderId="12" xfId="0" applyFont="1" applyFill="1" applyBorder="1" applyAlignment="1" applyProtection="1">
      <alignment horizontal="center" wrapText="1"/>
    </xf>
    <xf numFmtId="43" fontId="60" fillId="0" borderId="0" xfId="59" applyFont="1" applyFill="1" applyBorder="1" applyProtection="1"/>
    <xf numFmtId="173" fontId="60" fillId="0" borderId="12" xfId="59" applyNumberFormat="1" applyFont="1" applyFill="1" applyBorder="1" applyProtection="1"/>
    <xf numFmtId="273" fontId="60" fillId="0" borderId="0" xfId="59" applyNumberFormat="1" applyFont="1" applyFill="1" applyBorder="1" applyAlignment="1" applyProtection="1"/>
    <xf numFmtId="43" fontId="60" fillId="0" borderId="12" xfId="59" applyFont="1" applyFill="1" applyBorder="1" applyProtection="1"/>
    <xf numFmtId="172" fontId="60" fillId="0" borderId="17" xfId="0" applyFont="1" applyFill="1" applyBorder="1" applyProtection="1"/>
    <xf numFmtId="172" fontId="60" fillId="0" borderId="1" xfId="0" applyFont="1" applyFill="1" applyBorder="1" applyProtection="1"/>
    <xf numFmtId="43" fontId="60" fillId="0" borderId="1" xfId="59" applyFont="1" applyFill="1" applyBorder="1" applyProtection="1"/>
    <xf numFmtId="43" fontId="60" fillId="0" borderId="21" xfId="59" applyFont="1" applyFill="1" applyBorder="1" applyProtection="1"/>
    <xf numFmtId="10" fontId="60" fillId="0" borderId="0" xfId="266" applyNumberFormat="1" applyFont="1" applyFill="1" applyBorder="1" applyProtection="1"/>
    <xf numFmtId="172" fontId="110" fillId="0" borderId="0" xfId="201" applyFont="1" applyFill="1" applyAlignment="1" applyProtection="1"/>
    <xf numFmtId="172" fontId="56" fillId="0" borderId="0" xfId="201" applyFont="1" applyFill="1" applyAlignment="1" applyProtection="1">
      <alignment horizontal="center"/>
    </xf>
    <xf numFmtId="172" fontId="56" fillId="0" borderId="0" xfId="0" applyFont="1" applyFill="1" applyBorder="1" applyAlignment="1" applyProtection="1"/>
    <xf numFmtId="172" fontId="111" fillId="0" borderId="0" xfId="0" applyFont="1" applyFill="1" applyAlignment="1" applyProtection="1"/>
    <xf numFmtId="0" fontId="56" fillId="0" borderId="0" xfId="187" applyFont="1" applyFill="1" applyBorder="1" applyAlignment="1" applyProtection="1">
      <alignment horizontal="center"/>
    </xf>
    <xf numFmtId="0" fontId="112" fillId="0" borderId="0" xfId="187" applyFont="1" applyFill="1" applyBorder="1" applyAlignment="1" applyProtection="1">
      <alignment horizontal="left"/>
    </xf>
    <xf numFmtId="0" fontId="56" fillId="0" borderId="0" xfId="187" applyFont="1" applyFill="1" applyBorder="1" applyAlignment="1" applyProtection="1"/>
    <xf numFmtId="49" fontId="56" fillId="0" borderId="0" xfId="187" applyNumberFormat="1" applyFont="1" applyFill="1" applyBorder="1" applyAlignment="1" applyProtection="1">
      <alignment horizontal="center"/>
    </xf>
    <xf numFmtId="0" fontId="56" fillId="0" borderId="0" xfId="187" applyFont="1" applyFill="1" applyBorder="1" applyProtection="1"/>
    <xf numFmtId="172" fontId="110" fillId="0" borderId="1" xfId="201" applyFont="1" applyFill="1" applyBorder="1" applyAlignment="1" applyProtection="1">
      <alignment horizontal="center" wrapText="1"/>
    </xf>
    <xf numFmtId="172" fontId="110" fillId="0" borderId="0" xfId="201" applyFont="1" applyFill="1" applyAlignment="1" applyProtection="1">
      <alignment horizontal="center" wrapText="1"/>
    </xf>
    <xf numFmtId="3" fontId="56" fillId="0" borderId="0" xfId="187" applyNumberFormat="1" applyFont="1" applyFill="1" applyBorder="1" applyAlignment="1" applyProtection="1"/>
    <xf numFmtId="0" fontId="56" fillId="0" borderId="0" xfId="204" applyFont="1" applyFill="1" applyBorder="1" applyAlignment="1" applyProtection="1"/>
    <xf numFmtId="173" fontId="56" fillId="0" borderId="1" xfId="59" applyNumberFormat="1" applyFont="1" applyFill="1" applyBorder="1" applyAlignment="1" applyProtection="1"/>
    <xf numFmtId="172" fontId="56" fillId="0" borderId="0" xfId="201" applyFont="1" applyFill="1" applyBorder="1" applyAlignment="1" applyProtection="1"/>
    <xf numFmtId="172" fontId="56" fillId="0" borderId="8" xfId="201" applyFont="1" applyFill="1" applyBorder="1" applyAlignment="1" applyProtection="1"/>
    <xf numFmtId="172" fontId="56" fillId="0" borderId="0" xfId="201" applyFont="1" applyFill="1" applyBorder="1" applyAlignment="1" applyProtection="1">
      <alignment horizontal="center" vertical="top"/>
    </xf>
    <xf numFmtId="172" fontId="56" fillId="0" borderId="0" xfId="201" applyFont="1" applyFill="1" applyBorder="1" applyAlignment="1" applyProtection="1">
      <alignment horizontal="left"/>
    </xf>
    <xf numFmtId="172" fontId="56" fillId="0" borderId="0" xfId="201" applyFont="1" applyFill="1" applyBorder="1" applyAlignment="1" applyProtection="1">
      <alignment vertical="top"/>
    </xf>
    <xf numFmtId="0" fontId="56" fillId="0" borderId="0" xfId="0" applyNumberFormat="1" applyFont="1" applyFill="1" applyAlignment="1" applyProtection="1">
      <alignment horizontal="center" vertical="center"/>
    </xf>
    <xf numFmtId="9" fontId="56" fillId="0" borderId="0" xfId="266" applyFont="1" applyFill="1" applyAlignment="1" applyProtection="1"/>
    <xf numFmtId="172" fontId="56" fillId="0" borderId="0" xfId="0" applyFont="1" applyAlignment="1" applyProtection="1"/>
    <xf numFmtId="0" fontId="50" fillId="0" borderId="0" xfId="0" applyNumberFormat="1" applyFont="1" applyAlignment="1" applyProtection="1">
      <alignment horizontal="center"/>
    </xf>
    <xf numFmtId="172" fontId="50" fillId="0" borderId="0" xfId="0" applyFont="1" applyProtection="1"/>
    <xf numFmtId="173" fontId="50" fillId="0" borderId="0" xfId="59" applyNumberFormat="1" applyFont="1" applyProtection="1"/>
    <xf numFmtId="172" fontId="50" fillId="0" borderId="0" xfId="0" applyFont="1" applyBorder="1" applyProtection="1"/>
    <xf numFmtId="280" fontId="50" fillId="0" borderId="0" xfId="0" applyNumberFormat="1" applyFont="1" applyBorder="1" applyProtection="1"/>
    <xf numFmtId="0" fontId="50" fillId="0" borderId="0" xfId="398" applyFont="1" applyAlignment="1" applyProtection="1">
      <alignment horizontal="center"/>
    </xf>
    <xf numFmtId="43" fontId="50" fillId="0" borderId="0" xfId="59" applyFont="1" applyAlignment="1" applyProtection="1">
      <alignment horizontal="center"/>
    </xf>
    <xf numFmtId="10" fontId="50" fillId="0" borderId="0" xfId="266" applyNumberFormat="1" applyFont="1" applyAlignment="1" applyProtection="1">
      <alignment horizontal="center"/>
    </xf>
    <xf numFmtId="0" fontId="50" fillId="0" borderId="0" xfId="398" applyFont="1" applyProtection="1"/>
    <xf numFmtId="0" fontId="50" fillId="0" borderId="1" xfId="398" applyFont="1" applyBorder="1" applyAlignment="1" applyProtection="1">
      <alignment horizontal="center"/>
    </xf>
    <xf numFmtId="43" fontId="50" fillId="0" borderId="1" xfId="59" applyFont="1" applyBorder="1" applyAlignment="1" applyProtection="1">
      <alignment horizontal="center"/>
    </xf>
    <xf numFmtId="173" fontId="50" fillId="0" borderId="1" xfId="59" applyNumberFormat="1" applyFont="1" applyBorder="1" applyAlignment="1" applyProtection="1">
      <alignment horizontal="center"/>
    </xf>
    <xf numFmtId="0" fontId="117" fillId="0" borderId="0" xfId="398" applyFont="1" applyAlignment="1" applyProtection="1">
      <alignment horizontal="center" vertical="center"/>
    </xf>
    <xf numFmtId="0" fontId="118" fillId="0" borderId="0" xfId="398" applyFont="1" applyAlignment="1" applyProtection="1">
      <alignment horizontal="center" vertical="center"/>
    </xf>
    <xf numFmtId="43" fontId="118" fillId="0" borderId="0" xfId="59" applyFont="1" applyAlignment="1" applyProtection="1">
      <alignment horizontal="center" vertical="center"/>
    </xf>
    <xf numFmtId="10" fontId="118" fillId="0" borderId="0" xfId="266" applyNumberFormat="1" applyFont="1" applyAlignment="1" applyProtection="1">
      <alignment horizontal="center" vertical="center"/>
    </xf>
    <xf numFmtId="173" fontId="118" fillId="0" borderId="0" xfId="59" applyNumberFormat="1" applyFont="1" applyAlignment="1" applyProtection="1">
      <alignment horizontal="center" vertical="center"/>
    </xf>
    <xf numFmtId="0" fontId="101" fillId="0" borderId="0" xfId="398" applyFont="1" applyAlignment="1" applyProtection="1">
      <alignment horizontal="center" vertical="center"/>
    </xf>
    <xf numFmtId="0" fontId="50" fillId="0" borderId="0" xfId="398" applyFont="1" applyAlignment="1" applyProtection="1">
      <alignment horizontal="center" vertical="center"/>
    </xf>
    <xf numFmtId="43" fontId="50" fillId="0" borderId="0" xfId="59" applyFont="1" applyAlignment="1" applyProtection="1">
      <alignment horizontal="center" vertical="center"/>
    </xf>
    <xf numFmtId="10" fontId="50" fillId="0" borderId="0" xfId="266" applyNumberFormat="1" applyFont="1" applyAlignment="1" applyProtection="1">
      <alignment horizontal="center" vertical="center"/>
    </xf>
    <xf numFmtId="173" fontId="50" fillId="0" borderId="0" xfId="59" applyNumberFormat="1" applyFont="1" applyAlignment="1" applyProtection="1">
      <alignment horizontal="center" vertical="center"/>
    </xf>
    <xf numFmtId="0" fontId="50" fillId="0" borderId="0" xfId="398" applyFont="1" applyAlignment="1" applyProtection="1">
      <alignment horizontal="left"/>
    </xf>
    <xf numFmtId="0" fontId="50" fillId="0" borderId="0" xfId="398" applyFont="1" applyFill="1" applyAlignment="1" applyProtection="1">
      <alignment horizontal="center"/>
    </xf>
    <xf numFmtId="2" fontId="50" fillId="0" borderId="0" xfId="398" applyNumberFormat="1" applyFont="1" applyFill="1" applyAlignment="1" applyProtection="1">
      <alignment horizontal="center"/>
    </xf>
    <xf numFmtId="43" fontId="50" fillId="0" borderId="0" xfId="59" applyFont="1" applyFill="1" applyBorder="1" applyAlignment="1" applyProtection="1">
      <alignment horizontal="center"/>
    </xf>
    <xf numFmtId="173" fontId="101" fillId="0" borderId="4" xfId="59" applyNumberFormat="1" applyFont="1" applyBorder="1" applyAlignment="1" applyProtection="1">
      <alignment horizontal="center"/>
    </xf>
    <xf numFmtId="173" fontId="101" fillId="0" borderId="0" xfId="59" applyNumberFormat="1" applyFont="1" applyBorder="1" applyAlignment="1" applyProtection="1">
      <alignment horizontal="center"/>
    </xf>
    <xf numFmtId="0" fontId="101" fillId="0" borderId="0" xfId="398" applyFont="1" applyAlignment="1" applyProtection="1">
      <alignment horizontal="left" vertical="center"/>
    </xf>
    <xf numFmtId="177" fontId="119" fillId="0" borderId="0" xfId="59" applyNumberFormat="1" applyFont="1" applyFill="1" applyAlignment="1" applyProtection="1">
      <alignment horizontal="center"/>
    </xf>
    <xf numFmtId="173" fontId="101" fillId="0" borderId="0" xfId="59" applyNumberFormat="1" applyFont="1" applyFill="1" applyBorder="1" applyAlignment="1" applyProtection="1">
      <alignment horizontal="center"/>
    </xf>
    <xf numFmtId="173" fontId="119" fillId="0" borderId="0" xfId="59" applyNumberFormat="1" applyFont="1" applyFill="1" applyAlignment="1" applyProtection="1">
      <alignment horizontal="center"/>
    </xf>
    <xf numFmtId="173" fontId="119" fillId="0" borderId="0" xfId="59" applyNumberFormat="1" applyFont="1" applyBorder="1" applyAlignment="1" applyProtection="1">
      <alignment horizontal="center"/>
    </xf>
    <xf numFmtId="0" fontId="50" fillId="0" borderId="0" xfId="398" applyFont="1" applyAlignment="1" applyProtection="1">
      <alignment horizontal="left" indent="1"/>
    </xf>
    <xf numFmtId="0" fontId="50" fillId="0" borderId="0" xfId="398" applyFont="1" applyFill="1" applyAlignment="1" applyProtection="1">
      <alignment horizontal="right"/>
    </xf>
    <xf numFmtId="274" fontId="50" fillId="0" borderId="0" xfId="266" applyNumberFormat="1" applyFont="1" applyFill="1" applyAlignment="1" applyProtection="1">
      <alignment horizontal="center"/>
    </xf>
    <xf numFmtId="173" fontId="50" fillId="0" borderId="0" xfId="59" applyNumberFormat="1" applyFont="1" applyFill="1" applyProtection="1"/>
    <xf numFmtId="173" fontId="50" fillId="0" borderId="0" xfId="59" applyNumberFormat="1" applyFont="1" applyFill="1" applyBorder="1" applyProtection="1"/>
    <xf numFmtId="280" fontId="50" fillId="0" borderId="0" xfId="266" applyNumberFormat="1" applyFont="1" applyBorder="1" applyProtection="1"/>
    <xf numFmtId="173" fontId="50" fillId="0" borderId="0" xfId="59" applyNumberFormat="1" applyFont="1" applyFill="1" applyBorder="1" applyAlignment="1" applyProtection="1"/>
    <xf numFmtId="173" fontId="120" fillId="0" borderId="14" xfId="59" applyNumberFormat="1" applyFont="1" applyFill="1" applyBorder="1" applyAlignment="1" applyProtection="1"/>
    <xf numFmtId="172" fontId="119" fillId="0" borderId="0" xfId="0" applyFont="1" applyProtection="1"/>
    <xf numFmtId="173" fontId="120" fillId="0" borderId="0" xfId="59" applyNumberFormat="1" applyFont="1" applyFill="1" applyBorder="1" applyAlignment="1" applyProtection="1"/>
    <xf numFmtId="173" fontId="50" fillId="0" borderId="0" xfId="59" applyNumberFormat="1" applyFont="1" applyBorder="1" applyProtection="1"/>
    <xf numFmtId="274" fontId="119" fillId="0" borderId="0" xfId="59" applyNumberFormat="1" applyFont="1" applyFill="1" applyAlignment="1" applyProtection="1">
      <alignment horizontal="center"/>
    </xf>
    <xf numFmtId="173" fontId="50" fillId="0" borderId="0" xfId="59" applyNumberFormat="1" applyFont="1" applyFill="1" applyAlignment="1" applyProtection="1">
      <alignment vertical="center" wrapText="1"/>
    </xf>
    <xf numFmtId="173" fontId="50" fillId="0" borderId="0" xfId="59" applyNumberFormat="1" applyFont="1" applyFill="1" applyBorder="1" applyAlignment="1" applyProtection="1">
      <alignment vertical="center" wrapText="1"/>
    </xf>
    <xf numFmtId="3" fontId="50" fillId="0" borderId="0" xfId="0" applyNumberFormat="1" applyFont="1" applyProtection="1"/>
    <xf numFmtId="172" fontId="122" fillId="0" borderId="0" xfId="0" applyFont="1" applyProtection="1"/>
    <xf numFmtId="10" fontId="50" fillId="0" borderId="0" xfId="0" applyNumberFormat="1" applyFont="1" applyFill="1" applyAlignment="1" applyProtection="1">
      <alignment vertical="center" wrapText="1"/>
    </xf>
    <xf numFmtId="173" fontId="120" fillId="0" borderId="14" xfId="59" applyNumberFormat="1" applyFont="1" applyFill="1" applyBorder="1" applyAlignment="1" applyProtection="1">
      <alignment vertical="center" wrapText="1"/>
    </xf>
    <xf numFmtId="173" fontId="120" fillId="0" borderId="0" xfId="59" applyNumberFormat="1" applyFont="1" applyFill="1" applyBorder="1" applyAlignment="1" applyProtection="1">
      <alignment vertical="center" wrapText="1"/>
    </xf>
    <xf numFmtId="0" fontId="50" fillId="0" borderId="0" xfId="398" applyFont="1" applyFill="1" applyAlignment="1" applyProtection="1">
      <alignment horizontal="left"/>
    </xf>
    <xf numFmtId="0" fontId="50" fillId="0" borderId="0" xfId="398" applyFont="1" applyFill="1" applyAlignment="1" applyProtection="1">
      <alignment horizontal="left" indent="1"/>
    </xf>
    <xf numFmtId="10" fontId="50" fillId="0" borderId="0" xfId="0" applyNumberFormat="1" applyFont="1" applyFill="1" applyAlignment="1" applyProtection="1">
      <alignment horizontal="center"/>
    </xf>
    <xf numFmtId="172" fontId="123" fillId="0" borderId="0" xfId="0" applyFont="1" applyFill="1" applyAlignment="1" applyProtection="1">
      <alignment vertical="center" wrapText="1"/>
    </xf>
    <xf numFmtId="43" fontId="50" fillId="0" borderId="0" xfId="59" applyNumberFormat="1" applyFont="1" applyProtection="1"/>
    <xf numFmtId="274" fontId="50" fillId="0" borderId="0" xfId="0" applyNumberFormat="1" applyFont="1" applyAlignment="1" applyProtection="1">
      <alignment horizontal="center"/>
    </xf>
    <xf numFmtId="43" fontId="50" fillId="0" borderId="0" xfId="59" applyNumberFormat="1" applyFont="1" applyFill="1" applyProtection="1"/>
    <xf numFmtId="173" fontId="50" fillId="0" borderId="0" xfId="59" applyNumberFormat="1" applyFont="1" applyFill="1" applyBorder="1" applyAlignment="1" applyProtection="1">
      <alignment horizontal="right"/>
    </xf>
    <xf numFmtId="173" fontId="50" fillId="0" borderId="0" xfId="59" applyNumberFormat="1" applyFont="1" applyFill="1" applyAlignment="1" applyProtection="1">
      <alignment horizontal="right" vertical="center" wrapText="1"/>
    </xf>
    <xf numFmtId="173" fontId="50" fillId="0" borderId="0" xfId="59" applyNumberFormat="1" applyFont="1" applyFill="1" applyBorder="1" applyAlignment="1" applyProtection="1">
      <alignment horizontal="right" vertical="center" wrapText="1"/>
    </xf>
    <xf numFmtId="172" fontId="124" fillId="0" borderId="0" xfId="0" applyFont="1" applyProtection="1"/>
    <xf numFmtId="173" fontId="50" fillId="14" borderId="0" xfId="59" applyNumberFormat="1" applyFont="1" applyFill="1" applyBorder="1" applyAlignment="1" applyProtection="1">
      <alignment horizontal="right" vertical="center" wrapText="1"/>
    </xf>
    <xf numFmtId="173" fontId="50" fillId="14" borderId="0" xfId="59" applyNumberFormat="1" applyFont="1" applyFill="1" applyBorder="1" applyAlignment="1" applyProtection="1">
      <alignment vertical="center" wrapText="1"/>
    </xf>
    <xf numFmtId="173" fontId="120" fillId="0" borderId="14" xfId="59" applyNumberFormat="1" applyFont="1" applyFill="1" applyBorder="1" applyProtection="1"/>
    <xf numFmtId="173" fontId="120" fillId="0" borderId="0" xfId="59" applyNumberFormat="1" applyFont="1" applyFill="1" applyBorder="1" applyProtection="1"/>
    <xf numFmtId="41" fontId="50" fillId="0" borderId="0" xfId="0" applyNumberFormat="1" applyFont="1" applyProtection="1"/>
    <xf numFmtId="0" fontId="50" fillId="0" borderId="0" xfId="398" applyFont="1" applyFill="1" applyAlignment="1" applyProtection="1">
      <alignment horizontal="center" vertical="top"/>
    </xf>
    <xf numFmtId="172" fontId="50" fillId="0" borderId="0" xfId="0" applyFont="1" applyFill="1" applyAlignment="1" applyProtection="1">
      <alignment horizontal="left" wrapText="1"/>
    </xf>
    <xf numFmtId="172" fontId="50" fillId="0" borderId="0" xfId="0" applyFont="1" applyBorder="1" applyAlignment="1" applyProtection="1">
      <alignment horizontal="center"/>
    </xf>
    <xf numFmtId="172" fontId="50" fillId="0" borderId="0" xfId="0" applyFont="1" applyAlignment="1" applyProtection="1">
      <alignment horizontal="left" vertical="center" wrapText="1"/>
    </xf>
    <xf numFmtId="174" fontId="50" fillId="0" borderId="0" xfId="93" applyNumberFormat="1" applyFont="1" applyAlignment="1" applyProtection="1"/>
    <xf numFmtId="0" fontId="50" fillId="0" borderId="0" xfId="398" quotePrefix="1" applyFont="1" applyAlignment="1" applyProtection="1">
      <alignment horizontal="center"/>
    </xf>
    <xf numFmtId="43" fontId="50" fillId="0" borderId="0" xfId="59" quotePrefix="1" applyFont="1" applyAlignment="1" applyProtection="1">
      <alignment horizontal="center"/>
    </xf>
    <xf numFmtId="172" fontId="50" fillId="0" borderId="0" xfId="0" applyFont="1" applyAlignment="1" applyProtection="1">
      <alignment horizontal="left" indent="1"/>
    </xf>
    <xf numFmtId="10" fontId="50" fillId="0" borderId="0" xfId="266" applyNumberFormat="1" applyFont="1" applyAlignment="1" applyProtection="1"/>
    <xf numFmtId="173" fontId="50" fillId="0" borderId="0" xfId="59" applyNumberFormat="1" applyFont="1" applyAlignment="1" applyProtection="1">
      <alignment horizontal="left" vertical="center" wrapText="1"/>
    </xf>
    <xf numFmtId="172" fontId="50" fillId="0" borderId="0" xfId="0" applyFont="1" applyAlignment="1" applyProtection="1">
      <alignment horizontal="left" indent="2"/>
    </xf>
    <xf numFmtId="172" fontId="101" fillId="0" borderId="0" xfId="0" applyFont="1" applyAlignment="1" applyProtection="1">
      <alignment horizontal="left" indent="1"/>
    </xf>
    <xf numFmtId="0" fontId="60" fillId="0" borderId="0" xfId="211" applyNumberFormat="1" applyFont="1" applyProtection="1"/>
    <xf numFmtId="172" fontId="50" fillId="0" borderId="0" xfId="0" applyFont="1" applyAlignment="1" applyProtection="1">
      <alignment horizontal="center" wrapText="1"/>
    </xf>
    <xf numFmtId="172" fontId="50" fillId="0" borderId="0" xfId="0" applyFont="1" applyFill="1" applyBorder="1" applyAlignment="1" applyProtection="1">
      <alignment horizontal="center" wrapText="1"/>
    </xf>
    <xf numFmtId="174" fontId="50" fillId="0" borderId="0" xfId="93" applyNumberFormat="1" applyFont="1" applyFill="1" applyBorder="1" applyProtection="1"/>
    <xf numFmtId="10" fontId="50" fillId="0" borderId="0" xfId="266" applyNumberFormat="1" applyFont="1" applyProtection="1"/>
    <xf numFmtId="174" fontId="50" fillId="0" borderId="0" xfId="93" applyNumberFormat="1" applyFont="1" applyProtection="1"/>
    <xf numFmtId="172" fontId="50" fillId="0" borderId="0" xfId="0" applyFont="1" applyAlignment="1" applyProtection="1">
      <alignment horizontal="right"/>
    </xf>
    <xf numFmtId="280" fontId="121" fillId="0" borderId="0" xfId="0" applyNumberFormat="1" applyFont="1" applyBorder="1" applyAlignment="1" applyProtection="1">
      <alignment horizontal="right"/>
    </xf>
    <xf numFmtId="41" fontId="50" fillId="0" borderId="0" xfId="0" applyNumberFormat="1" applyFont="1" applyBorder="1" applyProtection="1"/>
    <xf numFmtId="172" fontId="125" fillId="0" borderId="0" xfId="0" applyFont="1" applyProtection="1"/>
    <xf numFmtId="0" fontId="50" fillId="0" borderId="8" xfId="398" applyFont="1" applyBorder="1" applyAlignment="1" applyProtection="1">
      <alignment horizontal="left"/>
    </xf>
    <xf numFmtId="49" fontId="50" fillId="0" borderId="0" xfId="398" applyNumberFormat="1" applyFont="1" applyAlignment="1" applyProtection="1">
      <alignment horizontal="left" indent="1"/>
    </xf>
    <xf numFmtId="0" fontId="50" fillId="0" borderId="0" xfId="0" applyNumberFormat="1" applyFont="1" applyAlignment="1" applyProtection="1">
      <alignment horizontal="center" vertical="top"/>
    </xf>
    <xf numFmtId="0" fontId="50" fillId="0" borderId="0" xfId="398" applyFont="1" applyAlignment="1" applyProtection="1">
      <alignment horizontal="center" vertical="top"/>
    </xf>
    <xf numFmtId="0" fontId="50" fillId="0" borderId="0" xfId="398" applyFont="1" applyAlignment="1" applyProtection="1">
      <alignment vertical="top"/>
    </xf>
    <xf numFmtId="172" fontId="50" fillId="0" borderId="0" xfId="0" applyFont="1" applyAlignment="1" applyProtection="1">
      <alignment vertical="top"/>
    </xf>
    <xf numFmtId="173" fontId="50" fillId="0" borderId="0" xfId="59" applyNumberFormat="1" applyFont="1" applyAlignment="1" applyProtection="1">
      <alignment vertical="top"/>
    </xf>
    <xf numFmtId="172" fontId="50" fillId="0" borderId="0" xfId="0" applyFont="1" applyBorder="1" applyAlignment="1" applyProtection="1">
      <alignment vertical="top"/>
    </xf>
    <xf numFmtId="280" fontId="50" fillId="0" borderId="0" xfId="0" applyNumberFormat="1" applyFont="1" applyBorder="1" applyAlignment="1" applyProtection="1">
      <alignment vertical="top"/>
    </xf>
    <xf numFmtId="173" fontId="50" fillId="14" borderId="0" xfId="59" applyNumberFormat="1" applyFont="1" applyFill="1" applyAlignment="1" applyProtection="1">
      <protection locked="0"/>
    </xf>
    <xf numFmtId="0" fontId="56" fillId="0" borderId="0" xfId="389" applyFont="1" applyFill="1" applyAlignment="1" applyProtection="1">
      <alignment horizontal="center"/>
    </xf>
    <xf numFmtId="172" fontId="101" fillId="0" borderId="0" xfId="0" applyFont="1" applyAlignment="1" applyProtection="1"/>
    <xf numFmtId="279" fontId="50" fillId="0" borderId="0" xfId="0" applyNumberFormat="1" applyFont="1" applyFill="1" applyAlignment="1" applyProtection="1">
      <alignment horizontal="center"/>
    </xf>
    <xf numFmtId="0" fontId="50" fillId="0" borderId="0" xfId="0" applyNumberFormat="1" applyFont="1" applyFill="1" applyAlignment="1" applyProtection="1">
      <alignment horizontal="center"/>
    </xf>
    <xf numFmtId="172" fontId="50" fillId="0" borderId="0" xfId="0" applyFont="1" applyFill="1" applyAlignment="1" applyProtection="1">
      <alignment horizontal="left" indent="2"/>
    </xf>
    <xf numFmtId="174" fontId="50" fillId="0" borderId="0" xfId="93" applyNumberFormat="1" applyFont="1" applyFill="1" applyAlignment="1" applyProtection="1"/>
    <xf numFmtId="172" fontId="101" fillId="0" borderId="0" xfId="0" applyFont="1" applyFill="1" applyAlignment="1" applyProtection="1">
      <alignment horizontal="left"/>
    </xf>
    <xf numFmtId="172" fontId="110" fillId="0" borderId="0" xfId="0" applyFont="1" applyAlignment="1" applyProtection="1"/>
    <xf numFmtId="173" fontId="50" fillId="0" borderId="0" xfId="93" applyNumberFormat="1" applyFont="1" applyFill="1" applyAlignment="1" applyProtection="1"/>
    <xf numFmtId="173" fontId="50" fillId="0" borderId="0" xfId="93" applyNumberFormat="1" applyFont="1" applyAlignment="1" applyProtection="1"/>
    <xf numFmtId="279" fontId="50" fillId="0" borderId="0" xfId="0" applyNumberFormat="1" applyFont="1" applyFill="1" applyAlignment="1" applyProtection="1"/>
    <xf numFmtId="173" fontId="50" fillId="0" borderId="0" xfId="0" applyNumberFormat="1" applyFont="1" applyFill="1" applyAlignment="1" applyProtection="1"/>
    <xf numFmtId="172" fontId="56" fillId="0" borderId="8" xfId="0" applyFont="1" applyBorder="1" applyAlignment="1" applyProtection="1"/>
    <xf numFmtId="172" fontId="56" fillId="0" borderId="0" xfId="0" applyFont="1" applyAlignment="1" applyProtection="1">
      <alignment horizontal="right" vertical="center"/>
    </xf>
    <xf numFmtId="172" fontId="56" fillId="0" borderId="0" xfId="0" applyFont="1" applyAlignment="1" applyProtection="1">
      <alignment horizontal="left" vertical="center"/>
    </xf>
    <xf numFmtId="172" fontId="56" fillId="0" borderId="0" xfId="0" applyFont="1" applyAlignment="1" applyProtection="1">
      <alignment horizontal="left" vertical="center" indent="7"/>
    </xf>
    <xf numFmtId="0" fontId="50" fillId="0" borderId="0" xfId="212" applyFont="1" applyFill="1" applyProtection="1"/>
    <xf numFmtId="0" fontId="50" fillId="0" borderId="0" xfId="212" applyFont="1" applyFill="1" applyAlignment="1" applyProtection="1">
      <alignment horizontal="right"/>
    </xf>
    <xf numFmtId="172" fontId="50" fillId="0" borderId="0" xfId="0" applyFont="1" applyFill="1" applyAlignment="1" applyProtection="1">
      <alignment horizontal="right"/>
    </xf>
    <xf numFmtId="9" fontId="50" fillId="0" borderId="0" xfId="266" applyFont="1" applyFill="1" applyAlignment="1" applyProtection="1"/>
    <xf numFmtId="0" fontId="101" fillId="0" borderId="1" xfId="0" applyNumberFormat="1" applyFont="1" applyBorder="1" applyAlignment="1" applyProtection="1">
      <alignment horizontal="center"/>
    </xf>
    <xf numFmtId="3" fontId="101" fillId="0" borderId="0" xfId="0" applyNumberFormat="1" applyFont="1" applyFill="1" applyAlignment="1" applyProtection="1"/>
    <xf numFmtId="169" fontId="101" fillId="0" borderId="0" xfId="0" applyNumberFormat="1" applyFont="1" applyAlignment="1" applyProtection="1"/>
    <xf numFmtId="174" fontId="101" fillId="0" borderId="0" xfId="93" applyNumberFormat="1" applyFont="1" applyAlignment="1" applyProtection="1"/>
    <xf numFmtId="3" fontId="50" fillId="0" borderId="0" xfId="0" applyNumberFormat="1" applyFont="1" applyFill="1" applyAlignment="1" applyProtection="1"/>
    <xf numFmtId="172" fontId="50" fillId="0" borderId="0" xfId="0" applyFont="1" applyAlignment="1" applyProtection="1">
      <alignment wrapText="1"/>
    </xf>
    <xf numFmtId="173" fontId="60" fillId="14" borderId="0" xfId="59" applyNumberFormat="1" applyFont="1" applyFill="1" applyBorder="1" applyProtection="1">
      <protection locked="0"/>
    </xf>
    <xf numFmtId="173" fontId="60" fillId="14" borderId="0" xfId="59" applyNumberFormat="1" applyFont="1" applyFill="1" applyAlignment="1" applyProtection="1">
      <protection locked="0"/>
    </xf>
    <xf numFmtId="173" fontId="60" fillId="14" borderId="0" xfId="59" applyNumberFormat="1" applyFont="1" applyFill="1" applyProtection="1">
      <protection locked="0"/>
    </xf>
    <xf numFmtId="173" fontId="60" fillId="14" borderId="8" xfId="59" applyNumberFormat="1" applyFont="1" applyFill="1" applyBorder="1" applyProtection="1">
      <protection locked="0"/>
    </xf>
    <xf numFmtId="173" fontId="60" fillId="14" borderId="8" xfId="59" applyNumberFormat="1" applyFont="1" applyFill="1" applyBorder="1" applyAlignment="1" applyProtection="1">
      <protection locked="0"/>
    </xf>
    <xf numFmtId="172" fontId="60" fillId="14" borderId="0" xfId="201" applyFont="1" applyFill="1" applyBorder="1" applyAlignment="1" applyProtection="1">
      <protection locked="0"/>
    </xf>
    <xf numFmtId="174" fontId="60" fillId="14" borderId="0" xfId="93" applyNumberFormat="1" applyFont="1" applyFill="1" applyBorder="1" applyAlignment="1" applyProtection="1">
      <protection locked="0"/>
    </xf>
    <xf numFmtId="172" fontId="60" fillId="14" borderId="1" xfId="201" applyFont="1" applyFill="1" applyBorder="1" applyAlignment="1" applyProtection="1">
      <protection locked="0"/>
    </xf>
    <xf numFmtId="173" fontId="60" fillId="14" borderId="0" xfId="59" applyNumberFormat="1" applyFont="1" applyFill="1" applyBorder="1" applyAlignment="1" applyProtection="1">
      <protection locked="0"/>
    </xf>
    <xf numFmtId="173" fontId="60" fillId="14" borderId="1" xfId="59" applyNumberFormat="1" applyFont="1" applyFill="1" applyBorder="1" applyAlignment="1" applyProtection="1">
      <protection locked="0"/>
    </xf>
    <xf numFmtId="173" fontId="60" fillId="14" borderId="10" xfId="59" applyNumberFormat="1" applyFont="1" applyFill="1" applyBorder="1" applyAlignment="1" applyProtection="1">
      <protection locked="0"/>
    </xf>
    <xf numFmtId="173" fontId="89" fillId="14" borderId="17" xfId="59" applyNumberFormat="1" applyFont="1" applyFill="1" applyBorder="1" applyAlignment="1" applyProtection="1">
      <protection locked="0"/>
    </xf>
    <xf numFmtId="173" fontId="89" fillId="14" borderId="1" xfId="59" applyNumberFormat="1" applyFont="1" applyFill="1" applyBorder="1" applyAlignment="1" applyProtection="1">
      <protection locked="0"/>
    </xf>
    <xf numFmtId="173" fontId="60" fillId="14" borderId="11" xfId="59" applyNumberFormat="1" applyFont="1" applyFill="1" applyBorder="1" applyAlignment="1" applyProtection="1">
      <protection locked="0"/>
    </xf>
    <xf numFmtId="173" fontId="60" fillId="14" borderId="15" xfId="59" applyNumberFormat="1" applyFont="1" applyFill="1" applyBorder="1" applyAlignment="1" applyProtection="1">
      <protection locked="0"/>
    </xf>
    <xf numFmtId="172" fontId="60" fillId="14" borderId="11" xfId="0" applyFont="1" applyFill="1" applyBorder="1" applyProtection="1">
      <protection locked="0"/>
    </xf>
    <xf numFmtId="173" fontId="60" fillId="14" borderId="12" xfId="59" applyNumberFormat="1" applyFont="1" applyFill="1" applyBorder="1" applyAlignment="1" applyProtection="1">
      <alignment horizontal="center"/>
      <protection locked="0"/>
    </xf>
    <xf numFmtId="43" fontId="60" fillId="14" borderId="22" xfId="59" applyFont="1" applyFill="1" applyBorder="1" applyProtection="1">
      <protection locked="0"/>
    </xf>
    <xf numFmtId="43" fontId="60" fillId="14" borderId="11" xfId="59" applyFont="1" applyFill="1" applyBorder="1" applyProtection="1">
      <protection locked="0"/>
    </xf>
    <xf numFmtId="173" fontId="60" fillId="14" borderId="11" xfId="59" applyNumberFormat="1" applyFont="1" applyFill="1" applyBorder="1" applyProtection="1">
      <protection locked="0"/>
    </xf>
    <xf numFmtId="173" fontId="60" fillId="14" borderId="10" xfId="59" applyNumberFormat="1" applyFont="1" applyFill="1" applyBorder="1" applyProtection="1">
      <protection locked="0"/>
    </xf>
    <xf numFmtId="43" fontId="60" fillId="14" borderId="12" xfId="59" applyFont="1" applyFill="1" applyBorder="1" applyProtection="1">
      <protection locked="0"/>
    </xf>
    <xf numFmtId="43" fontId="60" fillId="14" borderId="11" xfId="59" applyFont="1" applyFill="1" applyBorder="1" applyAlignment="1" applyProtection="1">
      <alignment horizontal="center"/>
      <protection locked="0"/>
    </xf>
    <xf numFmtId="43" fontId="60" fillId="14" borderId="10" xfId="59" applyFont="1" applyFill="1" applyBorder="1" applyAlignment="1" applyProtection="1">
      <alignment horizontal="center"/>
      <protection locked="0"/>
    </xf>
    <xf numFmtId="43" fontId="60" fillId="14" borderId="11" xfId="59" applyFont="1" applyFill="1" applyBorder="1" applyAlignment="1" applyProtection="1">
      <protection locked="0"/>
    </xf>
    <xf numFmtId="174" fontId="60" fillId="14" borderId="0" xfId="93" applyNumberFormat="1" applyFont="1" applyFill="1" applyAlignment="1" applyProtection="1">
      <protection locked="0"/>
    </xf>
    <xf numFmtId="172" fontId="60" fillId="14" borderId="0" xfId="0" applyFont="1" applyFill="1" applyAlignment="1" applyProtection="1">
      <protection locked="0"/>
    </xf>
    <xf numFmtId="172" fontId="60" fillId="14" borderId="0" xfId="0" applyFont="1" applyFill="1" applyAlignment="1" applyProtection="1">
      <alignment horizontal="left"/>
      <protection locked="0"/>
    </xf>
    <xf numFmtId="172" fontId="60" fillId="14" borderId="0" xfId="0" applyFont="1" applyFill="1" applyAlignment="1" applyProtection="1">
      <alignment horizontal="center" wrapText="1"/>
      <protection locked="0"/>
    </xf>
    <xf numFmtId="0" fontId="60" fillId="14" borderId="0" xfId="187" applyFont="1" applyFill="1" applyBorder="1" applyAlignment="1" applyProtection="1">
      <protection locked="0"/>
    </xf>
    <xf numFmtId="43" fontId="60" fillId="14" borderId="0" xfId="59" applyNumberFormat="1" applyFont="1" applyFill="1" applyBorder="1" applyAlignment="1" applyProtection="1">
      <alignment horizontal="center"/>
      <protection locked="0"/>
    </xf>
    <xf numFmtId="43" fontId="60" fillId="14" borderId="0" xfId="59" applyNumberFormat="1" applyFont="1" applyFill="1" applyAlignment="1" applyProtection="1">
      <protection locked="0"/>
    </xf>
    <xf numFmtId="9" fontId="60" fillId="14" borderId="0" xfId="266" applyFont="1" applyFill="1" applyAlignment="1" applyProtection="1">
      <protection locked="0"/>
    </xf>
    <xf numFmtId="0" fontId="116" fillId="14" borderId="0" xfId="187" applyFont="1" applyFill="1" applyBorder="1" applyAlignment="1" applyProtection="1">
      <protection locked="0"/>
    </xf>
    <xf numFmtId="173" fontId="116" fillId="14" borderId="0" xfId="59" applyNumberFormat="1" applyFont="1" applyFill="1" applyBorder="1" applyProtection="1">
      <protection locked="0"/>
    </xf>
    <xf numFmtId="173" fontId="60" fillId="14" borderId="1" xfId="59" applyNumberFormat="1" applyFont="1" applyFill="1" applyBorder="1" applyProtection="1">
      <protection locked="0"/>
    </xf>
    <xf numFmtId="43" fontId="60" fillId="14" borderId="1" xfId="59" applyFont="1" applyFill="1" applyBorder="1" applyAlignment="1" applyProtection="1">
      <protection locked="0"/>
    </xf>
    <xf numFmtId="41" fontId="60" fillId="14" borderId="0" xfId="212" applyNumberFormat="1" applyFont="1" applyFill="1" applyProtection="1">
      <protection locked="0"/>
    </xf>
    <xf numFmtId="175" fontId="56" fillId="14" borderId="0" xfId="392" applyNumberFormat="1" applyFont="1" applyFill="1" applyProtection="1">
      <protection locked="0"/>
    </xf>
    <xf numFmtId="173" fontId="108" fillId="14" borderId="0" xfId="392" applyNumberFormat="1" applyFont="1" applyFill="1" applyBorder="1" applyProtection="1">
      <protection locked="0"/>
    </xf>
    <xf numFmtId="173" fontId="108" fillId="14" borderId="0" xfId="392" applyNumberFormat="1" applyFont="1" applyFill="1" applyProtection="1">
      <protection locked="0"/>
    </xf>
    <xf numFmtId="173" fontId="108" fillId="14" borderId="0" xfId="389" applyNumberFormat="1" applyFont="1" applyFill="1" applyProtection="1">
      <protection locked="0"/>
    </xf>
    <xf numFmtId="173" fontId="56" fillId="14" borderId="0" xfId="59" applyNumberFormat="1" applyFont="1" applyFill="1" applyBorder="1" applyProtection="1">
      <protection locked="0"/>
    </xf>
    <xf numFmtId="173" fontId="108" fillId="14" borderId="0" xfId="59" applyNumberFormat="1" applyFont="1" applyFill="1" applyBorder="1" applyProtection="1">
      <protection locked="0"/>
    </xf>
    <xf numFmtId="173" fontId="108" fillId="14" borderId="0" xfId="59" applyNumberFormat="1" applyFont="1" applyFill="1" applyProtection="1">
      <protection locked="0"/>
    </xf>
    <xf numFmtId="175" fontId="135" fillId="14" borderId="0" xfId="392" applyNumberFormat="1" applyFont="1" applyFill="1" applyProtection="1">
      <protection locked="0"/>
    </xf>
    <xf numFmtId="37" fontId="56" fillId="14" borderId="23" xfId="440" applyNumberFormat="1" applyFont="1" applyFill="1" applyBorder="1" applyAlignment="1" applyProtection="1">
      <alignment wrapText="1"/>
      <protection locked="0"/>
    </xf>
    <xf numFmtId="41" fontId="56" fillId="14" borderId="9" xfId="389" applyNumberFormat="1" applyFont="1" applyFill="1" applyBorder="1" applyProtection="1">
      <protection locked="0"/>
    </xf>
    <xf numFmtId="41" fontId="56" fillId="14" borderId="9" xfId="389" applyNumberFormat="1" applyFont="1" applyFill="1" applyBorder="1" applyAlignment="1" applyProtection="1">
      <alignment horizontal="left" vertical="top" wrapText="1"/>
      <protection locked="0"/>
    </xf>
    <xf numFmtId="41" fontId="56" fillId="14" borderId="9" xfId="395" applyNumberFormat="1" applyFont="1" applyFill="1" applyBorder="1" applyProtection="1">
      <protection locked="0"/>
    </xf>
    <xf numFmtId="0" fontId="60" fillId="14" borderId="9" xfId="389" applyFont="1" applyFill="1" applyBorder="1" applyAlignment="1" applyProtection="1">
      <protection locked="0"/>
    </xf>
    <xf numFmtId="0" fontId="56" fillId="14" borderId="9" xfId="389" applyFont="1" applyFill="1" applyBorder="1" applyProtection="1">
      <protection locked="0"/>
    </xf>
    <xf numFmtId="41" fontId="20" fillId="14" borderId="9" xfId="389" applyNumberFormat="1" applyFont="1" applyFill="1" applyBorder="1" applyProtection="1">
      <protection locked="0"/>
    </xf>
    <xf numFmtId="41" fontId="60" fillId="14" borderId="9" xfId="389" applyNumberFormat="1" applyFont="1" applyFill="1" applyBorder="1" applyAlignment="1" applyProtection="1">
      <protection locked="0"/>
    </xf>
    <xf numFmtId="37" fontId="56" fillId="14" borderId="9" xfId="389" applyNumberFormat="1" applyFont="1" applyFill="1" applyBorder="1" applyAlignment="1" applyProtection="1">
      <alignment wrapText="1"/>
      <protection locked="0"/>
    </xf>
    <xf numFmtId="0" fontId="56" fillId="14" borderId="9" xfId="389" applyFont="1" applyFill="1" applyBorder="1" applyAlignment="1" applyProtection="1">
      <alignment wrapText="1"/>
      <protection locked="0"/>
    </xf>
    <xf numFmtId="0" fontId="60" fillId="14" borderId="9" xfId="389" applyFont="1" applyFill="1" applyBorder="1" applyProtection="1">
      <protection locked="0"/>
    </xf>
    <xf numFmtId="41" fontId="56" fillId="14" borderId="9" xfId="448" applyNumberFormat="1" applyFont="1" applyFill="1" applyBorder="1" applyProtection="1">
      <protection locked="0"/>
    </xf>
    <xf numFmtId="37" fontId="56" fillId="14" borderId="9" xfId="389" applyNumberFormat="1" applyFont="1" applyFill="1" applyBorder="1" applyProtection="1">
      <protection locked="0"/>
    </xf>
    <xf numFmtId="37" fontId="56" fillId="14" borderId="9" xfId="396" applyNumberFormat="1" applyFont="1" applyFill="1" applyBorder="1" applyProtection="1">
      <protection locked="0"/>
    </xf>
    <xf numFmtId="37" fontId="60" fillId="14" borderId="9" xfId="389" applyNumberFormat="1" applyFont="1" applyFill="1" applyBorder="1" applyProtection="1">
      <protection locked="0"/>
    </xf>
    <xf numFmtId="37" fontId="60" fillId="14" borderId="9" xfId="389" applyNumberFormat="1" applyFont="1" applyFill="1" applyBorder="1" applyAlignment="1" applyProtection="1">
      <alignment shrinkToFit="1"/>
      <protection locked="0"/>
    </xf>
    <xf numFmtId="0" fontId="56" fillId="14" borderId="0" xfId="389" applyFont="1" applyFill="1" applyProtection="1">
      <protection locked="0"/>
    </xf>
    <xf numFmtId="41" fontId="134" fillId="14" borderId="9" xfId="440" applyNumberFormat="1" applyFont="1" applyFill="1" applyBorder="1" applyProtection="1">
      <protection locked="0"/>
    </xf>
    <xf numFmtId="0" fontId="60" fillId="14" borderId="9" xfId="440" applyFont="1" applyFill="1" applyBorder="1" applyProtection="1">
      <protection locked="0"/>
    </xf>
    <xf numFmtId="0" fontId="56" fillId="14" borderId="9" xfId="448" applyFont="1" applyFill="1" applyBorder="1" applyAlignment="1" applyProtection="1">
      <alignment wrapText="1"/>
      <protection locked="0"/>
    </xf>
    <xf numFmtId="41" fontId="134" fillId="14" borderId="9" xfId="389" applyNumberFormat="1" applyFont="1" applyFill="1" applyBorder="1" applyProtection="1">
      <protection locked="0"/>
    </xf>
    <xf numFmtId="0" fontId="60" fillId="14" borderId="9" xfId="389" applyFont="1" applyFill="1" applyBorder="1" applyAlignment="1" applyProtection="1">
      <alignment wrapText="1"/>
      <protection locked="0"/>
    </xf>
    <xf numFmtId="37" fontId="56" fillId="14" borderId="9" xfId="396" applyNumberFormat="1" applyFont="1" applyFill="1" applyBorder="1" applyAlignment="1" applyProtection="1">
      <alignment wrapText="1"/>
      <protection locked="0"/>
    </xf>
    <xf numFmtId="37" fontId="60" fillId="14" borderId="9" xfId="389" applyNumberFormat="1" applyFont="1" applyFill="1" applyBorder="1" applyAlignment="1" applyProtection="1">
      <alignment wrapText="1"/>
      <protection locked="0"/>
    </xf>
    <xf numFmtId="37" fontId="60" fillId="14" borderId="9" xfId="389" applyNumberFormat="1" applyFont="1" applyFill="1" applyBorder="1" applyAlignment="1" applyProtection="1">
      <alignment wrapText="1" shrinkToFit="1"/>
      <protection locked="0"/>
    </xf>
    <xf numFmtId="41" fontId="56" fillId="14" borderId="9" xfId="442" applyNumberFormat="1" applyFont="1" applyFill="1" applyBorder="1" applyAlignment="1" applyProtection="1">
      <alignment horizontal="right"/>
      <protection locked="0"/>
    </xf>
    <xf numFmtId="0" fontId="108" fillId="14" borderId="0" xfId="389" applyFont="1" applyFill="1" applyAlignment="1" applyProtection="1">
      <alignment horizontal="left"/>
      <protection locked="0"/>
    </xf>
    <xf numFmtId="173" fontId="108" fillId="14" borderId="0" xfId="389" applyNumberFormat="1" applyFont="1" applyFill="1" applyAlignment="1" applyProtection="1">
      <alignment horizontal="center"/>
      <protection locked="0"/>
    </xf>
    <xf numFmtId="172" fontId="56" fillId="14" borderId="0" xfId="0" applyFont="1" applyFill="1" applyProtection="1">
      <protection locked="0"/>
    </xf>
    <xf numFmtId="0" fontId="108" fillId="14" borderId="0" xfId="389" applyFont="1" applyFill="1" applyAlignment="1" applyProtection="1">
      <alignment horizontal="center"/>
      <protection locked="0"/>
    </xf>
    <xf numFmtId="172" fontId="56" fillId="14" borderId="0" xfId="0" applyFont="1" applyFill="1" applyAlignment="1" applyProtection="1">
      <protection locked="0"/>
    </xf>
    <xf numFmtId="0" fontId="60" fillId="14" borderId="0" xfId="212" quotePrefix="1" applyFont="1" applyFill="1" applyAlignment="1" applyProtection="1">
      <alignment horizontal="left"/>
      <protection locked="0"/>
    </xf>
    <xf numFmtId="172" fontId="50" fillId="14" borderId="0" xfId="0" applyFont="1" applyFill="1" applyAlignment="1" applyProtection="1">
      <protection locked="0"/>
    </xf>
    <xf numFmtId="0" fontId="60" fillId="14" borderId="0" xfId="212" quotePrefix="1" applyFont="1" applyFill="1" applyAlignment="1" applyProtection="1">
      <alignment horizontal="center"/>
      <protection locked="0"/>
    </xf>
    <xf numFmtId="174" fontId="60" fillId="14" borderId="0" xfId="93" quotePrefix="1" applyNumberFormat="1" applyFont="1" applyFill="1" applyAlignment="1" applyProtection="1">
      <alignment horizontal="left"/>
      <protection locked="0"/>
    </xf>
    <xf numFmtId="173" fontId="60" fillId="14" borderId="0" xfId="59" quotePrefix="1" applyNumberFormat="1" applyFont="1" applyFill="1" applyAlignment="1" applyProtection="1">
      <alignment horizontal="left"/>
      <protection locked="0"/>
    </xf>
    <xf numFmtId="39" fontId="60" fillId="14" borderId="0" xfId="59" quotePrefix="1" applyNumberFormat="1" applyFont="1" applyFill="1" applyAlignment="1" applyProtection="1">
      <alignment horizontal="left"/>
      <protection locked="0"/>
    </xf>
    <xf numFmtId="173" fontId="60" fillId="14" borderId="3" xfId="93" applyNumberFormat="1" applyFont="1" applyFill="1" applyBorder="1" applyAlignment="1" applyProtection="1">
      <alignment horizontal="right"/>
      <protection locked="0"/>
    </xf>
    <xf numFmtId="174" fontId="60" fillId="14" borderId="3" xfId="93" applyNumberFormat="1" applyFont="1" applyFill="1" applyBorder="1" applyProtection="1">
      <protection locked="0"/>
    </xf>
    <xf numFmtId="173" fontId="56" fillId="14" borderId="0" xfId="59" applyNumberFormat="1" applyFont="1" applyFill="1" applyAlignment="1" applyProtection="1">
      <alignment wrapText="1"/>
      <protection locked="0"/>
    </xf>
    <xf numFmtId="173" fontId="56" fillId="14" borderId="9" xfId="59" applyNumberFormat="1" applyFont="1" applyFill="1" applyBorder="1" applyProtection="1">
      <protection locked="0"/>
    </xf>
    <xf numFmtId="277" fontId="56" fillId="14" borderId="0" xfId="93" applyNumberFormat="1" applyFont="1" applyFill="1" applyBorder="1" applyProtection="1"/>
    <xf numFmtId="172" fontId="56" fillId="14" borderId="0" xfId="0" applyFont="1" applyFill="1" applyAlignment="1" applyProtection="1">
      <alignment horizontal="left" wrapText="1"/>
      <protection locked="0"/>
    </xf>
    <xf numFmtId="37" fontId="56" fillId="14" borderId="0" xfId="0" applyNumberFormat="1" applyFont="1" applyFill="1" applyAlignment="1" applyProtection="1">
      <alignment horizontal="right"/>
      <protection locked="0"/>
    </xf>
    <xf numFmtId="37" fontId="56" fillId="14" borderId="1" xfId="0" applyNumberFormat="1" applyFont="1" applyFill="1" applyBorder="1" applyAlignment="1" applyProtection="1">
      <alignment horizontal="right"/>
      <protection locked="0"/>
    </xf>
    <xf numFmtId="172" fontId="60" fillId="14" borderId="10" xfId="0" applyFont="1" applyFill="1" applyBorder="1" applyProtection="1">
      <protection locked="0"/>
    </xf>
    <xf numFmtId="172" fontId="60" fillId="14" borderId="0" xfId="0" applyFont="1" applyFill="1" applyBorder="1" applyProtection="1">
      <protection locked="0"/>
    </xf>
    <xf numFmtId="173" fontId="50" fillId="14" borderId="1" xfId="59" applyNumberFormat="1" applyFont="1" applyFill="1" applyBorder="1" applyAlignment="1" applyProtection="1">
      <protection locked="0"/>
    </xf>
    <xf numFmtId="169" fontId="60" fillId="0" borderId="11" xfId="59" applyNumberFormat="1" applyFont="1" applyFill="1" applyBorder="1" applyAlignment="1" applyProtection="1"/>
    <xf numFmtId="169" fontId="60" fillId="0" borderId="15" xfId="201" applyNumberFormat="1" applyFont="1" applyFill="1" applyBorder="1" applyAlignment="1" applyProtection="1"/>
    <xf numFmtId="173" fontId="60" fillId="0" borderId="0" xfId="59" applyNumberFormat="1" applyFont="1" applyFill="1" applyBorder="1" applyAlignment="1" applyProtection="1">
      <alignment horizontal="center"/>
      <protection locked="0"/>
    </xf>
    <xf numFmtId="182" fontId="60" fillId="0" borderId="0" xfId="59" applyNumberFormat="1" applyFont="1" applyFill="1" applyBorder="1" applyProtection="1"/>
    <xf numFmtId="0" fontId="60" fillId="0" borderId="0" xfId="188" applyNumberFormat="1" applyFont="1" applyFill="1" applyAlignment="1" applyProtection="1">
      <alignment vertical="top" wrapText="1"/>
    </xf>
    <xf numFmtId="172" fontId="60" fillId="0" borderId="0" xfId="0" applyFont="1" applyFill="1" applyAlignment="1" applyProtection="1">
      <alignment horizontal="left" vertical="center" wrapText="1"/>
    </xf>
    <xf numFmtId="172" fontId="67" fillId="0" borderId="0" xfId="0" applyFont="1" applyFill="1" applyAlignment="1" applyProtection="1">
      <alignment horizontal="center"/>
    </xf>
    <xf numFmtId="0" fontId="56" fillId="0" borderId="0" xfId="389" applyFont="1" applyFill="1" applyBorder="1" applyAlignment="1" applyProtection="1">
      <alignment horizontal="center"/>
    </xf>
    <xf numFmtId="172" fontId="60" fillId="14" borderId="0" xfId="1131" applyFont="1" applyFill="1" applyProtection="1">
      <protection locked="0"/>
    </xf>
    <xf numFmtId="10" fontId="60" fillId="14" borderId="0" xfId="731" applyNumberFormat="1" applyFont="1" applyFill="1" applyProtection="1">
      <protection locked="0"/>
    </xf>
    <xf numFmtId="41" fontId="113" fillId="14" borderId="9" xfId="389" applyNumberFormat="1" applyFont="1" applyFill="1" applyBorder="1" applyProtection="1">
      <protection locked="0"/>
    </xf>
    <xf numFmtId="41" fontId="56" fillId="14" borderId="20" xfId="389" applyNumberFormat="1" applyFont="1" applyFill="1" applyBorder="1" applyProtection="1">
      <protection locked="0"/>
    </xf>
    <xf numFmtId="37" fontId="60" fillId="14" borderId="9" xfId="396" applyNumberFormat="1" applyFont="1" applyFill="1" applyBorder="1" applyProtection="1">
      <protection locked="0"/>
    </xf>
    <xf numFmtId="37" fontId="60" fillId="14" borderId="9" xfId="389" applyNumberFormat="1" applyFont="1" applyFill="1" applyBorder="1" applyAlignment="1" applyProtection="1">
      <protection locked="0"/>
    </xf>
    <xf numFmtId="41" fontId="60" fillId="14" borderId="9" xfId="389" applyNumberFormat="1" applyFont="1" applyFill="1" applyBorder="1" applyProtection="1">
      <protection locked="0"/>
    </xf>
    <xf numFmtId="41" fontId="56" fillId="14" borderId="9" xfId="528" applyNumberFormat="1" applyFont="1" applyFill="1" applyBorder="1" applyProtection="1">
      <protection locked="0"/>
    </xf>
    <xf numFmtId="37" fontId="56" fillId="14" borderId="9" xfId="528" applyNumberFormat="1" applyFont="1" applyFill="1" applyBorder="1" applyAlignment="1" applyProtection="1">
      <alignment wrapText="1"/>
      <protection locked="0"/>
    </xf>
    <xf numFmtId="37" fontId="56" fillId="14" borderId="23" xfId="528" applyNumberFormat="1" applyFont="1" applyFill="1" applyBorder="1" applyAlignment="1" applyProtection="1">
      <alignment wrapText="1"/>
      <protection locked="0"/>
    </xf>
    <xf numFmtId="37" fontId="56" fillId="14" borderId="9" xfId="536" applyNumberFormat="1" applyFont="1" applyFill="1" applyBorder="1" applyAlignment="1" applyProtection="1">
      <alignment wrapText="1"/>
      <protection locked="0"/>
    </xf>
    <xf numFmtId="41" fontId="56" fillId="14" borderId="9" xfId="536" applyNumberFormat="1" applyFont="1" applyFill="1" applyBorder="1" applyProtection="1">
      <protection locked="0"/>
    </xf>
    <xf numFmtId="0" fontId="60" fillId="14" borderId="9" xfId="536" applyFont="1" applyFill="1" applyBorder="1" applyAlignment="1" applyProtection="1">
      <alignment wrapText="1"/>
      <protection locked="0"/>
    </xf>
    <xf numFmtId="37" fontId="56" fillId="14" borderId="9" xfId="406" applyNumberFormat="1" applyFont="1" applyFill="1" applyBorder="1" applyAlignment="1" applyProtection="1">
      <alignment wrapText="1"/>
      <protection locked="0"/>
    </xf>
    <xf numFmtId="37" fontId="56" fillId="14" borderId="9" xfId="448" applyNumberFormat="1" applyFont="1" applyFill="1" applyBorder="1" applyAlignment="1" applyProtection="1">
      <alignment wrapText="1"/>
      <protection locked="0"/>
    </xf>
    <xf numFmtId="41" fontId="56" fillId="14" borderId="9" xfId="448" applyNumberFormat="1" applyFont="1" applyFill="1" applyBorder="1" applyAlignment="1" applyProtection="1">
      <protection locked="0"/>
    </xf>
    <xf numFmtId="172" fontId="109" fillId="0" borderId="0" xfId="0" applyFont="1" applyAlignment="1">
      <alignment horizontal="left"/>
    </xf>
    <xf numFmtId="0" fontId="116" fillId="0" borderId="0" xfId="1132" applyFont="1"/>
    <xf numFmtId="43" fontId="116" fillId="0" borderId="0" xfId="1132" applyNumberFormat="1" applyFont="1"/>
    <xf numFmtId="0" fontId="116" fillId="0" borderId="0" xfId="1132" applyFont="1" applyAlignment="1">
      <alignment horizontal="center"/>
    </xf>
    <xf numFmtId="6" fontId="50" fillId="0" borderId="0" xfId="0" applyNumberFormat="1" applyFont="1"/>
    <xf numFmtId="0" fontId="116" fillId="0" borderId="0" xfId="1132" applyFont="1" applyAlignment="1">
      <alignment horizontal="left"/>
    </xf>
    <xf numFmtId="173" fontId="116" fillId="0" borderId="0" xfId="1132" applyNumberFormat="1" applyFont="1"/>
    <xf numFmtId="0" fontId="123" fillId="0" borderId="0" xfId="1132" applyFont="1"/>
    <xf numFmtId="0" fontId="123" fillId="0" borderId="0" xfId="1132" applyFont="1" applyAlignment="1">
      <alignment horizontal="left"/>
    </xf>
    <xf numFmtId="0" fontId="138" fillId="0" borderId="0" xfId="1132" applyFont="1"/>
    <xf numFmtId="0" fontId="123" fillId="0" borderId="0" xfId="1132" applyFont="1" applyAlignment="1">
      <alignment horizontal="center"/>
    </xf>
    <xf numFmtId="0" fontId="60" fillId="0" borderId="0" xfId="1132" applyFont="1"/>
    <xf numFmtId="172" fontId="139" fillId="0" borderId="1" xfId="0" applyFont="1" applyBorder="1" applyAlignment="1">
      <alignment horizontal="center" wrapText="1"/>
    </xf>
    <xf numFmtId="172" fontId="139" fillId="0" borderId="1" xfId="0" applyFont="1" applyBorder="1" applyAlignment="1">
      <alignment horizontal="left" wrapText="1"/>
    </xf>
    <xf numFmtId="0" fontId="141" fillId="0" borderId="0" xfId="1132" applyFont="1" applyAlignment="1">
      <alignment horizontal="left"/>
    </xf>
    <xf numFmtId="172" fontId="139" fillId="0" borderId="0" xfId="0" applyFont="1" applyAlignment="1">
      <alignment horizontal="left" wrapText="1" indent="1"/>
    </xf>
    <xf numFmtId="172" fontId="139" fillId="0" borderId="0" xfId="0" applyFont="1" applyAlignment="1">
      <alignment horizontal="center" wrapText="1"/>
    </xf>
    <xf numFmtId="0" fontId="141" fillId="0" borderId="0" xfId="1132" applyFont="1" applyAlignment="1">
      <alignment horizontal="center" wrapText="1"/>
    </xf>
    <xf numFmtId="0" fontId="142" fillId="0" borderId="0" xfId="1132" applyFont="1"/>
    <xf numFmtId="172" fontId="116" fillId="0" borderId="0" xfId="0" applyFont="1"/>
    <xf numFmtId="172" fontId="139" fillId="0" borderId="0" xfId="0" applyFont="1" applyAlignment="1">
      <alignment horizontal="left" wrapText="1"/>
    </xf>
    <xf numFmtId="172" fontId="143" fillId="0" borderId="0" xfId="0" applyFont="1"/>
    <xf numFmtId="0" fontId="116" fillId="0" borderId="0" xfId="59" applyNumberFormat="1" applyFont="1" applyFill="1" applyAlignment="1">
      <alignment horizontal="center"/>
    </xf>
    <xf numFmtId="172" fontId="116" fillId="14" borderId="0" xfId="0" applyFont="1" applyFill="1"/>
    <xf numFmtId="173" fontId="116" fillId="14" borderId="0" xfId="0" applyNumberFormat="1" applyFont="1" applyFill="1"/>
    <xf numFmtId="174" fontId="116" fillId="14" borderId="0" xfId="93" applyNumberFormat="1" applyFont="1" applyFill="1" applyBorder="1"/>
    <xf numFmtId="42" fontId="116" fillId="0" borderId="0" xfId="1133" applyNumberFormat="1" applyFont="1" applyFill="1" applyBorder="1"/>
    <xf numFmtId="173" fontId="60" fillId="0" borderId="0" xfId="81" applyNumberFormat="1" applyFont="1" applyFill="1" applyBorder="1" applyProtection="1">
      <protection locked="0"/>
    </xf>
    <xf numFmtId="173" fontId="116" fillId="0" borderId="0" xfId="0" applyNumberFormat="1" applyFont="1"/>
    <xf numFmtId="173" fontId="60" fillId="0" borderId="0" xfId="81" applyNumberFormat="1" applyFont="1" applyFill="1" applyProtection="1"/>
    <xf numFmtId="164" fontId="60" fillId="0" borderId="0" xfId="731" applyNumberFormat="1" applyFont="1" applyFill="1" applyProtection="1"/>
    <xf numFmtId="173" fontId="116" fillId="14" borderId="0" xfId="1133" applyNumberFormat="1" applyFont="1" applyFill="1" applyBorder="1"/>
    <xf numFmtId="173" fontId="116" fillId="0" borderId="0" xfId="1133" applyNumberFormat="1" applyFont="1" applyFill="1" applyBorder="1"/>
    <xf numFmtId="173" fontId="60" fillId="0" borderId="0" xfId="1133" applyNumberFormat="1" applyFont="1" applyFill="1" applyBorder="1" applyProtection="1">
      <protection locked="0"/>
    </xf>
    <xf numFmtId="173" fontId="116" fillId="0" borderId="0" xfId="1133" applyNumberFormat="1" applyFont="1" applyFill="1" applyProtection="1"/>
    <xf numFmtId="173" fontId="139" fillId="0" borderId="0" xfId="0" applyNumberFormat="1" applyFont="1"/>
    <xf numFmtId="42" fontId="139" fillId="0" borderId="3" xfId="1133" applyNumberFormat="1" applyFont="1" applyFill="1" applyBorder="1"/>
    <xf numFmtId="42" fontId="139" fillId="0" borderId="0" xfId="1133" applyNumberFormat="1" applyFont="1" applyFill="1" applyBorder="1"/>
    <xf numFmtId="172" fontId="145" fillId="0" borderId="0" xfId="0" applyFont="1"/>
    <xf numFmtId="44" fontId="116" fillId="14" borderId="0" xfId="93" applyFont="1" applyFill="1" applyBorder="1"/>
    <xf numFmtId="42" fontId="116" fillId="14" borderId="0" xfId="1133" applyNumberFormat="1" applyFont="1" applyFill="1" applyBorder="1"/>
    <xf numFmtId="172" fontId="116" fillId="0" borderId="0" xfId="0" applyFont="1" applyAlignment="1">
      <alignment horizontal="center"/>
    </xf>
    <xf numFmtId="173" fontId="116" fillId="0" borderId="0" xfId="59" applyNumberFormat="1" applyFont="1"/>
    <xf numFmtId="0" fontId="147" fillId="0" borderId="0" xfId="1132" applyFont="1" applyAlignment="1">
      <alignment horizontal="left"/>
    </xf>
    <xf numFmtId="0" fontId="139" fillId="0" borderId="0" xfId="1132" applyFont="1" applyAlignment="1">
      <alignment horizontal="left"/>
    </xf>
    <xf numFmtId="42" fontId="139" fillId="0" borderId="14" xfId="0" applyNumberFormat="1" applyFont="1" applyBorder="1"/>
    <xf numFmtId="164" fontId="60" fillId="0" borderId="0" xfId="266" applyNumberFormat="1" applyFont="1" applyFill="1" applyProtection="1"/>
    <xf numFmtId="42" fontId="116" fillId="0" borderId="0" xfId="1132" applyNumberFormat="1" applyFont="1"/>
    <xf numFmtId="173" fontId="116" fillId="0" borderId="0" xfId="0" applyNumberFormat="1" applyFont="1" applyAlignment="1">
      <alignment horizontal="right"/>
    </xf>
    <xf numFmtId="174" fontId="116" fillId="0" borderId="0" xfId="102" applyNumberFormat="1" applyFont="1" applyFill="1"/>
    <xf numFmtId="4" fontId="50" fillId="0" borderId="0" xfId="0" applyNumberFormat="1" applyFont="1"/>
    <xf numFmtId="172" fontId="116" fillId="0" borderId="0" xfId="0" applyFont="1" applyAlignment="1">
      <alignment horizontal="right"/>
    </xf>
    <xf numFmtId="173" fontId="116" fillId="0" borderId="0" xfId="1133" applyNumberFormat="1" applyFont="1" applyFill="1"/>
    <xf numFmtId="44" fontId="116" fillId="0" borderId="0" xfId="1132" applyNumberFormat="1" applyFont="1"/>
    <xf numFmtId="172" fontId="139" fillId="0" borderId="0" xfId="0" applyFont="1" applyAlignment="1">
      <alignment horizontal="right"/>
    </xf>
    <xf numFmtId="174" fontId="116" fillId="0" borderId="3" xfId="102" applyNumberFormat="1" applyFont="1" applyFill="1" applyBorder="1"/>
    <xf numFmtId="172" fontId="139" fillId="0" borderId="0" xfId="0" applyFont="1" applyAlignment="1">
      <alignment horizontal="left"/>
    </xf>
    <xf numFmtId="174" fontId="116" fillId="0" borderId="14" xfId="102" applyNumberFormat="1" applyFont="1" applyFill="1" applyBorder="1"/>
    <xf numFmtId="174" fontId="116" fillId="0" borderId="0" xfId="1132" applyNumberFormat="1" applyFont="1"/>
    <xf numFmtId="172" fontId="148" fillId="19" borderId="0" xfId="0" applyFont="1" applyFill="1"/>
    <xf numFmtId="172" fontId="104" fillId="0" borderId="0" xfId="0" applyFont="1" applyAlignment="1">
      <alignment vertical="top" wrapText="1"/>
    </xf>
    <xf numFmtId="0" fontId="60" fillId="0" borderId="0" xfId="1132" applyFont="1" applyAlignment="1">
      <alignment horizontal="left"/>
    </xf>
    <xf numFmtId="0" fontId="60" fillId="0" borderId="0" xfId="1132" applyFont="1" applyAlignment="1">
      <alignment horizontal="center" vertical="center"/>
    </xf>
    <xf numFmtId="0" fontId="116" fillId="0" borderId="0" xfId="1132" applyFont="1" applyAlignment="1">
      <alignment horizontal="center" vertical="center"/>
    </xf>
    <xf numFmtId="172" fontId="149" fillId="20" borderId="0" xfId="0" applyFont="1" applyFill="1" applyAlignment="1">
      <alignment horizontal="left"/>
    </xf>
    <xf numFmtId="172" fontId="60" fillId="20" borderId="0" xfId="0" applyFont="1" applyFill="1" applyAlignment="1">
      <alignment horizontal="center"/>
    </xf>
    <xf numFmtId="172" fontId="60" fillId="20" borderId="0" xfId="0" applyFont="1" applyFill="1"/>
    <xf numFmtId="3" fontId="60" fillId="20" borderId="0" xfId="0" applyNumberFormat="1" applyFont="1" applyFill="1" applyAlignment="1">
      <alignment horizontal="center"/>
    </xf>
    <xf numFmtId="10" fontId="60" fillId="14" borderId="0" xfId="266" applyNumberFormat="1" applyFont="1" applyFill="1" applyAlignment="1" applyProtection="1">
      <alignment horizontal="right"/>
      <protection locked="0"/>
    </xf>
    <xf numFmtId="10" fontId="60" fillId="14" borderId="0" xfId="266" applyNumberFormat="1" applyFont="1" applyFill="1" applyAlignment="1" applyProtection="1">
      <alignment vertical="top"/>
      <protection locked="0"/>
    </xf>
    <xf numFmtId="172" fontId="60" fillId="14" borderId="0" xfId="209" applyFont="1" applyFill="1"/>
    <xf numFmtId="0" fontId="60" fillId="14" borderId="0" xfId="59" applyNumberFormat="1" applyFont="1" applyFill="1" applyAlignment="1">
      <alignment horizontal="left"/>
    </xf>
    <xf numFmtId="174" fontId="60" fillId="14" borderId="0" xfId="93" applyNumberFormat="1" applyFont="1" applyFill="1" applyProtection="1">
      <protection locked="0"/>
    </xf>
    <xf numFmtId="174" fontId="60" fillId="14" borderId="7" xfId="93" applyNumberFormat="1" applyFont="1" applyFill="1" applyBorder="1" applyAlignment="1" applyProtection="1">
      <alignment horizontal="center"/>
      <protection locked="0"/>
    </xf>
    <xf numFmtId="173" fontId="60" fillId="14" borderId="0" xfId="59" applyNumberFormat="1" applyFont="1" applyFill="1" applyBorder="1" applyAlignment="1" applyProtection="1">
      <alignment horizontal="center"/>
      <protection locked="0"/>
    </xf>
    <xf numFmtId="172" fontId="60" fillId="14" borderId="0" xfId="1131" applyFont="1" applyFill="1"/>
    <xf numFmtId="1" fontId="56" fillId="14" borderId="0" xfId="59" applyNumberFormat="1" applyFont="1" applyFill="1" applyProtection="1">
      <protection locked="0"/>
    </xf>
    <xf numFmtId="0" fontId="56" fillId="14" borderId="0" xfId="184" applyFont="1" applyFill="1" applyAlignment="1" applyProtection="1">
      <alignment horizontal="left"/>
      <protection locked="0"/>
    </xf>
    <xf numFmtId="173" fontId="56" fillId="14" borderId="0" xfId="59" applyNumberFormat="1" applyFont="1" applyFill="1" applyAlignment="1" applyProtection="1">
      <protection locked="0"/>
    </xf>
    <xf numFmtId="0" fontId="56" fillId="14" borderId="0" xfId="184" applyFont="1" applyFill="1" applyProtection="1">
      <protection locked="0"/>
    </xf>
    <xf numFmtId="174" fontId="56" fillId="14" borderId="9" xfId="93" applyNumberFormat="1" applyFont="1" applyFill="1" applyBorder="1" applyProtection="1">
      <protection locked="0"/>
    </xf>
    <xf numFmtId="174" fontId="56" fillId="14" borderId="0" xfId="93" applyNumberFormat="1" applyFont="1" applyFill="1" applyBorder="1" applyProtection="1">
      <protection locked="0"/>
    </xf>
    <xf numFmtId="41" fontId="56" fillId="14" borderId="1" xfId="0" applyNumberFormat="1" applyFont="1" applyFill="1" applyBorder="1" applyAlignment="1" applyProtection="1">
      <alignment horizontal="right"/>
      <protection locked="0"/>
    </xf>
    <xf numFmtId="0" fontId="60" fillId="14" borderId="0" xfId="59" applyNumberFormat="1" applyFont="1" applyFill="1" applyProtection="1">
      <protection locked="0"/>
    </xf>
    <xf numFmtId="182" fontId="127" fillId="14" borderId="0" xfId="59" applyNumberFormat="1" applyFont="1" applyFill="1" applyProtection="1">
      <protection locked="0"/>
    </xf>
    <xf numFmtId="173" fontId="56" fillId="14" borderId="1" xfId="59" applyNumberFormat="1" applyFont="1" applyFill="1" applyBorder="1" applyAlignment="1" applyProtection="1">
      <protection locked="0"/>
    </xf>
    <xf numFmtId="173" fontId="50" fillId="14" borderId="0" xfId="59" applyNumberFormat="1" applyFont="1" applyFill="1" applyProtection="1">
      <protection locked="0"/>
    </xf>
    <xf numFmtId="174" fontId="50" fillId="14" borderId="0" xfId="93" applyNumberFormat="1" applyFont="1" applyFill="1" applyAlignment="1" applyProtection="1">
      <protection locked="0"/>
    </xf>
    <xf numFmtId="43" fontId="50" fillId="14" borderId="0" xfId="59" applyFont="1" applyFill="1" applyBorder="1" applyAlignment="1" applyProtection="1">
      <alignment horizontal="center"/>
      <protection locked="0"/>
    </xf>
    <xf numFmtId="10" fontId="50" fillId="14" borderId="0" xfId="266" applyNumberFormat="1" applyFont="1" applyFill="1" applyAlignment="1" applyProtection="1">
      <protection locked="0"/>
    </xf>
    <xf numFmtId="0" fontId="50" fillId="0" borderId="0" xfId="398" applyFont="1" applyFill="1" applyAlignment="1">
      <alignment horizontal="center"/>
    </xf>
    <xf numFmtId="2" fontId="50" fillId="0" borderId="0" xfId="398" applyNumberFormat="1" applyFont="1" applyFill="1" applyAlignment="1">
      <alignment horizontal="center"/>
    </xf>
    <xf numFmtId="0" fontId="50" fillId="0" borderId="0" xfId="398" applyFont="1" applyAlignment="1">
      <alignment horizontal="center"/>
    </xf>
    <xf numFmtId="0" fontId="50" fillId="0" borderId="0" xfId="398" applyFont="1" applyAlignment="1">
      <alignment horizontal="center"/>
    </xf>
    <xf numFmtId="0" fontId="50" fillId="0" borderId="0" xfId="398" applyFont="1" applyAlignment="1">
      <alignment horizontal="center"/>
    </xf>
    <xf numFmtId="0" fontId="50" fillId="0" borderId="0" xfId="398" applyFont="1" applyFill="1" applyAlignment="1">
      <alignment horizontal="center"/>
    </xf>
    <xf numFmtId="2" fontId="50" fillId="0" borderId="0" xfId="398" applyNumberFormat="1" applyFont="1" applyFill="1" applyAlignment="1">
      <alignment horizontal="center"/>
    </xf>
    <xf numFmtId="44" fontId="56" fillId="0" borderId="0" xfId="184" applyNumberFormat="1" applyFont="1" applyFill="1" applyProtection="1"/>
    <xf numFmtId="0" fontId="56" fillId="0" borderId="9" xfId="184" applyFont="1" applyBorder="1"/>
    <xf numFmtId="37" fontId="56" fillId="14" borderId="9" xfId="637" applyNumberFormat="1" applyFont="1" applyFill="1" applyBorder="1" applyAlignment="1" applyProtection="1">
      <alignment wrapText="1"/>
      <protection locked="0"/>
    </xf>
    <xf numFmtId="172" fontId="56" fillId="0" borderId="0" xfId="0" applyFont="1" applyFill="1" applyAlignment="1" applyProtection="1">
      <alignment horizontal="center"/>
    </xf>
    <xf numFmtId="173" fontId="56" fillId="14" borderId="0" xfId="59" applyNumberFormat="1" applyFont="1" applyFill="1" applyBorder="1" applyAlignment="1" applyProtection="1">
      <protection locked="0"/>
    </xf>
    <xf numFmtId="9" fontId="60" fillId="14" borderId="1" xfId="59" applyNumberFormat="1" applyFont="1" applyFill="1" applyBorder="1" applyAlignment="1" applyProtection="1">
      <protection locked="0"/>
    </xf>
    <xf numFmtId="10" fontId="60" fillId="0" borderId="1" xfId="59" applyNumberFormat="1" applyFont="1" applyFill="1" applyBorder="1" applyAlignment="1" applyProtection="1">
      <alignment horizontal="center"/>
    </xf>
    <xf numFmtId="37" fontId="56" fillId="14" borderId="9" xfId="1163" applyNumberFormat="1" applyFont="1" applyFill="1" applyBorder="1" applyAlignment="1" applyProtection="1">
      <alignment wrapText="1"/>
      <protection locked="0"/>
    </xf>
    <xf numFmtId="0" fontId="60" fillId="14" borderId="9" xfId="536" applyFont="1" applyFill="1" applyBorder="1"/>
    <xf numFmtId="43" fontId="60" fillId="14" borderId="1" xfId="59" applyNumberFormat="1" applyFont="1" applyFill="1" applyBorder="1" applyAlignment="1" applyProtection="1">
      <alignment horizontal="center"/>
      <protection locked="0"/>
    </xf>
    <xf numFmtId="0" fontId="60" fillId="14" borderId="1" xfId="187" applyFont="1" applyFill="1" applyBorder="1" applyProtection="1">
      <protection locked="0"/>
    </xf>
    <xf numFmtId="0" fontId="90" fillId="0" borderId="0" xfId="0" applyNumberFormat="1" applyFont="1" applyAlignment="1" applyProtection="1">
      <alignment horizontal="center"/>
    </xf>
    <xf numFmtId="173" fontId="60" fillId="0" borderId="0" xfId="59" quotePrefix="1" applyNumberFormat="1" applyFont="1" applyFill="1" applyAlignment="1" applyProtection="1">
      <alignment horizontal="left"/>
      <protection locked="0"/>
    </xf>
    <xf numFmtId="173" fontId="56" fillId="14" borderId="0" xfId="59" applyNumberFormat="1" applyFont="1" applyFill="1" applyBorder="1" applyProtection="1"/>
    <xf numFmtId="182" fontId="60" fillId="0" borderId="0" xfId="59" applyNumberFormat="1" applyFont="1" applyFill="1" applyProtection="1"/>
    <xf numFmtId="173" fontId="56" fillId="0" borderId="0" xfId="59" applyNumberFormat="1" applyFont="1" applyFill="1" applyBorder="1" applyAlignment="1" applyProtection="1">
      <protection locked="0"/>
    </xf>
    <xf numFmtId="3" fontId="60" fillId="0" borderId="0" xfId="188" applyNumberFormat="1" applyFont="1" applyAlignment="1">
      <alignment wrapText="1"/>
    </xf>
    <xf numFmtId="3" fontId="60" fillId="0" borderId="8" xfId="188" applyNumberFormat="1" applyFont="1" applyFill="1" applyBorder="1" applyAlignment="1" applyProtection="1">
      <alignment horizontal="center"/>
    </xf>
    <xf numFmtId="10" fontId="50" fillId="0" borderId="0" xfId="0" applyNumberFormat="1" applyFont="1" applyAlignment="1" applyProtection="1">
      <alignment horizontal="center"/>
    </xf>
    <xf numFmtId="10" fontId="50" fillId="0" borderId="0" xfId="0" applyNumberFormat="1" applyFont="1" applyAlignment="1" applyProtection="1">
      <alignment horizontal="center" vertical="center" wrapText="1"/>
    </xf>
    <xf numFmtId="172" fontId="60" fillId="14" borderId="0" xfId="0" applyFont="1" applyFill="1" applyProtection="1">
      <protection locked="0"/>
    </xf>
    <xf numFmtId="274" fontId="50" fillId="0" borderId="0" xfId="266" applyNumberFormat="1" applyFont="1" applyFill="1" applyAlignment="1">
      <alignment horizontal="center"/>
    </xf>
    <xf numFmtId="3" fontId="60" fillId="0" borderId="0" xfId="211" applyNumberFormat="1" applyFont="1" applyProtection="1"/>
    <xf numFmtId="0" fontId="56" fillId="0" borderId="0" xfId="399" applyFont="1" applyAlignment="1">
      <alignment horizontal="left"/>
    </xf>
    <xf numFmtId="276" fontId="56" fillId="0" borderId="0" xfId="399" applyNumberFormat="1" applyFont="1" applyAlignment="1">
      <alignment horizontal="center"/>
    </xf>
    <xf numFmtId="172" fontId="56" fillId="0" borderId="0" xfId="0" applyFont="1" applyAlignment="1" applyProtection="1">
      <alignment horizontal="center" wrapText="1"/>
    </xf>
    <xf numFmtId="43" fontId="50" fillId="14" borderId="0" xfId="59" applyFont="1" applyFill="1" applyBorder="1" applyAlignment="1" applyProtection="1">
      <alignment horizontal="center"/>
    </xf>
    <xf numFmtId="173" fontId="101" fillId="14" borderId="0" xfId="59" applyNumberFormat="1" applyFont="1" applyFill="1" applyBorder="1" applyAlignment="1" applyProtection="1">
      <alignment horizontal="center"/>
    </xf>
    <xf numFmtId="43" fontId="50" fillId="0" borderId="0" xfId="59" applyFont="1" applyFill="1" applyBorder="1" applyAlignment="1" applyProtection="1">
      <alignment horizontal="center"/>
      <protection locked="0"/>
    </xf>
    <xf numFmtId="172" fontId="60" fillId="0" borderId="0" xfId="0" applyFont="1" applyProtection="1"/>
    <xf numFmtId="0" fontId="60" fillId="0" borderId="0" xfId="388" applyFont="1" applyAlignment="1">
      <alignment vertical="center"/>
    </xf>
    <xf numFmtId="172" fontId="101" fillId="0" borderId="0" xfId="0" applyFont="1" applyProtection="1"/>
    <xf numFmtId="279" fontId="50" fillId="0" borderId="0" xfId="0" applyNumberFormat="1" applyFont="1" applyProtection="1"/>
    <xf numFmtId="0" fontId="123" fillId="0" borderId="0" xfId="1127" applyFont="1" applyAlignment="1">
      <alignment horizontal="center"/>
    </xf>
    <xf numFmtId="0" fontId="50" fillId="0" borderId="0" xfId="1127" applyFont="1" applyAlignment="1">
      <alignment horizontal="center"/>
    </xf>
    <xf numFmtId="172" fontId="101" fillId="0" borderId="0" xfId="0" applyFont="1" applyAlignment="1" applyProtection="1">
      <alignment vertical="center"/>
    </xf>
    <xf numFmtId="172" fontId="50" fillId="0" borderId="1" xfId="0" applyFont="1" applyBorder="1" applyAlignment="1" applyProtection="1">
      <alignment horizontal="center" wrapText="1"/>
    </xf>
    <xf numFmtId="279" fontId="50" fillId="0" borderId="1" xfId="0" applyNumberFormat="1" applyFont="1" applyBorder="1" applyAlignment="1" applyProtection="1">
      <alignment horizontal="center" wrapText="1"/>
    </xf>
    <xf numFmtId="279" fontId="50" fillId="0" borderId="1" xfId="0" applyNumberFormat="1" applyFont="1" applyBorder="1" applyAlignment="1" applyProtection="1">
      <alignment horizontal="center"/>
    </xf>
    <xf numFmtId="0" fontId="101" fillId="0" borderId="0" xfId="0" applyNumberFormat="1" applyFont="1" applyAlignment="1" applyProtection="1">
      <alignment horizontal="center"/>
    </xf>
    <xf numFmtId="174" fontId="50" fillId="0" borderId="7" xfId="93" applyNumberFormat="1" applyFont="1" applyBorder="1" applyAlignment="1" applyProtection="1"/>
    <xf numFmtId="43" fontId="50" fillId="14" borderId="0" xfId="59" applyFont="1" applyFill="1" applyAlignment="1" applyProtection="1">
      <protection locked="0"/>
    </xf>
    <xf numFmtId="174" fontId="101" fillId="0" borderId="14" xfId="93" applyNumberFormat="1" applyFont="1" applyBorder="1" applyAlignment="1" applyProtection="1"/>
    <xf numFmtId="10" fontId="50" fillId="0" borderId="0" xfId="266" applyNumberFormat="1" applyFont="1" applyFill="1" applyAlignment="1" applyProtection="1"/>
    <xf numFmtId="172" fontId="50" fillId="0" borderId="0" xfId="0" applyFont="1" applyAlignment="1" applyProtection="1">
      <alignment vertical="center"/>
    </xf>
    <xf numFmtId="172" fontId="123" fillId="0" borderId="0" xfId="0" applyFont="1" applyAlignment="1">
      <alignment horizontal="left" indent="1"/>
    </xf>
    <xf numFmtId="172" fontId="50" fillId="0" borderId="1" xfId="0" applyFont="1" applyBorder="1" applyProtection="1"/>
    <xf numFmtId="172" fontId="120" fillId="0" borderId="0" xfId="0" applyFont="1" applyAlignment="1">
      <alignment horizontal="left" indent="1"/>
    </xf>
    <xf numFmtId="174" fontId="50" fillId="0" borderId="0" xfId="93" applyNumberFormat="1" applyFont="1" applyFill="1" applyAlignment="1" applyProtection="1">
      <protection locked="0"/>
    </xf>
    <xf numFmtId="0" fontId="50" fillId="14" borderId="0" xfId="398" applyFont="1" applyFill="1" applyAlignment="1" applyProtection="1">
      <alignment horizontal="right"/>
    </xf>
    <xf numFmtId="173" fontId="116" fillId="0" borderId="0" xfId="59" applyNumberFormat="1" applyFont="1" applyFill="1"/>
    <xf numFmtId="0" fontId="136" fillId="0" borderId="0" xfId="1132"/>
    <xf numFmtId="0" fontId="136" fillId="0" borderId="0" xfId="1132" applyAlignment="1">
      <alignment horizontal="left"/>
    </xf>
    <xf numFmtId="0" fontId="136" fillId="0" borderId="0" xfId="1132" applyAlignment="1">
      <alignment horizontal="center"/>
    </xf>
    <xf numFmtId="0" fontId="154" fillId="0" borderId="0" xfId="1132" applyFont="1"/>
    <xf numFmtId="0" fontId="154" fillId="0" borderId="0" xfId="1132" applyFont="1" applyAlignment="1">
      <alignment horizontal="left"/>
    </xf>
    <xf numFmtId="0" fontId="156" fillId="0" borderId="0" xfId="1132" applyFont="1"/>
    <xf numFmtId="0" fontId="154" fillId="0" borderId="0" xfId="1132" applyFont="1" applyAlignment="1">
      <alignment horizontal="center"/>
    </xf>
    <xf numFmtId="0" fontId="20" fillId="0" borderId="0" xfId="1132" applyFont="1"/>
    <xf numFmtId="0" fontId="159" fillId="0" borderId="0" xfId="1132" applyFont="1" applyAlignment="1">
      <alignment horizontal="left"/>
    </xf>
    <xf numFmtId="0" fontId="159" fillId="0" borderId="0" xfId="1132" applyFont="1" applyAlignment="1">
      <alignment horizontal="center" wrapText="1"/>
    </xf>
    <xf numFmtId="0" fontId="160" fillId="0" borderId="0" xfId="1132" applyFont="1"/>
    <xf numFmtId="42" fontId="136" fillId="0" borderId="0" xfId="1133" applyNumberFormat="1" applyFont="1" applyFill="1" applyBorder="1"/>
    <xf numFmtId="173" fontId="20" fillId="0" borderId="0" xfId="81" applyNumberFormat="1" applyFont="1" applyFill="1" applyBorder="1" applyProtection="1">
      <protection locked="0"/>
    </xf>
    <xf numFmtId="174" fontId="136" fillId="14" borderId="0" xfId="102" applyNumberFormat="1" applyFont="1" applyFill="1" applyBorder="1"/>
    <xf numFmtId="173" fontId="20" fillId="0" borderId="0" xfId="81" applyNumberFormat="1" applyFont="1" applyFill="1" applyProtection="1"/>
    <xf numFmtId="164" fontId="20" fillId="0" borderId="0" xfId="731" applyNumberFormat="1" applyFont="1" applyFill="1" applyProtection="1"/>
    <xf numFmtId="173" fontId="136" fillId="0" borderId="0" xfId="1133" applyNumberFormat="1" applyFont="1" applyFill="1" applyBorder="1"/>
    <xf numFmtId="173" fontId="20" fillId="0" borderId="0" xfId="1133" applyNumberFormat="1" applyFont="1" applyFill="1" applyBorder="1" applyProtection="1">
      <protection locked="0"/>
    </xf>
    <xf numFmtId="173" fontId="136" fillId="14" borderId="0" xfId="1133" applyNumberFormat="1" applyFont="1" applyFill="1" applyBorder="1"/>
    <xf numFmtId="173" fontId="136" fillId="0" borderId="0" xfId="1133" applyNumberFormat="1" applyFont="1" applyFill="1" applyProtection="1"/>
    <xf numFmtId="173" fontId="136" fillId="14" borderId="0" xfId="59" applyNumberFormat="1" applyFont="1" applyFill="1" applyBorder="1"/>
    <xf numFmtId="10" fontId="136" fillId="0" borderId="0" xfId="266" applyNumberFormat="1" applyFont="1"/>
    <xf numFmtId="173" fontId="136" fillId="1" borderId="0" xfId="1133" applyNumberFormat="1" applyFont="1" applyFill="1" applyBorder="1"/>
    <xf numFmtId="42" fontId="157" fillId="0" borderId="3" xfId="1133" applyNumberFormat="1" applyFont="1" applyFill="1" applyBorder="1"/>
    <xf numFmtId="42" fontId="157" fillId="0" borderId="0" xfId="1133" applyNumberFormat="1" applyFont="1" applyFill="1" applyBorder="1"/>
    <xf numFmtId="182" fontId="136" fillId="0" borderId="0" xfId="59" applyNumberFormat="1" applyFont="1" applyFill="1" applyBorder="1"/>
    <xf numFmtId="42" fontId="136" fillId="14" borderId="0" xfId="1133" applyNumberFormat="1" applyFont="1" applyFill="1" applyBorder="1"/>
    <xf numFmtId="0" fontId="165" fillId="0" borderId="0" xfId="1132" applyFont="1" applyAlignment="1">
      <alignment horizontal="left"/>
    </xf>
    <xf numFmtId="0" fontId="157" fillId="0" borderId="0" xfId="1132" applyFont="1" applyAlignment="1">
      <alignment horizontal="left"/>
    </xf>
    <xf numFmtId="164" fontId="20" fillId="0" borderId="0" xfId="287" applyNumberFormat="1" applyFont="1" applyFill="1" applyProtection="1"/>
    <xf numFmtId="42" fontId="136" fillId="0" borderId="0" xfId="1132" applyNumberFormat="1"/>
    <xf numFmtId="173" fontId="20" fillId="0" borderId="0" xfId="81" applyNumberFormat="1"/>
    <xf numFmtId="174" fontId="136" fillId="0" borderId="0" xfId="102" applyNumberFormat="1" applyFont="1" applyFill="1"/>
    <xf numFmtId="173" fontId="136" fillId="0" borderId="0" xfId="59" applyNumberFormat="1" applyFont="1" applyFill="1"/>
    <xf numFmtId="173" fontId="136" fillId="0" borderId="0" xfId="1132" applyNumberFormat="1"/>
    <xf numFmtId="174" fontId="136" fillId="0" borderId="3" xfId="102" applyNumberFormat="1" applyFont="1" applyFill="1" applyBorder="1"/>
    <xf numFmtId="173" fontId="136" fillId="0" borderId="0" xfId="1133" applyNumberFormat="1" applyFont="1" applyFill="1"/>
    <xf numFmtId="174" fontId="136" fillId="0" borderId="14" xfId="102" applyNumberFormat="1" applyFont="1" applyFill="1" applyBorder="1"/>
    <xf numFmtId="43" fontId="136" fillId="0" borderId="0" xfId="1132" applyNumberFormat="1"/>
    <xf numFmtId="174" fontId="136" fillId="0" borderId="0" xfId="1132" applyNumberFormat="1"/>
    <xf numFmtId="0" fontId="153" fillId="0" borderId="0" xfId="1165" applyFont="1" applyAlignment="1">
      <alignment horizontal="left"/>
    </xf>
    <xf numFmtId="0" fontId="157" fillId="0" borderId="1" xfId="1165" applyFont="1" applyBorder="1" applyAlignment="1">
      <alignment horizontal="center" wrapText="1"/>
    </xf>
    <xf numFmtId="0" fontId="157" fillId="0" borderId="1" xfId="1165" applyFont="1" applyBorder="1" applyAlignment="1">
      <alignment horizontal="left" wrapText="1"/>
    </xf>
    <xf numFmtId="0" fontId="157" fillId="0" borderId="0" xfId="1165" applyFont="1" applyAlignment="1">
      <alignment horizontal="left" wrapText="1" indent="1"/>
    </xf>
    <xf numFmtId="0" fontId="157" fillId="0" borderId="0" xfId="1165" applyFont="1" applyAlignment="1">
      <alignment horizontal="center" wrapText="1"/>
    </xf>
    <xf numFmtId="0" fontId="157" fillId="0" borderId="0" xfId="1165" applyFont="1" applyAlignment="1">
      <alignment horizontal="left" wrapText="1"/>
    </xf>
    <xf numFmtId="0" fontId="136" fillId="0" borderId="0" xfId="1165" applyFont="1"/>
    <xf numFmtId="0" fontId="161" fillId="0" borderId="0" xfId="1165" applyFont="1"/>
    <xf numFmtId="0" fontId="136" fillId="0" borderId="0" xfId="1165" applyFont="1" applyAlignment="1">
      <alignment horizontal="center"/>
    </xf>
    <xf numFmtId="0" fontId="136" fillId="14" borderId="0" xfId="1165" applyFont="1" applyFill="1"/>
    <xf numFmtId="173" fontId="136" fillId="14" borderId="0" xfId="1165" applyNumberFormat="1" applyFont="1" applyFill="1"/>
    <xf numFmtId="173" fontId="136" fillId="0" borderId="0" xfId="1165" applyNumberFormat="1" applyFont="1"/>
    <xf numFmtId="173" fontId="136" fillId="0" borderId="0" xfId="59" applyNumberFormat="1" applyFont="1"/>
    <xf numFmtId="173" fontId="157" fillId="0" borderId="0" xfId="1165" applyNumberFormat="1" applyFont="1"/>
    <xf numFmtId="0" fontId="163" fillId="0" borderId="0" xfId="1165" applyFont="1"/>
    <xf numFmtId="173" fontId="136" fillId="0" borderId="0" xfId="85" applyNumberFormat="1" applyFont="1"/>
    <xf numFmtId="42" fontId="157" fillId="0" borderId="14" xfId="1165" applyNumberFormat="1" applyFont="1" applyBorder="1"/>
    <xf numFmtId="173" fontId="136" fillId="0" borderId="0" xfId="1165" applyNumberFormat="1" applyFont="1" applyAlignment="1">
      <alignment horizontal="right"/>
    </xf>
    <xf numFmtId="0" fontId="157" fillId="0" borderId="0" xfId="1165" applyFont="1" applyAlignment="1">
      <alignment horizontal="right"/>
    </xf>
    <xf numFmtId="0" fontId="136" fillId="0" borderId="0" xfId="1165" applyFont="1" applyAlignment="1">
      <alignment horizontal="right"/>
    </xf>
    <xf numFmtId="0" fontId="157" fillId="0" borderId="0" xfId="1165" applyFont="1" applyAlignment="1">
      <alignment horizontal="left"/>
    </xf>
    <xf numFmtId="0" fontId="50" fillId="0" borderId="0" xfId="0" applyNumberFormat="1" applyFont="1" applyProtection="1"/>
    <xf numFmtId="172" fontId="50" fillId="0" borderId="0" xfId="0" applyFont="1" applyAlignment="1" applyProtection="1">
      <alignment horizontal="left" vertical="center"/>
    </xf>
    <xf numFmtId="0" fontId="101" fillId="0" borderId="0" xfId="398" applyFont="1" applyAlignment="1">
      <alignment horizontal="center"/>
    </xf>
    <xf numFmtId="0" fontId="123" fillId="0" borderId="0" xfId="1166" applyFont="1" applyAlignment="1">
      <alignment horizontal="center"/>
    </xf>
    <xf numFmtId="0" fontId="50" fillId="0" borderId="0" xfId="1166" applyFont="1" applyAlignment="1">
      <alignment horizontal="center"/>
    </xf>
    <xf numFmtId="172" fontId="0" fillId="0" borderId="0" xfId="0"/>
    <xf numFmtId="279" fontId="50" fillId="0" borderId="0" xfId="0" applyNumberFormat="1" applyFont="1" applyAlignment="1" applyProtection="1">
      <alignment horizontal="center"/>
    </xf>
    <xf numFmtId="172" fontId="101" fillId="0" borderId="0" xfId="0" applyFont="1" applyAlignment="1" applyProtection="1">
      <alignment horizontal="left"/>
    </xf>
    <xf numFmtId="173" fontId="50" fillId="0" borderId="0" xfId="0" applyNumberFormat="1" applyFont="1" applyProtection="1"/>
    <xf numFmtId="0" fontId="60" fillId="0" borderId="0" xfId="0" applyNumberFormat="1" applyFont="1" applyFill="1" applyBorder="1" applyAlignment="1" applyProtection="1">
      <alignment horizontal="left" vertical="top" wrapText="1"/>
    </xf>
    <xf numFmtId="0" fontId="60" fillId="0" borderId="0" xfId="211" applyNumberFormat="1" applyFont="1" applyFill="1" applyAlignment="1" applyProtection="1">
      <alignment vertical="top" wrapText="1"/>
    </xf>
    <xf numFmtId="0" fontId="60" fillId="0" borderId="0" xfId="188" quotePrefix="1" applyNumberFormat="1" applyFont="1" applyFill="1" applyAlignment="1" applyProtection="1">
      <alignment vertical="top" wrapText="1"/>
    </xf>
    <xf numFmtId="0" fontId="60" fillId="0" borderId="0" xfId="188" applyNumberFormat="1" applyFont="1" applyFill="1" applyAlignment="1" applyProtection="1">
      <alignment vertical="top" wrapText="1"/>
    </xf>
    <xf numFmtId="0" fontId="60" fillId="0" borderId="0" xfId="188" quotePrefix="1" applyNumberFormat="1" applyFont="1" applyFill="1" applyAlignment="1" applyProtection="1">
      <alignment horizontal="left" vertical="top" wrapText="1"/>
    </xf>
    <xf numFmtId="172" fontId="60" fillId="0" borderId="0" xfId="211" applyFont="1" applyFill="1" applyAlignment="1" applyProtection="1">
      <alignment horizontal="center"/>
    </xf>
    <xf numFmtId="49" fontId="60" fillId="0" borderId="0" xfId="211" applyNumberFormat="1" applyFont="1" applyFill="1" applyAlignment="1" applyProtection="1">
      <alignment horizontal="center"/>
    </xf>
    <xf numFmtId="0" fontId="96" fillId="0" borderId="0" xfId="211" applyNumberFormat="1" applyFont="1" applyFill="1" applyAlignment="1" applyProtection="1">
      <alignment vertical="top" wrapText="1"/>
    </xf>
    <xf numFmtId="172" fontId="60" fillId="0" borderId="0" xfId="0" applyFont="1" applyFill="1" applyAlignment="1" applyProtection="1">
      <alignment horizontal="left" wrapText="1"/>
    </xf>
    <xf numFmtId="0" fontId="60" fillId="0" borderId="0" xfId="206" applyFont="1" applyFill="1" applyAlignment="1" applyProtection="1">
      <alignment vertical="top" wrapText="1"/>
    </xf>
    <xf numFmtId="172" fontId="60" fillId="0" borderId="0" xfId="0" applyFont="1" applyFill="1" applyAlignment="1" applyProtection="1">
      <alignment horizontal="left" vertical="center" wrapText="1"/>
    </xf>
    <xf numFmtId="172" fontId="60" fillId="0" borderId="0" xfId="201" applyFont="1" applyFill="1" applyBorder="1" applyAlignment="1" applyProtection="1">
      <alignment horizontal="left"/>
    </xf>
    <xf numFmtId="172" fontId="60" fillId="0" borderId="0" xfId="201" applyFont="1" applyFill="1" applyBorder="1" applyAlignment="1" applyProtection="1">
      <alignment horizontal="left" vertical="top" wrapText="1"/>
    </xf>
    <xf numFmtId="172" fontId="60" fillId="0" borderId="0" xfId="201" applyFont="1" applyFill="1" applyBorder="1" applyAlignment="1" applyProtection="1">
      <alignment horizontal="left" wrapText="1"/>
    </xf>
    <xf numFmtId="172" fontId="60" fillId="0" borderId="0" xfId="201" applyFont="1" applyFill="1" applyAlignment="1" applyProtection="1">
      <alignment horizontal="left" vertical="top" wrapText="1"/>
    </xf>
    <xf numFmtId="172" fontId="67" fillId="0" borderId="19" xfId="201" applyFont="1" applyFill="1" applyBorder="1" applyAlignment="1" applyProtection="1">
      <alignment horizontal="center"/>
    </xf>
    <xf numFmtId="172" fontId="67" fillId="0" borderId="17" xfId="201" applyFont="1" applyFill="1" applyBorder="1" applyAlignment="1" applyProtection="1">
      <alignment horizontal="center"/>
    </xf>
    <xf numFmtId="172" fontId="60" fillId="0" borderId="19" xfId="0" applyFont="1" applyFill="1" applyBorder="1" applyAlignment="1" applyProtection="1">
      <alignment horizontal="center"/>
    </xf>
    <xf numFmtId="172" fontId="60" fillId="0" borderId="20" xfId="0" applyFont="1" applyFill="1" applyBorder="1" applyAlignment="1" applyProtection="1">
      <alignment horizontal="center"/>
    </xf>
    <xf numFmtId="172" fontId="60" fillId="0" borderId="17" xfId="0" applyFont="1" applyFill="1" applyBorder="1" applyAlignment="1" applyProtection="1">
      <alignment horizontal="center"/>
    </xf>
    <xf numFmtId="172" fontId="60" fillId="0" borderId="21" xfId="0" applyFont="1" applyFill="1" applyBorder="1" applyAlignment="1" applyProtection="1">
      <alignment horizontal="center"/>
    </xf>
    <xf numFmtId="172" fontId="67" fillId="0" borderId="22" xfId="201" applyFont="1" applyFill="1" applyBorder="1" applyAlignment="1" applyProtection="1">
      <alignment horizontal="center" wrapText="1"/>
    </xf>
    <xf numFmtId="172" fontId="67" fillId="0" borderId="15" xfId="201" applyFont="1" applyFill="1" applyBorder="1" applyAlignment="1" applyProtection="1">
      <alignment horizontal="center" wrapText="1"/>
    </xf>
    <xf numFmtId="172" fontId="60" fillId="0" borderId="0" xfId="0" applyFont="1" applyFill="1" applyAlignment="1" applyProtection="1">
      <alignment horizontal="left" vertical="top" wrapText="1"/>
    </xf>
    <xf numFmtId="0" fontId="60" fillId="0" borderId="0" xfId="188" applyNumberFormat="1" applyFont="1" applyFill="1" applyAlignment="1" applyProtection="1">
      <alignment horizontal="left" vertical="top" wrapText="1"/>
    </xf>
    <xf numFmtId="172" fontId="67" fillId="15" borderId="16" xfId="0" applyFont="1" applyFill="1" applyBorder="1" applyAlignment="1" applyProtection="1">
      <alignment horizontal="center"/>
    </xf>
    <xf numFmtId="172" fontId="67" fillId="15" borderId="7" xfId="0" applyFont="1" applyFill="1" applyBorder="1" applyAlignment="1" applyProtection="1">
      <alignment horizontal="center"/>
    </xf>
    <xf numFmtId="172" fontId="67" fillId="15" borderId="23" xfId="0" applyFont="1" applyFill="1" applyBorder="1" applyAlignment="1" applyProtection="1">
      <alignment horizontal="center"/>
    </xf>
    <xf numFmtId="0" fontId="67" fillId="15" borderId="16" xfId="212" applyFont="1" applyFill="1" applyBorder="1" applyAlignment="1" applyProtection="1">
      <alignment horizontal="center"/>
    </xf>
    <xf numFmtId="0" fontId="67" fillId="15" borderId="7" xfId="212" applyFont="1" applyFill="1" applyBorder="1" applyAlignment="1" applyProtection="1">
      <alignment horizontal="center"/>
    </xf>
    <xf numFmtId="0" fontId="67" fillId="15" borderId="23" xfId="212" applyFont="1" applyFill="1" applyBorder="1" applyAlignment="1" applyProtection="1">
      <alignment horizontal="center"/>
    </xf>
    <xf numFmtId="172" fontId="67" fillId="0" borderId="0" xfId="0" applyFont="1" applyFill="1" applyAlignment="1" applyProtection="1">
      <alignment horizontal="center"/>
    </xf>
    <xf numFmtId="172" fontId="60" fillId="0" borderId="2" xfId="0" applyFont="1" applyFill="1" applyBorder="1" applyAlignment="1" applyProtection="1">
      <alignment horizontal="center"/>
    </xf>
    <xf numFmtId="0" fontId="89" fillId="0" borderId="0" xfId="188" applyNumberFormat="1" applyFont="1" applyFill="1" applyAlignment="1" applyProtection="1">
      <alignment horizontal="left" vertical="top" wrapText="1"/>
    </xf>
    <xf numFmtId="0" fontId="109" fillId="0" borderId="0" xfId="389" applyFont="1" applyFill="1" applyAlignment="1" applyProtection="1">
      <alignment horizontal="center"/>
    </xf>
    <xf numFmtId="49" fontId="110" fillId="0" borderId="0" xfId="389" applyNumberFormat="1" applyFont="1" applyFill="1" applyBorder="1" applyAlignment="1" applyProtection="1">
      <alignment horizontal="center"/>
    </xf>
    <xf numFmtId="0" fontId="110" fillId="0" borderId="0" xfId="389" applyFont="1" applyFill="1" applyBorder="1" applyAlignment="1" applyProtection="1">
      <alignment horizontal="center"/>
    </xf>
    <xf numFmtId="49" fontId="56" fillId="0" borderId="0" xfId="389" applyNumberFormat="1" applyFont="1" applyFill="1" applyBorder="1" applyAlignment="1" applyProtection="1">
      <alignment horizontal="center"/>
    </xf>
    <xf numFmtId="0" fontId="56" fillId="0" borderId="0" xfId="389" applyFont="1" applyFill="1" applyBorder="1" applyAlignment="1" applyProtection="1">
      <alignment horizontal="center"/>
    </xf>
    <xf numFmtId="0" fontId="110" fillId="0" borderId="0" xfId="184" applyFont="1" applyFill="1" applyAlignment="1" applyProtection="1">
      <alignment horizontal="center"/>
    </xf>
    <xf numFmtId="172" fontId="110" fillId="0" borderId="0" xfId="0" applyFont="1" applyFill="1" applyAlignment="1" applyProtection="1">
      <alignment horizontal="center"/>
    </xf>
    <xf numFmtId="0" fontId="107" fillId="0" borderId="0" xfId="398" applyFont="1" applyFill="1" applyAlignment="1" applyProtection="1">
      <alignment horizontal="center"/>
    </xf>
    <xf numFmtId="0" fontId="129" fillId="0" borderId="0" xfId="184" applyFont="1" applyFill="1" applyAlignment="1" applyProtection="1">
      <alignment horizontal="center"/>
    </xf>
    <xf numFmtId="172" fontId="57" fillId="0" borderId="0" xfId="0" applyFont="1" applyFill="1" applyAlignment="1" applyProtection="1">
      <alignment horizontal="center"/>
    </xf>
    <xf numFmtId="172" fontId="113" fillId="0" borderId="0" xfId="0" applyFont="1" applyFill="1" applyAlignment="1" applyProtection="1">
      <alignment horizontal="center"/>
    </xf>
    <xf numFmtId="172" fontId="56" fillId="0" borderId="0" xfId="0" applyFont="1" applyFill="1" applyAlignment="1" applyProtection="1">
      <alignment horizontal="center"/>
    </xf>
    <xf numFmtId="0" fontId="110" fillId="0" borderId="0" xfId="184" applyFont="1" applyAlignment="1" applyProtection="1">
      <alignment horizontal="center"/>
    </xf>
    <xf numFmtId="172" fontId="113" fillId="0" borderId="0" xfId="0" applyFont="1" applyAlignment="1" applyProtection="1">
      <alignment horizontal="center"/>
    </xf>
    <xf numFmtId="172" fontId="60" fillId="0" borderId="0" xfId="0" applyFont="1" applyFill="1" applyBorder="1" applyAlignment="1" applyProtection="1">
      <alignment horizontal="center"/>
    </xf>
    <xf numFmtId="0" fontId="101" fillId="0" borderId="0" xfId="398" applyFont="1" applyAlignment="1" applyProtection="1">
      <alignment horizontal="center"/>
    </xf>
    <xf numFmtId="0" fontId="50" fillId="0" borderId="0" xfId="398" applyFont="1" applyAlignment="1" applyProtection="1">
      <alignment horizontal="left" vertical="top" wrapText="1"/>
    </xf>
    <xf numFmtId="0" fontId="50" fillId="0" borderId="0" xfId="398" applyFont="1" applyFill="1" applyAlignment="1" applyProtection="1">
      <alignment horizontal="left" vertical="top" wrapText="1"/>
    </xf>
    <xf numFmtId="49" fontId="50" fillId="0" borderId="0" xfId="398" applyNumberFormat="1" applyFont="1" applyAlignment="1" applyProtection="1">
      <alignment horizontal="left" vertical="top" wrapText="1"/>
    </xf>
    <xf numFmtId="173" fontId="101" fillId="0" borderId="30" xfId="59" applyNumberFormat="1" applyFont="1" applyFill="1" applyBorder="1" applyAlignment="1" applyProtection="1">
      <alignment horizontal="center"/>
    </xf>
    <xf numFmtId="173" fontId="101" fillId="0" borderId="6" xfId="59" applyNumberFormat="1" applyFont="1" applyFill="1" applyBorder="1" applyAlignment="1" applyProtection="1">
      <alignment horizontal="center"/>
    </xf>
    <xf numFmtId="173" fontId="101" fillId="0" borderId="31" xfId="59" applyNumberFormat="1" applyFont="1" applyFill="1" applyBorder="1" applyAlignment="1" applyProtection="1">
      <alignment horizontal="center"/>
    </xf>
    <xf numFmtId="172" fontId="50" fillId="0" borderId="0" xfId="0" applyFont="1" applyAlignment="1" applyProtection="1">
      <alignment horizontal="left" vertical="center" wrapText="1"/>
    </xf>
    <xf numFmtId="172" fontId="50" fillId="0" borderId="0" xfId="0" applyFont="1" applyFill="1" applyAlignment="1" applyProtection="1">
      <alignment horizontal="left" wrapText="1"/>
    </xf>
    <xf numFmtId="172" fontId="50" fillId="0" borderId="0" xfId="0" applyFont="1" applyAlignment="1">
      <alignment horizontal="left" vertical="top" wrapText="1"/>
    </xf>
    <xf numFmtId="172" fontId="101" fillId="0" borderId="16" xfId="0" applyFont="1" applyBorder="1" applyAlignment="1" applyProtection="1">
      <alignment horizontal="center"/>
    </xf>
    <xf numFmtId="172" fontId="101" fillId="0" borderId="7" xfId="0" applyFont="1" applyBorder="1" applyAlignment="1" applyProtection="1">
      <alignment horizontal="center"/>
    </xf>
    <xf numFmtId="172" fontId="101" fillId="0" borderId="23" xfId="0" applyFont="1" applyBorder="1" applyAlignment="1" applyProtection="1">
      <alignment horizontal="center"/>
    </xf>
    <xf numFmtId="0" fontId="56" fillId="0" borderId="0" xfId="0" applyNumberFormat="1" applyFont="1" applyAlignment="1" applyProtection="1">
      <alignment horizontal="left" wrapText="1"/>
    </xf>
    <xf numFmtId="172" fontId="129" fillId="0" borderId="16" xfId="0" applyFont="1" applyBorder="1" applyAlignment="1" applyProtection="1">
      <alignment horizontal="center"/>
    </xf>
    <xf numFmtId="172" fontId="129" fillId="0" borderId="7" xfId="0" applyFont="1" applyBorder="1" applyAlignment="1" applyProtection="1">
      <alignment horizontal="center"/>
    </xf>
    <xf numFmtId="172" fontId="129" fillId="0" borderId="23" xfId="0" applyFont="1" applyBorder="1" applyAlignment="1" applyProtection="1">
      <alignment horizontal="center"/>
    </xf>
    <xf numFmtId="0" fontId="155" fillId="0" borderId="16" xfId="1165" applyFont="1" applyBorder="1" applyAlignment="1">
      <alignment horizontal="center"/>
    </xf>
    <xf numFmtId="0" fontId="155" fillId="0" borderId="7" xfId="1165" applyFont="1" applyBorder="1" applyAlignment="1">
      <alignment horizontal="center"/>
    </xf>
    <xf numFmtId="0" fontId="155" fillId="0" borderId="23" xfId="1165" applyFont="1" applyBorder="1" applyAlignment="1">
      <alignment horizontal="center"/>
    </xf>
    <xf numFmtId="172" fontId="137" fillId="18" borderId="16" xfId="0" applyFont="1" applyFill="1" applyBorder="1" applyAlignment="1">
      <alignment horizontal="center"/>
    </xf>
    <xf numFmtId="172" fontId="137" fillId="18" borderId="7" xfId="0" applyFont="1" applyFill="1" applyBorder="1" applyAlignment="1">
      <alignment horizontal="center"/>
    </xf>
    <xf numFmtId="172" fontId="137" fillId="18" borderId="23" xfId="0" applyFont="1" applyFill="1" applyBorder="1" applyAlignment="1">
      <alignment horizontal="center"/>
    </xf>
    <xf numFmtId="172" fontId="120" fillId="0" borderId="16" xfId="0" applyFont="1" applyBorder="1" applyAlignment="1">
      <alignment horizontal="center"/>
    </xf>
    <xf numFmtId="172" fontId="120" fillId="0" borderId="7" xfId="0" applyFont="1" applyBorder="1" applyAlignment="1">
      <alignment horizontal="center"/>
    </xf>
    <xf numFmtId="172" fontId="120" fillId="0" borderId="23" xfId="0" applyFont="1" applyBorder="1" applyAlignment="1">
      <alignment horizontal="center"/>
    </xf>
    <xf numFmtId="0" fontId="152" fillId="18" borderId="16" xfId="1165" applyFont="1" applyFill="1" applyBorder="1" applyAlignment="1">
      <alignment horizontal="center"/>
    </xf>
    <xf numFmtId="0" fontId="152" fillId="18" borderId="7" xfId="1165" applyFont="1" applyFill="1" applyBorder="1" applyAlignment="1">
      <alignment horizontal="center"/>
    </xf>
    <xf numFmtId="0" fontId="152" fillId="18" borderId="23" xfId="1165" applyFont="1" applyFill="1" applyBorder="1" applyAlignment="1">
      <alignment horizontal="center"/>
    </xf>
    <xf numFmtId="0" fontId="116" fillId="0" borderId="0" xfId="1132" applyFont="1" applyAlignment="1">
      <alignment horizontal="left" vertical="top" wrapText="1"/>
    </xf>
    <xf numFmtId="172" fontId="60" fillId="0" borderId="0" xfId="0" applyFont="1" applyAlignment="1">
      <alignment horizontal="left" vertical="top" wrapText="1"/>
    </xf>
    <xf numFmtId="0" fontId="60" fillId="0" borderId="0" xfId="1132" applyFont="1" applyAlignment="1">
      <alignment horizontal="left" vertical="top" wrapText="1"/>
    </xf>
    <xf numFmtId="0" fontId="50" fillId="0" borderId="0" xfId="201" applyNumberFormat="1" applyFont="1" applyFill="1" applyBorder="1" applyAlignment="1" applyProtection="1">
      <alignment horizontal="center"/>
    </xf>
    <xf numFmtId="0" fontId="50" fillId="0" borderId="0" xfId="212" applyFont="1" applyFill="1" applyAlignment="1" applyProtection="1">
      <alignment horizontal="center"/>
    </xf>
    <xf numFmtId="0" fontId="50" fillId="0" borderId="0" xfId="211" applyNumberFormat="1" applyFont="1" applyFill="1" applyAlignment="1" applyProtection="1">
      <alignment horizontal="center"/>
    </xf>
    <xf numFmtId="172" fontId="50" fillId="0" borderId="0" xfId="0" applyFont="1" applyAlignment="1" applyProtection="1">
      <alignment horizontal="left" wrapText="1"/>
    </xf>
  </cellXfs>
  <cellStyles count="1167">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3" xfId="944" xr:uid="{615640F2-1C13-48A8-A9E8-96BF3F9745CB}"/>
    <cellStyle name="Comma [0] 3 2 2 3" xfId="634" xr:uid="{00000000-0005-0000-0000-000045000000}"/>
    <cellStyle name="Comma [0] 3 2 2 3 2" xfId="1036" xr:uid="{1BCED9BE-D309-42AF-919B-4132CD4EFD1A}"/>
    <cellStyle name="Comma [0] 3 2 2 4" xfId="856" xr:uid="{1BAC0848-089F-4C8A-8852-7F85BA181DC3}"/>
    <cellStyle name="Comma [0] 3 2 3" xfId="489" xr:uid="{00000000-0005-0000-0000-000047000000}"/>
    <cellStyle name="Comma [0] 3 2 3 2" xfId="678" xr:uid="{00000000-0005-0000-0000-000047000000}"/>
    <cellStyle name="Comma [0] 3 2 3 2 2" xfId="1080" xr:uid="{AA9897C0-6D22-4EAA-B401-407C2D5CC2E5}"/>
    <cellStyle name="Comma [0] 3 2 3 3" xfId="900" xr:uid="{2D97E105-3CC6-4BC4-A354-CD4444B280F1}"/>
    <cellStyle name="Comma [0] 3 2 4" xfId="590" xr:uid="{00000000-0005-0000-0000-000044000000}"/>
    <cellStyle name="Comma [0] 3 2 4 2" xfId="992" xr:uid="{658CC2BD-94EB-4FAA-A80A-60CA46097BCA}"/>
    <cellStyle name="Comma [0] 3 2 5" xfId="812" xr:uid="{1D3A84FA-D047-427B-99EA-9E7998DF8FAF}"/>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0 10 2" xfId="1133" xr:uid="{4D8C58D1-3E8A-47AF-9671-86BF5988F3C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3" xfId="934" xr:uid="{2F1A9611-F687-440B-B370-6131836917DF}"/>
    <cellStyle name="Comma 12 2 3" xfId="624" xr:uid="{00000000-0005-0000-0000-000052000000}"/>
    <cellStyle name="Comma 12 2 3 2" xfId="1026" xr:uid="{A1DC4B3F-15DC-4221-A1A9-F7C301E0FCA3}"/>
    <cellStyle name="Comma 12 2 4" xfId="846" xr:uid="{324056A7-D5EE-4D68-B51E-C49547B42F85}"/>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3" xfId="941" xr:uid="{6B1ADEDC-B55A-444D-8566-CB8383DDE263}"/>
    <cellStyle name="Comma 12 3 3 3" xfId="631" xr:uid="{00000000-0005-0000-0000-000056000000}"/>
    <cellStyle name="Comma 12 3 3 3 2" xfId="1033" xr:uid="{B006C6D1-4EF1-477B-B6F5-2B985ADA711C}"/>
    <cellStyle name="Comma 12 3 3 4" xfId="853" xr:uid="{8B8728CA-894F-4766-ABC7-858103C3512D}"/>
    <cellStyle name="Comma 12 3 4" xfId="486" xr:uid="{00000000-0005-0000-0000-000058000000}"/>
    <cellStyle name="Comma 12 3 4 2" xfId="675" xr:uid="{00000000-0005-0000-0000-000058000000}"/>
    <cellStyle name="Comma 12 3 4 2 2" xfId="1077" xr:uid="{02DEDFAA-CB40-4E62-9FA1-929DE99437FA}"/>
    <cellStyle name="Comma 12 3 4 3" xfId="897" xr:uid="{01AAF7C4-1CE7-4308-8647-2CF417D0718B}"/>
    <cellStyle name="Comma 12 3 5" xfId="587" xr:uid="{00000000-0005-0000-0000-000054000000}"/>
    <cellStyle name="Comma 12 3 5 2" xfId="989" xr:uid="{629EA6F6-BB1A-483F-A4CF-8DEC872C2212}"/>
    <cellStyle name="Comma 12 3 6" xfId="809" xr:uid="{D5749EEA-E01D-41F4-8469-2B0BE7FA6BE8}"/>
    <cellStyle name="Comma 12 4" xfId="479" xr:uid="{00000000-0005-0000-0000-000059000000}"/>
    <cellStyle name="Comma 12 4 2" xfId="668" xr:uid="{00000000-0005-0000-0000-000059000000}"/>
    <cellStyle name="Comma 12 4 2 2" xfId="1070" xr:uid="{3D87B576-54B2-4BDD-83AC-1ECA686FAD3F}"/>
    <cellStyle name="Comma 12 4 3" xfId="890" xr:uid="{3AE1CE6A-FCAE-4FE2-8412-1FD4C5A03A36}"/>
    <cellStyle name="Comma 12 5" xfId="580" xr:uid="{00000000-0005-0000-0000-000051000000}"/>
    <cellStyle name="Comma 12 5 2" xfId="982" xr:uid="{E8254974-8E49-418F-8BA8-AE271C702478}"/>
    <cellStyle name="Comma 12 6" xfId="802" xr:uid="{90647C9D-12D0-474D-B3E7-47CFABBD51F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3" xfId="943" xr:uid="{38EB6445-5C1C-4668-BBCD-03FD99A59CA6}"/>
    <cellStyle name="Comma 13 2 3 3" xfId="633" xr:uid="{00000000-0005-0000-0000-00005D000000}"/>
    <cellStyle name="Comma 13 2 3 3 2" xfId="1035" xr:uid="{ED1D7329-1083-4D59-8914-72BB64D738C2}"/>
    <cellStyle name="Comma 13 2 3 4" xfId="855" xr:uid="{BAADC3F4-C711-48D6-8AF9-28A52D469AF1}"/>
    <cellStyle name="Comma 13 2 4" xfId="488" xr:uid="{00000000-0005-0000-0000-00005F000000}"/>
    <cellStyle name="Comma 13 2 4 2" xfId="677" xr:uid="{00000000-0005-0000-0000-00005F000000}"/>
    <cellStyle name="Comma 13 2 4 2 2" xfId="1079" xr:uid="{BDAE348F-F471-43A0-B2E3-7694387D4BDB}"/>
    <cellStyle name="Comma 13 2 4 3" xfId="899" xr:uid="{572BC48E-AD29-4EAF-96AC-8F92A0CFBB65}"/>
    <cellStyle name="Comma 13 2 5" xfId="589" xr:uid="{00000000-0005-0000-0000-00005B000000}"/>
    <cellStyle name="Comma 13 2 5 2" xfId="991" xr:uid="{F6E1C7CF-836C-438C-A2E3-A98B5ECAD429}"/>
    <cellStyle name="Comma 13 2 6" xfId="811" xr:uid="{1635B421-5924-4025-AF1D-90C04D0D8A02}"/>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27" xfId="1138" xr:uid="{3CDDFD4B-EEBC-4C5C-BC76-2DBA8C75D35B}"/>
    <cellStyle name="Comma 28" xfId="1137" xr:uid="{CF95110B-8F12-490E-86EC-1DBFF0A4F5F7}"/>
    <cellStyle name="Comma 29" xfId="1154" xr:uid="{6DFDCA00-DBF2-42C4-8CE6-0310F0A7E87A}"/>
    <cellStyle name="Comma 3" xfId="80" xr:uid="{00000000-0005-0000-0000-000063000000}"/>
    <cellStyle name="Comma 3 2" xfId="81" xr:uid="{00000000-0005-0000-0000-000064000000}"/>
    <cellStyle name="Comma 30" xfId="1155" xr:uid="{FD54C05D-35DD-484D-ADF0-6917C33B0E60}"/>
    <cellStyle name="Comma 31" xfId="1157" xr:uid="{A537DBA8-C857-4BFB-B5E2-652AD86AD10D}"/>
    <cellStyle name="Comma 4" xfId="82" xr:uid="{00000000-0005-0000-0000-000065000000}"/>
    <cellStyle name="Comma 5" xfId="83" xr:uid="{00000000-0005-0000-0000-000066000000}"/>
    <cellStyle name="Comma 5 2 2" xfId="1148" xr:uid="{1F79F11A-F616-4597-81C3-FCFD49FB14CB}"/>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3" xfId="937" xr:uid="{6EA8F7C7-67C4-4325-A999-B4128A8B70EF}"/>
    <cellStyle name="Comma 6 2 2 3" xfId="627" xr:uid="{00000000-0005-0000-0000-000069000000}"/>
    <cellStyle name="Comma 6 2 2 3 2" xfId="1029" xr:uid="{7668F05A-EF50-4A8B-97FF-598F20B7209B}"/>
    <cellStyle name="Comma 6 2 2 4" xfId="849" xr:uid="{08EB75D4-490C-4DEA-BB0B-5F0496CFCCE8}"/>
    <cellStyle name="Comma 6 2 3" xfId="482" xr:uid="{00000000-0005-0000-0000-00006B000000}"/>
    <cellStyle name="Comma 6 2 3 2" xfId="671" xr:uid="{00000000-0005-0000-0000-00006B000000}"/>
    <cellStyle name="Comma 6 2 3 2 2" xfId="1073" xr:uid="{48B4868E-9110-4A1B-86A7-435D6E8A0ACE}"/>
    <cellStyle name="Comma 6 2 3 3" xfId="893" xr:uid="{BF21618E-CA2C-4D5E-A656-049BF696967D}"/>
    <cellStyle name="Comma 6 2 4" xfId="583" xr:uid="{00000000-0005-0000-0000-000068000000}"/>
    <cellStyle name="Comma 6 2 4 2" xfId="985" xr:uid="{AD822721-8E09-453E-8DFD-FAFA5FC09577}"/>
    <cellStyle name="Comma 6 2 5" xfId="805" xr:uid="{07B93BA0-BE4F-41EE-886D-AC364B76EC9F}"/>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17" xfId="1136" xr:uid="{65AEB70C-8479-40F6-9D67-F2248364F4DD}"/>
    <cellStyle name="Currency 18" xfId="1151" xr:uid="{15C98971-1039-492B-9BA8-099AA0769BE7}"/>
    <cellStyle name="Currency 19" xfId="1158" xr:uid="{7E68E5B1-CF6C-47F2-8199-9BC1E4BC8BEF}"/>
    <cellStyle name="Currency 2" xfId="101" xr:uid="{00000000-0005-0000-0000-00007E000000}"/>
    <cellStyle name="Currency 2 2" xfId="102" xr:uid="{00000000-0005-0000-0000-00007F000000}"/>
    <cellStyle name="Currency 20" xfId="1150" xr:uid="{099CA4A6-0D9B-49A5-93E0-7C550AA92002}"/>
    <cellStyle name="Currency 21" xfId="1139" xr:uid="{FECAF7BE-5045-4899-92C7-6483D4921EDA}"/>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3" xfId="920" xr:uid="{914A6D6B-6576-49F7-B153-D087F559DA57}"/>
    <cellStyle name="Normal 10 2 2 3" xfId="610" xr:uid="{00000000-0005-0000-0000-0000D2000000}"/>
    <cellStyle name="Normal 10 2 2 3 2" xfId="1012" xr:uid="{DE100C85-728F-4DC1-8B7F-E1E1B20EBF3D}"/>
    <cellStyle name="Normal 10 2 2 4" xfId="832" xr:uid="{ABBABB7D-79D5-44BC-B6D1-956B9F915A54}"/>
    <cellStyle name="Normal 10 2 3" xfId="465" xr:uid="{00000000-0005-0000-0000-0000D4000000}"/>
    <cellStyle name="Normal 10 2 3 2" xfId="654" xr:uid="{00000000-0005-0000-0000-0000D4000000}"/>
    <cellStyle name="Normal 10 2 3 2 2" xfId="1056" xr:uid="{C2A610ED-7412-4998-B1FE-014434E3AA60}"/>
    <cellStyle name="Normal 10 2 3 3" xfId="876" xr:uid="{DA58ADAF-8E67-4BD4-A955-038DDAACCA95}"/>
    <cellStyle name="Normal 10 2 4" xfId="566" xr:uid="{00000000-0005-0000-0000-0000D1000000}"/>
    <cellStyle name="Normal 10 2 4 2" xfId="968" xr:uid="{4FD742DD-2C25-4A57-AA41-3E97001E6B8E}"/>
    <cellStyle name="Normal 10 2 5" xfId="788" xr:uid="{95E8F763-FDBD-4F33-90C7-2D2A4BE39A6C}"/>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3" xfId="907" xr:uid="{9917BA9C-2CF6-4D62-AF60-7BADE3EBEDD4}"/>
    <cellStyle name="Normal 10 4 3" xfId="597" xr:uid="{00000000-0005-0000-0000-0000D6000000}"/>
    <cellStyle name="Normal 10 4 3 2" xfId="999" xr:uid="{C7C63829-C932-4918-A27A-DA8972CA2DF0}"/>
    <cellStyle name="Normal 10 4 4" xfId="819" xr:uid="{B0A807FB-753F-4614-ABAD-F8218D03BA31}"/>
    <cellStyle name="Normal 10 5" xfId="452" xr:uid="{00000000-0005-0000-0000-0000D8000000}"/>
    <cellStyle name="Normal 10 5 2" xfId="641" xr:uid="{00000000-0005-0000-0000-0000D8000000}"/>
    <cellStyle name="Normal 10 5 2 2" xfId="1043" xr:uid="{AC915218-951D-4764-87AB-DAF7155E0240}"/>
    <cellStyle name="Normal 10 5 3" xfId="863" xr:uid="{958760AA-6EED-4B89-8B3C-ECE09340C09F}"/>
    <cellStyle name="Normal 10 6" xfId="548" xr:uid="{00000000-0005-0000-0000-0000D0000000}"/>
    <cellStyle name="Normal 10 6 2" xfId="953" xr:uid="{8536B07D-619E-4CD0-981D-F405500C7744}"/>
    <cellStyle name="Normal 10 7" xfId="775" xr:uid="{06338903-9B91-4333-8E3D-99CD11532E38}"/>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3" xfId="947" xr:uid="{2D3226E1-D6F5-4C72-A1E1-863E8CEC50AE}"/>
    <cellStyle name="Normal 12 2 2 2 2 5" xfId="1163" xr:uid="{BAC1FAFE-CDED-4459-BC81-459F1E8567ED}"/>
    <cellStyle name="Normal 12 2 2 2 3" xfId="637" xr:uid="{00000000-0005-0000-0000-0000DD000000}"/>
    <cellStyle name="Normal 12 2 2 2 3 2" xfId="1039" xr:uid="{EAAF2D4D-B58E-4357-8F84-7EADE1EB91BE}"/>
    <cellStyle name="Normal 12 2 2 2 4" xfId="859" xr:uid="{859D3010-F91B-442A-8613-2E8B8089ED7C}"/>
    <cellStyle name="Normal 12 2 2 3" xfId="492" xr:uid="{00000000-0005-0000-0000-0000DF000000}"/>
    <cellStyle name="Normal 12 2 2 3 2" xfId="681" xr:uid="{00000000-0005-0000-0000-0000DF000000}"/>
    <cellStyle name="Normal 12 2 2 3 2 2" xfId="1083" xr:uid="{E1A09F43-D5B1-4152-BA08-7335EFEEA678}"/>
    <cellStyle name="Normal 12 2 2 3 3" xfId="903" xr:uid="{A0DA2C8C-9572-4FB4-B461-5A7E091FB90A}"/>
    <cellStyle name="Normal 12 2 2 4" xfId="593" xr:uid="{00000000-0005-0000-0000-0000DC000000}"/>
    <cellStyle name="Normal 12 2 2 4 2" xfId="995" xr:uid="{9BFCD343-EC1D-4C71-AD0F-AE83E4095794}"/>
    <cellStyle name="Normal 12 2 2 5" xfId="815" xr:uid="{CD81C57D-5D75-4BDA-8A0A-AE4E7F18A0A4}"/>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3" xfId="939" xr:uid="{594BD7ED-93E9-4AB1-AD3B-4588A9368CAE}"/>
    <cellStyle name="Normal 12 2 3 2 5" xfId="1164" xr:uid="{EC25B84C-969C-428C-9669-FC3C7C4BF8C1}"/>
    <cellStyle name="Normal 12 2 3 3" xfId="629" xr:uid="{00000000-0005-0000-0000-0000E0000000}"/>
    <cellStyle name="Normal 12 2 3 3 2" xfId="1031" xr:uid="{1AED7B3B-A568-42E3-A580-BB0BC7C796DF}"/>
    <cellStyle name="Normal 12 2 3 4" xfId="851" xr:uid="{744226F9-AC7C-4A34-9B89-3AEC45837784}"/>
    <cellStyle name="Normal 12 2 4" xfId="484" xr:uid="{00000000-0005-0000-0000-0000E2000000}"/>
    <cellStyle name="Normal 12 2 4 2" xfId="673" xr:uid="{00000000-0005-0000-0000-0000E2000000}"/>
    <cellStyle name="Normal 12 2 4 2 2" xfId="1075" xr:uid="{AD03E844-197D-47F1-ACC6-3A1294003B84}"/>
    <cellStyle name="Normal 12 2 4 3" xfId="895" xr:uid="{6A08503E-7ABC-4750-A994-7684792A45E3}"/>
    <cellStyle name="Normal 12 2 5" xfId="585" xr:uid="{00000000-0005-0000-0000-0000DB000000}"/>
    <cellStyle name="Normal 12 2 5 2" xfId="987" xr:uid="{52F7332D-C1D0-48C1-A0EC-DFD6A027598D}"/>
    <cellStyle name="Normal 12 2 6" xfId="807" xr:uid="{C63EC713-D2F1-4140-85F0-2B43479DFD7D}"/>
    <cellStyle name="Normal 12 2 7" xfId="1166" xr:uid="{8D0FCB25-4961-4A08-A04C-D2C1FD14DE17}"/>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3" xfId="933" xr:uid="{406F40DF-7EF5-4F02-AB06-69FA35FF6D9C}"/>
    <cellStyle name="Normal 12 3 3" xfId="623" xr:uid="{00000000-0005-0000-0000-0000E3000000}"/>
    <cellStyle name="Normal 12 3 3 2" xfId="1025" xr:uid="{38ECB7EC-DAE1-466A-93C1-736D990C05A9}"/>
    <cellStyle name="Normal 12 3 4" xfId="845" xr:uid="{91E6FD1F-F0FA-427C-9E5C-523173AE5C95}"/>
    <cellStyle name="Normal 12 4" xfId="478" xr:uid="{00000000-0005-0000-0000-0000E5000000}"/>
    <cellStyle name="Normal 12 4 2" xfId="667" xr:uid="{00000000-0005-0000-0000-0000E5000000}"/>
    <cellStyle name="Normal 12 4 2 2" xfId="1069" xr:uid="{9C2805A1-14CE-4D7D-9707-F245B2F09CB6}"/>
    <cellStyle name="Normal 12 4 3" xfId="889" xr:uid="{5A63169D-A296-4E78-BC1C-24D55E294C6D}"/>
    <cellStyle name="Normal 12 5" xfId="579" xr:uid="{00000000-0005-0000-0000-0000DA000000}"/>
    <cellStyle name="Normal 12 5 2" xfId="981" xr:uid="{9D79E5A3-2041-4A18-A571-5662B59A64F3}"/>
    <cellStyle name="Normal 12 6" xfId="801" xr:uid="{0592A37C-4F54-4428-AECC-C640BFA0803C}"/>
    <cellStyle name="Normal 12 7" xfId="1141" xr:uid="{E7B024DD-EE38-4075-BBCA-E281F74052CD}"/>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3" xfId="948" xr:uid="{FC5D856A-4412-4760-9FD6-269B28AA41E1}"/>
    <cellStyle name="Normal 13 2 2 2 3" xfId="638" xr:uid="{00000000-0005-0000-0000-0000E9000000}"/>
    <cellStyle name="Normal 13 2 2 2 3 2" xfId="1040" xr:uid="{7527B988-9CA6-485B-83FB-FDCB37C2C88E}"/>
    <cellStyle name="Normal 13 2 2 2 4" xfId="860" xr:uid="{9BFD1E29-58B0-410D-A1BE-3E94A2D510A7}"/>
    <cellStyle name="Normal 13 2 2 3" xfId="493" xr:uid="{00000000-0005-0000-0000-0000EB000000}"/>
    <cellStyle name="Normal 13 2 2 3 2" xfId="682" xr:uid="{00000000-0005-0000-0000-0000EB000000}"/>
    <cellStyle name="Normal 13 2 2 3 2 2" xfId="1084" xr:uid="{70DFC258-15C4-4E80-9736-A09C1F267720}"/>
    <cellStyle name="Normal 13 2 2 3 3" xfId="904" xr:uid="{28C85702-7095-43B1-BE5E-A56AA6E8694A}"/>
    <cellStyle name="Normal 13 2 2 4" xfId="594" xr:uid="{00000000-0005-0000-0000-0000E8000000}"/>
    <cellStyle name="Normal 13 2 2 4 2" xfId="996" xr:uid="{5ADCDD9E-ADC7-478C-B038-C72CABCBFAD2}"/>
    <cellStyle name="Normal 13 2 2 5" xfId="816" xr:uid="{0595892D-AE9C-47E3-B717-3BB9DF700925}"/>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3" xfId="942" xr:uid="{F86E991D-A795-4A6D-BE56-10E51F73D142}"/>
    <cellStyle name="Normal 13 2 3 3" xfId="632" xr:uid="{00000000-0005-0000-0000-0000EC000000}"/>
    <cellStyle name="Normal 13 2 3 3 2" xfId="1034" xr:uid="{2EA74215-9AF7-47B9-BF91-07D05BC6046F}"/>
    <cellStyle name="Normal 13 2 3 4" xfId="854" xr:uid="{93C34319-AF8A-47CB-965C-8FFD2906BA00}"/>
    <cellStyle name="Normal 13 2 4" xfId="487" xr:uid="{00000000-0005-0000-0000-0000EE000000}"/>
    <cellStyle name="Normal 13 2 4 2" xfId="676" xr:uid="{00000000-0005-0000-0000-0000EE000000}"/>
    <cellStyle name="Normal 13 2 4 2 2" xfId="1078" xr:uid="{FB0339D2-0077-45B4-B58B-04D48F972796}"/>
    <cellStyle name="Normal 13 2 4 3" xfId="898" xr:uid="{5F50A212-0E09-43B1-B9D8-6700D8F5AE30}"/>
    <cellStyle name="Normal 13 2 5" xfId="588" xr:uid="{00000000-0005-0000-0000-0000E7000000}"/>
    <cellStyle name="Normal 13 2 5 2" xfId="990" xr:uid="{D2CB8CD1-2DA0-40FA-9279-5316F926DE43}"/>
    <cellStyle name="Normal 13 2 6" xfId="810" xr:uid="{8E6F2C8E-7440-45C6-A69F-983F897B369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3" xfId="946" xr:uid="{805ABD5A-7445-4D11-B338-2A159FF3058C}"/>
    <cellStyle name="Normal 13 3 2 3" xfId="636" xr:uid="{00000000-0005-0000-0000-0000F0000000}"/>
    <cellStyle name="Normal 13 3 2 3 2" xfId="1038" xr:uid="{6C317E7A-3CB9-48CC-B741-2BD617AB75F3}"/>
    <cellStyle name="Normal 13 3 2 4" xfId="858" xr:uid="{CF09418C-C277-4F13-8603-ABEB403DFEA8}"/>
    <cellStyle name="Normal 13 3 3" xfId="491" xr:uid="{00000000-0005-0000-0000-0000F2000000}"/>
    <cellStyle name="Normal 13 3 3 2" xfId="680" xr:uid="{00000000-0005-0000-0000-0000F2000000}"/>
    <cellStyle name="Normal 13 3 3 2 2" xfId="1082" xr:uid="{6D32ED77-EFAD-4DC8-8EBF-991B6AA0CBB8}"/>
    <cellStyle name="Normal 13 3 3 3" xfId="902" xr:uid="{8C394AC6-23E6-4B9A-AFCD-B54655FAB233}"/>
    <cellStyle name="Normal 13 3 4" xfId="592" xr:uid="{00000000-0005-0000-0000-0000EF000000}"/>
    <cellStyle name="Normal 13 3 4 2" xfId="994" xr:uid="{E6548983-CF86-419C-9EFE-75A746BDBFF2}"/>
    <cellStyle name="Normal 13 3 5" xfId="814" xr:uid="{2BDB8CC4-1970-4703-9E94-D85BD41AE66F}"/>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3" xfId="938" xr:uid="{2A6FADFD-F5EF-4505-9C74-9F3E9D481590}"/>
    <cellStyle name="Normal 13 4 3" xfId="628" xr:uid="{00000000-0005-0000-0000-0000F3000000}"/>
    <cellStyle name="Normal 13 4 3 2" xfId="1030" xr:uid="{1CA5EB5E-A1C8-4EA3-B8A1-2187200B8923}"/>
    <cellStyle name="Normal 13 4 4" xfId="850" xr:uid="{29D2606C-BB7B-490D-9406-7C24C382331A}"/>
    <cellStyle name="Normal 13 5" xfId="483" xr:uid="{00000000-0005-0000-0000-0000F5000000}"/>
    <cellStyle name="Normal 13 5 2" xfId="672" xr:uid="{00000000-0005-0000-0000-0000F5000000}"/>
    <cellStyle name="Normal 13 5 2 2" xfId="1074" xr:uid="{71F6D45C-0832-42F4-A27B-F5F2B86B835F}"/>
    <cellStyle name="Normal 13 5 3" xfId="894" xr:uid="{BA861F01-BD92-46DD-A4C8-96EDBD2D54EC}"/>
    <cellStyle name="Normal 13 6" xfId="584" xr:uid="{00000000-0005-0000-0000-0000E6000000}"/>
    <cellStyle name="Normal 13 6 2" xfId="986" xr:uid="{4D3A5302-0A2E-4967-9393-A5DE3B0EFA33}"/>
    <cellStyle name="Normal 13 7" xfId="806" xr:uid="{4B331BC4-6E9E-46DB-8A0B-07E0D4229418}"/>
    <cellStyle name="Normal 13 8" xfId="1153" xr:uid="{C3A4A16A-4639-4F63-BCC0-EC375E0D65E7}"/>
    <cellStyle name="Normal 14" xfId="543" xr:uid="{00000000-0005-0000-0000-0000FE000000}"/>
    <cellStyle name="Normal 14 2" xfId="1146" xr:uid="{4E89B6F1-7F18-4E65-9DF0-8E23304E9DFE}"/>
    <cellStyle name="Normal 15" xfId="561" xr:uid="{00000000-0005-0000-0000-00004E020000}"/>
    <cellStyle name="Normal 15 2" xfId="1145" xr:uid="{7EAD08FF-2E83-46BB-A560-931AFC65BE1E}"/>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3" xfId="949" xr:uid="{E8B7FEC7-9E62-4D1F-9D1D-BF3A3580BDD2}"/>
    <cellStyle name="Normal 16 2 2 2 3" xfId="639" xr:uid="{00000000-0005-0000-0000-0000F8000000}"/>
    <cellStyle name="Normal 16 2 2 2 3 2" xfId="1041" xr:uid="{BEF7D146-9E1B-4099-8E5B-E59B87422465}"/>
    <cellStyle name="Normal 16 2 2 2 4" xfId="861" xr:uid="{33A3C1A6-8B26-40DD-B351-6806EF266C75}"/>
    <cellStyle name="Normal 16 2 2 3" xfId="494" xr:uid="{00000000-0005-0000-0000-0000FA000000}"/>
    <cellStyle name="Normal 16 2 2 3 2" xfId="683" xr:uid="{00000000-0005-0000-0000-0000FA000000}"/>
    <cellStyle name="Normal 16 2 2 3 2 2" xfId="1085" xr:uid="{78A25A84-75A6-41D8-B844-B5BC13E73FD2}"/>
    <cellStyle name="Normal 16 2 2 3 3" xfId="905" xr:uid="{073AEEC6-D51D-440B-94AF-E9ED2B449E0D}"/>
    <cellStyle name="Normal 16 2 2 4" xfId="595" xr:uid="{00000000-0005-0000-0000-0000F7000000}"/>
    <cellStyle name="Normal 16 2 2 4 2" xfId="997" xr:uid="{369E4771-BA72-4838-9A79-084B881135DE}"/>
    <cellStyle name="Normal 16 2 2 5" xfId="817" xr:uid="{22F5ED20-F444-4E40-8CD6-6BD51F0407AA}"/>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3" xfId="945" xr:uid="{3FC6C908-7BA7-494F-9596-59BF660F6513}"/>
    <cellStyle name="Normal 16 2 3 3" xfId="635" xr:uid="{00000000-0005-0000-0000-0000FB000000}"/>
    <cellStyle name="Normal 16 2 3 3 2" xfId="1037" xr:uid="{DDF3F1A0-38FB-4528-9D32-07C890E0D3EE}"/>
    <cellStyle name="Normal 16 2 3 4" xfId="857" xr:uid="{7473024E-0364-4572-8C45-79F44E1CB91E}"/>
    <cellStyle name="Normal 16 2 4" xfId="490" xr:uid="{00000000-0005-0000-0000-0000FD000000}"/>
    <cellStyle name="Normal 16 2 4 2" xfId="679" xr:uid="{00000000-0005-0000-0000-0000FD000000}"/>
    <cellStyle name="Normal 16 2 4 2 2" xfId="1081" xr:uid="{C6EEDD07-A675-4BA6-BBAE-C6039CEFD878}"/>
    <cellStyle name="Normal 16 2 4 3" xfId="901" xr:uid="{B48DAB86-11AF-4742-9124-8C17602E6957}"/>
    <cellStyle name="Normal 16 2 5" xfId="591" xr:uid="{00000000-0005-0000-0000-0000F6000000}"/>
    <cellStyle name="Normal 16 2 5 2" xfId="993" xr:uid="{5ABCE620-F4DE-451B-8798-F10343295377}"/>
    <cellStyle name="Normal 16 2 6" xfId="813" xr:uid="{8CDB62F8-1A2B-4F94-9261-E3C7647B0C31}"/>
    <cellStyle name="Normal 16 3" xfId="951" xr:uid="{FA9251E4-4CB3-4277-A3B4-DAB568445D80}"/>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 2 2" xfId="1152" xr:uid="{DB29872B-685B-46AF-9756-0C4D497C16DE}"/>
    <cellStyle name="Normal 2 3" xfId="1144" xr:uid="{F72347D1-E1FA-49A9-AB5D-1DDD3B9A438E}"/>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7" xfId="768" xr:uid="{00000000-0005-0000-0000-00002C030000}"/>
    <cellStyle name="Normal 28" xfId="1134" xr:uid="{9298BF01-36AD-41F2-A707-5DB8F2C38515}"/>
    <cellStyle name="Normal 29" xfId="1140" xr:uid="{2D27F3F5-22BC-4230-B9DF-3F9ABD1E90F2}"/>
    <cellStyle name="Normal 3" xfId="186" xr:uid="{00000000-0005-0000-0000-000000010000}"/>
    <cellStyle name="Normal 3 2" xfId="187" xr:uid="{00000000-0005-0000-0000-000001010000}"/>
    <cellStyle name="Normal 3 2 3" xfId="1142" xr:uid="{3EEB57D4-2222-4912-88D6-A07208C10B01}"/>
    <cellStyle name="Normal 3_Attach O, GG, Support -New Method 2-14-11" xfId="188" xr:uid="{00000000-0005-0000-0000-000002010000}"/>
    <cellStyle name="Normal 30" xfId="1143" xr:uid="{EDB0EB4F-748F-43ED-AED7-399EF1FE5CEA}"/>
    <cellStyle name="Normal 31" xfId="1160" xr:uid="{BBEF28B9-8422-4040-BBC4-B8F6D072541B}"/>
    <cellStyle name="Normal 32" xfId="1131" xr:uid="{62558B9E-C867-4627-975B-05299150288F}"/>
    <cellStyle name="Normal 33" xfId="1162" xr:uid="{D70C1137-84EB-4244-9B3E-AB0B9227AF95}"/>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5 2 2" xfId="1149" xr:uid="{ADA5CFF7-7C6F-4D31-8DF2-90843B1143B3}"/>
    <cellStyle name="Normal 5 60" xfId="1132" xr:uid="{926317A9-4832-4273-AE75-DFE3310B838D}"/>
    <cellStyle name="Normal 6" xfId="193" xr:uid="{00000000-0005-0000-0000-000008010000}"/>
    <cellStyle name="Normal 6 2" xfId="194" xr:uid="{00000000-0005-0000-0000-000009010000}"/>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3" xfId="924" xr:uid="{6D65A699-9B61-4DC6-80BE-1CD55D4C0232}"/>
    <cellStyle name="Normal 6 2 2 2 2 2 3" xfId="614" xr:uid="{00000000-0005-0000-0000-00000D010000}"/>
    <cellStyle name="Normal 6 2 2 2 2 2 3 2" xfId="1016" xr:uid="{462943FD-8AAC-42E7-8A34-29CF34122B46}"/>
    <cellStyle name="Normal 6 2 2 2 2 2 4" xfId="836" xr:uid="{7AFE9683-F26F-4463-946D-DD69AD743D64}"/>
    <cellStyle name="Normal 6 2 2 2 2 3" xfId="469" xr:uid="{00000000-0005-0000-0000-00000F010000}"/>
    <cellStyle name="Normal 6 2 2 2 2 3 2" xfId="658" xr:uid="{00000000-0005-0000-0000-00000F010000}"/>
    <cellStyle name="Normal 6 2 2 2 2 3 2 2" xfId="1060" xr:uid="{F8106501-76E4-49E7-A2DC-A62235AE881F}"/>
    <cellStyle name="Normal 6 2 2 2 2 3 3" xfId="880" xr:uid="{50FD5772-6637-479B-BD4D-52CECBA0B856}"/>
    <cellStyle name="Normal 6 2 2 2 2 4" xfId="570" xr:uid="{00000000-0005-0000-0000-00000C010000}"/>
    <cellStyle name="Normal 6 2 2 2 2 4 2" xfId="972" xr:uid="{4CE899F3-2FD9-4810-9277-F7C00B1258A4}"/>
    <cellStyle name="Normal 6 2 2 2 2 5" xfId="792" xr:uid="{CDA6F08E-F0A2-47CA-B2CF-1719E5A0E2F3}"/>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3" xfId="911" xr:uid="{5C5348C1-45D6-4090-956B-D299F424CD29}"/>
    <cellStyle name="Normal 6 2 2 2 3 3" xfId="601" xr:uid="{00000000-0005-0000-0000-000010010000}"/>
    <cellStyle name="Normal 6 2 2 2 3 3 2" xfId="1003" xr:uid="{6F49C61F-B778-4B1B-AD3E-93B1258BB12C}"/>
    <cellStyle name="Normal 6 2 2 2 3 4" xfId="823" xr:uid="{725D4C66-5C94-4C4D-BE38-02A553114F89}"/>
    <cellStyle name="Normal 6 2 2 2 4" xfId="456" xr:uid="{00000000-0005-0000-0000-000012010000}"/>
    <cellStyle name="Normal 6 2 2 2 4 2" xfId="645" xr:uid="{00000000-0005-0000-0000-000012010000}"/>
    <cellStyle name="Normal 6 2 2 2 4 2 2" xfId="1047" xr:uid="{0A10D0A4-01D4-4CE9-AB28-78B15D3AA66B}"/>
    <cellStyle name="Normal 6 2 2 2 4 3" xfId="867" xr:uid="{6D908EFA-CFEB-43EC-9AC9-6BCE881924A9}"/>
    <cellStyle name="Normal 6 2 2 2 5" xfId="552" xr:uid="{00000000-0005-0000-0000-00000B010000}"/>
    <cellStyle name="Normal 6 2 2 2 5 2" xfId="957" xr:uid="{52BEBDDE-B8E0-49E9-98D5-A2AD19435A41}"/>
    <cellStyle name="Normal 6 2 2 2 6" xfId="779" xr:uid="{C6EDA262-5110-4428-A46B-DF3CF3250F87}"/>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3" xfId="923" xr:uid="{A8224659-E19A-4092-BAE3-E6F93915FF87}"/>
    <cellStyle name="Normal 6 2 2 3 2 3" xfId="613" xr:uid="{00000000-0005-0000-0000-000014010000}"/>
    <cellStyle name="Normal 6 2 2 3 2 3 2" xfId="1015" xr:uid="{FEC310ED-EE58-4B00-A355-C85EB2DE67CA}"/>
    <cellStyle name="Normal 6 2 2 3 2 4" xfId="835" xr:uid="{42177B5F-6A69-42EA-B1E5-5BB7EF892EC2}"/>
    <cellStyle name="Normal 6 2 2 3 3" xfId="468" xr:uid="{00000000-0005-0000-0000-000016010000}"/>
    <cellStyle name="Normal 6 2 2 3 3 2" xfId="657" xr:uid="{00000000-0005-0000-0000-000016010000}"/>
    <cellStyle name="Normal 6 2 2 3 3 2 2" xfId="1059" xr:uid="{75AD9231-A30C-4770-908D-BE0DC5C9881E}"/>
    <cellStyle name="Normal 6 2 2 3 3 3" xfId="879" xr:uid="{50199ECE-CAD7-43F3-BB8E-B7C2EDC4A19A}"/>
    <cellStyle name="Normal 6 2 2 3 4" xfId="569" xr:uid="{00000000-0005-0000-0000-000013010000}"/>
    <cellStyle name="Normal 6 2 2 3 4 2" xfId="971" xr:uid="{2B0E0AA9-B851-40E6-AB34-A6D0E9207CAC}"/>
    <cellStyle name="Normal 6 2 2 3 5" xfId="791" xr:uid="{0D4A261B-1AA1-495B-BDFA-0A189B2CAB06}"/>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3" xfId="910" xr:uid="{63B9A20C-5CA6-498D-A203-D86C4A15109A}"/>
    <cellStyle name="Normal 6 2 2 4 3" xfId="600" xr:uid="{00000000-0005-0000-0000-000017010000}"/>
    <cellStyle name="Normal 6 2 2 4 3 2" xfId="1002" xr:uid="{24DF8D96-4A0E-47EF-855A-DE0F41139B1A}"/>
    <cellStyle name="Normal 6 2 2 4 4" xfId="822" xr:uid="{DF868700-3590-43D1-AEAC-114237B29430}"/>
    <cellStyle name="Normal 6 2 2 5" xfId="455" xr:uid="{00000000-0005-0000-0000-000019010000}"/>
    <cellStyle name="Normal 6 2 2 5 2" xfId="644" xr:uid="{00000000-0005-0000-0000-000019010000}"/>
    <cellStyle name="Normal 6 2 2 5 2 2" xfId="1046" xr:uid="{21604D17-98A7-451F-BEB4-05890C88CCAA}"/>
    <cellStyle name="Normal 6 2 2 5 3" xfId="866" xr:uid="{C6E51A50-EF4F-4B9B-A239-6C553E258788}"/>
    <cellStyle name="Normal 6 2 2 6" xfId="551" xr:uid="{00000000-0005-0000-0000-00000A010000}"/>
    <cellStyle name="Normal 6 2 2 6 2" xfId="956" xr:uid="{E97147A5-3A9A-4928-BA90-6A2E74A42398}"/>
    <cellStyle name="Normal 6 2 2 7" xfId="778" xr:uid="{FD84F258-AF39-43C5-8651-E53DF0C4717C}"/>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3" xfId="925" xr:uid="{8BB43F4F-60B6-4B09-B0AC-2EA4CC2439F3}"/>
    <cellStyle name="Normal 6 2 3 2 2 3" xfId="615" xr:uid="{00000000-0005-0000-0000-00001C010000}"/>
    <cellStyle name="Normal 6 2 3 2 2 3 2" xfId="1017" xr:uid="{67F3D456-E78E-4C1F-8838-827725FFDC56}"/>
    <cellStyle name="Normal 6 2 3 2 2 4" xfId="837" xr:uid="{81D73111-8B0F-4AA9-9E57-D79FA7BD8DDC}"/>
    <cellStyle name="Normal 6 2 3 2 3" xfId="470" xr:uid="{00000000-0005-0000-0000-00001E010000}"/>
    <cellStyle name="Normal 6 2 3 2 3 2" xfId="659" xr:uid="{00000000-0005-0000-0000-00001E010000}"/>
    <cellStyle name="Normal 6 2 3 2 3 2 2" xfId="1061" xr:uid="{61D8D5AC-F52B-41FE-9E89-3D905ACD1759}"/>
    <cellStyle name="Normal 6 2 3 2 3 3" xfId="881" xr:uid="{66BD1625-FF3B-4C48-B91A-20E81433A91E}"/>
    <cellStyle name="Normal 6 2 3 2 4" xfId="571" xr:uid="{00000000-0005-0000-0000-00001B010000}"/>
    <cellStyle name="Normal 6 2 3 2 4 2" xfId="973" xr:uid="{E51CD957-04A0-4683-AEAA-D729149B2439}"/>
    <cellStyle name="Normal 6 2 3 2 5" xfId="793" xr:uid="{C56AD8B4-2F02-4DA5-BBFC-8BFFC9D9D56B}"/>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3" xfId="912" xr:uid="{1AD6FC57-BF0D-4835-B7F8-E95A813FD3C0}"/>
    <cellStyle name="Normal 6 2 3 3 3" xfId="602" xr:uid="{00000000-0005-0000-0000-00001F010000}"/>
    <cellStyle name="Normal 6 2 3 3 3 2" xfId="1004" xr:uid="{2DF3C0B0-61C3-42A0-8343-D8731932E8BE}"/>
    <cellStyle name="Normal 6 2 3 3 4" xfId="824" xr:uid="{B1985C4A-82C9-4745-B1AC-195CFBC944D2}"/>
    <cellStyle name="Normal 6 2 3 4" xfId="457" xr:uid="{00000000-0005-0000-0000-000021010000}"/>
    <cellStyle name="Normal 6 2 3 4 2" xfId="646" xr:uid="{00000000-0005-0000-0000-000021010000}"/>
    <cellStyle name="Normal 6 2 3 4 2 2" xfId="1048" xr:uid="{7B0EED33-D2F8-4FC0-9F4C-27FDA9230AAC}"/>
    <cellStyle name="Normal 6 2 3 4 3" xfId="868" xr:uid="{46EA3DD9-F0FB-4C0B-AB70-17297FEA5D9D}"/>
    <cellStyle name="Normal 6 2 3 5" xfId="553" xr:uid="{00000000-0005-0000-0000-00001A010000}"/>
    <cellStyle name="Normal 6 2 3 5 2" xfId="958" xr:uid="{8E38FE22-4022-4305-BDC4-A6682B4A9806}"/>
    <cellStyle name="Normal 6 2 3 6" xfId="780" xr:uid="{6697DC6A-6756-4590-B7C5-889D42D05520}"/>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3" xfId="922" xr:uid="{4A68F251-4FE8-4BC8-A311-7B3275BB6971}"/>
    <cellStyle name="Normal 6 2 4 2 3" xfId="612" xr:uid="{00000000-0005-0000-0000-000023010000}"/>
    <cellStyle name="Normal 6 2 4 2 3 2" xfId="1014" xr:uid="{9F13940F-B477-48F1-A1B9-6B50401FAF4E}"/>
    <cellStyle name="Normal 6 2 4 2 4" xfId="834" xr:uid="{45543F38-A61A-4BE7-91EB-76292258791B}"/>
    <cellStyle name="Normal 6 2 4 3" xfId="467" xr:uid="{00000000-0005-0000-0000-000025010000}"/>
    <cellStyle name="Normal 6 2 4 3 2" xfId="656" xr:uid="{00000000-0005-0000-0000-000025010000}"/>
    <cellStyle name="Normal 6 2 4 3 2 2" xfId="1058" xr:uid="{4C0CD06E-9331-47CC-9453-7FF17A87C2E5}"/>
    <cellStyle name="Normal 6 2 4 3 3" xfId="878" xr:uid="{8DDA0C78-C5B3-4752-B21F-6A916D6CB7ED}"/>
    <cellStyle name="Normal 6 2 4 4" xfId="568" xr:uid="{00000000-0005-0000-0000-000022010000}"/>
    <cellStyle name="Normal 6 2 4 4 2" xfId="970" xr:uid="{5E05593D-50CB-44D6-B1EB-E0FC51DDCDB7}"/>
    <cellStyle name="Normal 6 2 4 5" xfId="790" xr:uid="{436652D7-97C9-41D0-8005-AE5389036C9F}"/>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3" xfId="909" xr:uid="{6C5A17AF-433F-4CC4-86F6-3EE6BE2DCD30}"/>
    <cellStyle name="Normal 6 2 6 3" xfId="599" xr:uid="{00000000-0005-0000-0000-000027010000}"/>
    <cellStyle name="Normal 6 2 6 3 2" xfId="1001" xr:uid="{BF5EAC73-8C72-4833-B93C-04BB809462BF}"/>
    <cellStyle name="Normal 6 2 6 4" xfId="821" xr:uid="{45A3A390-8544-4AED-910F-D93DBD0FCF5B}"/>
    <cellStyle name="Normal 6 2 7" xfId="454" xr:uid="{00000000-0005-0000-0000-000029010000}"/>
    <cellStyle name="Normal 6 2 7 2" xfId="643" xr:uid="{00000000-0005-0000-0000-000029010000}"/>
    <cellStyle name="Normal 6 2 7 2 2" xfId="1045" xr:uid="{65E88544-7242-432B-BAFC-09A6C5DF1E91}"/>
    <cellStyle name="Normal 6 2 7 3" xfId="865" xr:uid="{0BB24B1E-9D20-4F56-BBCB-210DC30D4FD2}"/>
    <cellStyle name="Normal 6 2 8" xfId="550" xr:uid="{00000000-0005-0000-0000-000009010000}"/>
    <cellStyle name="Normal 6 2 8 2" xfId="955" xr:uid="{6DDBC065-743B-4754-97C4-A6A0C68C2529}"/>
    <cellStyle name="Normal 6 2 9" xfId="777" xr:uid="{35322308-F02C-4496-9A7C-284C4A84BBA6}"/>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3" xfId="927" xr:uid="{74E5945E-6F0F-48EF-9A5D-CAA8CFDD4635}"/>
    <cellStyle name="Normal 6 3 2 2 2 3" xfId="617" xr:uid="{00000000-0005-0000-0000-00002D010000}"/>
    <cellStyle name="Normal 6 3 2 2 2 3 2" xfId="1019" xr:uid="{D99AB4B2-2504-4724-A06E-FF739B846914}"/>
    <cellStyle name="Normal 6 3 2 2 2 4" xfId="839" xr:uid="{137F7CBC-FDE7-4228-8CE3-8929DA8757B1}"/>
    <cellStyle name="Normal 6 3 2 2 3" xfId="472" xr:uid="{00000000-0005-0000-0000-00002F010000}"/>
    <cellStyle name="Normal 6 3 2 2 3 2" xfId="661" xr:uid="{00000000-0005-0000-0000-00002F010000}"/>
    <cellStyle name="Normal 6 3 2 2 3 2 2" xfId="1063" xr:uid="{BF18B53A-45C9-497E-A85D-DB691F09C2E6}"/>
    <cellStyle name="Normal 6 3 2 2 3 3" xfId="883" xr:uid="{E96E66A3-3F48-44B7-A9AA-27E777CA615F}"/>
    <cellStyle name="Normal 6 3 2 2 4" xfId="573" xr:uid="{00000000-0005-0000-0000-00002C010000}"/>
    <cellStyle name="Normal 6 3 2 2 4 2" xfId="975" xr:uid="{46E304F2-4C12-4127-A302-B6E1D2F13C29}"/>
    <cellStyle name="Normal 6 3 2 2 5" xfId="795" xr:uid="{F176E537-D2A4-4B3B-B509-306AB0EE169D}"/>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3" xfId="914" xr:uid="{F16F7C3D-1549-4BFC-8F43-26683168A79C}"/>
    <cellStyle name="Normal 6 3 2 3 3" xfId="604" xr:uid="{00000000-0005-0000-0000-000030010000}"/>
    <cellStyle name="Normal 6 3 2 3 3 2" xfId="1006" xr:uid="{263D5E3E-F1CD-4652-A8EF-026A8E2D25E6}"/>
    <cellStyle name="Normal 6 3 2 3 4" xfId="826" xr:uid="{5BC896D1-2882-46AA-93F2-D7AB3E017409}"/>
    <cellStyle name="Normal 6 3 2 4" xfId="459" xr:uid="{00000000-0005-0000-0000-000032010000}"/>
    <cellStyle name="Normal 6 3 2 4 2" xfId="648" xr:uid="{00000000-0005-0000-0000-000032010000}"/>
    <cellStyle name="Normal 6 3 2 4 2 2" xfId="1050" xr:uid="{1265DB6A-4AC2-4B59-B5FB-18AA612D3899}"/>
    <cellStyle name="Normal 6 3 2 4 3" xfId="870" xr:uid="{C06D957D-C803-4D31-9F75-D5532EF0E5E4}"/>
    <cellStyle name="Normal 6 3 2 5" xfId="555" xr:uid="{00000000-0005-0000-0000-00002B010000}"/>
    <cellStyle name="Normal 6 3 2 5 2" xfId="960" xr:uid="{99BEF263-0A5D-4730-9D55-18B198F7DD49}"/>
    <cellStyle name="Normal 6 3 2 6" xfId="782" xr:uid="{A3789085-55FE-4A20-992C-D1287BC9F79B}"/>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3" xfId="926" xr:uid="{133C490F-C815-48AC-AC61-C814539BF50B}"/>
    <cellStyle name="Normal 6 3 3 2 3" xfId="616" xr:uid="{00000000-0005-0000-0000-000034010000}"/>
    <cellStyle name="Normal 6 3 3 2 3 2" xfId="1018" xr:uid="{98A28278-6D1E-4E20-BB3B-C993B9860DFD}"/>
    <cellStyle name="Normal 6 3 3 2 4" xfId="838" xr:uid="{07ADF5CB-AEC2-484B-9506-F0F69677B016}"/>
    <cellStyle name="Normal 6 3 3 3" xfId="471" xr:uid="{00000000-0005-0000-0000-000036010000}"/>
    <cellStyle name="Normal 6 3 3 3 2" xfId="660" xr:uid="{00000000-0005-0000-0000-000036010000}"/>
    <cellStyle name="Normal 6 3 3 3 2 2" xfId="1062" xr:uid="{DB60273B-F8BB-45CF-A11B-E2016B9D4FE5}"/>
    <cellStyle name="Normal 6 3 3 3 3" xfId="882" xr:uid="{C4F3A16D-1F99-40E8-8C17-2A65A9F85C1E}"/>
    <cellStyle name="Normal 6 3 3 4" xfId="572" xr:uid="{00000000-0005-0000-0000-000033010000}"/>
    <cellStyle name="Normal 6 3 3 4 2" xfId="974" xr:uid="{CD7E4872-9D39-4400-9AE0-D10D9568CAD7}"/>
    <cellStyle name="Normal 6 3 3 5" xfId="794" xr:uid="{EFB7F369-C77A-4031-990D-896ACC7EEFD4}"/>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3" xfId="913" xr:uid="{F7819D4F-1429-4496-A08A-BA3B39302A74}"/>
    <cellStyle name="Normal 6 3 4 3" xfId="603" xr:uid="{00000000-0005-0000-0000-000037010000}"/>
    <cellStyle name="Normal 6 3 4 3 2" xfId="1005" xr:uid="{FC9D22F7-0145-4143-9C08-1697BB814FEE}"/>
    <cellStyle name="Normal 6 3 4 4" xfId="825" xr:uid="{E8E35548-2A9A-48A4-BBFE-EA74D1E21481}"/>
    <cellStyle name="Normal 6 3 5" xfId="458" xr:uid="{00000000-0005-0000-0000-000039010000}"/>
    <cellStyle name="Normal 6 3 5 2" xfId="647" xr:uid="{00000000-0005-0000-0000-000039010000}"/>
    <cellStyle name="Normal 6 3 5 2 2" xfId="1049" xr:uid="{88B416C8-DB73-4E8B-87DC-9E1641A147F8}"/>
    <cellStyle name="Normal 6 3 5 3" xfId="869" xr:uid="{9AB5FD5D-1CC9-4B63-A1F6-B8873A1F795E}"/>
    <cellStyle name="Normal 6 3 6" xfId="554" xr:uid="{00000000-0005-0000-0000-00002A010000}"/>
    <cellStyle name="Normal 6 3 6 2" xfId="959" xr:uid="{AB01F8C6-ACBB-440F-9B39-594CCDFCA96B}"/>
    <cellStyle name="Normal 6 3 7" xfId="781" xr:uid="{002F3FA5-5F66-4909-9C14-39F512CF7B28}"/>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3" xfId="928" xr:uid="{CFD315A9-9D27-484A-8EF0-F2AD3F88D59A}"/>
    <cellStyle name="Normal 6 4 2 2 3" xfId="618" xr:uid="{00000000-0005-0000-0000-00003C010000}"/>
    <cellStyle name="Normal 6 4 2 2 3 2" xfId="1020" xr:uid="{89172268-3E63-4295-9A3B-41D5F3CC3E3E}"/>
    <cellStyle name="Normal 6 4 2 2 4" xfId="840" xr:uid="{EF0F832A-35C0-4740-AA42-AD836C86FFD9}"/>
    <cellStyle name="Normal 6 4 2 3" xfId="473" xr:uid="{00000000-0005-0000-0000-00003E010000}"/>
    <cellStyle name="Normal 6 4 2 3 2" xfId="662" xr:uid="{00000000-0005-0000-0000-00003E010000}"/>
    <cellStyle name="Normal 6 4 2 3 2 2" xfId="1064" xr:uid="{9EB42955-7FE4-449A-A51D-7543B3496A63}"/>
    <cellStyle name="Normal 6 4 2 3 3" xfId="884" xr:uid="{BC6289FF-07E4-419A-9925-9719299D3219}"/>
    <cellStyle name="Normal 6 4 2 4" xfId="574" xr:uid="{00000000-0005-0000-0000-00003B010000}"/>
    <cellStyle name="Normal 6 4 2 4 2" xfId="976" xr:uid="{FCC77CA8-07F8-4E36-BD07-7329511DABD8}"/>
    <cellStyle name="Normal 6 4 2 5" xfId="796" xr:uid="{2CC1FBDD-CFAF-454B-83E5-074B396F735F}"/>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3" xfId="915" xr:uid="{67A7E2A5-0F17-4B55-A5AC-9D26B3671B6D}"/>
    <cellStyle name="Normal 6 4 3 3" xfId="605" xr:uid="{00000000-0005-0000-0000-00003F010000}"/>
    <cellStyle name="Normal 6 4 3 3 2" xfId="1007" xr:uid="{E4422271-8A3C-40F1-B853-B91DAE2C410D}"/>
    <cellStyle name="Normal 6 4 3 4" xfId="827" xr:uid="{902DF74C-B66F-4C3E-A3B9-55B574C37DEC}"/>
    <cellStyle name="Normal 6 4 4" xfId="460" xr:uid="{00000000-0005-0000-0000-000041010000}"/>
    <cellStyle name="Normal 6 4 4 2" xfId="649" xr:uid="{00000000-0005-0000-0000-000041010000}"/>
    <cellStyle name="Normal 6 4 4 2 2" xfId="1051" xr:uid="{370A595B-1021-4203-899B-FC0234AC3780}"/>
    <cellStyle name="Normal 6 4 4 3" xfId="871" xr:uid="{479DA33E-B29F-460D-9CE8-E5B0B5B829E1}"/>
    <cellStyle name="Normal 6 4 5" xfId="556" xr:uid="{00000000-0005-0000-0000-00003A010000}"/>
    <cellStyle name="Normal 6 4 5 2" xfId="961" xr:uid="{B9B63E38-6A81-460C-82DA-C47B60378EAC}"/>
    <cellStyle name="Normal 6 4 6" xfId="783" xr:uid="{3E578822-849E-4B74-AC59-8C57C0A0BF80}"/>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3" xfId="921" xr:uid="{0EBF065B-AD34-4F43-9293-003C0DFF1DEC}"/>
    <cellStyle name="Normal 6 5 2 3" xfId="611" xr:uid="{00000000-0005-0000-0000-000043010000}"/>
    <cellStyle name="Normal 6 5 2 3 2" xfId="1013" xr:uid="{CFF86FFF-BF17-46DC-8EE2-B9F2815E6AE2}"/>
    <cellStyle name="Normal 6 5 2 4" xfId="833" xr:uid="{A404CFA9-9A69-4429-962B-341335A06A3B}"/>
    <cellStyle name="Normal 6 5 3" xfId="466" xr:uid="{00000000-0005-0000-0000-000045010000}"/>
    <cellStyle name="Normal 6 5 3 2" xfId="655" xr:uid="{00000000-0005-0000-0000-000045010000}"/>
    <cellStyle name="Normal 6 5 3 2 2" xfId="1057" xr:uid="{1C8382DD-7313-4230-83DE-73CBA1D16125}"/>
    <cellStyle name="Normal 6 5 3 3" xfId="877" xr:uid="{F2B07DC8-9440-46B1-8A86-22B2DB563F07}"/>
    <cellStyle name="Normal 6 5 4" xfId="567" xr:uid="{00000000-0005-0000-0000-000042010000}"/>
    <cellStyle name="Normal 6 5 4 2" xfId="969" xr:uid="{0950DD75-7F4F-4522-A30A-A6516173F87D}"/>
    <cellStyle name="Normal 6 5 5" xfId="789" xr:uid="{70F2D64B-6DA9-458B-BFB9-C67FC8B6960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3" xfId="908" xr:uid="{283F9A80-73FD-4362-B971-ECAFE177D962}"/>
    <cellStyle name="Normal 6 6 3" xfId="598" xr:uid="{00000000-0005-0000-0000-000046010000}"/>
    <cellStyle name="Normal 6 6 3 2" xfId="1000" xr:uid="{E5FA2FD8-C549-4EF6-A6A4-5C3B40AF7135}"/>
    <cellStyle name="Normal 6 6 4" xfId="820" xr:uid="{5FE8EC6C-84EC-42E8-B7AF-AA8B4ADC51EC}"/>
    <cellStyle name="Normal 6 7" xfId="453" xr:uid="{00000000-0005-0000-0000-000048010000}"/>
    <cellStyle name="Normal 6 7 2" xfId="642" xr:uid="{00000000-0005-0000-0000-000048010000}"/>
    <cellStyle name="Normal 6 7 2 2" xfId="1044" xr:uid="{723B4533-D0E9-4B01-A452-839D11605189}"/>
    <cellStyle name="Normal 6 7 3" xfId="864" xr:uid="{99A9681E-F9E2-49E9-8D9B-BB69DE76789E}"/>
    <cellStyle name="Normal 6 8" xfId="549" xr:uid="{00000000-0005-0000-0000-000008010000}"/>
    <cellStyle name="Normal 6 8 2" xfId="954" xr:uid="{1E220E35-2647-4364-84A0-8018395BD066}"/>
    <cellStyle name="Normal 6 9" xfId="776" xr:uid="{6F6A9009-0F76-4A7F-AB80-9D3DF3C18C41}"/>
    <cellStyle name="Normal 7" xfId="201" xr:uid="{00000000-0005-0000-0000-000049010000}"/>
    <cellStyle name="Normal 8" xfId="202" xr:uid="{00000000-0005-0000-0000-00004A010000}"/>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3" xfId="930" xr:uid="{94819A6E-4304-43B6-B6A9-55A7327EBC38}"/>
    <cellStyle name="Normal 8 2 2 2 3" xfId="620" xr:uid="{00000000-0005-0000-0000-00004D010000}"/>
    <cellStyle name="Normal 8 2 2 2 3 2" xfId="1022" xr:uid="{B39122CC-889A-421A-ADF7-8EF028CECFE0}"/>
    <cellStyle name="Normal 8 2 2 2 4" xfId="842" xr:uid="{7B32F19E-F5E1-4513-A494-317C40821ABD}"/>
    <cellStyle name="Normal 8 2 2 3" xfId="475" xr:uid="{00000000-0005-0000-0000-00004F010000}"/>
    <cellStyle name="Normal 8 2 2 3 2" xfId="664" xr:uid="{00000000-0005-0000-0000-00004F010000}"/>
    <cellStyle name="Normal 8 2 2 3 2 2" xfId="1066" xr:uid="{87F312F4-0C41-4987-A125-5584218A6A31}"/>
    <cellStyle name="Normal 8 2 2 3 3" xfId="886" xr:uid="{F7FDED8D-5031-4F0C-8DAC-2F439A7E4C3A}"/>
    <cellStyle name="Normal 8 2 2 4" xfId="576" xr:uid="{00000000-0005-0000-0000-00004C010000}"/>
    <cellStyle name="Normal 8 2 2 4 2" xfId="978" xr:uid="{E909351B-82DC-4B78-9D90-33896EF08A3E}"/>
    <cellStyle name="Normal 8 2 2 5" xfId="798" xr:uid="{55E5094C-B40A-476E-9530-E66BD0DD54D2}"/>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3" xfId="917" xr:uid="{E11A73BE-E67C-4F02-B3D5-504C636476A1}"/>
    <cellStyle name="Normal 8 2 3 3" xfId="607" xr:uid="{00000000-0005-0000-0000-000050010000}"/>
    <cellStyle name="Normal 8 2 3 3 2" xfId="1009" xr:uid="{DFCB08B5-16EA-432E-B8D8-E6BACCF0518D}"/>
    <cellStyle name="Normal 8 2 3 4" xfId="829" xr:uid="{B77434CC-88A0-45F6-B40D-26181ED6284D}"/>
    <cellStyle name="Normal 8 2 4" xfId="462" xr:uid="{00000000-0005-0000-0000-000052010000}"/>
    <cellStyle name="Normal 8 2 4 2" xfId="651" xr:uid="{00000000-0005-0000-0000-000052010000}"/>
    <cellStyle name="Normal 8 2 4 2 2" xfId="1053" xr:uid="{871E6258-27A5-47EA-ACBB-D0EBB6854E4C}"/>
    <cellStyle name="Normal 8 2 4 3" xfId="873" xr:uid="{8E60D092-BC75-4CEC-A9D1-2C8478E11884}"/>
    <cellStyle name="Normal 8 2 5" xfId="558" xr:uid="{00000000-0005-0000-0000-00004B010000}"/>
    <cellStyle name="Normal 8 2 5 2" xfId="963" xr:uid="{6BB52625-2663-4912-BF3F-4C72B5C85EA3}"/>
    <cellStyle name="Normal 8 2 6" xfId="785" xr:uid="{EF6BFE8B-71FE-4478-8B58-7619EB579DC7}"/>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3" xfId="929" xr:uid="{F4ACF153-9E7D-4EBB-B998-286B9A68E376}"/>
    <cellStyle name="Normal 8 3 2 3" xfId="619" xr:uid="{00000000-0005-0000-0000-000054010000}"/>
    <cellStyle name="Normal 8 3 2 3 2" xfId="1021" xr:uid="{403F7152-E4A7-4165-938C-7AC9FF6BD3AE}"/>
    <cellStyle name="Normal 8 3 2 4" xfId="841" xr:uid="{211B223B-AF87-4DD6-8D7B-9A1E3A4A9C65}"/>
    <cellStyle name="Normal 8 3 3" xfId="474" xr:uid="{00000000-0005-0000-0000-000056010000}"/>
    <cellStyle name="Normal 8 3 3 2" xfId="663" xr:uid="{00000000-0005-0000-0000-000056010000}"/>
    <cellStyle name="Normal 8 3 3 2 2" xfId="1065" xr:uid="{3F350BF0-D6CA-4F6E-87D4-B6805CF4B9D2}"/>
    <cellStyle name="Normal 8 3 3 3" xfId="885" xr:uid="{47DF65C3-EACD-4FC8-98D6-1B0574A46C3E}"/>
    <cellStyle name="Normal 8 3 4" xfId="575" xr:uid="{00000000-0005-0000-0000-000053010000}"/>
    <cellStyle name="Normal 8 3 4 2" xfId="977" xr:uid="{E9465B7C-FC37-4010-90DE-4D6453946558}"/>
    <cellStyle name="Normal 8 3 5" xfId="797" xr:uid="{0607A2B6-2DC6-4572-96D2-B21CF016F09F}"/>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3" xfId="936" xr:uid="{7EBB23F5-FCC8-43D4-8B67-8AAB8A05075C}"/>
    <cellStyle name="Normal 8 4 2 3" xfId="626" xr:uid="{00000000-0005-0000-0000-000058010000}"/>
    <cellStyle name="Normal 8 4 2 3 2" xfId="1028" xr:uid="{3CC3639D-A752-45BA-9365-577F608ADD34}"/>
    <cellStyle name="Normal 8 4 2 4" xfId="848" xr:uid="{CA313391-2DFF-4F72-82D3-62F76D10B1AE}"/>
    <cellStyle name="Normal 8 4 3" xfId="481" xr:uid="{00000000-0005-0000-0000-00005A010000}"/>
    <cellStyle name="Normal 8 4 3 2" xfId="670" xr:uid="{00000000-0005-0000-0000-00005A010000}"/>
    <cellStyle name="Normal 8 4 3 2 2" xfId="1072" xr:uid="{7AF9F262-41B5-496E-A319-F723D050B76B}"/>
    <cellStyle name="Normal 8 4 3 3" xfId="892" xr:uid="{1DC82D98-97B8-41BB-9995-31B5960E11AE}"/>
    <cellStyle name="Normal 8 4 4" xfId="582" xr:uid="{00000000-0005-0000-0000-000057010000}"/>
    <cellStyle name="Normal 8 4 4 2" xfId="984" xr:uid="{B7A47057-1FAE-480E-8BE2-217F6522BDBA}"/>
    <cellStyle name="Normal 8 4 5" xfId="804" xr:uid="{3CB39ECE-C86E-48A3-94E9-2608F3D5326D}"/>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3" xfId="916" xr:uid="{22079FAB-0770-4A50-85FD-EFD0BB0DC98D}"/>
    <cellStyle name="Normal 8 5 3" xfId="606" xr:uid="{00000000-0005-0000-0000-00005B010000}"/>
    <cellStyle name="Normal 8 5 3 2" xfId="1008" xr:uid="{F62D8C6D-3555-45BF-B4A7-6509F8685000}"/>
    <cellStyle name="Normal 8 5 4" xfId="828" xr:uid="{D6C9ED9A-C48E-4F2F-BE13-6A1F853F0D55}"/>
    <cellStyle name="Normal 8 6" xfId="461" xr:uid="{00000000-0005-0000-0000-00005D010000}"/>
    <cellStyle name="Normal 8 6 2" xfId="650" xr:uid="{00000000-0005-0000-0000-00005D010000}"/>
    <cellStyle name="Normal 8 6 2 2" xfId="1052" xr:uid="{ABE1ABB1-F4A4-46F8-954D-105DC9961CEC}"/>
    <cellStyle name="Normal 8 6 3" xfId="872" xr:uid="{EFCEC209-8635-4FBB-A27D-FD6DD7D01FB4}"/>
    <cellStyle name="Normal 8 7" xfId="557" xr:uid="{00000000-0005-0000-0000-00004A010000}"/>
    <cellStyle name="Normal 8 7 2" xfId="962" xr:uid="{9ABA9FB7-3BB1-4FF8-95F8-7214BBA57383}"/>
    <cellStyle name="Normal 8 8" xfId="784" xr:uid="{8E2B7875-8385-4D9D-96D1-720E1BCE3A03}"/>
    <cellStyle name="Normal 8 9" xfId="1165" xr:uid="{51C7D65C-EE57-42BB-8CC1-0B324E94E1D8}"/>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3" xfId="932" xr:uid="{5E04F3B2-10F6-47F6-B226-4036F941E661}"/>
    <cellStyle name="Normal 9 2 2 2 3" xfId="622" xr:uid="{00000000-0005-0000-0000-000061010000}"/>
    <cellStyle name="Normal 9 2 2 2 3 2" xfId="1024" xr:uid="{12DD74A3-E451-441D-899C-5E45D4AE0DC6}"/>
    <cellStyle name="Normal 9 2 2 2 4" xfId="844" xr:uid="{3A82F616-275B-435E-87FE-ABB5653E3648}"/>
    <cellStyle name="Normal 9 2 2 3" xfId="477" xr:uid="{00000000-0005-0000-0000-000063010000}"/>
    <cellStyle name="Normal 9 2 2 3 2" xfId="666" xr:uid="{00000000-0005-0000-0000-000063010000}"/>
    <cellStyle name="Normal 9 2 2 3 2 2" xfId="1068" xr:uid="{26C32678-5FF3-4649-B3BF-5F2D5E2462E5}"/>
    <cellStyle name="Normal 9 2 2 3 3" xfId="888" xr:uid="{D3616717-4504-486A-811B-44094B0BEA1E}"/>
    <cellStyle name="Normal 9 2 2 4" xfId="578" xr:uid="{00000000-0005-0000-0000-000060010000}"/>
    <cellStyle name="Normal 9 2 2 4 2" xfId="980" xr:uid="{24AA0DCE-5FDC-4B16-93BD-16A0BB76F99B}"/>
    <cellStyle name="Normal 9 2 2 5" xfId="800" xr:uid="{40137909-35D0-418B-AD32-32E279BE14EF}"/>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3" xfId="919" xr:uid="{FBAE4350-6709-4665-97DD-9C75B442C60D}"/>
    <cellStyle name="Normal 9 2 3 3" xfId="609" xr:uid="{00000000-0005-0000-0000-000064010000}"/>
    <cellStyle name="Normal 9 2 3 3 2" xfId="1011" xr:uid="{A12E2F24-383A-4BCE-9A10-5907515C760E}"/>
    <cellStyle name="Normal 9 2 3 4" xfId="831" xr:uid="{C5B1DCE6-A200-4D21-9A45-E718430E5E8C}"/>
    <cellStyle name="Normal 9 2 4" xfId="464" xr:uid="{00000000-0005-0000-0000-000066010000}"/>
    <cellStyle name="Normal 9 2 4 2" xfId="653" xr:uid="{00000000-0005-0000-0000-000066010000}"/>
    <cellStyle name="Normal 9 2 4 2 2" xfId="1055" xr:uid="{DE5C5808-49E7-43C5-BFBE-97AD77137A25}"/>
    <cellStyle name="Normal 9 2 4 3" xfId="875" xr:uid="{A7B3CA2D-39F6-461E-9895-A2D3E17E888B}"/>
    <cellStyle name="Normal 9 2 5" xfId="560" xr:uid="{00000000-0005-0000-0000-00005F010000}"/>
    <cellStyle name="Normal 9 2 5 2" xfId="965" xr:uid="{7D56D7BA-D9B7-4A75-B5D8-E9C111C423C2}"/>
    <cellStyle name="Normal 9 2 6" xfId="787" xr:uid="{3207A61E-389C-4BD9-95EF-BA1F6B33280B}"/>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3" xfId="931" xr:uid="{000D87A3-8E22-4ABB-9858-94555F26DDAA}"/>
    <cellStyle name="Normal 9 3 2 3" xfId="621" xr:uid="{00000000-0005-0000-0000-000068010000}"/>
    <cellStyle name="Normal 9 3 2 3 2" xfId="1023" xr:uid="{E1AD8025-D155-4866-BDD1-3560A0E02B68}"/>
    <cellStyle name="Normal 9 3 2 4" xfId="843" xr:uid="{BA3819FA-05FF-4555-9424-E86820EB9832}"/>
    <cellStyle name="Normal 9 3 3" xfId="476" xr:uid="{00000000-0005-0000-0000-00006A010000}"/>
    <cellStyle name="Normal 9 3 3 2" xfId="665" xr:uid="{00000000-0005-0000-0000-00006A010000}"/>
    <cellStyle name="Normal 9 3 3 2 2" xfId="1067" xr:uid="{C0F14762-17C3-4FFF-98A5-3DFF3CE646C4}"/>
    <cellStyle name="Normal 9 3 3 3" xfId="887" xr:uid="{65AA9F68-8543-4143-A550-304E7730A034}"/>
    <cellStyle name="Normal 9 3 4" xfId="577" xr:uid="{00000000-0005-0000-0000-000067010000}"/>
    <cellStyle name="Normal 9 3 4 2" xfId="979" xr:uid="{72B29B47-EEA3-4F30-BBDE-38E7E8A710C6}"/>
    <cellStyle name="Normal 9 3 5" xfId="799" xr:uid="{4760CDA8-8913-4AF3-852F-91F3EAC658CB}"/>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3" xfId="950" xr:uid="{7D8F8B2C-1DE8-48BF-9F57-A0AA9C153E6B}"/>
    <cellStyle name="Normal 9 4 2 3" xfId="640" xr:uid="{00000000-0005-0000-0000-00006C010000}"/>
    <cellStyle name="Normal 9 4 2 3 2" xfId="1042" xr:uid="{D29AD93C-69F5-4CD2-9AB1-554A65E9097C}"/>
    <cellStyle name="Normal 9 4 2 4" xfId="862" xr:uid="{7A8EB065-F8BC-4091-B2C7-3F7C16C104F4}"/>
    <cellStyle name="Normal 9 4 3" xfId="495" xr:uid="{00000000-0005-0000-0000-00006E010000}"/>
    <cellStyle name="Normal 9 4 3 2" xfId="684" xr:uid="{00000000-0005-0000-0000-00006E010000}"/>
    <cellStyle name="Normal 9 4 3 2 2" xfId="1086" xr:uid="{146B60AF-D0F1-4698-99AB-50900D347DEB}"/>
    <cellStyle name="Normal 9 4 3 3" xfId="906" xr:uid="{919BE3C3-92CC-4429-BCAC-C481EF05C586}"/>
    <cellStyle name="Normal 9 4 4" xfId="596" xr:uid="{00000000-0005-0000-0000-00006B010000}"/>
    <cellStyle name="Normal 9 4 4 2" xfId="998" xr:uid="{D8DCEF10-CEB9-4734-8DCA-D13C18CDAE50}"/>
    <cellStyle name="Normal 9 4 5" xfId="818" xr:uid="{BF8F06F6-9598-4F78-BFEA-16AC03733F88}"/>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3" xfId="918" xr:uid="{BE14B5F5-FD9A-47B7-88C5-2C85448AA5AE}"/>
    <cellStyle name="Normal 9 5 3" xfId="608" xr:uid="{00000000-0005-0000-0000-00006F010000}"/>
    <cellStyle name="Normal 9 5 3 2" xfId="1010" xr:uid="{717FC237-CC36-44D6-9789-5AE816024B42}"/>
    <cellStyle name="Normal 9 5 4" xfId="830" xr:uid="{D4F17FF5-677E-478A-BF55-072A317FB80E}"/>
    <cellStyle name="Normal 9 6" xfId="463" xr:uid="{00000000-0005-0000-0000-000071010000}"/>
    <cellStyle name="Normal 9 6 2" xfId="652" xr:uid="{00000000-0005-0000-0000-000071010000}"/>
    <cellStyle name="Normal 9 6 2 2" xfId="1054" xr:uid="{CABEE063-49EF-4CEB-A707-0C0610517CAE}"/>
    <cellStyle name="Normal 9 6 3" xfId="874" xr:uid="{B048306C-7CFD-4150-B0B6-DF19200DFD5A}"/>
    <cellStyle name="Normal 9 7" xfId="559" xr:uid="{00000000-0005-0000-0000-00005E010000}"/>
    <cellStyle name="Normal 9 7 2" xfId="964" xr:uid="{B689CDA4-AD58-44E5-99D6-F1C328F44AAE}"/>
    <cellStyle name="Normal 9 8" xfId="786" xr:uid="{F5F51CF8-DDA6-43B7-96CA-2532396EC38B}"/>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2" xfId="769" xr:uid="{00000000-0005-0000-0000-000009000000}"/>
    <cellStyle name="Percent 23" xfId="1135" xr:uid="{00CBF9F5-9246-4C3E-A92A-B65F41C76850}"/>
    <cellStyle name="Percent 24" xfId="1147" xr:uid="{D8F248F5-5DCD-411C-A237-B173B4CA8DF2}"/>
    <cellStyle name="Percent 25" xfId="1156" xr:uid="{BC421B83-9837-4D8C-B576-EEC5ECDB560A}"/>
    <cellStyle name="Percent 26" xfId="1159" xr:uid="{060959DC-EB35-478F-A0C5-B88BBD6B0E9A}"/>
    <cellStyle name="Percent 27" xfId="1161" xr:uid="{F827F493-01EF-48E6-B77E-9B68B8D106EF}"/>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3" xfId="935" xr:uid="{B81E3C20-6466-41ED-9462-DFE888342381}"/>
    <cellStyle name="Percent 8 2 3" xfId="625" xr:uid="{00000000-0005-0000-0000-0000CA010000}"/>
    <cellStyle name="Percent 8 2 3 2" xfId="1027" xr:uid="{AB8151D3-437D-4D91-A65E-2E9CFAE68FBD}"/>
    <cellStyle name="Percent 8 2 4" xfId="847" xr:uid="{29F5034D-1602-4BDD-97EE-B0955E9EBFF9}"/>
    <cellStyle name="Percent 8 3" xfId="480" xr:uid="{00000000-0005-0000-0000-0000CC010000}"/>
    <cellStyle name="Percent 8 3 2" xfId="669" xr:uid="{00000000-0005-0000-0000-0000CC010000}"/>
    <cellStyle name="Percent 8 3 2 2" xfId="1071" xr:uid="{08B8B2B1-F96A-40D3-9CBF-4A0B317ACF8B}"/>
    <cellStyle name="Percent 8 3 3" xfId="891" xr:uid="{D7CC6031-A0BA-4F33-8297-B4C99AB984FB}"/>
    <cellStyle name="Percent 8 4" xfId="581" xr:uid="{00000000-0005-0000-0000-0000C9010000}"/>
    <cellStyle name="Percent 8 4 2" xfId="983" xr:uid="{71EF5BAB-5DF8-478C-ACE5-47AB3093E4C6}"/>
    <cellStyle name="Percent 8 5" xfId="803" xr:uid="{6FC92FA0-3BD0-435C-BF5B-4205A84F3BB6}"/>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3" xfId="940" xr:uid="{34DFC6E4-A23A-40F3-8EFA-2B40375E1EFB}"/>
    <cellStyle name="Percent 9 2 2 3 3" xfId="630" xr:uid="{00000000-0005-0000-0000-0000CF010000}"/>
    <cellStyle name="Percent 9 2 2 3 3 2" xfId="1032" xr:uid="{C77E70CF-451A-4ABE-9D41-3A961AA5D64E}"/>
    <cellStyle name="Percent 9 2 2 3 4" xfId="852" xr:uid="{190860FD-DBC8-4A89-910B-82604C0C8DD7}"/>
    <cellStyle name="Percent 9 2 2 4" xfId="485" xr:uid="{00000000-0005-0000-0000-0000D1010000}"/>
    <cellStyle name="Percent 9 2 2 4 2" xfId="674" xr:uid="{00000000-0005-0000-0000-0000D1010000}"/>
    <cellStyle name="Percent 9 2 2 4 2 2" xfId="1076" xr:uid="{514F63EE-9BCD-4885-B521-F0B48A7F74F0}"/>
    <cellStyle name="Percent 9 2 2 4 3" xfId="896" xr:uid="{1C78AF24-698B-4AE1-8407-8958EAFCD5F5}"/>
    <cellStyle name="Percent 9 2 2 5" xfId="586" xr:uid="{00000000-0005-0000-0000-0000CD010000}"/>
    <cellStyle name="Percent 9 2 2 5 2" xfId="988" xr:uid="{D177B938-D8B1-4DFD-AC49-4C1935048B89}"/>
    <cellStyle name="Percent 9 2 2 6" xfId="808" xr:uid="{36803F0F-91EF-43AB-9A82-2286E285D2C9}"/>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
  <sheetViews>
    <sheetView tabSelected="1" view="pageBreakPreview" zoomScaleNormal="100" zoomScaleSheetLayoutView="100" workbookViewId="0">
      <selection activeCell="F16" sqref="F16"/>
    </sheetView>
  </sheetViews>
  <sheetFormatPr defaultColWidth="8.88671875" defaultRowHeight="15.4"/>
  <cols>
    <col min="1" max="16384" width="8.88671875" style="16"/>
  </cols>
  <sheetData>
    <row r="1" spans="1:4" ht="19.899999999999999">
      <c r="A1" s="15"/>
    </row>
    <row r="2" spans="1:4" ht="19.899999999999999">
      <c r="A2" s="15"/>
    </row>
    <row r="4" spans="1:4">
      <c r="D4" s="17" t="s">
        <v>1095</v>
      </c>
    </row>
    <row r="5" spans="1:4">
      <c r="D5" s="17" t="s">
        <v>1096</v>
      </c>
    </row>
  </sheetData>
  <sheetProtection algorithmName="SHA-512" hashValue="cHO/RWP6rNbyZrK/F47i4JEqdya1kQxqVrKQt9dgj5tcOQEUNTwKohWhykE0Cbh+scGkPvdBKMABjWubfGvn2g==" saltValue="+KLViF+fr8RHxwcffRU7U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07"/>
  <sheetViews>
    <sheetView view="pageBreakPreview" topLeftCell="B1" zoomScale="80" zoomScaleNormal="60" zoomScaleSheetLayoutView="80" workbookViewId="0">
      <selection activeCell="E10" sqref="E10"/>
    </sheetView>
  </sheetViews>
  <sheetFormatPr defaultColWidth="8.88671875" defaultRowHeight="13.9"/>
  <cols>
    <col min="1" max="1" width="4.88671875" style="527" customWidth="1"/>
    <col min="2" max="2" width="45.6640625" style="527" customWidth="1"/>
    <col min="3" max="3" width="17.6640625" style="527" bestFit="1" customWidth="1"/>
    <col min="4" max="5" width="11.109375" style="527" customWidth="1"/>
    <col min="6" max="6" width="15.109375" style="527" customWidth="1"/>
    <col min="7" max="15" width="11.109375" style="527" bestFit="1" customWidth="1"/>
    <col min="16" max="16" width="12.109375" style="527" customWidth="1"/>
    <col min="17" max="17" width="10.44140625" style="527" bestFit="1" customWidth="1"/>
    <col min="18" max="18" width="11.109375" style="527" bestFit="1" customWidth="1"/>
    <col min="19" max="19" width="13.44140625" style="527" bestFit="1" customWidth="1"/>
    <col min="20" max="20" width="12" style="527" bestFit="1" customWidth="1"/>
    <col min="21" max="16384" width="8.88671875" style="527"/>
  </cols>
  <sheetData>
    <row r="1" spans="1:20">
      <c r="B1" s="1246" t="str">
        <f>+'Attachment H-7'!D180</f>
        <v>PECO Energy Company</v>
      </c>
      <c r="C1" s="1246"/>
      <c r="D1" s="1246"/>
      <c r="E1" s="1246"/>
      <c r="F1" s="1246"/>
      <c r="G1" s="1246"/>
    </row>
    <row r="2" spans="1:20">
      <c r="B2" s="1248"/>
      <c r="C2" s="1248"/>
      <c r="D2" s="1248"/>
      <c r="E2" s="1248"/>
      <c r="F2" s="1248"/>
      <c r="G2" s="1248"/>
      <c r="H2" s="1248"/>
      <c r="T2" s="527" t="s">
        <v>422</v>
      </c>
    </row>
    <row r="3" spans="1:20">
      <c r="B3" s="1247" t="s">
        <v>652</v>
      </c>
      <c r="C3" s="1247"/>
      <c r="D3" s="1247"/>
      <c r="E3" s="1247"/>
      <c r="F3" s="1247"/>
      <c r="G3" s="1247"/>
    </row>
    <row r="5" spans="1:20">
      <c r="B5" s="528" t="s">
        <v>684</v>
      </c>
      <c r="C5" s="528"/>
      <c r="D5" s="528"/>
      <c r="E5" s="528"/>
      <c r="F5" s="528"/>
      <c r="G5" s="528"/>
    </row>
    <row r="6" spans="1:20">
      <c r="B6" s="366" t="s">
        <v>198</v>
      </c>
      <c r="C6" s="366" t="s">
        <v>199</v>
      </c>
      <c r="D6" s="366" t="s">
        <v>200</v>
      </c>
      <c r="E6" s="366" t="s">
        <v>201</v>
      </c>
      <c r="F6" s="366" t="s">
        <v>203</v>
      </c>
      <c r="G6" s="366" t="s">
        <v>202</v>
      </c>
      <c r="H6" s="366" t="s">
        <v>204</v>
      </c>
      <c r="I6" s="366" t="s">
        <v>205</v>
      </c>
      <c r="J6" s="366" t="s">
        <v>206</v>
      </c>
      <c r="K6" s="366" t="s">
        <v>244</v>
      </c>
      <c r="L6" s="366" t="s">
        <v>248</v>
      </c>
      <c r="M6" s="366" t="s">
        <v>453</v>
      </c>
      <c r="N6" s="366" t="s">
        <v>779</v>
      </c>
      <c r="O6" s="366" t="s">
        <v>780</v>
      </c>
      <c r="P6" s="366" t="s">
        <v>781</v>
      </c>
      <c r="Q6" s="366" t="s">
        <v>782</v>
      </c>
      <c r="R6" s="366" t="s">
        <v>783</v>
      </c>
      <c r="S6" s="366" t="s">
        <v>784</v>
      </c>
      <c r="T6" s="366" t="s">
        <v>787</v>
      </c>
    </row>
    <row r="7" spans="1:20">
      <c r="B7" s="374" t="s">
        <v>775</v>
      </c>
      <c r="C7" s="529" t="s">
        <v>195</v>
      </c>
      <c r="D7" s="366" t="s">
        <v>84</v>
      </c>
      <c r="E7" s="366" t="s">
        <v>83</v>
      </c>
      <c r="F7" s="366" t="s">
        <v>82</v>
      </c>
      <c r="G7" s="366" t="s">
        <v>74</v>
      </c>
      <c r="H7" s="366" t="s">
        <v>73</v>
      </c>
      <c r="I7" s="366" t="s">
        <v>93</v>
      </c>
      <c r="J7" s="366" t="s">
        <v>81</v>
      </c>
      <c r="K7" s="366" t="s">
        <v>80</v>
      </c>
      <c r="L7" s="366" t="s">
        <v>79</v>
      </c>
      <c r="M7" s="366" t="s">
        <v>85</v>
      </c>
      <c r="N7" s="366" t="s">
        <v>78</v>
      </c>
      <c r="O7" s="366" t="s">
        <v>77</v>
      </c>
      <c r="P7" s="366" t="s">
        <v>481</v>
      </c>
      <c r="Q7" s="527" t="s">
        <v>17</v>
      </c>
      <c r="R7" s="527" t="s">
        <v>778</v>
      </c>
      <c r="S7" s="527" t="s">
        <v>685</v>
      </c>
      <c r="T7" s="530" t="s">
        <v>13</v>
      </c>
    </row>
    <row r="8" spans="1:20">
      <c r="B8" s="374"/>
      <c r="C8" s="529"/>
      <c r="D8" s="366"/>
      <c r="E8" s="366"/>
      <c r="F8" s="366"/>
      <c r="G8" s="366"/>
      <c r="H8" s="366"/>
      <c r="I8" s="366"/>
      <c r="J8" s="366"/>
      <c r="K8" s="366"/>
      <c r="L8" s="366"/>
      <c r="M8" s="366"/>
      <c r="N8" s="366"/>
      <c r="O8" s="366"/>
      <c r="P8" s="531" t="s">
        <v>788</v>
      </c>
      <c r="T8" s="532" t="s">
        <v>1075</v>
      </c>
    </row>
    <row r="9" spans="1:20">
      <c r="A9" s="533">
        <v>1</v>
      </c>
      <c r="B9" s="943" t="s">
        <v>1409</v>
      </c>
      <c r="C9" s="944">
        <v>32628001.329999998</v>
      </c>
      <c r="D9" s="944">
        <v>31783597.329999998</v>
      </c>
      <c r="E9" s="944">
        <v>30892315.329999998</v>
      </c>
      <c r="F9" s="944">
        <v>29920936.329999998</v>
      </c>
      <c r="G9" s="944">
        <v>29483152.329999998</v>
      </c>
      <c r="H9" s="944">
        <v>87798446.140000001</v>
      </c>
      <c r="I9" s="944">
        <v>88031944.140000001</v>
      </c>
      <c r="J9" s="944">
        <v>89037898.140000001</v>
      </c>
      <c r="K9" s="944">
        <v>90124642.140000001</v>
      </c>
      <c r="L9" s="944">
        <v>90913488.140000001</v>
      </c>
      <c r="M9" s="944">
        <v>91206302.140000001</v>
      </c>
      <c r="N9" s="944">
        <v>91762519.140000001</v>
      </c>
      <c r="O9" s="944">
        <v>127163532.359194</v>
      </c>
      <c r="P9" s="534">
        <f>AVERAGE(C9:O9)</f>
        <v>70057444.229938</v>
      </c>
      <c r="Q9" s="534"/>
      <c r="R9" s="534"/>
      <c r="S9" s="534">
        <f>P9</f>
        <v>70057444.229938</v>
      </c>
      <c r="T9" s="534">
        <f>SUM(Q9:S9)</f>
        <v>70057444.229938</v>
      </c>
    </row>
    <row r="10" spans="1:20">
      <c r="A10" s="533">
        <f>A9+1</f>
        <v>2</v>
      </c>
      <c r="B10" s="943" t="s">
        <v>776</v>
      </c>
      <c r="C10" s="944">
        <v>0</v>
      </c>
      <c r="D10" s="944">
        <v>0</v>
      </c>
      <c r="E10" s="944">
        <v>0</v>
      </c>
      <c r="F10" s="944">
        <v>0</v>
      </c>
      <c r="G10" s="944">
        <v>0</v>
      </c>
      <c r="H10" s="944">
        <v>0</v>
      </c>
      <c r="I10" s="944">
        <v>0</v>
      </c>
      <c r="J10" s="944">
        <v>0</v>
      </c>
      <c r="K10" s="944">
        <v>0</v>
      </c>
      <c r="L10" s="944">
        <v>0</v>
      </c>
      <c r="M10" s="944">
        <v>0</v>
      </c>
      <c r="N10" s="944">
        <v>0</v>
      </c>
      <c r="O10" s="944">
        <v>0</v>
      </c>
      <c r="P10" s="534">
        <f t="shared" ref="P10:P15" si="0">AVERAGE(C10:O10)</f>
        <v>0</v>
      </c>
      <c r="Q10" s="534">
        <f>P10</f>
        <v>0</v>
      </c>
      <c r="R10" s="534"/>
      <c r="S10" s="534"/>
      <c r="T10" s="534">
        <f t="shared" ref="T10:T27" si="1">SUM(Q10:S10)</f>
        <v>0</v>
      </c>
    </row>
    <row r="11" spans="1:20">
      <c r="A11" s="533">
        <f t="shared" ref="A11:A29" si="2">A10+1</f>
        <v>3</v>
      </c>
      <c r="B11" s="943" t="s">
        <v>777</v>
      </c>
      <c r="C11" s="944">
        <v>0</v>
      </c>
      <c r="D11" s="944">
        <v>0</v>
      </c>
      <c r="E11" s="944">
        <v>0</v>
      </c>
      <c r="F11" s="944">
        <v>0</v>
      </c>
      <c r="G11" s="944">
        <v>0</v>
      </c>
      <c r="H11" s="944">
        <v>0</v>
      </c>
      <c r="I11" s="944">
        <v>0</v>
      </c>
      <c r="J11" s="944">
        <v>0</v>
      </c>
      <c r="K11" s="944">
        <v>0</v>
      </c>
      <c r="L11" s="944">
        <v>0</v>
      </c>
      <c r="M11" s="944">
        <v>0</v>
      </c>
      <c r="N11" s="944">
        <v>0</v>
      </c>
      <c r="O11" s="944">
        <v>0</v>
      </c>
      <c r="P11" s="534">
        <f t="shared" si="0"/>
        <v>0</v>
      </c>
      <c r="Q11" s="534"/>
      <c r="R11" s="534">
        <f>P11</f>
        <v>0</v>
      </c>
      <c r="S11" s="534"/>
      <c r="T11" s="534">
        <f t="shared" si="1"/>
        <v>0</v>
      </c>
    </row>
    <row r="12" spans="1:20">
      <c r="A12" s="533">
        <f t="shared" si="2"/>
        <v>4</v>
      </c>
      <c r="B12" s="943" t="s">
        <v>789</v>
      </c>
      <c r="C12" s="944">
        <v>833241.28</v>
      </c>
      <c r="D12" s="944">
        <v>833241.28</v>
      </c>
      <c r="E12" s="944">
        <v>833241.28</v>
      </c>
      <c r="F12" s="944">
        <v>833241.28</v>
      </c>
      <c r="G12" s="944">
        <v>833241.28</v>
      </c>
      <c r="H12" s="944">
        <v>833241.28</v>
      </c>
      <c r="I12" s="944">
        <v>833241.28</v>
      </c>
      <c r="J12" s="944">
        <v>833241.28</v>
      </c>
      <c r="K12" s="944">
        <v>833241.28</v>
      </c>
      <c r="L12" s="944">
        <v>833241.28</v>
      </c>
      <c r="M12" s="944">
        <v>833241.28</v>
      </c>
      <c r="N12" s="944">
        <v>833241.28</v>
      </c>
      <c r="O12" s="944">
        <v>833241.28</v>
      </c>
      <c r="P12" s="534">
        <f t="shared" si="0"/>
        <v>833241.28</v>
      </c>
      <c r="Q12" s="534"/>
      <c r="R12" s="534">
        <f>P12</f>
        <v>833241.28</v>
      </c>
      <c r="S12" s="534"/>
      <c r="T12" s="534">
        <f t="shared" si="1"/>
        <v>833241.28</v>
      </c>
    </row>
    <row r="13" spans="1:20">
      <c r="A13" s="533">
        <f t="shared" si="2"/>
        <v>5</v>
      </c>
      <c r="B13" s="943" t="s">
        <v>1440</v>
      </c>
      <c r="C13" s="944">
        <v>11435361.629866799</v>
      </c>
      <c r="D13" s="944">
        <v>11435361.629866799</v>
      </c>
      <c r="E13" s="944">
        <v>11435361.629866799</v>
      </c>
      <c r="F13" s="944">
        <v>11435361.629866799</v>
      </c>
      <c r="G13" s="944">
        <v>11507257.629866799</v>
      </c>
      <c r="H13" s="944">
        <v>11588306.629866799</v>
      </c>
      <c r="I13" s="944">
        <v>11671012.629866799</v>
      </c>
      <c r="J13" s="944">
        <v>11784814.629866799</v>
      </c>
      <c r="K13" s="944">
        <v>11901427.629866799</v>
      </c>
      <c r="L13" s="944">
        <v>12053266.629866799</v>
      </c>
      <c r="M13" s="944">
        <v>12248813.629866799</v>
      </c>
      <c r="N13" s="944">
        <v>12412538.629866799</v>
      </c>
      <c r="O13" s="944">
        <v>12553504.629866799</v>
      </c>
      <c r="P13" s="534">
        <f t="shared" si="0"/>
        <v>11804799.168328336</v>
      </c>
      <c r="Q13" s="534"/>
      <c r="R13" s="534">
        <f>P13</f>
        <v>11804799.168328336</v>
      </c>
      <c r="S13" s="534"/>
      <c r="T13" s="534">
        <f t="shared" si="1"/>
        <v>11804799.168328336</v>
      </c>
    </row>
    <row r="14" spans="1:20">
      <c r="A14" s="533">
        <f t="shared" si="2"/>
        <v>6</v>
      </c>
      <c r="B14" s="945" t="s">
        <v>813</v>
      </c>
      <c r="C14" s="944">
        <v>37389641.319999993</v>
      </c>
      <c r="D14" s="944">
        <v>37389641.319999993</v>
      </c>
      <c r="E14" s="944">
        <v>37389641.319999993</v>
      </c>
      <c r="F14" s="944">
        <v>37389641.319999993</v>
      </c>
      <c r="G14" s="944">
        <v>37389641.319999993</v>
      </c>
      <c r="H14" s="944">
        <v>37389641.319999993</v>
      </c>
      <c r="I14" s="944">
        <v>37389641.319999993</v>
      </c>
      <c r="J14" s="944">
        <v>37389641.319999993</v>
      </c>
      <c r="K14" s="944">
        <v>37389641.319999993</v>
      </c>
      <c r="L14" s="944">
        <v>37389641.319999993</v>
      </c>
      <c r="M14" s="944">
        <v>37389641.319999993</v>
      </c>
      <c r="N14" s="944">
        <v>37389641.319999993</v>
      </c>
      <c r="O14" s="944">
        <v>37389641.319999993</v>
      </c>
      <c r="P14" s="534">
        <f t="shared" si="0"/>
        <v>37389641.319999993</v>
      </c>
      <c r="Q14" s="534"/>
      <c r="R14" s="534">
        <f>P14</f>
        <v>37389641.319999993</v>
      </c>
      <c r="S14" s="534"/>
      <c r="T14" s="534">
        <f t="shared" si="1"/>
        <v>37389641.319999993</v>
      </c>
    </row>
    <row r="15" spans="1:20">
      <c r="A15" s="533">
        <f t="shared" si="2"/>
        <v>7</v>
      </c>
      <c r="B15" s="943" t="s">
        <v>790</v>
      </c>
      <c r="C15" s="944">
        <v>8809583.1500000004</v>
      </c>
      <c r="D15" s="944">
        <v>8809583.1500000004</v>
      </c>
      <c r="E15" s="944">
        <v>8809583.1500000004</v>
      </c>
      <c r="F15" s="944">
        <v>8809583.1500000004</v>
      </c>
      <c r="G15" s="944">
        <v>8809583.1500000004</v>
      </c>
      <c r="H15" s="944">
        <v>8809583.1500000004</v>
      </c>
      <c r="I15" s="944">
        <v>8809583.1500000004</v>
      </c>
      <c r="J15" s="944">
        <v>8809583.1500000004</v>
      </c>
      <c r="K15" s="944">
        <v>8809583.1500000004</v>
      </c>
      <c r="L15" s="944">
        <v>8809583.1500000004</v>
      </c>
      <c r="M15" s="944">
        <v>8809583.1500000004</v>
      </c>
      <c r="N15" s="944">
        <v>8809583.1500000004</v>
      </c>
      <c r="O15" s="944">
        <v>8809583.1500000004</v>
      </c>
      <c r="P15" s="534">
        <f t="shared" si="0"/>
        <v>8809583.1500000022</v>
      </c>
      <c r="Q15" s="534"/>
      <c r="R15" s="534">
        <f>P15</f>
        <v>8809583.1500000022</v>
      </c>
      <c r="S15" s="534"/>
      <c r="T15" s="534">
        <f t="shared" si="1"/>
        <v>8809583.1500000022</v>
      </c>
    </row>
    <row r="16" spans="1:20">
      <c r="A16" s="533">
        <f t="shared" si="2"/>
        <v>8</v>
      </c>
      <c r="B16" s="943" t="s">
        <v>1441</v>
      </c>
      <c r="C16" s="944">
        <v>23201379.09</v>
      </c>
      <c r="D16" s="944">
        <v>23201379.09</v>
      </c>
      <c r="E16" s="944">
        <v>23201379.09</v>
      </c>
      <c r="F16" s="944">
        <v>23201379.09</v>
      </c>
      <c r="G16" s="944">
        <v>23201379.09</v>
      </c>
      <c r="H16" s="944">
        <v>23201379.09</v>
      </c>
      <c r="I16" s="944">
        <v>23201379.09</v>
      </c>
      <c r="J16" s="944">
        <v>23201379.09</v>
      </c>
      <c r="K16" s="944">
        <v>23201379.09</v>
      </c>
      <c r="L16" s="944">
        <v>23201379.09</v>
      </c>
      <c r="M16" s="944">
        <v>23201379.09</v>
      </c>
      <c r="N16" s="944">
        <v>23201379.09</v>
      </c>
      <c r="O16" s="944">
        <v>23201379.09</v>
      </c>
      <c r="P16" s="534">
        <f t="shared" ref="P16:P18" si="3">AVERAGE(C16:O16)</f>
        <v>23201379.089999996</v>
      </c>
      <c r="Q16" s="534">
        <f>P16</f>
        <v>23201379.089999996</v>
      </c>
      <c r="R16" s="534"/>
      <c r="S16" s="534"/>
      <c r="T16" s="534">
        <f t="shared" ref="T16" si="4">SUM(Q16:S16)</f>
        <v>23201379.089999996</v>
      </c>
    </row>
    <row r="17" spans="1:20">
      <c r="A17" s="533">
        <f t="shared" si="2"/>
        <v>9</v>
      </c>
      <c r="B17" s="943" t="s">
        <v>1507</v>
      </c>
      <c r="C17" s="944">
        <v>1193292.3201332004</v>
      </c>
      <c r="D17" s="944">
        <v>1193292.3201332004</v>
      </c>
      <c r="E17" s="944">
        <v>1193292.3201332004</v>
      </c>
      <c r="F17" s="944">
        <v>1193292.3201332004</v>
      </c>
      <c r="G17" s="944">
        <v>1193292.3201332004</v>
      </c>
      <c r="H17" s="944">
        <v>1193292.3201332004</v>
      </c>
      <c r="I17" s="944">
        <v>1193292.3201332004</v>
      </c>
      <c r="J17" s="944">
        <v>1193292.3201332004</v>
      </c>
      <c r="K17" s="944">
        <v>1193292.3201332004</v>
      </c>
      <c r="L17" s="944">
        <v>1193292.3201332004</v>
      </c>
      <c r="M17" s="944">
        <v>1193292.3201332004</v>
      </c>
      <c r="N17" s="944">
        <v>1193292.3201332004</v>
      </c>
      <c r="O17" s="944">
        <v>1193292.3201332004</v>
      </c>
      <c r="P17" s="534">
        <f t="shared" si="3"/>
        <v>1193292.3201332001</v>
      </c>
      <c r="Q17" s="534">
        <f>P17</f>
        <v>1193292.3201332001</v>
      </c>
      <c r="R17" s="534"/>
      <c r="S17" s="534"/>
      <c r="T17" s="534">
        <f t="shared" si="1"/>
        <v>1193292.3201332001</v>
      </c>
    </row>
    <row r="18" spans="1:20">
      <c r="A18" s="533">
        <f t="shared" si="2"/>
        <v>10</v>
      </c>
      <c r="B18" s="943" t="s">
        <v>1745</v>
      </c>
      <c r="C18" s="944">
        <v>95795505.700000003</v>
      </c>
      <c r="D18" s="944">
        <v>95799406.377200007</v>
      </c>
      <c r="E18" s="944">
        <v>95802447.269200012</v>
      </c>
      <c r="F18" s="944">
        <v>95805813.860800013</v>
      </c>
      <c r="G18" s="944">
        <v>95809071.628600016</v>
      </c>
      <c r="H18" s="944">
        <v>95812438.220200017</v>
      </c>
      <c r="I18" s="944">
        <v>95815695.98800002</v>
      </c>
      <c r="J18" s="944">
        <v>95819062.579600021</v>
      </c>
      <c r="K18" s="944">
        <v>95822429.171200022</v>
      </c>
      <c r="L18" s="944">
        <v>95825686.939000025</v>
      </c>
      <c r="M18" s="944">
        <v>95829053.530600026</v>
      </c>
      <c r="N18" s="944">
        <v>95832311.29840003</v>
      </c>
      <c r="O18" s="944">
        <v>95835677.89000003</v>
      </c>
      <c r="P18" s="534">
        <f t="shared" si="3"/>
        <v>95815738.496369258</v>
      </c>
      <c r="Q18" s="534"/>
      <c r="R18" s="534">
        <f>P18</f>
        <v>95815738.496369258</v>
      </c>
      <c r="S18" s="534"/>
      <c r="T18" s="534">
        <f t="shared" si="1"/>
        <v>95815738.496369258</v>
      </c>
    </row>
    <row r="19" spans="1:20">
      <c r="A19" s="533">
        <f t="shared" si="2"/>
        <v>11</v>
      </c>
      <c r="B19" s="946"/>
      <c r="C19" s="946"/>
      <c r="D19" s="946"/>
      <c r="E19" s="946"/>
      <c r="F19" s="946"/>
      <c r="G19" s="946"/>
      <c r="H19" s="946"/>
      <c r="I19" s="947"/>
      <c r="J19" s="947"/>
      <c r="K19" s="947"/>
      <c r="L19" s="947"/>
      <c r="M19" s="947"/>
      <c r="N19" s="947"/>
      <c r="O19" s="947"/>
      <c r="P19" s="534"/>
      <c r="Q19" s="534"/>
      <c r="R19" s="534"/>
      <c r="S19" s="534"/>
      <c r="T19" s="534">
        <f t="shared" si="1"/>
        <v>0</v>
      </c>
    </row>
    <row r="20" spans="1:20">
      <c r="A20" s="533">
        <f t="shared" si="2"/>
        <v>12</v>
      </c>
      <c r="B20" s="946"/>
      <c r="C20" s="946"/>
      <c r="D20" s="946"/>
      <c r="E20" s="946"/>
      <c r="F20" s="946"/>
      <c r="G20" s="946"/>
      <c r="H20" s="946"/>
      <c r="I20" s="947"/>
      <c r="J20" s="947"/>
      <c r="K20" s="947"/>
      <c r="L20" s="947"/>
      <c r="M20" s="947"/>
      <c r="N20" s="947"/>
      <c r="O20" s="947"/>
      <c r="P20" s="534"/>
      <c r="Q20" s="534"/>
      <c r="R20" s="534"/>
      <c r="S20" s="534"/>
      <c r="T20" s="534">
        <f t="shared" si="1"/>
        <v>0</v>
      </c>
    </row>
    <row r="21" spans="1:20">
      <c r="A21" s="533">
        <f t="shared" si="2"/>
        <v>13</v>
      </c>
      <c r="B21" s="946"/>
      <c r="C21" s="946"/>
      <c r="D21" s="946"/>
      <c r="E21" s="946"/>
      <c r="F21" s="946"/>
      <c r="G21" s="946"/>
      <c r="H21" s="946"/>
      <c r="I21" s="947"/>
      <c r="J21" s="947"/>
      <c r="K21" s="947"/>
      <c r="L21" s="947"/>
      <c r="M21" s="947"/>
      <c r="N21" s="947"/>
      <c r="O21" s="947"/>
      <c r="P21" s="534"/>
      <c r="Q21" s="534"/>
      <c r="R21" s="534"/>
      <c r="S21" s="534"/>
      <c r="T21" s="534">
        <f t="shared" si="1"/>
        <v>0</v>
      </c>
    </row>
    <row r="22" spans="1:20">
      <c r="A22" s="533">
        <f t="shared" si="2"/>
        <v>14</v>
      </c>
      <c r="B22" s="947"/>
      <c r="C22" s="947"/>
      <c r="D22" s="947"/>
      <c r="E22" s="947"/>
      <c r="F22" s="947"/>
      <c r="G22" s="947"/>
      <c r="H22" s="947"/>
      <c r="I22" s="947"/>
      <c r="J22" s="947"/>
      <c r="K22" s="947"/>
      <c r="L22" s="947"/>
      <c r="M22" s="947"/>
      <c r="N22" s="947"/>
      <c r="O22" s="947"/>
      <c r="Q22" s="534"/>
      <c r="R22" s="534"/>
      <c r="S22" s="534"/>
      <c r="T22" s="534">
        <f t="shared" si="1"/>
        <v>0</v>
      </c>
    </row>
    <row r="23" spans="1:20">
      <c r="A23" s="533">
        <f t="shared" si="2"/>
        <v>15</v>
      </c>
      <c r="B23" s="946"/>
      <c r="C23" s="946"/>
      <c r="D23" s="946"/>
      <c r="E23" s="946"/>
      <c r="F23" s="946"/>
      <c r="G23" s="946"/>
      <c r="H23" s="946"/>
      <c r="I23" s="947"/>
      <c r="J23" s="947"/>
      <c r="K23" s="947"/>
      <c r="L23" s="947"/>
      <c r="M23" s="947"/>
      <c r="N23" s="947"/>
      <c r="O23" s="947"/>
      <c r="Q23" s="534"/>
      <c r="R23" s="534"/>
      <c r="S23" s="534"/>
      <c r="T23" s="534">
        <f t="shared" si="1"/>
        <v>0</v>
      </c>
    </row>
    <row r="24" spans="1:20">
      <c r="A24" s="533">
        <f t="shared" si="2"/>
        <v>16</v>
      </c>
      <c r="B24" s="947"/>
      <c r="C24" s="947"/>
      <c r="D24" s="947"/>
      <c r="E24" s="947"/>
      <c r="F24" s="947"/>
      <c r="G24" s="947"/>
      <c r="H24" s="947"/>
      <c r="I24" s="947"/>
      <c r="J24" s="947"/>
      <c r="K24" s="947"/>
      <c r="L24" s="947"/>
      <c r="M24" s="947"/>
      <c r="N24" s="947"/>
      <c r="O24" s="947"/>
      <c r="Q24" s="534"/>
      <c r="R24" s="534"/>
      <c r="S24" s="534"/>
      <c r="T24" s="534">
        <f t="shared" si="1"/>
        <v>0</v>
      </c>
    </row>
    <row r="25" spans="1:20">
      <c r="A25" s="533">
        <f t="shared" si="2"/>
        <v>17</v>
      </c>
      <c r="B25" s="947"/>
      <c r="C25" s="947"/>
      <c r="D25" s="947"/>
      <c r="E25" s="947"/>
      <c r="F25" s="947"/>
      <c r="G25" s="947"/>
      <c r="H25" s="947"/>
      <c r="I25" s="947"/>
      <c r="J25" s="947"/>
      <c r="K25" s="947"/>
      <c r="L25" s="947"/>
      <c r="M25" s="947"/>
      <c r="N25" s="947"/>
      <c r="O25" s="947"/>
      <c r="Q25" s="534"/>
      <c r="R25" s="534"/>
      <c r="S25" s="534"/>
      <c r="T25" s="534">
        <f t="shared" si="1"/>
        <v>0</v>
      </c>
    </row>
    <row r="26" spans="1:20">
      <c r="A26" s="533">
        <f t="shared" si="2"/>
        <v>18</v>
      </c>
      <c r="B26" s="947"/>
      <c r="C26" s="947"/>
      <c r="D26" s="947"/>
      <c r="E26" s="947"/>
      <c r="F26" s="947"/>
      <c r="G26" s="947"/>
      <c r="H26" s="947"/>
      <c r="I26" s="947"/>
      <c r="J26" s="947"/>
      <c r="K26" s="947"/>
      <c r="L26" s="947"/>
      <c r="M26" s="947"/>
      <c r="N26" s="947"/>
      <c r="O26" s="947"/>
      <c r="Q26" s="534"/>
      <c r="R26" s="534"/>
      <c r="S26" s="534"/>
      <c r="T26" s="534">
        <f t="shared" si="1"/>
        <v>0</v>
      </c>
    </row>
    <row r="27" spans="1:20">
      <c r="A27" s="533">
        <f t="shared" si="2"/>
        <v>19</v>
      </c>
      <c r="B27" s="366" t="s">
        <v>13</v>
      </c>
      <c r="C27" s="534">
        <f>SUM(C9:C26)</f>
        <v>211286005.81999999</v>
      </c>
      <c r="D27" s="534">
        <f t="shared" ref="D27:O27" si="5">SUM(D9:D26)</f>
        <v>210445502.49720001</v>
      </c>
      <c r="E27" s="534">
        <f t="shared" si="5"/>
        <v>209557261.3892</v>
      </c>
      <c r="F27" s="534">
        <f t="shared" si="5"/>
        <v>208589248.9808</v>
      </c>
      <c r="G27" s="534">
        <f t="shared" si="5"/>
        <v>208226618.74860001</v>
      </c>
      <c r="H27" s="534">
        <f t="shared" si="5"/>
        <v>266626328.15020001</v>
      </c>
      <c r="I27" s="534">
        <f t="shared" si="5"/>
        <v>266945789.91800004</v>
      </c>
      <c r="J27" s="534">
        <f t="shared" si="5"/>
        <v>268068912.50960004</v>
      </c>
      <c r="K27" s="534">
        <f t="shared" si="5"/>
        <v>269275636.10120004</v>
      </c>
      <c r="L27" s="534">
        <f t="shared" si="5"/>
        <v>270219578.86900002</v>
      </c>
      <c r="M27" s="534">
        <f t="shared" si="5"/>
        <v>270711306.46060002</v>
      </c>
      <c r="N27" s="534">
        <f>SUM(N9:N26)</f>
        <v>271434506.22840005</v>
      </c>
      <c r="O27" s="534">
        <f t="shared" si="5"/>
        <v>306979852.03919405</v>
      </c>
      <c r="P27" s="534">
        <f>AVERAGE(C27:O27)</f>
        <v>249105119.05476877</v>
      </c>
      <c r="Q27" s="534">
        <f>SUM(Q9:Q26)</f>
        <v>24394671.410133198</v>
      </c>
      <c r="R27" s="534">
        <f>SUM(R9:R26)</f>
        <v>154653003.41469759</v>
      </c>
      <c r="S27" s="534">
        <f>SUM(S9:S26)</f>
        <v>70057444.229938</v>
      </c>
      <c r="T27" s="534">
        <f t="shared" si="1"/>
        <v>249105119.05476877</v>
      </c>
    </row>
    <row r="28" spans="1:20">
      <c r="A28" s="533">
        <f t="shared" si="2"/>
        <v>20</v>
      </c>
      <c r="B28" s="366"/>
      <c r="C28" s="534"/>
      <c r="D28" s="534"/>
      <c r="E28" s="534"/>
      <c r="F28" s="534"/>
      <c r="G28" s="534"/>
      <c r="H28" s="534"/>
      <c r="I28" s="534"/>
      <c r="J28" s="534"/>
      <c r="K28" s="534"/>
      <c r="L28" s="534"/>
      <c r="M28" s="534"/>
      <c r="N28" s="534"/>
      <c r="O28" s="534"/>
      <c r="P28" s="535" t="s">
        <v>698</v>
      </c>
      <c r="Q28" s="536">
        <v>1</v>
      </c>
      <c r="R28" s="536">
        <v>0</v>
      </c>
      <c r="S28" s="536">
        <f>'Attachment H-7'!I206</f>
        <v>0.12544749445449754</v>
      </c>
      <c r="T28" s="534"/>
    </row>
    <row r="29" spans="1:20">
      <c r="A29" s="533">
        <f t="shared" si="2"/>
        <v>21</v>
      </c>
      <c r="B29" s="366"/>
      <c r="C29" s="534"/>
      <c r="D29" s="534"/>
      <c r="E29" s="534"/>
      <c r="F29" s="534"/>
      <c r="G29" s="534"/>
      <c r="H29" s="534"/>
      <c r="I29" s="534"/>
      <c r="J29" s="534"/>
      <c r="K29" s="534"/>
      <c r="L29" s="534"/>
      <c r="M29" s="534"/>
      <c r="N29" s="534"/>
      <c r="O29" s="534"/>
      <c r="P29" s="535" t="s">
        <v>786</v>
      </c>
      <c r="Q29" s="534">
        <f>Q27*Q28</f>
        <v>24394671.410133198</v>
      </c>
      <c r="R29" s="534">
        <f t="shared" ref="R29:S29" si="6">R27*R28</f>
        <v>0</v>
      </c>
      <c r="S29" s="534">
        <f t="shared" si="6"/>
        <v>8788530.8465314191</v>
      </c>
      <c r="T29" s="534">
        <f>SUM(Q29:S29)</f>
        <v>33183202.256664619</v>
      </c>
    </row>
    <row r="30" spans="1:20">
      <c r="A30" s="533"/>
    </row>
    <row r="31" spans="1:20">
      <c r="B31" s="366" t="s">
        <v>198</v>
      </c>
      <c r="C31" s="366" t="s">
        <v>199</v>
      </c>
      <c r="D31" s="366" t="s">
        <v>200</v>
      </c>
      <c r="E31" s="366" t="s">
        <v>201</v>
      </c>
      <c r="F31" s="366" t="s">
        <v>203</v>
      </c>
      <c r="G31" s="366" t="s">
        <v>202</v>
      </c>
      <c r="H31" s="366" t="s">
        <v>204</v>
      </c>
      <c r="I31" s="366" t="s">
        <v>205</v>
      </c>
      <c r="J31" s="366" t="s">
        <v>206</v>
      </c>
      <c r="K31" s="366" t="s">
        <v>244</v>
      </c>
      <c r="L31" s="366" t="s">
        <v>248</v>
      </c>
      <c r="M31" s="366" t="s">
        <v>453</v>
      </c>
      <c r="N31" s="366" t="s">
        <v>779</v>
      </c>
      <c r="O31" s="366" t="s">
        <v>780</v>
      </c>
      <c r="P31" s="366" t="s">
        <v>781</v>
      </c>
      <c r="Q31" s="366" t="s">
        <v>782</v>
      </c>
      <c r="R31" s="366" t="s">
        <v>783</v>
      </c>
      <c r="S31" s="366" t="s">
        <v>784</v>
      </c>
      <c r="T31" s="366" t="s">
        <v>787</v>
      </c>
    </row>
    <row r="32" spans="1:20">
      <c r="B32" s="374" t="s">
        <v>208</v>
      </c>
      <c r="C32" s="529" t="s">
        <v>195</v>
      </c>
      <c r="D32" s="366" t="s">
        <v>84</v>
      </c>
      <c r="E32" s="366" t="s">
        <v>83</v>
      </c>
      <c r="F32" s="366" t="s">
        <v>82</v>
      </c>
      <c r="G32" s="366" t="s">
        <v>74</v>
      </c>
      <c r="H32" s="366" t="s">
        <v>73</v>
      </c>
      <c r="I32" s="366" t="s">
        <v>93</v>
      </c>
      <c r="J32" s="366" t="s">
        <v>81</v>
      </c>
      <c r="K32" s="366" t="s">
        <v>80</v>
      </c>
      <c r="L32" s="366" t="s">
        <v>79</v>
      </c>
      <c r="M32" s="366" t="s">
        <v>85</v>
      </c>
      <c r="N32" s="366" t="s">
        <v>78</v>
      </c>
      <c r="O32" s="366" t="s">
        <v>77</v>
      </c>
      <c r="P32" s="366" t="s">
        <v>481</v>
      </c>
      <c r="Q32" s="527" t="s">
        <v>17</v>
      </c>
      <c r="R32" s="527" t="s">
        <v>778</v>
      </c>
      <c r="S32" s="527" t="s">
        <v>685</v>
      </c>
      <c r="T32" s="530" t="s">
        <v>13</v>
      </c>
    </row>
    <row r="33" spans="1:20">
      <c r="B33" s="374"/>
      <c r="C33" s="529"/>
      <c r="D33" s="366"/>
      <c r="E33" s="366"/>
      <c r="F33" s="366"/>
      <c r="G33" s="366"/>
      <c r="H33" s="366"/>
      <c r="I33" s="366"/>
      <c r="J33" s="366"/>
      <c r="K33" s="366"/>
      <c r="L33" s="366"/>
      <c r="M33" s="366"/>
      <c r="N33" s="366"/>
      <c r="O33" s="366"/>
      <c r="P33" s="531" t="s">
        <v>788</v>
      </c>
      <c r="T33" s="532" t="s">
        <v>1075</v>
      </c>
    </row>
    <row r="34" spans="1:20">
      <c r="A34" s="533">
        <f>A29+1</f>
        <v>22</v>
      </c>
      <c r="B34" s="943" t="s">
        <v>1409</v>
      </c>
      <c r="C34" s="944">
        <v>16570181.68</v>
      </c>
      <c r="D34" s="944">
        <v>17163593.822785608</v>
      </c>
      <c r="E34" s="944">
        <v>17729882.35640455</v>
      </c>
      <c r="F34" s="944">
        <v>18270027.687523492</v>
      </c>
      <c r="G34" s="944">
        <v>18798411.477809098</v>
      </c>
      <c r="H34" s="944">
        <v>19562492.414803039</v>
      </c>
      <c r="I34" s="944">
        <v>20564262.744338647</v>
      </c>
      <c r="J34" s="944">
        <v>21568618.828874253</v>
      </c>
      <c r="K34" s="944">
        <v>22579107.42840986</v>
      </c>
      <c r="L34" s="944">
        <v>23594341.601278801</v>
      </c>
      <c r="M34" s="944">
        <v>24611148.583314408</v>
      </c>
      <c r="N34" s="944">
        <v>25625968.581183348</v>
      </c>
      <c r="O34" s="944">
        <v>26930881.227545571</v>
      </c>
      <c r="P34" s="534">
        <f>AVERAGE(C34:O34)</f>
        <v>21043762.956482358</v>
      </c>
      <c r="Q34" s="534"/>
      <c r="R34" s="534"/>
      <c r="S34" s="534">
        <f>P34</f>
        <v>21043762.956482358</v>
      </c>
      <c r="T34" s="534">
        <f>SUM(Q34:S34)</f>
        <v>21043762.956482358</v>
      </c>
    </row>
    <row r="35" spans="1:20">
      <c r="A35" s="533">
        <f>A34+1</f>
        <v>23</v>
      </c>
      <c r="B35" s="943" t="s">
        <v>776</v>
      </c>
      <c r="C35" s="944">
        <v>0</v>
      </c>
      <c r="D35" s="944">
        <v>0</v>
      </c>
      <c r="E35" s="944">
        <v>0</v>
      </c>
      <c r="F35" s="944">
        <v>0</v>
      </c>
      <c r="G35" s="944">
        <v>0</v>
      </c>
      <c r="H35" s="944">
        <v>0</v>
      </c>
      <c r="I35" s="944">
        <v>0</v>
      </c>
      <c r="J35" s="944">
        <v>0</v>
      </c>
      <c r="K35" s="944">
        <v>0</v>
      </c>
      <c r="L35" s="944">
        <v>0</v>
      </c>
      <c r="M35" s="944">
        <v>0</v>
      </c>
      <c r="N35" s="944">
        <v>0</v>
      </c>
      <c r="O35" s="944">
        <v>0</v>
      </c>
      <c r="P35" s="534">
        <f t="shared" ref="P35:P39" si="7">AVERAGE(C35:O35)</f>
        <v>0</v>
      </c>
      <c r="Q35" s="534">
        <f>P35</f>
        <v>0</v>
      </c>
      <c r="R35" s="534"/>
      <c r="S35" s="534"/>
      <c r="T35" s="534">
        <f t="shared" ref="T35:T52" si="8">SUM(Q35:S35)</f>
        <v>0</v>
      </c>
    </row>
    <row r="36" spans="1:20">
      <c r="A36" s="533">
        <f t="shared" ref="A36:A54" si="9">A35+1</f>
        <v>24</v>
      </c>
      <c r="B36" s="943" t="s">
        <v>777</v>
      </c>
      <c r="C36" s="944">
        <v>0</v>
      </c>
      <c r="D36" s="944">
        <v>0</v>
      </c>
      <c r="E36" s="944">
        <v>0</v>
      </c>
      <c r="F36" s="944">
        <v>0</v>
      </c>
      <c r="G36" s="944">
        <v>0</v>
      </c>
      <c r="H36" s="944">
        <v>0</v>
      </c>
      <c r="I36" s="944">
        <v>0</v>
      </c>
      <c r="J36" s="944">
        <v>0</v>
      </c>
      <c r="K36" s="944">
        <v>0</v>
      </c>
      <c r="L36" s="944">
        <v>0</v>
      </c>
      <c r="M36" s="944">
        <v>0</v>
      </c>
      <c r="N36" s="944">
        <v>0</v>
      </c>
      <c r="O36" s="944">
        <v>0</v>
      </c>
      <c r="P36" s="534">
        <f t="shared" si="7"/>
        <v>0</v>
      </c>
      <c r="Q36" s="534"/>
      <c r="R36" s="534">
        <f>P36</f>
        <v>0</v>
      </c>
      <c r="S36" s="534"/>
      <c r="T36" s="534">
        <f t="shared" si="8"/>
        <v>0</v>
      </c>
    </row>
    <row r="37" spans="1:20">
      <c r="A37" s="533">
        <f t="shared" si="9"/>
        <v>25</v>
      </c>
      <c r="B37" s="943" t="s">
        <v>789</v>
      </c>
      <c r="C37" s="944">
        <v>479113.76</v>
      </c>
      <c r="D37" s="944">
        <v>479113.76</v>
      </c>
      <c r="E37" s="944">
        <v>479113.76</v>
      </c>
      <c r="F37" s="944">
        <v>479113.76</v>
      </c>
      <c r="G37" s="944">
        <v>479113.76</v>
      </c>
      <c r="H37" s="944">
        <v>479113.76</v>
      </c>
      <c r="I37" s="944">
        <v>479113.76</v>
      </c>
      <c r="J37" s="944">
        <v>479113.76</v>
      </c>
      <c r="K37" s="944">
        <v>479113.76</v>
      </c>
      <c r="L37" s="944">
        <v>479113.76</v>
      </c>
      <c r="M37" s="944">
        <v>479113.76</v>
      </c>
      <c r="N37" s="944">
        <v>479113.76</v>
      </c>
      <c r="O37" s="944">
        <v>479113.76</v>
      </c>
      <c r="P37" s="534">
        <f t="shared" si="7"/>
        <v>479113.75999999983</v>
      </c>
      <c r="Q37" s="534"/>
      <c r="R37" s="534">
        <f>P37</f>
        <v>479113.75999999983</v>
      </c>
      <c r="S37" s="534"/>
      <c r="T37" s="534">
        <f t="shared" si="8"/>
        <v>479113.75999999983</v>
      </c>
    </row>
    <row r="38" spans="1:20">
      <c r="A38" s="533">
        <f t="shared" si="9"/>
        <v>26</v>
      </c>
      <c r="B38" s="943" t="s">
        <v>1440</v>
      </c>
      <c r="C38" s="944">
        <v>8275859.1480954243</v>
      </c>
      <c r="D38" s="944">
        <v>8412784.8483052067</v>
      </c>
      <c r="E38" s="944">
        <v>8549710.5485149883</v>
      </c>
      <c r="F38" s="944">
        <v>8686636.2487247698</v>
      </c>
      <c r="G38" s="944">
        <v>8823990.029701218</v>
      </c>
      <c r="H38" s="944">
        <v>8962254.4706985001</v>
      </c>
      <c r="I38" s="944">
        <v>9101493.9362582825</v>
      </c>
      <c r="J38" s="944">
        <v>9241903.4432013985</v>
      </c>
      <c r="K38" s="944">
        <v>9383684.8794570137</v>
      </c>
      <c r="L38" s="944">
        <v>9527064.7236626297</v>
      </c>
      <c r="M38" s="944">
        <v>9672512.9620099124</v>
      </c>
      <c r="N38" s="944">
        <v>9820100.3657238614</v>
      </c>
      <c r="O38" s="944">
        <v>9969501.9504336435</v>
      </c>
      <c r="P38" s="534">
        <f t="shared" si="7"/>
        <v>9109807.5042143725</v>
      </c>
      <c r="Q38" s="534"/>
      <c r="R38" s="534">
        <f>P38</f>
        <v>9109807.5042143725</v>
      </c>
      <c r="S38" s="534"/>
      <c r="T38" s="534">
        <f t="shared" si="8"/>
        <v>9109807.5042143725</v>
      </c>
    </row>
    <row r="39" spans="1:20">
      <c r="A39" s="533">
        <f t="shared" si="9"/>
        <v>27</v>
      </c>
      <c r="B39" s="943" t="s">
        <v>813</v>
      </c>
      <c r="C39" s="944">
        <v>23060515.280000001</v>
      </c>
      <c r="D39" s="944">
        <v>23662838.27</v>
      </c>
      <c r="E39" s="944">
        <v>24265161.259999998</v>
      </c>
      <c r="F39" s="944">
        <v>24825980.079999998</v>
      </c>
      <c r="G39" s="944">
        <v>25345294.719999999</v>
      </c>
      <c r="H39" s="944">
        <v>25864609.369999997</v>
      </c>
      <c r="I39" s="944">
        <v>26377520.069999997</v>
      </c>
      <c r="J39" s="944">
        <v>26884026.849999998</v>
      </c>
      <c r="K39" s="944">
        <v>27390533.609999999</v>
      </c>
      <c r="L39" s="944">
        <v>27891861.98</v>
      </c>
      <c r="M39" s="944">
        <v>28388011.940000001</v>
      </c>
      <c r="N39" s="944">
        <v>28884161.900000002</v>
      </c>
      <c r="O39" s="944">
        <v>29380311.860000003</v>
      </c>
      <c r="P39" s="534">
        <f t="shared" si="7"/>
        <v>26324679.014615383</v>
      </c>
      <c r="Q39" s="534"/>
      <c r="R39" s="534">
        <f>P39</f>
        <v>26324679.014615383</v>
      </c>
      <c r="S39" s="534"/>
      <c r="T39" s="534">
        <f t="shared" si="8"/>
        <v>26324679.014615383</v>
      </c>
    </row>
    <row r="40" spans="1:20">
      <c r="A40" s="533">
        <f t="shared" si="9"/>
        <v>28</v>
      </c>
      <c r="B40" s="943" t="s">
        <v>790</v>
      </c>
      <c r="C40" s="944">
        <v>1785289.96</v>
      </c>
      <c r="D40" s="944">
        <v>1816888.02</v>
      </c>
      <c r="E40" s="944">
        <v>1848486.08</v>
      </c>
      <c r="F40" s="944">
        <v>1880084.1300000001</v>
      </c>
      <c r="G40" s="944">
        <v>1895883.1600000001</v>
      </c>
      <c r="H40" s="944">
        <v>1895883.1600000001</v>
      </c>
      <c r="I40" s="944">
        <v>1895883.1600000001</v>
      </c>
      <c r="J40" s="944">
        <v>1895883.1600000001</v>
      </c>
      <c r="K40" s="944">
        <v>1895883.1600000001</v>
      </c>
      <c r="L40" s="944">
        <v>1895883.1600000001</v>
      </c>
      <c r="M40" s="944">
        <v>1895883.1600000001</v>
      </c>
      <c r="N40" s="944">
        <v>1895883.1600000001</v>
      </c>
      <c r="O40" s="944">
        <v>1895883.1600000001</v>
      </c>
      <c r="P40" s="534">
        <f t="shared" ref="P40:P41" si="10">AVERAGE(C40:O40)</f>
        <v>1876438.2023076925</v>
      </c>
      <c r="Q40" s="534"/>
      <c r="R40" s="534">
        <f>P40</f>
        <v>1876438.2023076925</v>
      </c>
      <c r="S40" s="534"/>
      <c r="T40" s="534">
        <f t="shared" si="8"/>
        <v>1876438.2023076925</v>
      </c>
    </row>
    <row r="41" spans="1:20">
      <c r="A41" s="533">
        <f t="shared" si="9"/>
        <v>29</v>
      </c>
      <c r="B41" s="943" t="s">
        <v>1441</v>
      </c>
      <c r="C41" s="944">
        <v>17985517.329999998</v>
      </c>
      <c r="D41" s="944">
        <v>18349591.159999996</v>
      </c>
      <c r="E41" s="944">
        <v>18713664.989999995</v>
      </c>
      <c r="F41" s="944">
        <v>19052090.649999995</v>
      </c>
      <c r="G41" s="944">
        <v>19364868.169999994</v>
      </c>
      <c r="H41" s="944">
        <v>19677645.669999994</v>
      </c>
      <c r="I41" s="944">
        <v>19990423.179999996</v>
      </c>
      <c r="J41" s="944">
        <v>20303200.679999996</v>
      </c>
      <c r="K41" s="944">
        <v>20615978.189999998</v>
      </c>
      <c r="L41" s="944">
        <v>20928755.699999999</v>
      </c>
      <c r="M41" s="944">
        <v>21241533.210000001</v>
      </c>
      <c r="N41" s="944">
        <v>21554310.720000003</v>
      </c>
      <c r="O41" s="944">
        <v>21717144.110000003</v>
      </c>
      <c r="P41" s="534">
        <f t="shared" si="10"/>
        <v>19961132.596923076</v>
      </c>
      <c r="Q41" s="534">
        <f>P41</f>
        <v>19961132.596923076</v>
      </c>
      <c r="R41" s="534"/>
      <c r="S41" s="534"/>
      <c r="T41" s="534">
        <f t="shared" si="8"/>
        <v>19961132.596923076</v>
      </c>
    </row>
    <row r="42" spans="1:20">
      <c r="A42" s="533">
        <f t="shared" si="9"/>
        <v>30</v>
      </c>
      <c r="B42" s="943" t="s">
        <v>1507</v>
      </c>
      <c r="C42" s="944">
        <v>874173.44190457545</v>
      </c>
      <c r="D42" s="944">
        <v>888463.31343392329</v>
      </c>
      <c r="E42" s="944">
        <v>902753.18496327114</v>
      </c>
      <c r="F42" s="944">
        <v>917043.05649261898</v>
      </c>
      <c r="G42" s="944">
        <v>931332.92802196683</v>
      </c>
      <c r="H42" s="944">
        <v>945622.79955131467</v>
      </c>
      <c r="I42" s="944">
        <v>959912.67108066252</v>
      </c>
      <c r="J42" s="944">
        <v>974202.54261001037</v>
      </c>
      <c r="K42" s="944">
        <v>988492.41413935821</v>
      </c>
      <c r="L42" s="944">
        <v>1002782.2856687061</v>
      </c>
      <c r="M42" s="944">
        <v>1017072.1571980539</v>
      </c>
      <c r="N42" s="944">
        <v>1031362.0287274017</v>
      </c>
      <c r="O42" s="944">
        <v>1045651.9002567496</v>
      </c>
      <c r="P42" s="534">
        <f t="shared" ref="P42:P43" si="11">AVERAGE(C42:O42)</f>
        <v>959912.67108066252</v>
      </c>
      <c r="Q42" s="534">
        <f>P42</f>
        <v>959912.67108066252</v>
      </c>
      <c r="R42" s="534"/>
      <c r="S42" s="534"/>
      <c r="T42" s="534">
        <f t="shared" si="8"/>
        <v>959912.67108066252</v>
      </c>
    </row>
    <row r="43" spans="1:20">
      <c r="A43" s="533">
        <f t="shared" si="9"/>
        <v>31</v>
      </c>
      <c r="B43" s="943" t="s">
        <v>1745</v>
      </c>
      <c r="C43" s="944">
        <v>8398473.0199999996</v>
      </c>
      <c r="D43" s="944">
        <v>8398489.2728216667</v>
      </c>
      <c r="E43" s="944">
        <v>8398534.4488483332</v>
      </c>
      <c r="F43" s="944">
        <v>8398606.3227233328</v>
      </c>
      <c r="G43" s="944">
        <v>8398705.7980958335</v>
      </c>
      <c r="H43" s="944">
        <v>8398832.8749658335</v>
      </c>
      <c r="I43" s="944">
        <v>8398987.5533333328</v>
      </c>
      <c r="J43" s="944">
        <v>8399169.8331983332</v>
      </c>
      <c r="K43" s="944">
        <v>8399380.1679933332</v>
      </c>
      <c r="L43" s="944">
        <v>8399618.1042858325</v>
      </c>
      <c r="M43" s="944">
        <v>8399883.6420758329</v>
      </c>
      <c r="N43" s="944">
        <v>8400176.7813633326</v>
      </c>
      <c r="O43" s="944">
        <v>8400497.5221483335</v>
      </c>
      <c r="P43" s="534">
        <f t="shared" si="11"/>
        <v>8399181.1801425647</v>
      </c>
      <c r="Q43" s="534"/>
      <c r="R43" s="534">
        <f>P43</f>
        <v>8399181.1801425647</v>
      </c>
      <c r="S43" s="534"/>
      <c r="T43" s="534">
        <f t="shared" si="8"/>
        <v>8399181.1801425647</v>
      </c>
    </row>
    <row r="44" spans="1:20">
      <c r="A44" s="533">
        <f t="shared" si="9"/>
        <v>32</v>
      </c>
      <c r="B44" s="946"/>
      <c r="C44" s="946"/>
      <c r="D44" s="946"/>
      <c r="E44" s="946"/>
      <c r="F44" s="946"/>
      <c r="G44" s="946"/>
      <c r="H44" s="946"/>
      <c r="I44" s="947"/>
      <c r="J44" s="947"/>
      <c r="K44" s="947"/>
      <c r="L44" s="947"/>
      <c r="M44" s="947"/>
      <c r="N44" s="947"/>
      <c r="O44" s="947"/>
      <c r="P44" s="534"/>
      <c r="Q44" s="534"/>
      <c r="R44" s="534"/>
      <c r="S44" s="534"/>
      <c r="T44" s="534">
        <f t="shared" si="8"/>
        <v>0</v>
      </c>
    </row>
    <row r="45" spans="1:20">
      <c r="A45" s="533">
        <f t="shared" si="9"/>
        <v>33</v>
      </c>
      <c r="B45" s="946"/>
      <c r="C45" s="946"/>
      <c r="D45" s="946"/>
      <c r="E45" s="946"/>
      <c r="F45" s="946"/>
      <c r="G45" s="946"/>
      <c r="H45" s="946"/>
      <c r="I45" s="947"/>
      <c r="J45" s="947"/>
      <c r="K45" s="947"/>
      <c r="L45" s="947"/>
      <c r="M45" s="947"/>
      <c r="N45" s="947"/>
      <c r="O45" s="947"/>
      <c r="P45" s="534"/>
      <c r="Q45" s="534"/>
      <c r="R45" s="534"/>
      <c r="S45" s="534"/>
      <c r="T45" s="534">
        <f t="shared" si="8"/>
        <v>0</v>
      </c>
    </row>
    <row r="46" spans="1:20">
      <c r="A46" s="533">
        <f t="shared" si="9"/>
        <v>34</v>
      </c>
      <c r="B46" s="946"/>
      <c r="C46" s="946"/>
      <c r="D46" s="946"/>
      <c r="E46" s="946"/>
      <c r="F46" s="946"/>
      <c r="G46" s="946"/>
      <c r="H46" s="946"/>
      <c r="I46" s="947"/>
      <c r="J46" s="947"/>
      <c r="K46" s="947"/>
      <c r="L46" s="947"/>
      <c r="M46" s="947"/>
      <c r="N46" s="947"/>
      <c r="O46" s="947"/>
      <c r="P46" s="534"/>
      <c r="Q46" s="534"/>
      <c r="R46" s="534"/>
      <c r="S46" s="534"/>
      <c r="T46" s="534">
        <f t="shared" si="8"/>
        <v>0</v>
      </c>
    </row>
    <row r="47" spans="1:20">
      <c r="A47" s="533">
        <f t="shared" si="9"/>
        <v>35</v>
      </c>
      <c r="B47" s="947"/>
      <c r="C47" s="947"/>
      <c r="D47" s="947"/>
      <c r="E47" s="947"/>
      <c r="F47" s="947"/>
      <c r="G47" s="947"/>
      <c r="H47" s="947"/>
      <c r="I47" s="947"/>
      <c r="J47" s="947"/>
      <c r="K47" s="947"/>
      <c r="L47" s="947"/>
      <c r="M47" s="947"/>
      <c r="N47" s="947"/>
      <c r="O47" s="947"/>
      <c r="Q47" s="534"/>
      <c r="R47" s="534"/>
      <c r="S47" s="534"/>
      <c r="T47" s="534">
        <f t="shared" si="8"/>
        <v>0</v>
      </c>
    </row>
    <row r="48" spans="1:20">
      <c r="A48" s="533">
        <f t="shared" si="9"/>
        <v>36</v>
      </c>
      <c r="B48" s="946"/>
      <c r="C48" s="946"/>
      <c r="D48" s="946"/>
      <c r="E48" s="946"/>
      <c r="F48" s="946"/>
      <c r="G48" s="946"/>
      <c r="H48" s="946"/>
      <c r="I48" s="947"/>
      <c r="J48" s="947"/>
      <c r="K48" s="947"/>
      <c r="L48" s="947"/>
      <c r="M48" s="947"/>
      <c r="N48" s="947"/>
      <c r="O48" s="947"/>
      <c r="Q48" s="534"/>
      <c r="R48" s="534"/>
      <c r="S48" s="534"/>
      <c r="T48" s="534">
        <f t="shared" si="8"/>
        <v>0</v>
      </c>
    </row>
    <row r="49" spans="1:20">
      <c r="A49" s="533">
        <f t="shared" si="9"/>
        <v>37</v>
      </c>
      <c r="B49" s="947"/>
      <c r="C49" s="947"/>
      <c r="D49" s="947"/>
      <c r="E49" s="947"/>
      <c r="F49" s="947"/>
      <c r="G49" s="947"/>
      <c r="H49" s="947"/>
      <c r="I49" s="947"/>
      <c r="J49" s="947"/>
      <c r="K49" s="947"/>
      <c r="L49" s="947"/>
      <c r="M49" s="947"/>
      <c r="N49" s="947"/>
      <c r="O49" s="947"/>
      <c r="Q49" s="534"/>
      <c r="R49" s="534"/>
      <c r="S49" s="534"/>
      <c r="T49" s="534">
        <f t="shared" si="8"/>
        <v>0</v>
      </c>
    </row>
    <row r="50" spans="1:20">
      <c r="A50" s="533">
        <f t="shared" si="9"/>
        <v>38</v>
      </c>
      <c r="B50" s="947"/>
      <c r="C50" s="947"/>
      <c r="D50" s="947"/>
      <c r="E50" s="947"/>
      <c r="F50" s="947"/>
      <c r="G50" s="947"/>
      <c r="H50" s="947"/>
      <c r="I50" s="947"/>
      <c r="J50" s="947"/>
      <c r="K50" s="947"/>
      <c r="L50" s="947"/>
      <c r="M50" s="947"/>
      <c r="N50" s="947"/>
      <c r="O50" s="947"/>
      <c r="Q50" s="534"/>
      <c r="R50" s="534"/>
      <c r="S50" s="534"/>
      <c r="T50" s="534">
        <f t="shared" si="8"/>
        <v>0</v>
      </c>
    </row>
    <row r="51" spans="1:20">
      <c r="A51" s="533">
        <f t="shared" si="9"/>
        <v>39</v>
      </c>
      <c r="B51" s="947"/>
      <c r="C51" s="947"/>
      <c r="D51" s="947"/>
      <c r="E51" s="947"/>
      <c r="F51" s="947"/>
      <c r="G51" s="947"/>
      <c r="H51" s="947"/>
      <c r="I51" s="947"/>
      <c r="J51" s="947"/>
      <c r="K51" s="947"/>
      <c r="L51" s="947"/>
      <c r="M51" s="947"/>
      <c r="N51" s="947"/>
      <c r="O51" s="947"/>
      <c r="Q51" s="534"/>
      <c r="R51" s="534"/>
      <c r="S51" s="534"/>
      <c r="T51" s="534">
        <f t="shared" si="8"/>
        <v>0</v>
      </c>
    </row>
    <row r="52" spans="1:20">
      <c r="A52" s="533">
        <f t="shared" si="9"/>
        <v>40</v>
      </c>
      <c r="B52" s="366" t="s">
        <v>13</v>
      </c>
      <c r="C52" s="534">
        <f>SUM(C34:C51)</f>
        <v>77429123.61999999</v>
      </c>
      <c r="D52" s="534">
        <f t="shared" ref="D52" si="12">SUM(D34:D51)</f>
        <v>79171762.467346415</v>
      </c>
      <c r="E52" s="534">
        <f t="shared" ref="E52" si="13">SUM(E34:E51)</f>
        <v>80887306.628731146</v>
      </c>
      <c r="F52" s="534">
        <f t="shared" ref="F52" si="14">SUM(F34:F51)</f>
        <v>82509581.935464203</v>
      </c>
      <c r="G52" s="534">
        <f t="shared" ref="G52" si="15">SUM(G34:G51)</f>
        <v>84037600.043628111</v>
      </c>
      <c r="H52" s="534">
        <f t="shared" ref="H52" si="16">SUM(H34:H51)</f>
        <v>85786454.520018682</v>
      </c>
      <c r="I52" s="534">
        <f t="shared" ref="I52" si="17">SUM(I34:I51)</f>
        <v>87767597.075010911</v>
      </c>
      <c r="J52" s="534">
        <f t="shared" ref="J52" si="18">SUM(J34:J51)</f>
        <v>89746119.097883984</v>
      </c>
      <c r="K52" s="534">
        <f t="shared" ref="K52" si="19">SUM(K34:K51)</f>
        <v>91732173.609999567</v>
      </c>
      <c r="L52" s="534">
        <f t="shared" ref="L52" si="20">SUM(L34:L51)</f>
        <v>93719421.314895973</v>
      </c>
      <c r="M52" s="534">
        <f t="shared" ref="M52" si="21">SUM(M34:M51)</f>
        <v>95705159.414598212</v>
      </c>
      <c r="N52" s="534">
        <f t="shared" ref="N52" si="22">SUM(N34:N51)</f>
        <v>97691077.296997949</v>
      </c>
      <c r="O52" s="534">
        <f t="shared" ref="O52" si="23">SUM(O34:O51)</f>
        <v>99818985.49038431</v>
      </c>
      <c r="P52" s="534">
        <f>AVERAGE(C52:O52)</f>
        <v>88154027.885766104</v>
      </c>
      <c r="Q52" s="534">
        <f>SUM(Q34:Q51)</f>
        <v>20921045.268003739</v>
      </c>
      <c r="R52" s="534">
        <f>SUM(R34:R51)</f>
        <v>46189219.661280014</v>
      </c>
      <c r="S52" s="534">
        <f>SUM(S34:S51)</f>
        <v>21043762.956482358</v>
      </c>
      <c r="T52" s="534">
        <f t="shared" si="8"/>
        <v>88154027.885766119</v>
      </c>
    </row>
    <row r="53" spans="1:20">
      <c r="A53" s="533">
        <f t="shared" si="9"/>
        <v>41</v>
      </c>
      <c r="B53" s="366"/>
      <c r="C53" s="534"/>
      <c r="D53" s="534"/>
      <c r="E53" s="534"/>
      <c r="F53" s="534"/>
      <c r="G53" s="534"/>
      <c r="H53" s="534"/>
      <c r="I53" s="534"/>
      <c r="J53" s="534"/>
      <c r="K53" s="534"/>
      <c r="L53" s="534"/>
      <c r="M53" s="534"/>
      <c r="N53" s="534"/>
      <c r="O53" s="534"/>
      <c r="P53" s="535" t="s">
        <v>698</v>
      </c>
      <c r="Q53" s="536">
        <f>Q28</f>
        <v>1</v>
      </c>
      <c r="R53" s="536">
        <f t="shared" ref="R53:S53" si="24">R28</f>
        <v>0</v>
      </c>
      <c r="S53" s="536">
        <f t="shared" si="24"/>
        <v>0.12544749445449754</v>
      </c>
      <c r="T53" s="534"/>
    </row>
    <row r="54" spans="1:20">
      <c r="A54" s="533">
        <f t="shared" si="9"/>
        <v>42</v>
      </c>
      <c r="B54" s="366"/>
      <c r="C54" s="534"/>
      <c r="D54" s="534"/>
      <c r="E54" s="534"/>
      <c r="F54" s="534"/>
      <c r="G54" s="534"/>
      <c r="H54" s="534"/>
      <c r="I54" s="534"/>
      <c r="J54" s="534"/>
      <c r="K54" s="534"/>
      <c r="L54" s="534"/>
      <c r="M54" s="534"/>
      <c r="N54" s="534"/>
      <c r="O54" s="534"/>
      <c r="P54" s="535" t="s">
        <v>786</v>
      </c>
      <c r="Q54" s="534">
        <f>Q52*Q53</f>
        <v>20921045.268003739</v>
      </c>
      <c r="R54" s="534">
        <f t="shared" ref="R54" si="25">R52*R53</f>
        <v>0</v>
      </c>
      <c r="S54" s="534">
        <f t="shared" ref="S54" si="26">S52*S53</f>
        <v>2639887.3367850813</v>
      </c>
      <c r="T54" s="534">
        <f>SUM(Q54:S54)</f>
        <v>23560932.604788821</v>
      </c>
    </row>
    <row r="55" spans="1:20">
      <c r="C55" s="528" t="str">
        <f>B1</f>
        <v>PECO Energy Company</v>
      </c>
    </row>
    <row r="56" spans="1:20">
      <c r="B56" s="1248"/>
      <c r="C56" s="1248"/>
      <c r="D56" s="1248"/>
      <c r="E56" s="1248"/>
      <c r="F56" s="1248"/>
      <c r="G56" s="1248"/>
      <c r="H56" s="1248"/>
      <c r="T56" s="527" t="s">
        <v>154</v>
      </c>
    </row>
    <row r="57" spans="1:20">
      <c r="B57" s="1247" t="s">
        <v>652</v>
      </c>
      <c r="C57" s="1247"/>
      <c r="D57" s="1247"/>
      <c r="E57" s="1247"/>
      <c r="F57" s="1247"/>
      <c r="G57" s="1247"/>
    </row>
    <row r="59" spans="1:20">
      <c r="B59" s="366" t="s">
        <v>198</v>
      </c>
      <c r="C59" s="366" t="s">
        <v>199</v>
      </c>
      <c r="D59" s="366" t="s">
        <v>200</v>
      </c>
      <c r="E59" s="366" t="s">
        <v>201</v>
      </c>
      <c r="F59" s="366" t="s">
        <v>203</v>
      </c>
      <c r="G59" s="366" t="s">
        <v>202</v>
      </c>
      <c r="H59" s="366" t="s">
        <v>204</v>
      </c>
      <c r="I59" s="366" t="s">
        <v>205</v>
      </c>
      <c r="J59" s="366" t="s">
        <v>206</v>
      </c>
      <c r="K59" s="366" t="s">
        <v>244</v>
      </c>
      <c r="L59" s="366" t="s">
        <v>248</v>
      </c>
      <c r="M59" s="366" t="s">
        <v>453</v>
      </c>
      <c r="N59" s="366" t="s">
        <v>779</v>
      </c>
      <c r="O59" s="366" t="s">
        <v>780</v>
      </c>
      <c r="P59" s="366" t="s">
        <v>781</v>
      </c>
      <c r="Q59" s="366" t="s">
        <v>782</v>
      </c>
      <c r="R59" s="366" t="s">
        <v>783</v>
      </c>
      <c r="S59" s="366" t="s">
        <v>784</v>
      </c>
      <c r="T59" s="366" t="s">
        <v>787</v>
      </c>
    </row>
    <row r="60" spans="1:20">
      <c r="B60" s="374" t="s">
        <v>785</v>
      </c>
      <c r="C60" s="529" t="s">
        <v>195</v>
      </c>
      <c r="D60" s="366" t="s">
        <v>84</v>
      </c>
      <c r="E60" s="366" t="s">
        <v>83</v>
      </c>
      <c r="F60" s="366" t="s">
        <v>82</v>
      </c>
      <c r="G60" s="366" t="s">
        <v>74</v>
      </c>
      <c r="H60" s="366" t="s">
        <v>73</v>
      </c>
      <c r="I60" s="366" t="s">
        <v>93</v>
      </c>
      <c r="J60" s="366" t="s">
        <v>81</v>
      </c>
      <c r="K60" s="366" t="s">
        <v>80</v>
      </c>
      <c r="L60" s="366" t="s">
        <v>79</v>
      </c>
      <c r="M60" s="366" t="s">
        <v>85</v>
      </c>
      <c r="N60" s="366" t="s">
        <v>78</v>
      </c>
      <c r="O60" s="366" t="s">
        <v>77</v>
      </c>
      <c r="P60" s="366" t="s">
        <v>481</v>
      </c>
      <c r="Q60" s="527" t="s">
        <v>17</v>
      </c>
      <c r="R60" s="527" t="s">
        <v>778</v>
      </c>
      <c r="S60" s="527" t="s">
        <v>685</v>
      </c>
      <c r="T60" s="530" t="s">
        <v>13</v>
      </c>
    </row>
    <row r="61" spans="1:20">
      <c r="B61" s="374" t="str">
        <f>B7&amp;" Minus "&amp;B32</f>
        <v>Gross Plant Minus Accumulated Depreciation</v>
      </c>
      <c r="C61" s="529"/>
      <c r="D61" s="366"/>
      <c r="E61" s="366"/>
      <c r="F61" s="366"/>
      <c r="G61" s="366"/>
      <c r="H61" s="366"/>
      <c r="I61" s="366"/>
      <c r="J61" s="366"/>
      <c r="K61" s="366"/>
      <c r="L61" s="366"/>
      <c r="M61" s="366"/>
      <c r="N61" s="366"/>
      <c r="O61" s="366"/>
      <c r="P61" s="531" t="s">
        <v>788</v>
      </c>
      <c r="T61" s="532" t="s">
        <v>1075</v>
      </c>
    </row>
    <row r="62" spans="1:20">
      <c r="A62" s="533">
        <f>A54+1</f>
        <v>43</v>
      </c>
      <c r="B62" s="943" t="str">
        <f t="shared" ref="B62:B69" si="27">B34</f>
        <v>Intangible - General</v>
      </c>
      <c r="C62" s="537">
        <f t="shared" ref="C62:C79" si="28">C9-C34</f>
        <v>16057819.649999999</v>
      </c>
      <c r="D62" s="537">
        <f t="shared" ref="D62:O62" si="29">D9-D34</f>
        <v>14620003.50721439</v>
      </c>
      <c r="E62" s="537">
        <f t="shared" si="29"/>
        <v>13162432.973595448</v>
      </c>
      <c r="F62" s="537">
        <f t="shared" si="29"/>
        <v>11650908.642476507</v>
      </c>
      <c r="G62" s="537">
        <f t="shared" si="29"/>
        <v>10684740.852190901</v>
      </c>
      <c r="H62" s="537">
        <f t="shared" si="29"/>
        <v>68235953.725196958</v>
      </c>
      <c r="I62" s="537">
        <f t="shared" si="29"/>
        <v>67467681.395661354</v>
      </c>
      <c r="J62" s="537">
        <f t="shared" si="29"/>
        <v>67469279.311125755</v>
      </c>
      <c r="K62" s="537">
        <f t="shared" si="29"/>
        <v>67545534.711590141</v>
      </c>
      <c r="L62" s="537">
        <f t="shared" si="29"/>
        <v>67319146.538721204</v>
      </c>
      <c r="M62" s="537">
        <f t="shared" si="29"/>
        <v>66595153.556685597</v>
      </c>
      <c r="N62" s="537">
        <f t="shared" si="29"/>
        <v>66136550.558816656</v>
      </c>
      <c r="O62" s="537">
        <f t="shared" si="29"/>
        <v>100232651.13164842</v>
      </c>
      <c r="P62" s="534">
        <f>AVERAGE(C62:O62)</f>
        <v>49013681.273455635</v>
      </c>
      <c r="Q62" s="534"/>
      <c r="R62" s="534"/>
      <c r="S62" s="534">
        <f>P62</f>
        <v>49013681.273455635</v>
      </c>
      <c r="T62" s="534">
        <f>SUM(Q62:S62)</f>
        <v>49013681.273455635</v>
      </c>
    </row>
    <row r="63" spans="1:20">
      <c r="A63" s="533">
        <f>A62+1</f>
        <v>44</v>
      </c>
      <c r="B63" s="943" t="str">
        <f t="shared" si="27"/>
        <v>IT NERC CIP - Transmission</v>
      </c>
      <c r="C63" s="537">
        <f t="shared" si="28"/>
        <v>0</v>
      </c>
      <c r="D63" s="537">
        <f t="shared" ref="D63:O63" si="30">D10-D35</f>
        <v>0</v>
      </c>
      <c r="E63" s="537">
        <f t="shared" si="30"/>
        <v>0</v>
      </c>
      <c r="F63" s="537">
        <f t="shared" si="30"/>
        <v>0</v>
      </c>
      <c r="G63" s="537">
        <f t="shared" si="30"/>
        <v>0</v>
      </c>
      <c r="H63" s="537">
        <f t="shared" si="30"/>
        <v>0</v>
      </c>
      <c r="I63" s="537">
        <f t="shared" si="30"/>
        <v>0</v>
      </c>
      <c r="J63" s="537">
        <f t="shared" si="30"/>
        <v>0</v>
      </c>
      <c r="K63" s="537">
        <f t="shared" si="30"/>
        <v>0</v>
      </c>
      <c r="L63" s="537">
        <f t="shared" si="30"/>
        <v>0</v>
      </c>
      <c r="M63" s="537">
        <f t="shared" si="30"/>
        <v>0</v>
      </c>
      <c r="N63" s="537">
        <f t="shared" si="30"/>
        <v>0</v>
      </c>
      <c r="O63" s="537">
        <f t="shared" si="30"/>
        <v>0</v>
      </c>
      <c r="P63" s="534">
        <f t="shared" ref="P63:P70" si="31">AVERAGE(C63:O63)</f>
        <v>0</v>
      </c>
      <c r="Q63" s="534">
        <f>P63</f>
        <v>0</v>
      </c>
      <c r="R63" s="534"/>
      <c r="S63" s="534"/>
      <c r="T63" s="534">
        <f t="shared" ref="T63:T79" si="32">SUM(Q63:S63)</f>
        <v>0</v>
      </c>
    </row>
    <row r="64" spans="1:20">
      <c r="A64" s="533">
        <f t="shared" ref="A64:A82" si="33">A63+1</f>
        <v>45</v>
      </c>
      <c r="B64" s="943" t="str">
        <f t="shared" si="27"/>
        <v>IT NERC CIP - Distribution</v>
      </c>
      <c r="C64" s="537">
        <f t="shared" si="28"/>
        <v>0</v>
      </c>
      <c r="D64" s="537">
        <f t="shared" ref="D64:O64" si="34">D11-D36</f>
        <v>0</v>
      </c>
      <c r="E64" s="537">
        <f t="shared" si="34"/>
        <v>0</v>
      </c>
      <c r="F64" s="537">
        <f t="shared" si="34"/>
        <v>0</v>
      </c>
      <c r="G64" s="537">
        <f t="shared" si="34"/>
        <v>0</v>
      </c>
      <c r="H64" s="537">
        <f t="shared" si="34"/>
        <v>0</v>
      </c>
      <c r="I64" s="537">
        <f t="shared" si="34"/>
        <v>0</v>
      </c>
      <c r="J64" s="537">
        <f t="shared" si="34"/>
        <v>0</v>
      </c>
      <c r="K64" s="537">
        <f t="shared" si="34"/>
        <v>0</v>
      </c>
      <c r="L64" s="537">
        <f t="shared" si="34"/>
        <v>0</v>
      </c>
      <c r="M64" s="537">
        <f t="shared" si="34"/>
        <v>0</v>
      </c>
      <c r="N64" s="537">
        <f t="shared" si="34"/>
        <v>0</v>
      </c>
      <c r="O64" s="537">
        <f t="shared" si="34"/>
        <v>0</v>
      </c>
      <c r="P64" s="534">
        <f t="shared" si="31"/>
        <v>0</v>
      </c>
      <c r="Q64" s="534"/>
      <c r="R64" s="534">
        <f>P64</f>
        <v>0</v>
      </c>
      <c r="S64" s="534"/>
      <c r="T64" s="534">
        <f t="shared" si="32"/>
        <v>0</v>
      </c>
    </row>
    <row r="65" spans="1:20">
      <c r="A65" s="533">
        <f t="shared" si="33"/>
        <v>46</v>
      </c>
      <c r="B65" s="943" t="str">
        <f t="shared" si="27"/>
        <v>IT DSP - Distribution</v>
      </c>
      <c r="C65" s="537">
        <f t="shared" si="28"/>
        <v>354127.52</v>
      </c>
      <c r="D65" s="537">
        <f t="shared" ref="D65:O65" si="35">D12-D37</f>
        <v>354127.52</v>
      </c>
      <c r="E65" s="537">
        <f t="shared" si="35"/>
        <v>354127.52</v>
      </c>
      <c r="F65" s="537">
        <f t="shared" si="35"/>
        <v>354127.52</v>
      </c>
      <c r="G65" s="537">
        <f t="shared" si="35"/>
        <v>354127.52</v>
      </c>
      <c r="H65" s="537">
        <f t="shared" si="35"/>
        <v>354127.52</v>
      </c>
      <c r="I65" s="537">
        <f t="shared" si="35"/>
        <v>354127.52</v>
      </c>
      <c r="J65" s="537">
        <f t="shared" si="35"/>
        <v>354127.52</v>
      </c>
      <c r="K65" s="537">
        <f t="shared" si="35"/>
        <v>354127.52</v>
      </c>
      <c r="L65" s="537">
        <f t="shared" si="35"/>
        <v>354127.52</v>
      </c>
      <c r="M65" s="537">
        <f t="shared" si="35"/>
        <v>354127.52</v>
      </c>
      <c r="N65" s="537">
        <f t="shared" si="35"/>
        <v>354127.52</v>
      </c>
      <c r="O65" s="537">
        <f t="shared" si="35"/>
        <v>354127.52</v>
      </c>
      <c r="P65" s="534">
        <f t="shared" si="31"/>
        <v>354127.51999999996</v>
      </c>
      <c r="Q65" s="534"/>
      <c r="R65" s="534">
        <f>P65</f>
        <v>354127.51999999996</v>
      </c>
      <c r="S65" s="534"/>
      <c r="T65" s="534">
        <f t="shared" si="32"/>
        <v>354127.51999999996</v>
      </c>
    </row>
    <row r="66" spans="1:20">
      <c r="A66" s="533">
        <f t="shared" si="33"/>
        <v>47</v>
      </c>
      <c r="B66" s="943" t="str">
        <f t="shared" si="27"/>
        <v>IT Business Intelligence Data Analysis - Distribution</v>
      </c>
      <c r="C66" s="537">
        <f t="shared" si="28"/>
        <v>3159502.4817713751</v>
      </c>
      <c r="D66" s="537">
        <f t="shared" ref="D66:O66" si="36">D13-D38</f>
        <v>3022576.7815615926</v>
      </c>
      <c r="E66" s="537">
        <f t="shared" si="36"/>
        <v>2885651.0813518111</v>
      </c>
      <c r="F66" s="537">
        <f t="shared" si="36"/>
        <v>2748725.3811420295</v>
      </c>
      <c r="G66" s="537">
        <f t="shared" si="36"/>
        <v>2683267.6001655813</v>
      </c>
      <c r="H66" s="537">
        <f t="shared" si="36"/>
        <v>2626052.1591682993</v>
      </c>
      <c r="I66" s="537">
        <f t="shared" si="36"/>
        <v>2569518.6936085168</v>
      </c>
      <c r="J66" s="537">
        <f t="shared" si="36"/>
        <v>2542911.1866654009</v>
      </c>
      <c r="K66" s="537">
        <f t="shared" si="36"/>
        <v>2517742.7504097857</v>
      </c>
      <c r="L66" s="537">
        <f t="shared" si="36"/>
        <v>2526201.9062041696</v>
      </c>
      <c r="M66" s="537">
        <f t="shared" si="36"/>
        <v>2576300.667856887</v>
      </c>
      <c r="N66" s="537">
        <f t="shared" si="36"/>
        <v>2592438.264142938</v>
      </c>
      <c r="O66" s="537">
        <f t="shared" si="36"/>
        <v>2584002.6794331558</v>
      </c>
      <c r="P66" s="534">
        <f t="shared" si="31"/>
        <v>2694991.6641139654</v>
      </c>
      <c r="Q66" s="534"/>
      <c r="R66" s="534">
        <f>P66</f>
        <v>2694991.6641139654</v>
      </c>
      <c r="S66" s="534"/>
      <c r="T66" s="534">
        <f t="shared" si="32"/>
        <v>2694991.6641139654</v>
      </c>
    </row>
    <row r="67" spans="1:20">
      <c r="A67" s="533">
        <f t="shared" si="33"/>
        <v>48</v>
      </c>
      <c r="B67" s="943" t="str">
        <f t="shared" si="27"/>
        <v>IT Post 2010 and Other - Distribution</v>
      </c>
      <c r="C67" s="537">
        <f t="shared" si="28"/>
        <v>14329126.039999992</v>
      </c>
      <c r="D67" s="537">
        <f t="shared" ref="D67:O67" si="37">D14-D39</f>
        <v>13726803.049999993</v>
      </c>
      <c r="E67" s="537">
        <f t="shared" si="37"/>
        <v>13124480.059999995</v>
      </c>
      <c r="F67" s="537">
        <f t="shared" si="37"/>
        <v>12563661.239999995</v>
      </c>
      <c r="G67" s="537">
        <f t="shared" si="37"/>
        <v>12044346.599999994</v>
      </c>
      <c r="H67" s="537">
        <f t="shared" si="37"/>
        <v>11525031.949999996</v>
      </c>
      <c r="I67" s="537">
        <f t="shared" si="37"/>
        <v>11012121.249999996</v>
      </c>
      <c r="J67" s="537">
        <f t="shared" si="37"/>
        <v>10505614.469999995</v>
      </c>
      <c r="K67" s="537">
        <f t="shared" si="37"/>
        <v>9999107.7099999934</v>
      </c>
      <c r="L67" s="537">
        <f t="shared" si="37"/>
        <v>9497779.3399999924</v>
      </c>
      <c r="M67" s="537">
        <f t="shared" si="37"/>
        <v>9001629.3799999915</v>
      </c>
      <c r="N67" s="537">
        <f t="shared" si="37"/>
        <v>8505479.4199999906</v>
      </c>
      <c r="O67" s="537">
        <f t="shared" si="37"/>
        <v>8009329.4599999897</v>
      </c>
      <c r="P67" s="534">
        <f t="shared" si="31"/>
        <v>11064962.305384608</v>
      </c>
      <c r="Q67" s="534"/>
      <c r="R67" s="534">
        <f>P67</f>
        <v>11064962.305384608</v>
      </c>
      <c r="S67" s="534"/>
      <c r="T67" s="534">
        <f t="shared" si="32"/>
        <v>11064962.305384608</v>
      </c>
    </row>
    <row r="68" spans="1:20">
      <c r="A68" s="533">
        <f t="shared" si="33"/>
        <v>49</v>
      </c>
      <c r="B68" s="943" t="str">
        <f t="shared" si="27"/>
        <v>IT Smart Meter - Distribution</v>
      </c>
      <c r="C68" s="537">
        <f t="shared" si="28"/>
        <v>7024293.1900000004</v>
      </c>
      <c r="D68" s="537">
        <f t="shared" ref="D68:O68" si="38">D15-D40</f>
        <v>6992695.1300000008</v>
      </c>
      <c r="E68" s="537">
        <f t="shared" si="38"/>
        <v>6961097.0700000003</v>
      </c>
      <c r="F68" s="537">
        <f t="shared" si="38"/>
        <v>6929499.0200000005</v>
      </c>
      <c r="G68" s="537">
        <f t="shared" si="38"/>
        <v>6913699.9900000002</v>
      </c>
      <c r="H68" s="537">
        <f t="shared" si="38"/>
        <v>6913699.9900000002</v>
      </c>
      <c r="I68" s="537">
        <f t="shared" si="38"/>
        <v>6913699.9900000002</v>
      </c>
      <c r="J68" s="537">
        <f t="shared" si="38"/>
        <v>6913699.9900000002</v>
      </c>
      <c r="K68" s="537">
        <f t="shared" si="38"/>
        <v>6913699.9900000002</v>
      </c>
      <c r="L68" s="537">
        <f t="shared" si="38"/>
        <v>6913699.9900000002</v>
      </c>
      <c r="M68" s="537">
        <f t="shared" si="38"/>
        <v>6913699.9900000002</v>
      </c>
      <c r="N68" s="537">
        <f t="shared" si="38"/>
        <v>6913699.9900000002</v>
      </c>
      <c r="O68" s="537">
        <f t="shared" si="38"/>
        <v>6913699.9900000002</v>
      </c>
      <c r="P68" s="534">
        <f t="shared" si="31"/>
        <v>6933144.9476923067</v>
      </c>
      <c r="Q68" s="534"/>
      <c r="R68" s="534">
        <f>P68</f>
        <v>6933144.9476923067</v>
      </c>
      <c r="S68" s="534"/>
      <c r="T68" s="534">
        <f t="shared" si="32"/>
        <v>6933144.9476923067</v>
      </c>
    </row>
    <row r="69" spans="1:20">
      <c r="A69" s="533">
        <f t="shared" si="33"/>
        <v>50</v>
      </c>
      <c r="B69" s="943" t="str">
        <f t="shared" si="27"/>
        <v>IT Other - Transmission</v>
      </c>
      <c r="C69" s="537">
        <f t="shared" si="28"/>
        <v>5215861.7600000016</v>
      </c>
      <c r="D69" s="537">
        <f t="shared" ref="D69:O69" si="39">D16-D41</f>
        <v>4851787.9300000034</v>
      </c>
      <c r="E69" s="537">
        <f t="shared" si="39"/>
        <v>4487714.1000000052</v>
      </c>
      <c r="F69" s="537">
        <f t="shared" si="39"/>
        <v>4149288.4400000051</v>
      </c>
      <c r="G69" s="537">
        <f t="shared" si="39"/>
        <v>3836510.9200000055</v>
      </c>
      <c r="H69" s="537">
        <f t="shared" si="39"/>
        <v>3523733.4200000055</v>
      </c>
      <c r="I69" s="537">
        <f t="shared" si="39"/>
        <v>3210955.9100000039</v>
      </c>
      <c r="J69" s="537">
        <f t="shared" si="39"/>
        <v>2898178.4100000039</v>
      </c>
      <c r="K69" s="537">
        <f t="shared" si="39"/>
        <v>2585400.9000000022</v>
      </c>
      <c r="L69" s="537">
        <f t="shared" si="39"/>
        <v>2272623.3900000006</v>
      </c>
      <c r="M69" s="537">
        <f t="shared" si="39"/>
        <v>1959845.879999999</v>
      </c>
      <c r="N69" s="537">
        <f t="shared" si="39"/>
        <v>1647068.3699999973</v>
      </c>
      <c r="O69" s="537">
        <f t="shared" si="39"/>
        <v>1484234.9799999967</v>
      </c>
      <c r="P69" s="534">
        <f t="shared" si="31"/>
        <v>3240246.4930769252</v>
      </c>
      <c r="Q69" s="534">
        <f>P69</f>
        <v>3240246.4930769252</v>
      </c>
      <c r="R69" s="534"/>
      <c r="S69" s="534"/>
      <c r="T69" s="534">
        <f t="shared" si="32"/>
        <v>3240246.4930769252</v>
      </c>
    </row>
    <row r="70" spans="1:20">
      <c r="A70" s="533">
        <f t="shared" si="33"/>
        <v>51</v>
      </c>
      <c r="B70" s="943" t="s">
        <v>1507</v>
      </c>
      <c r="C70" s="537">
        <f t="shared" si="28"/>
        <v>319118.87822862493</v>
      </c>
      <c r="D70" s="537">
        <f t="shared" ref="D70:O70" si="40">D17-D42</f>
        <v>304829.00669927709</v>
      </c>
      <c r="E70" s="537">
        <f t="shared" si="40"/>
        <v>290539.13516992924</v>
      </c>
      <c r="F70" s="537">
        <f t="shared" si="40"/>
        <v>276249.2636405814</v>
      </c>
      <c r="G70" s="537">
        <f t="shared" si="40"/>
        <v>261959.39211123355</v>
      </c>
      <c r="H70" s="537">
        <f t="shared" si="40"/>
        <v>247669.52058188571</v>
      </c>
      <c r="I70" s="537">
        <f t="shared" si="40"/>
        <v>233379.64905253786</v>
      </c>
      <c r="J70" s="537">
        <f t="shared" si="40"/>
        <v>219089.77752319002</v>
      </c>
      <c r="K70" s="537">
        <f t="shared" si="40"/>
        <v>204799.90599384217</v>
      </c>
      <c r="L70" s="537">
        <f t="shared" si="40"/>
        <v>190510.03446449433</v>
      </c>
      <c r="M70" s="537">
        <f t="shared" si="40"/>
        <v>176220.16293514648</v>
      </c>
      <c r="N70" s="537">
        <f t="shared" si="40"/>
        <v>161930.29140579863</v>
      </c>
      <c r="O70" s="537">
        <f t="shared" si="40"/>
        <v>147640.41987645079</v>
      </c>
      <c r="P70" s="534">
        <f t="shared" si="31"/>
        <v>233379.64905253792</v>
      </c>
      <c r="Q70" s="534">
        <f>P70</f>
        <v>233379.64905253792</v>
      </c>
      <c r="R70" s="534"/>
      <c r="S70" s="534"/>
      <c r="T70" s="534">
        <f t="shared" si="32"/>
        <v>233379.64905253792</v>
      </c>
    </row>
    <row r="71" spans="1:20">
      <c r="A71" s="533">
        <f t="shared" si="33"/>
        <v>52</v>
      </c>
      <c r="B71" s="943" t="s">
        <v>1745</v>
      </c>
      <c r="C71" s="537">
        <f t="shared" si="28"/>
        <v>87397032.680000007</v>
      </c>
      <c r="D71" s="537">
        <f t="shared" ref="D71:O71" si="41">D18-D43</f>
        <v>87400917.104378343</v>
      </c>
      <c r="E71" s="537">
        <f t="shared" si="41"/>
        <v>87403912.820351675</v>
      </c>
      <c r="F71" s="537">
        <f t="shared" si="41"/>
        <v>87407207.538076684</v>
      </c>
      <c r="G71" s="537">
        <f t="shared" si="41"/>
        <v>87410365.830504179</v>
      </c>
      <c r="H71" s="537">
        <f t="shared" si="41"/>
        <v>87413605.345234185</v>
      </c>
      <c r="I71" s="537">
        <f t="shared" si="41"/>
        <v>87416708.434666693</v>
      </c>
      <c r="J71" s="537">
        <f t="shared" si="41"/>
        <v>87419892.746401682</v>
      </c>
      <c r="K71" s="537">
        <f t="shared" si="41"/>
        <v>87423049.003206685</v>
      </c>
      <c r="L71" s="537">
        <f t="shared" si="41"/>
        <v>87426068.834714189</v>
      </c>
      <c r="M71" s="537">
        <f t="shared" si="41"/>
        <v>87429169.88852419</v>
      </c>
      <c r="N71" s="537">
        <f t="shared" si="41"/>
        <v>87432134.517036691</v>
      </c>
      <c r="O71" s="537">
        <f t="shared" si="41"/>
        <v>87435180.367851704</v>
      </c>
      <c r="P71" s="534"/>
      <c r="Q71" s="534"/>
      <c r="R71" s="534"/>
      <c r="S71" s="534"/>
      <c r="T71" s="534">
        <f t="shared" si="32"/>
        <v>0</v>
      </c>
    </row>
    <row r="72" spans="1:20">
      <c r="A72" s="533">
        <f t="shared" si="33"/>
        <v>53</v>
      </c>
      <c r="B72" s="946"/>
      <c r="C72" s="537">
        <f t="shared" si="28"/>
        <v>0</v>
      </c>
      <c r="D72" s="537">
        <f t="shared" ref="D72:O72" si="42">D19-D44</f>
        <v>0</v>
      </c>
      <c r="E72" s="537">
        <f t="shared" si="42"/>
        <v>0</v>
      </c>
      <c r="F72" s="537">
        <f t="shared" si="42"/>
        <v>0</v>
      </c>
      <c r="G72" s="537">
        <f t="shared" si="42"/>
        <v>0</v>
      </c>
      <c r="H72" s="537">
        <f t="shared" si="42"/>
        <v>0</v>
      </c>
      <c r="I72" s="537">
        <f t="shared" si="42"/>
        <v>0</v>
      </c>
      <c r="J72" s="537">
        <f t="shared" si="42"/>
        <v>0</v>
      </c>
      <c r="K72" s="537">
        <f t="shared" si="42"/>
        <v>0</v>
      </c>
      <c r="L72" s="537">
        <f t="shared" si="42"/>
        <v>0</v>
      </c>
      <c r="M72" s="537">
        <f t="shared" si="42"/>
        <v>0</v>
      </c>
      <c r="N72" s="537">
        <f t="shared" si="42"/>
        <v>0</v>
      </c>
      <c r="O72" s="537">
        <f t="shared" si="42"/>
        <v>0</v>
      </c>
      <c r="P72" s="534"/>
      <c r="Q72" s="534"/>
      <c r="R72" s="534"/>
      <c r="S72" s="534"/>
      <c r="T72" s="534">
        <f t="shared" si="32"/>
        <v>0</v>
      </c>
    </row>
    <row r="73" spans="1:20">
      <c r="A73" s="533">
        <f t="shared" si="33"/>
        <v>54</v>
      </c>
      <c r="B73" s="946"/>
      <c r="C73" s="537">
        <f t="shared" si="28"/>
        <v>0</v>
      </c>
      <c r="D73" s="537">
        <f t="shared" ref="D73:O73" si="43">D20-D45</f>
        <v>0</v>
      </c>
      <c r="E73" s="537">
        <f t="shared" si="43"/>
        <v>0</v>
      </c>
      <c r="F73" s="537">
        <f t="shared" si="43"/>
        <v>0</v>
      </c>
      <c r="G73" s="537">
        <f t="shared" si="43"/>
        <v>0</v>
      </c>
      <c r="H73" s="537">
        <f t="shared" si="43"/>
        <v>0</v>
      </c>
      <c r="I73" s="537">
        <f t="shared" si="43"/>
        <v>0</v>
      </c>
      <c r="J73" s="537">
        <f t="shared" si="43"/>
        <v>0</v>
      </c>
      <c r="K73" s="537">
        <f t="shared" si="43"/>
        <v>0</v>
      </c>
      <c r="L73" s="537">
        <f t="shared" si="43"/>
        <v>0</v>
      </c>
      <c r="M73" s="537">
        <f t="shared" si="43"/>
        <v>0</v>
      </c>
      <c r="N73" s="537">
        <f t="shared" si="43"/>
        <v>0</v>
      </c>
      <c r="O73" s="537">
        <f t="shared" si="43"/>
        <v>0</v>
      </c>
      <c r="P73" s="534"/>
      <c r="Q73" s="534"/>
      <c r="R73" s="534"/>
      <c r="S73" s="534"/>
      <c r="T73" s="534">
        <f t="shared" si="32"/>
        <v>0</v>
      </c>
    </row>
    <row r="74" spans="1:20">
      <c r="A74" s="533">
        <f t="shared" si="33"/>
        <v>55</v>
      </c>
      <c r="B74" s="946"/>
      <c r="C74" s="537">
        <f t="shared" si="28"/>
        <v>0</v>
      </c>
      <c r="D74" s="537">
        <f t="shared" ref="D74:O74" si="44">D21-D46</f>
        <v>0</v>
      </c>
      <c r="E74" s="537">
        <f t="shared" si="44"/>
        <v>0</v>
      </c>
      <c r="F74" s="537">
        <f t="shared" si="44"/>
        <v>0</v>
      </c>
      <c r="G74" s="537">
        <f t="shared" si="44"/>
        <v>0</v>
      </c>
      <c r="H74" s="537">
        <f t="shared" si="44"/>
        <v>0</v>
      </c>
      <c r="I74" s="537">
        <f t="shared" si="44"/>
        <v>0</v>
      </c>
      <c r="J74" s="537">
        <f t="shared" si="44"/>
        <v>0</v>
      </c>
      <c r="K74" s="537">
        <f t="shared" si="44"/>
        <v>0</v>
      </c>
      <c r="L74" s="537">
        <f t="shared" si="44"/>
        <v>0</v>
      </c>
      <c r="M74" s="537">
        <f t="shared" si="44"/>
        <v>0</v>
      </c>
      <c r="N74" s="537">
        <f t="shared" si="44"/>
        <v>0</v>
      </c>
      <c r="O74" s="537">
        <f t="shared" si="44"/>
        <v>0</v>
      </c>
      <c r="P74" s="534"/>
      <c r="Q74" s="534"/>
      <c r="R74" s="534"/>
      <c r="S74" s="534"/>
      <c r="T74" s="534">
        <f t="shared" si="32"/>
        <v>0</v>
      </c>
    </row>
    <row r="75" spans="1:20">
      <c r="A75" s="533">
        <f t="shared" si="33"/>
        <v>56</v>
      </c>
      <c r="B75" s="947"/>
      <c r="C75" s="537">
        <f t="shared" si="28"/>
        <v>0</v>
      </c>
      <c r="D75" s="537">
        <f t="shared" ref="D75:O75" si="45">D22-D47</f>
        <v>0</v>
      </c>
      <c r="E75" s="537">
        <f t="shared" si="45"/>
        <v>0</v>
      </c>
      <c r="F75" s="537">
        <f t="shared" si="45"/>
        <v>0</v>
      </c>
      <c r="G75" s="537">
        <f t="shared" si="45"/>
        <v>0</v>
      </c>
      <c r="H75" s="537">
        <f t="shared" si="45"/>
        <v>0</v>
      </c>
      <c r="I75" s="537">
        <f t="shared" si="45"/>
        <v>0</v>
      </c>
      <c r="J75" s="537">
        <f t="shared" si="45"/>
        <v>0</v>
      </c>
      <c r="K75" s="537">
        <f t="shared" si="45"/>
        <v>0</v>
      </c>
      <c r="L75" s="537">
        <f t="shared" si="45"/>
        <v>0</v>
      </c>
      <c r="M75" s="537">
        <f t="shared" si="45"/>
        <v>0</v>
      </c>
      <c r="N75" s="537">
        <f t="shared" si="45"/>
        <v>0</v>
      </c>
      <c r="O75" s="537">
        <f t="shared" si="45"/>
        <v>0</v>
      </c>
      <c r="Q75" s="534"/>
      <c r="R75" s="534"/>
      <c r="S75" s="534"/>
      <c r="T75" s="534">
        <f t="shared" si="32"/>
        <v>0</v>
      </c>
    </row>
    <row r="76" spans="1:20">
      <c r="A76" s="533">
        <f t="shared" si="33"/>
        <v>57</v>
      </c>
      <c r="B76" s="946"/>
      <c r="C76" s="537">
        <f t="shared" si="28"/>
        <v>0</v>
      </c>
      <c r="D76" s="537">
        <f t="shared" ref="D76:O76" si="46">D23-D48</f>
        <v>0</v>
      </c>
      <c r="E76" s="537">
        <f t="shared" si="46"/>
        <v>0</v>
      </c>
      <c r="F76" s="537">
        <f t="shared" si="46"/>
        <v>0</v>
      </c>
      <c r="G76" s="537">
        <f t="shared" si="46"/>
        <v>0</v>
      </c>
      <c r="H76" s="537">
        <f t="shared" si="46"/>
        <v>0</v>
      </c>
      <c r="I76" s="537">
        <f t="shared" si="46"/>
        <v>0</v>
      </c>
      <c r="J76" s="537">
        <f t="shared" si="46"/>
        <v>0</v>
      </c>
      <c r="K76" s="537">
        <f t="shared" si="46"/>
        <v>0</v>
      </c>
      <c r="L76" s="537">
        <f t="shared" si="46"/>
        <v>0</v>
      </c>
      <c r="M76" s="537">
        <f t="shared" si="46"/>
        <v>0</v>
      </c>
      <c r="N76" s="537">
        <f t="shared" si="46"/>
        <v>0</v>
      </c>
      <c r="O76" s="537">
        <f t="shared" si="46"/>
        <v>0</v>
      </c>
      <c r="Q76" s="534"/>
      <c r="R76" s="534"/>
      <c r="S76" s="534"/>
      <c r="T76" s="534">
        <f t="shared" si="32"/>
        <v>0</v>
      </c>
    </row>
    <row r="77" spans="1:20">
      <c r="A77" s="533">
        <f t="shared" si="33"/>
        <v>58</v>
      </c>
      <c r="B77" s="947"/>
      <c r="C77" s="537">
        <f t="shared" si="28"/>
        <v>0</v>
      </c>
      <c r="D77" s="537">
        <f t="shared" ref="D77:O77" si="47">D24-D49</f>
        <v>0</v>
      </c>
      <c r="E77" s="537">
        <f t="shared" si="47"/>
        <v>0</v>
      </c>
      <c r="F77" s="537">
        <f t="shared" si="47"/>
        <v>0</v>
      </c>
      <c r="G77" s="537">
        <f t="shared" si="47"/>
        <v>0</v>
      </c>
      <c r="H77" s="537">
        <f t="shared" si="47"/>
        <v>0</v>
      </c>
      <c r="I77" s="537">
        <f t="shared" si="47"/>
        <v>0</v>
      </c>
      <c r="J77" s="537">
        <f t="shared" si="47"/>
        <v>0</v>
      </c>
      <c r="K77" s="537">
        <f t="shared" si="47"/>
        <v>0</v>
      </c>
      <c r="L77" s="537">
        <f t="shared" si="47"/>
        <v>0</v>
      </c>
      <c r="M77" s="537">
        <f t="shared" si="47"/>
        <v>0</v>
      </c>
      <c r="N77" s="537">
        <f t="shared" si="47"/>
        <v>0</v>
      </c>
      <c r="O77" s="537">
        <f t="shared" si="47"/>
        <v>0</v>
      </c>
      <c r="Q77" s="534"/>
      <c r="R77" s="534"/>
      <c r="S77" s="534"/>
      <c r="T77" s="534">
        <f t="shared" si="32"/>
        <v>0</v>
      </c>
    </row>
    <row r="78" spans="1:20">
      <c r="A78" s="533">
        <f t="shared" si="33"/>
        <v>59</v>
      </c>
      <c r="B78" s="947"/>
      <c r="C78" s="537">
        <f t="shared" si="28"/>
        <v>0</v>
      </c>
      <c r="D78" s="537">
        <f t="shared" ref="D78:O78" si="48">D25-D50</f>
        <v>0</v>
      </c>
      <c r="E78" s="537">
        <f t="shared" si="48"/>
        <v>0</v>
      </c>
      <c r="F78" s="537">
        <f t="shared" si="48"/>
        <v>0</v>
      </c>
      <c r="G78" s="537">
        <f t="shared" si="48"/>
        <v>0</v>
      </c>
      <c r="H78" s="537">
        <f t="shared" si="48"/>
        <v>0</v>
      </c>
      <c r="I78" s="537">
        <f t="shared" si="48"/>
        <v>0</v>
      </c>
      <c r="J78" s="537">
        <f t="shared" si="48"/>
        <v>0</v>
      </c>
      <c r="K78" s="537">
        <f t="shared" si="48"/>
        <v>0</v>
      </c>
      <c r="L78" s="537">
        <f t="shared" si="48"/>
        <v>0</v>
      </c>
      <c r="M78" s="537">
        <f t="shared" si="48"/>
        <v>0</v>
      </c>
      <c r="N78" s="537">
        <f t="shared" si="48"/>
        <v>0</v>
      </c>
      <c r="O78" s="537">
        <f t="shared" si="48"/>
        <v>0</v>
      </c>
      <c r="Q78" s="534"/>
      <c r="R78" s="534"/>
      <c r="S78" s="534"/>
      <c r="T78" s="534">
        <f t="shared" si="32"/>
        <v>0</v>
      </c>
    </row>
    <row r="79" spans="1:20">
      <c r="A79" s="533">
        <f t="shared" si="33"/>
        <v>60</v>
      </c>
      <c r="B79" s="947"/>
      <c r="C79" s="537">
        <f t="shared" si="28"/>
        <v>0</v>
      </c>
      <c r="D79" s="537">
        <f t="shared" ref="D79:O79" si="49">D26-D51</f>
        <v>0</v>
      </c>
      <c r="E79" s="537">
        <f t="shared" si="49"/>
        <v>0</v>
      </c>
      <c r="F79" s="537">
        <f t="shared" si="49"/>
        <v>0</v>
      </c>
      <c r="G79" s="537">
        <f t="shared" si="49"/>
        <v>0</v>
      </c>
      <c r="H79" s="537">
        <f t="shared" si="49"/>
        <v>0</v>
      </c>
      <c r="I79" s="537">
        <f t="shared" si="49"/>
        <v>0</v>
      </c>
      <c r="J79" s="537">
        <f t="shared" si="49"/>
        <v>0</v>
      </c>
      <c r="K79" s="537">
        <f t="shared" si="49"/>
        <v>0</v>
      </c>
      <c r="L79" s="537">
        <f t="shared" si="49"/>
        <v>0</v>
      </c>
      <c r="M79" s="537">
        <f t="shared" si="49"/>
        <v>0</v>
      </c>
      <c r="N79" s="537">
        <f t="shared" si="49"/>
        <v>0</v>
      </c>
      <c r="O79" s="537">
        <f t="shared" si="49"/>
        <v>0</v>
      </c>
      <c r="Q79" s="534"/>
      <c r="R79" s="534"/>
      <c r="S79" s="534"/>
      <c r="T79" s="534">
        <f t="shared" si="32"/>
        <v>0</v>
      </c>
    </row>
    <row r="80" spans="1:20">
      <c r="A80" s="533">
        <f t="shared" si="33"/>
        <v>61</v>
      </c>
      <c r="B80" s="366" t="s">
        <v>13</v>
      </c>
      <c r="C80" s="534">
        <f>SUM(C62:C79)</f>
        <v>133856882.19999999</v>
      </c>
      <c r="D80" s="534">
        <f t="shared" ref="D80:O80" si="50">SUM(D62:D79)</f>
        <v>131273740.0298536</v>
      </c>
      <c r="E80" s="534">
        <f t="shared" si="50"/>
        <v>128669954.76046887</v>
      </c>
      <c r="F80" s="534">
        <f t="shared" si="50"/>
        <v>126079667.0453358</v>
      </c>
      <c r="G80" s="534">
        <f t="shared" si="50"/>
        <v>124189018.70497191</v>
      </c>
      <c r="H80" s="534">
        <f t="shared" si="50"/>
        <v>180839873.63018131</v>
      </c>
      <c r="I80" s="534">
        <f t="shared" si="50"/>
        <v>179178192.84298909</v>
      </c>
      <c r="J80" s="534">
        <f t="shared" si="50"/>
        <v>178322793.41171604</v>
      </c>
      <c r="K80" s="534">
        <f t="shared" si="50"/>
        <v>177543462.49120045</v>
      </c>
      <c r="L80" s="534">
        <f t="shared" si="50"/>
        <v>176500157.55410403</v>
      </c>
      <c r="M80" s="534">
        <f t="shared" si="50"/>
        <v>175006147.04600179</v>
      </c>
      <c r="N80" s="534">
        <f t="shared" si="50"/>
        <v>173743428.93140209</v>
      </c>
      <c r="O80" s="534">
        <f t="shared" si="50"/>
        <v>207160866.54880971</v>
      </c>
      <c r="P80" s="534">
        <f t="shared" ref="P80" si="51">SUM(P62:P79)</f>
        <v>73534533.852775976</v>
      </c>
      <c r="Q80" s="534">
        <f t="shared" ref="Q80" si="52">SUM(Q62:Q79)</f>
        <v>3473626.1421294631</v>
      </c>
      <c r="R80" s="534">
        <f t="shared" ref="R80" si="53">SUM(R62:R79)</f>
        <v>21047226.437190883</v>
      </c>
      <c r="S80" s="534">
        <f t="shared" ref="S80" si="54">SUM(S62:S79)</f>
        <v>49013681.273455635</v>
      </c>
      <c r="T80" s="534">
        <f t="shared" ref="T80" si="55">SUM(T62:T79)</f>
        <v>73534533.852775976</v>
      </c>
    </row>
    <row r="81" spans="1:20">
      <c r="A81" s="533">
        <f t="shared" si="33"/>
        <v>62</v>
      </c>
      <c r="B81" s="366"/>
      <c r="C81" s="534"/>
      <c r="D81" s="534"/>
      <c r="E81" s="534"/>
      <c r="F81" s="534"/>
      <c r="G81" s="534"/>
      <c r="H81" s="534"/>
      <c r="I81" s="534"/>
      <c r="J81" s="534"/>
      <c r="K81" s="534"/>
      <c r="L81" s="534"/>
      <c r="M81" s="534"/>
      <c r="N81" s="534"/>
      <c r="O81" s="534"/>
      <c r="P81" s="535" t="s">
        <v>698</v>
      </c>
      <c r="Q81" s="536">
        <f>Q53</f>
        <v>1</v>
      </c>
      <c r="R81" s="536">
        <f t="shared" ref="R81:S81" si="56">R53</f>
        <v>0</v>
      </c>
      <c r="S81" s="536">
        <f t="shared" si="56"/>
        <v>0.12544749445449754</v>
      </c>
      <c r="T81" s="534"/>
    </row>
    <row r="82" spans="1:20">
      <c r="A82" s="533">
        <f t="shared" si="33"/>
        <v>63</v>
      </c>
      <c r="B82" s="366"/>
      <c r="C82" s="534"/>
      <c r="D82" s="534"/>
      <c r="E82" s="534"/>
      <c r="F82" s="534"/>
      <c r="G82" s="534"/>
      <c r="H82" s="534"/>
      <c r="I82" s="534"/>
      <c r="J82" s="534"/>
      <c r="K82" s="534"/>
      <c r="L82" s="534"/>
      <c r="M82" s="534"/>
      <c r="N82" s="534"/>
      <c r="O82" s="534"/>
      <c r="P82" s="535" t="s">
        <v>786</v>
      </c>
      <c r="Q82" s="534">
        <f>Q80*Q81</f>
        <v>3473626.1421294631</v>
      </c>
      <c r="R82" s="534">
        <f t="shared" ref="R82" si="57">R80*R81</f>
        <v>0</v>
      </c>
      <c r="S82" s="534">
        <f>S80*S81</f>
        <v>6148643.5097463354</v>
      </c>
      <c r="T82" s="534">
        <f>SUM(Q82:S82)</f>
        <v>9622269.6518757977</v>
      </c>
    </row>
    <row r="84" spans="1:20">
      <c r="B84" s="366" t="s">
        <v>198</v>
      </c>
      <c r="C84" s="366" t="s">
        <v>199</v>
      </c>
      <c r="D84" s="366" t="s">
        <v>200</v>
      </c>
      <c r="E84" s="366" t="s">
        <v>201</v>
      </c>
      <c r="F84" s="366" t="s">
        <v>203</v>
      </c>
      <c r="G84" s="366" t="s">
        <v>202</v>
      </c>
      <c r="H84" s="366"/>
      <c r="I84" s="366"/>
      <c r="J84" s="366"/>
      <c r="K84" s="366"/>
      <c r="L84" s="366"/>
      <c r="M84" s="366"/>
      <c r="N84" s="366"/>
      <c r="O84" s="366"/>
      <c r="P84" s="366"/>
      <c r="Q84" s="366"/>
      <c r="R84" s="366"/>
      <c r="S84" s="366"/>
      <c r="T84" s="366"/>
    </row>
    <row r="85" spans="1:20">
      <c r="B85" s="374"/>
      <c r="C85" s="366" t="s">
        <v>13</v>
      </c>
      <c r="D85" s="527" t="s">
        <v>17</v>
      </c>
      <c r="E85" s="527" t="s">
        <v>778</v>
      </c>
      <c r="F85" s="527" t="s">
        <v>685</v>
      </c>
      <c r="G85" s="530" t="s">
        <v>13</v>
      </c>
      <c r="H85" s="366"/>
      <c r="I85" s="366"/>
      <c r="J85" s="366"/>
      <c r="K85" s="366"/>
      <c r="L85" s="366"/>
      <c r="M85" s="366"/>
      <c r="N85" s="366"/>
      <c r="O85" s="366"/>
    </row>
    <row r="86" spans="1:20">
      <c r="B86" s="374" t="s">
        <v>662</v>
      </c>
      <c r="C86" s="531"/>
      <c r="G86" s="532" t="s">
        <v>1076</v>
      </c>
      <c r="H86" s="366"/>
      <c r="I86" s="366"/>
      <c r="J86" s="366"/>
      <c r="K86" s="366"/>
      <c r="L86" s="366"/>
      <c r="M86" s="366"/>
      <c r="N86" s="366"/>
      <c r="O86" s="366"/>
    </row>
    <row r="87" spans="1:20">
      <c r="A87" s="533">
        <f>A82+1</f>
        <v>64</v>
      </c>
      <c r="B87" s="943" t="s">
        <v>1409</v>
      </c>
      <c r="C87" s="944">
        <v>6079372.8700000001</v>
      </c>
      <c r="D87" s="534"/>
      <c r="E87" s="534"/>
      <c r="F87" s="534">
        <f>C87</f>
        <v>6079372.8700000001</v>
      </c>
      <c r="G87" s="534">
        <f>SUM(D87:F87)</f>
        <v>6079372.8700000001</v>
      </c>
      <c r="H87" s="537"/>
      <c r="I87" s="537"/>
      <c r="J87" s="537"/>
      <c r="K87" s="537"/>
      <c r="L87" s="537"/>
      <c r="M87" s="537"/>
      <c r="N87" s="537"/>
      <c r="O87" s="537"/>
    </row>
    <row r="88" spans="1:20">
      <c r="A88" s="533">
        <f>A87+1</f>
        <v>65</v>
      </c>
      <c r="B88" s="943" t="s">
        <v>776</v>
      </c>
      <c r="C88" s="944">
        <v>0</v>
      </c>
      <c r="D88" s="534">
        <f>C88</f>
        <v>0</v>
      </c>
      <c r="E88" s="534"/>
      <c r="F88" s="534"/>
      <c r="G88" s="534">
        <f t="shared" ref="G88:G105" si="58">SUM(D88:F88)</f>
        <v>0</v>
      </c>
      <c r="H88" s="537"/>
      <c r="I88" s="537"/>
      <c r="J88" s="537"/>
      <c r="K88" s="537"/>
      <c r="L88" s="537"/>
      <c r="M88" s="537"/>
      <c r="N88" s="537"/>
      <c r="O88" s="537"/>
    </row>
    <row r="89" spans="1:20">
      <c r="A89" s="533">
        <f t="shared" ref="A89:A107" si="59">A88+1</f>
        <v>66</v>
      </c>
      <c r="B89" s="943" t="s">
        <v>777</v>
      </c>
      <c r="C89" s="944">
        <v>0</v>
      </c>
      <c r="D89" s="534"/>
      <c r="E89" s="534">
        <f>C89</f>
        <v>0</v>
      </c>
      <c r="F89" s="534"/>
      <c r="G89" s="534">
        <f t="shared" si="58"/>
        <v>0</v>
      </c>
      <c r="H89" s="537"/>
      <c r="I89" s="537"/>
      <c r="J89" s="537"/>
      <c r="K89" s="537"/>
      <c r="L89" s="537"/>
      <c r="M89" s="537"/>
      <c r="N89" s="537"/>
      <c r="O89" s="537"/>
    </row>
    <row r="90" spans="1:20">
      <c r="A90" s="533">
        <f t="shared" si="59"/>
        <v>67</v>
      </c>
      <c r="B90" s="943" t="s">
        <v>789</v>
      </c>
      <c r="C90" s="944">
        <v>0</v>
      </c>
      <c r="D90" s="534"/>
      <c r="E90" s="534">
        <f>C90</f>
        <v>0</v>
      </c>
      <c r="F90" s="534"/>
      <c r="G90" s="534">
        <f t="shared" si="58"/>
        <v>0</v>
      </c>
      <c r="H90" s="537"/>
      <c r="I90" s="537"/>
      <c r="J90" s="537"/>
      <c r="K90" s="537"/>
      <c r="L90" s="537"/>
      <c r="M90" s="537"/>
      <c r="N90" s="537"/>
      <c r="O90" s="537"/>
    </row>
    <row r="91" spans="1:20">
      <c r="A91" s="533">
        <f t="shared" si="59"/>
        <v>68</v>
      </c>
      <c r="B91" s="943" t="s">
        <v>1440</v>
      </c>
      <c r="C91" s="944">
        <v>1633759.9081581379</v>
      </c>
      <c r="D91" s="534"/>
      <c r="E91" s="534">
        <f>C91</f>
        <v>1633759.9081581379</v>
      </c>
      <c r="F91" s="534"/>
      <c r="G91" s="534">
        <f t="shared" si="58"/>
        <v>1633759.9081581379</v>
      </c>
      <c r="H91" s="537"/>
      <c r="I91" s="537"/>
      <c r="J91" s="537"/>
      <c r="K91" s="537"/>
      <c r="L91" s="537"/>
      <c r="M91" s="537"/>
      <c r="N91" s="537"/>
      <c r="O91" s="537"/>
    </row>
    <row r="92" spans="1:20">
      <c r="A92" s="533">
        <f t="shared" si="59"/>
        <v>69</v>
      </c>
      <c r="B92" s="943" t="s">
        <v>813</v>
      </c>
      <c r="C92" s="944">
        <v>7336446.8299999991</v>
      </c>
      <c r="D92" s="534"/>
      <c r="E92" s="534">
        <f>C92</f>
        <v>7336446.8299999991</v>
      </c>
      <c r="F92" s="534"/>
      <c r="G92" s="534">
        <f t="shared" si="58"/>
        <v>7336446.8299999991</v>
      </c>
      <c r="H92" s="537"/>
      <c r="I92" s="537"/>
      <c r="J92" s="537"/>
      <c r="K92" s="537"/>
      <c r="L92" s="537"/>
      <c r="M92" s="537"/>
      <c r="N92" s="537"/>
      <c r="O92" s="537"/>
    </row>
    <row r="93" spans="1:20">
      <c r="A93" s="533">
        <f t="shared" si="59"/>
        <v>70</v>
      </c>
      <c r="B93" s="943" t="s">
        <v>790</v>
      </c>
      <c r="C93" s="944">
        <v>379176.6</v>
      </c>
      <c r="D93" s="534"/>
      <c r="E93" s="534">
        <f>C93</f>
        <v>379176.6</v>
      </c>
      <c r="F93" s="534"/>
      <c r="G93" s="534">
        <f t="shared" si="58"/>
        <v>379176.6</v>
      </c>
      <c r="H93" s="537"/>
      <c r="I93" s="537"/>
      <c r="J93" s="537"/>
      <c r="K93" s="537"/>
      <c r="L93" s="537"/>
      <c r="M93" s="537"/>
      <c r="N93" s="537"/>
      <c r="O93" s="537"/>
    </row>
    <row r="94" spans="1:20">
      <c r="A94" s="533">
        <f t="shared" si="59"/>
        <v>71</v>
      </c>
      <c r="B94" s="943" t="s">
        <v>1441</v>
      </c>
      <c r="C94" s="944">
        <v>4565486.07</v>
      </c>
      <c r="D94" s="534">
        <f>C94</f>
        <v>4565486.07</v>
      </c>
      <c r="E94" s="534"/>
      <c r="F94" s="534"/>
      <c r="G94" s="534">
        <f>SUM(D94:F94)</f>
        <v>4565486.07</v>
      </c>
      <c r="H94" s="537"/>
      <c r="I94" s="537"/>
      <c r="J94" s="537"/>
      <c r="K94" s="537"/>
      <c r="L94" s="537"/>
      <c r="M94" s="537"/>
      <c r="N94" s="537"/>
      <c r="O94" s="537"/>
    </row>
    <row r="95" spans="1:20">
      <c r="A95" s="533">
        <f t="shared" si="59"/>
        <v>72</v>
      </c>
      <c r="B95" s="943" t="s">
        <v>1507</v>
      </c>
      <c r="C95" s="944">
        <v>166496.80184186209</v>
      </c>
      <c r="D95" s="534">
        <f>C95</f>
        <v>166496.80184186209</v>
      </c>
      <c r="E95" s="534"/>
      <c r="F95" s="534"/>
      <c r="G95" s="534">
        <f>SUM(D95:F95)</f>
        <v>166496.80184186209</v>
      </c>
      <c r="H95" s="537"/>
      <c r="I95" s="537"/>
      <c r="J95" s="537"/>
      <c r="K95" s="537"/>
      <c r="L95" s="537"/>
      <c r="M95" s="537"/>
      <c r="N95" s="537"/>
      <c r="O95" s="537"/>
    </row>
    <row r="96" spans="1:20">
      <c r="A96" s="533">
        <f t="shared" si="59"/>
        <v>73</v>
      </c>
      <c r="B96" s="943" t="s">
        <v>1752</v>
      </c>
      <c r="C96" s="944">
        <v>8092506.1200000001</v>
      </c>
      <c r="D96" s="534"/>
      <c r="E96" s="534">
        <f>C96</f>
        <v>8092506.1200000001</v>
      </c>
      <c r="F96" s="534"/>
      <c r="G96" s="534">
        <f t="shared" si="58"/>
        <v>8092506.1200000001</v>
      </c>
      <c r="H96" s="537"/>
      <c r="I96" s="537"/>
      <c r="J96" s="537"/>
      <c r="K96" s="537"/>
      <c r="L96" s="537"/>
      <c r="M96" s="537"/>
      <c r="N96" s="537"/>
      <c r="O96" s="537"/>
    </row>
    <row r="97" spans="1:15">
      <c r="A97" s="533">
        <f t="shared" si="59"/>
        <v>74</v>
      </c>
      <c r="B97" s="946"/>
      <c r="C97" s="944">
        <v>0</v>
      </c>
      <c r="D97" s="534"/>
      <c r="E97" s="534"/>
      <c r="F97" s="534"/>
      <c r="G97" s="534">
        <f t="shared" si="58"/>
        <v>0</v>
      </c>
      <c r="H97" s="537"/>
      <c r="I97" s="537"/>
      <c r="J97" s="537"/>
      <c r="K97" s="537"/>
      <c r="L97" s="537"/>
      <c r="M97" s="537"/>
      <c r="N97" s="537"/>
      <c r="O97" s="537"/>
    </row>
    <row r="98" spans="1:15">
      <c r="A98" s="533">
        <f t="shared" si="59"/>
        <v>75</v>
      </c>
      <c r="B98" s="946"/>
      <c r="C98" s="944">
        <v>0</v>
      </c>
      <c r="D98" s="534"/>
      <c r="E98" s="534"/>
      <c r="F98" s="534"/>
      <c r="G98" s="534">
        <f t="shared" si="58"/>
        <v>0</v>
      </c>
      <c r="H98" s="537"/>
      <c r="I98" s="537"/>
      <c r="J98" s="537"/>
      <c r="K98" s="537"/>
      <c r="L98" s="537"/>
      <c r="M98" s="537"/>
      <c r="N98" s="537"/>
      <c r="O98" s="537"/>
    </row>
    <row r="99" spans="1:15">
      <c r="A99" s="533">
        <f t="shared" si="59"/>
        <v>76</v>
      </c>
      <c r="B99" s="946"/>
      <c r="C99" s="944">
        <v>0</v>
      </c>
      <c r="D99" s="534"/>
      <c r="E99" s="534"/>
      <c r="F99" s="534"/>
      <c r="G99" s="534">
        <f t="shared" si="58"/>
        <v>0</v>
      </c>
      <c r="H99" s="537"/>
      <c r="I99" s="537"/>
      <c r="J99" s="537"/>
      <c r="K99" s="537"/>
      <c r="L99" s="537"/>
      <c r="M99" s="537"/>
      <c r="N99" s="537"/>
      <c r="O99" s="537"/>
    </row>
    <row r="100" spans="1:15">
      <c r="A100" s="533">
        <f t="shared" si="59"/>
        <v>77</v>
      </c>
      <c r="B100" s="947"/>
      <c r="C100" s="944">
        <v>0</v>
      </c>
      <c r="D100" s="534"/>
      <c r="E100" s="534"/>
      <c r="F100" s="534"/>
      <c r="G100" s="534">
        <f t="shared" si="58"/>
        <v>0</v>
      </c>
      <c r="H100" s="537"/>
      <c r="I100" s="537"/>
      <c r="J100" s="537"/>
      <c r="K100" s="537"/>
      <c r="L100" s="537"/>
      <c r="M100" s="537"/>
      <c r="N100" s="537"/>
      <c r="O100" s="537"/>
    </row>
    <row r="101" spans="1:15">
      <c r="A101" s="533">
        <f t="shared" si="59"/>
        <v>78</v>
      </c>
      <c r="B101" s="946"/>
      <c r="C101" s="944">
        <v>0</v>
      </c>
      <c r="D101" s="534"/>
      <c r="E101" s="534"/>
      <c r="F101" s="534"/>
      <c r="G101" s="534">
        <f t="shared" si="58"/>
        <v>0</v>
      </c>
      <c r="H101" s="537"/>
      <c r="I101" s="537"/>
      <c r="J101" s="537"/>
      <c r="K101" s="537"/>
      <c r="L101" s="537"/>
      <c r="M101" s="537"/>
      <c r="N101" s="537"/>
      <c r="O101" s="537"/>
    </row>
    <row r="102" spans="1:15">
      <c r="A102" s="533">
        <f t="shared" si="59"/>
        <v>79</v>
      </c>
      <c r="B102" s="947"/>
      <c r="C102" s="944">
        <v>0</v>
      </c>
      <c r="D102" s="534"/>
      <c r="E102" s="534"/>
      <c r="F102" s="534"/>
      <c r="G102" s="534">
        <f t="shared" si="58"/>
        <v>0</v>
      </c>
      <c r="H102" s="537"/>
      <c r="I102" s="537"/>
      <c r="J102" s="537"/>
      <c r="K102" s="537"/>
      <c r="L102" s="537"/>
      <c r="M102" s="537"/>
      <c r="N102" s="537"/>
      <c r="O102" s="537"/>
    </row>
    <row r="103" spans="1:15">
      <c r="A103" s="533">
        <f t="shared" si="59"/>
        <v>80</v>
      </c>
      <c r="B103" s="947"/>
      <c r="C103" s="944">
        <v>0</v>
      </c>
      <c r="D103" s="534"/>
      <c r="E103" s="534"/>
      <c r="F103" s="534"/>
      <c r="G103" s="534">
        <f t="shared" si="58"/>
        <v>0</v>
      </c>
      <c r="H103" s="537"/>
      <c r="I103" s="537"/>
      <c r="J103" s="537"/>
      <c r="K103" s="537"/>
      <c r="L103" s="537"/>
      <c r="M103" s="537"/>
      <c r="N103" s="537"/>
      <c r="O103" s="537"/>
    </row>
    <row r="104" spans="1:15">
      <c r="A104" s="533">
        <f t="shared" si="59"/>
        <v>81</v>
      </c>
      <c r="B104" s="947"/>
      <c r="C104" s="944">
        <v>0</v>
      </c>
      <c r="D104" s="534"/>
      <c r="E104" s="534"/>
      <c r="F104" s="534"/>
      <c r="G104" s="534">
        <f t="shared" si="58"/>
        <v>0</v>
      </c>
      <c r="H104" s="537"/>
      <c r="I104" s="537"/>
      <c r="J104" s="537"/>
      <c r="K104" s="537"/>
      <c r="L104" s="537"/>
      <c r="M104" s="537"/>
      <c r="N104" s="537"/>
      <c r="O104" s="537"/>
    </row>
    <row r="105" spans="1:15">
      <c r="A105" s="533">
        <f t="shared" si="59"/>
        <v>82</v>
      </c>
      <c r="B105" s="366" t="s">
        <v>13</v>
      </c>
      <c r="C105" s="534">
        <f>SUM(C87:C104)</f>
        <v>28253245.199999999</v>
      </c>
      <c r="D105" s="534">
        <f>SUM(D87:D104)</f>
        <v>4731982.8718418628</v>
      </c>
      <c r="E105" s="534">
        <f>SUM(E87:E104)</f>
        <v>17441889.458158135</v>
      </c>
      <c r="F105" s="534">
        <f>SUM(F87:F104)</f>
        <v>6079372.8700000001</v>
      </c>
      <c r="G105" s="534">
        <f t="shared" si="58"/>
        <v>28253245.199999999</v>
      </c>
      <c r="H105" s="534"/>
      <c r="I105" s="534"/>
      <c r="J105" s="534"/>
      <c r="K105" s="534"/>
      <c r="L105" s="534"/>
      <c r="M105" s="534"/>
      <c r="N105" s="534"/>
      <c r="O105" s="534"/>
    </row>
    <row r="106" spans="1:15">
      <c r="A106" s="533">
        <f t="shared" si="59"/>
        <v>83</v>
      </c>
      <c r="C106" s="535" t="s">
        <v>698</v>
      </c>
      <c r="D106" s="536">
        <f>Q81</f>
        <v>1</v>
      </c>
      <c r="E106" s="536">
        <f>R81</f>
        <v>0</v>
      </c>
      <c r="F106" s="536">
        <f>S81</f>
        <v>0.12544749445449754</v>
      </c>
      <c r="G106" s="534"/>
    </row>
    <row r="107" spans="1:15">
      <c r="A107" s="533">
        <f t="shared" si="59"/>
        <v>84</v>
      </c>
      <c r="C107" s="535" t="s">
        <v>786</v>
      </c>
      <c r="D107" s="534">
        <f>D105*D106</f>
        <v>4731982.8718418628</v>
      </c>
      <c r="E107" s="534">
        <f t="shared" ref="E107" si="60">E105*E106</f>
        <v>0</v>
      </c>
      <c r="F107" s="534">
        <f t="shared" ref="F107" si="61">F105*F106</f>
        <v>762642.09439614788</v>
      </c>
      <c r="G107" s="534">
        <f>SUM(D107:F107)</f>
        <v>5494624.9662380107</v>
      </c>
    </row>
  </sheetData>
  <sheetProtection algorithmName="SHA-512" hashValue="V6Kl6X2KmscpxfgzAgyEX8JeuBwv1tMexDjwKFuqgNZDIT1r7YcYhPOc6JcPGh0dq0tk+ND3oAoYKp7LPp05iA==" saltValue="I1eQIdq/+zJVDfAvnMkeww=="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 sqref="C44:O51" unlockedFormula="1"/>
    <ignoredError sqref="P5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89"/>
  <sheetViews>
    <sheetView view="pageBreakPreview" topLeftCell="A45" zoomScale="70" zoomScaleNormal="90" zoomScaleSheetLayoutView="70" workbookViewId="0">
      <selection activeCell="E38" sqref="E38:E50"/>
    </sheetView>
  </sheetViews>
  <sheetFormatPr defaultColWidth="8.88671875" defaultRowHeight="15.4"/>
  <cols>
    <col min="1" max="1" width="4.88671875" style="16" customWidth="1"/>
    <col min="2" max="2" width="62" style="16" customWidth="1"/>
    <col min="3" max="3" width="15.33203125" style="16" customWidth="1"/>
    <col min="4" max="7" width="11.6640625" style="16" customWidth="1"/>
    <col min="8" max="8" width="11" style="16" bestFit="1" customWidth="1"/>
    <col min="9" max="9" width="8.88671875" style="16"/>
    <col min="10" max="10" width="13.88671875" style="16" bestFit="1" customWidth="1"/>
    <col min="11" max="11" width="12.44140625" style="16" bestFit="1" customWidth="1"/>
    <col min="12" max="16384" width="8.88671875" style="16"/>
  </cols>
  <sheetData>
    <row r="1" spans="1:14" ht="17.25">
      <c r="A1" s="1249" t="str">
        <f>+'Attachment H-7'!D180</f>
        <v>PECO Energy Company</v>
      </c>
      <c r="B1" s="1249"/>
      <c r="C1" s="1249"/>
      <c r="D1" s="1249"/>
      <c r="E1" s="1249"/>
      <c r="F1" s="1249"/>
      <c r="G1" s="538"/>
      <c r="H1" s="16" t="s">
        <v>422</v>
      </c>
    </row>
    <row r="2" spans="1:14" ht="19.899999999999999">
      <c r="A2" s="539"/>
      <c r="B2" s="540"/>
      <c r="C2" s="541"/>
      <c r="D2" s="542"/>
      <c r="E2" s="538"/>
      <c r="F2" s="538"/>
      <c r="G2" s="538"/>
    </row>
    <row r="3" spans="1:14">
      <c r="A3" s="1250" t="s">
        <v>1143</v>
      </c>
      <c r="B3" s="1250"/>
      <c r="C3" s="1250"/>
      <c r="D3" s="1250"/>
      <c r="E3" s="1250"/>
      <c r="F3" s="1250"/>
      <c r="G3" s="538"/>
    </row>
    <row r="4" spans="1:14">
      <c r="B4" s="366" t="s">
        <v>198</v>
      </c>
      <c r="C4" s="366" t="s">
        <v>199</v>
      </c>
      <c r="D4" s="366" t="s">
        <v>200</v>
      </c>
      <c r="E4" s="366" t="s">
        <v>201</v>
      </c>
      <c r="F4" s="366" t="s">
        <v>203</v>
      </c>
      <c r="G4" s="366" t="s">
        <v>894</v>
      </c>
      <c r="H4" s="366" t="s">
        <v>898</v>
      </c>
      <c r="I4" s="366"/>
      <c r="J4" s="366"/>
      <c r="K4" s="366"/>
      <c r="L4" s="366"/>
      <c r="M4" s="366"/>
      <c r="N4" s="366"/>
    </row>
    <row r="5" spans="1:14">
      <c r="B5" s="543" t="s">
        <v>719</v>
      </c>
    </row>
    <row r="6" spans="1:14">
      <c r="B6" s="341" t="s">
        <v>718</v>
      </c>
      <c r="C6" s="948" t="s">
        <v>1564</v>
      </c>
      <c r="D6" s="948" t="s">
        <v>1565</v>
      </c>
      <c r="E6" s="948" t="s">
        <v>1701</v>
      </c>
      <c r="F6" s="949"/>
      <c r="G6" s="949"/>
      <c r="H6" s="544" t="s">
        <v>13</v>
      </c>
    </row>
    <row r="7" spans="1:14">
      <c r="A7" s="544">
        <v>1</v>
      </c>
      <c r="B7" s="950">
        <v>923</v>
      </c>
      <c r="C7" s="951">
        <v>0</v>
      </c>
      <c r="D7" s="951">
        <v>0</v>
      </c>
      <c r="E7" s="951">
        <v>99061.739999999947</v>
      </c>
      <c r="F7" s="949"/>
      <c r="G7" s="949"/>
      <c r="H7" s="545">
        <f t="shared" ref="H7:H17" si="0">SUM(C7:G7)</f>
        <v>99061.739999999947</v>
      </c>
      <c r="I7" s="544"/>
    </row>
    <row r="8" spans="1:14">
      <c r="A8" s="544">
        <f>A7+1</f>
        <v>2</v>
      </c>
      <c r="B8" s="950">
        <v>920</v>
      </c>
      <c r="C8" s="951">
        <v>0</v>
      </c>
      <c r="D8" s="951">
        <v>0</v>
      </c>
      <c r="E8" s="951">
        <v>76531.86</v>
      </c>
      <c r="F8" s="949"/>
      <c r="G8" s="949"/>
      <c r="H8" s="545">
        <f t="shared" si="0"/>
        <v>76531.86</v>
      </c>
      <c r="I8" s="544"/>
    </row>
    <row r="9" spans="1:14">
      <c r="A9" s="544">
        <f t="shared" ref="A9:A17" si="1">A8+1</f>
        <v>3</v>
      </c>
      <c r="B9" s="950"/>
      <c r="C9" s="950"/>
      <c r="D9" s="951"/>
      <c r="E9" s="951"/>
      <c r="F9" s="949"/>
      <c r="G9" s="949"/>
      <c r="H9" s="545">
        <f t="shared" si="0"/>
        <v>0</v>
      </c>
      <c r="I9" s="544"/>
    </row>
    <row r="10" spans="1:14">
      <c r="A10" s="544">
        <f t="shared" si="1"/>
        <v>4</v>
      </c>
      <c r="B10" s="950"/>
      <c r="C10" s="950"/>
      <c r="D10" s="950"/>
      <c r="E10" s="949"/>
      <c r="F10" s="949"/>
      <c r="G10" s="949"/>
      <c r="H10" s="545">
        <f t="shared" si="0"/>
        <v>0</v>
      </c>
      <c r="I10" s="544"/>
    </row>
    <row r="11" spans="1:14">
      <c r="A11" s="544">
        <f t="shared" si="1"/>
        <v>5</v>
      </c>
      <c r="B11" s="950"/>
      <c r="C11" s="950"/>
      <c r="D11" s="950"/>
      <c r="E11" s="949"/>
      <c r="F11" s="949"/>
      <c r="G11" s="949"/>
      <c r="H11" s="545">
        <f t="shared" si="0"/>
        <v>0</v>
      </c>
      <c r="I11" s="544"/>
    </row>
    <row r="12" spans="1:14">
      <c r="A12" s="544">
        <f t="shared" si="1"/>
        <v>6</v>
      </c>
      <c r="B12" s="950"/>
      <c r="C12" s="950"/>
      <c r="D12" s="950"/>
      <c r="E12" s="949"/>
      <c r="F12" s="949"/>
      <c r="G12" s="949"/>
      <c r="H12" s="545">
        <f t="shared" si="0"/>
        <v>0</v>
      </c>
      <c r="I12" s="544"/>
    </row>
    <row r="13" spans="1:14">
      <c r="A13" s="544">
        <f t="shared" si="1"/>
        <v>7</v>
      </c>
      <c r="B13" s="950"/>
      <c r="C13" s="950"/>
      <c r="D13" s="950"/>
      <c r="E13" s="949"/>
      <c r="F13" s="949"/>
      <c r="G13" s="949"/>
      <c r="H13" s="545">
        <f t="shared" si="0"/>
        <v>0</v>
      </c>
      <c r="I13" s="544"/>
    </row>
    <row r="14" spans="1:14">
      <c r="A14" s="544">
        <f t="shared" si="1"/>
        <v>8</v>
      </c>
      <c r="B14" s="950"/>
      <c r="C14" s="950"/>
      <c r="D14" s="950"/>
      <c r="E14" s="949"/>
      <c r="F14" s="949"/>
      <c r="G14" s="949"/>
      <c r="H14" s="545">
        <f t="shared" si="0"/>
        <v>0</v>
      </c>
      <c r="I14" s="544"/>
    </row>
    <row r="15" spans="1:14">
      <c r="A15" s="544">
        <f t="shared" si="1"/>
        <v>9</v>
      </c>
      <c r="B15" s="950"/>
      <c r="C15" s="950"/>
      <c r="D15" s="950"/>
      <c r="E15" s="949"/>
      <c r="F15" s="949"/>
      <c r="G15" s="949"/>
      <c r="H15" s="545">
        <f t="shared" si="0"/>
        <v>0</v>
      </c>
      <c r="I15" s="544"/>
    </row>
    <row r="16" spans="1:14">
      <c r="A16" s="544">
        <f t="shared" si="1"/>
        <v>10</v>
      </c>
      <c r="B16" s="950"/>
      <c r="C16" s="950"/>
      <c r="D16" s="950"/>
      <c r="E16" s="949"/>
      <c r="F16" s="949"/>
      <c r="G16" s="949"/>
      <c r="H16" s="545">
        <f t="shared" si="0"/>
        <v>0</v>
      </c>
      <c r="I16" s="544"/>
    </row>
    <row r="17" spans="1:10">
      <c r="A17" s="544">
        <f t="shared" si="1"/>
        <v>11</v>
      </c>
      <c r="B17" s="341" t="s">
        <v>13</v>
      </c>
      <c r="C17" s="545">
        <f>SUM(C7:C16)</f>
        <v>0</v>
      </c>
      <c r="D17" s="545">
        <f t="shared" ref="D17:E17" si="2">SUM(D7:D16)</f>
        <v>0</v>
      </c>
      <c r="E17" s="545">
        <f t="shared" si="2"/>
        <v>175593.59999999995</v>
      </c>
      <c r="F17" s="545"/>
      <c r="G17" s="545"/>
      <c r="H17" s="545">
        <f t="shared" si="0"/>
        <v>175593.59999999995</v>
      </c>
      <c r="I17" s="544"/>
    </row>
    <row r="18" spans="1:10">
      <c r="A18" s="366"/>
      <c r="B18" s="341"/>
      <c r="C18" s="545"/>
      <c r="D18" s="545"/>
      <c r="E18" s="545"/>
      <c r="F18" s="545"/>
      <c r="G18" s="545"/>
      <c r="H18" s="545"/>
      <c r="I18" s="544"/>
    </row>
    <row r="19" spans="1:10">
      <c r="A19" s="367"/>
      <c r="B19" s="543" t="s">
        <v>1041</v>
      </c>
      <c r="I19" s="544"/>
    </row>
    <row r="20" spans="1:10">
      <c r="B20" s="543" t="s">
        <v>775</v>
      </c>
      <c r="C20" s="341" t="str">
        <f>C6</f>
        <v>Constellation Merger</v>
      </c>
      <c r="D20" s="341" t="str">
        <f>D6</f>
        <v>PHI Merger</v>
      </c>
      <c r="E20" s="341" t="s">
        <v>1701</v>
      </c>
      <c r="F20" s="341"/>
      <c r="G20" s="341"/>
      <c r="H20" s="544" t="s">
        <v>13</v>
      </c>
    </row>
    <row r="21" spans="1:10">
      <c r="A21" s="544">
        <f>A17+1</f>
        <v>12</v>
      </c>
      <c r="B21" s="341" t="s">
        <v>195</v>
      </c>
      <c r="C21" s="952">
        <v>0</v>
      </c>
      <c r="D21" s="952">
        <v>0</v>
      </c>
      <c r="E21" s="952">
        <v>1156818.635272</v>
      </c>
      <c r="F21" s="953"/>
      <c r="G21" s="953"/>
      <c r="H21" s="545">
        <f t="shared" ref="H21:H33" si="3">SUM(C21:G21)</f>
        <v>1156818.635272</v>
      </c>
      <c r="J21" s="231"/>
    </row>
    <row r="22" spans="1:10">
      <c r="A22" s="544">
        <f>A21+1</f>
        <v>13</v>
      </c>
      <c r="B22" s="341" t="s">
        <v>84</v>
      </c>
      <c r="C22" s="952">
        <v>0</v>
      </c>
      <c r="D22" s="952">
        <v>0</v>
      </c>
      <c r="E22" s="952">
        <v>1156818.635272</v>
      </c>
      <c r="F22" s="953"/>
      <c r="G22" s="953"/>
      <c r="H22" s="545">
        <f t="shared" si="3"/>
        <v>1156818.635272</v>
      </c>
      <c r="J22" s="231"/>
    </row>
    <row r="23" spans="1:10">
      <c r="A23" s="544">
        <f t="shared" ref="A23:A34" si="4">A22+1</f>
        <v>14</v>
      </c>
      <c r="B23" s="341" t="s">
        <v>83</v>
      </c>
      <c r="C23" s="952">
        <v>0</v>
      </c>
      <c r="D23" s="952">
        <v>0</v>
      </c>
      <c r="E23" s="952">
        <v>1156818.635272</v>
      </c>
      <c r="F23" s="953"/>
      <c r="G23" s="953"/>
      <c r="H23" s="545">
        <f t="shared" si="3"/>
        <v>1156818.635272</v>
      </c>
      <c r="J23" s="231"/>
    </row>
    <row r="24" spans="1:10">
      <c r="A24" s="544">
        <f t="shared" si="4"/>
        <v>15</v>
      </c>
      <c r="B24" s="341" t="s">
        <v>171</v>
      </c>
      <c r="C24" s="952">
        <v>0</v>
      </c>
      <c r="D24" s="952">
        <v>0</v>
      </c>
      <c r="E24" s="952">
        <v>1156818.635272</v>
      </c>
      <c r="F24" s="953"/>
      <c r="G24" s="953"/>
      <c r="H24" s="545">
        <f t="shared" si="3"/>
        <v>1156818.635272</v>
      </c>
      <c r="J24" s="231"/>
    </row>
    <row r="25" spans="1:10">
      <c r="A25" s="544">
        <f t="shared" si="4"/>
        <v>16</v>
      </c>
      <c r="B25" s="341" t="s">
        <v>74</v>
      </c>
      <c r="C25" s="952">
        <v>0</v>
      </c>
      <c r="D25" s="952">
        <v>0</v>
      </c>
      <c r="E25" s="952">
        <v>1156818.635272</v>
      </c>
      <c r="F25" s="953"/>
      <c r="G25" s="953"/>
      <c r="H25" s="545">
        <f t="shared" si="3"/>
        <v>1156818.635272</v>
      </c>
      <c r="J25" s="231"/>
    </row>
    <row r="26" spans="1:10">
      <c r="A26" s="544">
        <f t="shared" si="4"/>
        <v>17</v>
      </c>
      <c r="B26" s="341" t="s">
        <v>73</v>
      </c>
      <c r="C26" s="952">
        <v>0</v>
      </c>
      <c r="D26" s="952">
        <v>0</v>
      </c>
      <c r="E26" s="952">
        <v>1156818.635272</v>
      </c>
      <c r="F26" s="953"/>
      <c r="G26" s="953"/>
      <c r="H26" s="545">
        <f t="shared" si="3"/>
        <v>1156818.635272</v>
      </c>
      <c r="J26" s="231"/>
    </row>
    <row r="27" spans="1:10">
      <c r="A27" s="544">
        <f t="shared" si="4"/>
        <v>18</v>
      </c>
      <c r="B27" s="341" t="s">
        <v>93</v>
      </c>
      <c r="C27" s="952">
        <v>0</v>
      </c>
      <c r="D27" s="952">
        <v>0</v>
      </c>
      <c r="E27" s="952">
        <v>1156818.635272</v>
      </c>
      <c r="F27" s="953"/>
      <c r="G27" s="953"/>
      <c r="H27" s="545">
        <f t="shared" si="3"/>
        <v>1156818.635272</v>
      </c>
      <c r="J27" s="231"/>
    </row>
    <row r="28" spans="1:10">
      <c r="A28" s="544">
        <f t="shared" si="4"/>
        <v>19</v>
      </c>
      <c r="B28" s="341" t="s">
        <v>81</v>
      </c>
      <c r="C28" s="952">
        <v>0</v>
      </c>
      <c r="D28" s="952">
        <v>0</v>
      </c>
      <c r="E28" s="952">
        <v>1156818.635272</v>
      </c>
      <c r="F28" s="953"/>
      <c r="G28" s="953"/>
      <c r="H28" s="545">
        <f t="shared" si="3"/>
        <v>1156818.635272</v>
      </c>
      <c r="J28" s="231"/>
    </row>
    <row r="29" spans="1:10">
      <c r="A29" s="544">
        <f t="shared" si="4"/>
        <v>20</v>
      </c>
      <c r="B29" s="341" t="s">
        <v>172</v>
      </c>
      <c r="C29" s="952">
        <v>0</v>
      </c>
      <c r="D29" s="952">
        <v>0</v>
      </c>
      <c r="E29" s="952">
        <v>1156818.635272</v>
      </c>
      <c r="F29" s="953"/>
      <c r="G29" s="953"/>
      <c r="H29" s="545">
        <f t="shared" si="3"/>
        <v>1156818.635272</v>
      </c>
      <c r="J29" s="231"/>
    </row>
    <row r="30" spans="1:10">
      <c r="A30" s="544">
        <f t="shared" si="4"/>
        <v>21</v>
      </c>
      <c r="B30" s="341" t="s">
        <v>79</v>
      </c>
      <c r="C30" s="952">
        <v>0</v>
      </c>
      <c r="D30" s="952">
        <v>0</v>
      </c>
      <c r="E30" s="952">
        <v>1156818.635272</v>
      </c>
      <c r="F30" s="953"/>
      <c r="G30" s="953"/>
      <c r="H30" s="545">
        <f t="shared" si="3"/>
        <v>1156818.635272</v>
      </c>
      <c r="J30" s="231"/>
    </row>
    <row r="31" spans="1:10">
      <c r="A31" s="544">
        <f t="shared" si="4"/>
        <v>22</v>
      </c>
      <c r="B31" s="341" t="s">
        <v>85</v>
      </c>
      <c r="C31" s="952">
        <v>0</v>
      </c>
      <c r="D31" s="952">
        <v>0</v>
      </c>
      <c r="E31" s="952">
        <v>1156818.635272</v>
      </c>
      <c r="F31" s="953"/>
      <c r="G31" s="953"/>
      <c r="H31" s="545">
        <f t="shared" si="3"/>
        <v>1156818.635272</v>
      </c>
      <c r="J31" s="231"/>
    </row>
    <row r="32" spans="1:10">
      <c r="A32" s="544">
        <f t="shared" si="4"/>
        <v>23</v>
      </c>
      <c r="B32" s="341" t="s">
        <v>78</v>
      </c>
      <c r="C32" s="952">
        <v>0</v>
      </c>
      <c r="D32" s="952">
        <v>0</v>
      </c>
      <c r="E32" s="952">
        <v>1156818.635272</v>
      </c>
      <c r="F32" s="953"/>
      <c r="G32" s="953"/>
      <c r="H32" s="545">
        <f t="shared" si="3"/>
        <v>1156818.635272</v>
      </c>
      <c r="J32" s="231"/>
    </row>
    <row r="33" spans="1:10">
      <c r="A33" s="544">
        <f t="shared" si="4"/>
        <v>24</v>
      </c>
      <c r="B33" s="341" t="s">
        <v>196</v>
      </c>
      <c r="C33" s="952">
        <v>0</v>
      </c>
      <c r="D33" s="952">
        <v>0</v>
      </c>
      <c r="E33" s="952">
        <v>1156818.635272</v>
      </c>
      <c r="F33" s="953"/>
      <c r="G33" s="953"/>
      <c r="H33" s="545">
        <f t="shared" si="3"/>
        <v>1156818.635272</v>
      </c>
      <c r="J33" s="231"/>
    </row>
    <row r="34" spans="1:10">
      <c r="A34" s="544">
        <f t="shared" si="4"/>
        <v>25</v>
      </c>
      <c r="B34" s="341" t="s">
        <v>481</v>
      </c>
      <c r="C34" s="546">
        <f>AVERAGE(C21:C33)</f>
        <v>0</v>
      </c>
      <c r="D34" s="546">
        <f>AVERAGE(D21:D33)</f>
        <v>0</v>
      </c>
      <c r="E34" s="546">
        <f>AVERAGE(E21:E33)</f>
        <v>1156818.635272</v>
      </c>
      <c r="F34" s="546"/>
      <c r="G34" s="546"/>
      <c r="H34" s="546">
        <f>AVERAGE(H21:H33)</f>
        <v>1156818.635272</v>
      </c>
      <c r="J34" s="231"/>
    </row>
    <row r="35" spans="1:10">
      <c r="A35" s="544"/>
      <c r="B35" s="341"/>
      <c r="C35" s="546"/>
      <c r="D35" s="546"/>
      <c r="E35" s="546"/>
      <c r="F35" s="546"/>
      <c r="J35" s="231"/>
    </row>
    <row r="36" spans="1:10">
      <c r="J36" s="231"/>
    </row>
    <row r="37" spans="1:10">
      <c r="B37" s="543" t="s">
        <v>208</v>
      </c>
      <c r="C37" s="341" t="str">
        <f>C20</f>
        <v>Constellation Merger</v>
      </c>
      <c r="D37" s="341" t="str">
        <f>D20</f>
        <v>PHI Merger</v>
      </c>
      <c r="E37" s="341" t="s">
        <v>1701</v>
      </c>
      <c r="F37" s="341"/>
      <c r="G37" s="341"/>
      <c r="H37" s="544" t="s">
        <v>13</v>
      </c>
      <c r="J37" s="231"/>
    </row>
    <row r="38" spans="1:10">
      <c r="A38" s="544">
        <f>A34+1</f>
        <v>26</v>
      </c>
      <c r="B38" s="341" t="s">
        <v>195</v>
      </c>
      <c r="C38" s="952">
        <v>0</v>
      </c>
      <c r="D38" s="952">
        <v>0</v>
      </c>
      <c r="E38" s="952">
        <v>477395.09170599998</v>
      </c>
      <c r="F38" s="953"/>
      <c r="G38" s="953"/>
      <c r="H38" s="545">
        <f t="shared" ref="H38:H50" si="5">SUM(C38:G38)</f>
        <v>477395.09170599998</v>
      </c>
      <c r="J38" s="231"/>
    </row>
    <row r="39" spans="1:10">
      <c r="A39" s="544">
        <f>A38+1</f>
        <v>27</v>
      </c>
      <c r="B39" s="341" t="s">
        <v>84</v>
      </c>
      <c r="C39" s="952">
        <v>0</v>
      </c>
      <c r="D39" s="952">
        <v>0</v>
      </c>
      <c r="E39" s="952">
        <v>501614.84995891439</v>
      </c>
      <c r="F39" s="953"/>
      <c r="G39" s="953"/>
      <c r="H39" s="545">
        <f t="shared" si="5"/>
        <v>501614.84995891439</v>
      </c>
      <c r="J39" s="231"/>
    </row>
    <row r="40" spans="1:10">
      <c r="A40" s="544">
        <f t="shared" ref="A40:A51" si="6">A39+1</f>
        <v>28</v>
      </c>
      <c r="B40" s="341" t="s">
        <v>83</v>
      </c>
      <c r="C40" s="952">
        <v>0</v>
      </c>
      <c r="D40" s="952">
        <v>0</v>
      </c>
      <c r="E40" s="952">
        <v>525794.09904570924</v>
      </c>
      <c r="F40" s="953"/>
      <c r="G40" s="953"/>
      <c r="H40" s="545">
        <f t="shared" si="5"/>
        <v>525794.09904570924</v>
      </c>
      <c r="J40" s="231"/>
    </row>
    <row r="41" spans="1:10">
      <c r="A41" s="544">
        <f t="shared" si="6"/>
        <v>29</v>
      </c>
      <c r="B41" s="341" t="s">
        <v>171</v>
      </c>
      <c r="C41" s="952">
        <v>0</v>
      </c>
      <c r="D41" s="952">
        <v>0</v>
      </c>
      <c r="E41" s="952">
        <v>550789.45828680892</v>
      </c>
      <c r="F41" s="953"/>
      <c r="G41" s="953"/>
      <c r="H41" s="545">
        <f t="shared" si="5"/>
        <v>550789.45828680892</v>
      </c>
      <c r="J41" s="231"/>
    </row>
    <row r="42" spans="1:10">
      <c r="A42" s="544">
        <f t="shared" si="6"/>
        <v>30</v>
      </c>
      <c r="B42" s="341" t="s">
        <v>74</v>
      </c>
      <c r="C42" s="952">
        <v>0</v>
      </c>
      <c r="D42" s="952">
        <v>0</v>
      </c>
      <c r="E42" s="952">
        <v>575711.03161902516</v>
      </c>
      <c r="F42" s="953"/>
      <c r="G42" s="953"/>
      <c r="H42" s="545">
        <f t="shared" si="5"/>
        <v>575711.03161902516</v>
      </c>
      <c r="J42" s="231"/>
    </row>
    <row r="43" spans="1:10">
      <c r="A43" s="544">
        <f t="shared" si="6"/>
        <v>31</v>
      </c>
      <c r="B43" s="341" t="s">
        <v>73</v>
      </c>
      <c r="C43" s="952">
        <v>0</v>
      </c>
      <c r="D43" s="952">
        <v>0</v>
      </c>
      <c r="E43" s="952">
        <v>600560.10819995438</v>
      </c>
      <c r="F43" s="953"/>
      <c r="G43" s="953"/>
      <c r="H43" s="545">
        <f t="shared" si="5"/>
        <v>600560.10819995438</v>
      </c>
      <c r="J43" s="231"/>
    </row>
    <row r="44" spans="1:10">
      <c r="A44" s="544">
        <f t="shared" si="6"/>
        <v>32</v>
      </c>
      <c r="B44" s="341" t="s">
        <v>93</v>
      </c>
      <c r="C44" s="952">
        <v>0</v>
      </c>
      <c r="D44" s="952">
        <v>0</v>
      </c>
      <c r="E44" s="952">
        <v>625337.94615365728</v>
      </c>
      <c r="F44" s="953"/>
      <c r="G44" s="953"/>
      <c r="H44" s="545">
        <f t="shared" si="5"/>
        <v>625337.94615365728</v>
      </c>
      <c r="J44" s="231"/>
    </row>
    <row r="45" spans="1:10">
      <c r="A45" s="544">
        <f t="shared" si="6"/>
        <v>33</v>
      </c>
      <c r="B45" s="341" t="s">
        <v>81</v>
      </c>
      <c r="C45" s="952">
        <v>0</v>
      </c>
      <c r="D45" s="952">
        <v>0</v>
      </c>
      <c r="E45" s="952">
        <v>650045.77342516428</v>
      </c>
      <c r="F45" s="953"/>
      <c r="G45" s="953"/>
      <c r="H45" s="545">
        <f t="shared" si="5"/>
        <v>650045.77342516428</v>
      </c>
      <c r="J45" s="231"/>
    </row>
    <row r="46" spans="1:10">
      <c r="A46" s="544">
        <f t="shared" si="6"/>
        <v>34</v>
      </c>
      <c r="B46" s="341" t="s">
        <v>172</v>
      </c>
      <c r="C46" s="952">
        <v>0</v>
      </c>
      <c r="D46" s="952">
        <v>0</v>
      </c>
      <c r="E46" s="952">
        <v>674684.78861046687</v>
      </c>
      <c r="F46" s="953"/>
      <c r="G46" s="953"/>
      <c r="H46" s="545">
        <f t="shared" si="5"/>
        <v>674684.78861046687</v>
      </c>
      <c r="J46" s="231"/>
    </row>
    <row r="47" spans="1:10">
      <c r="A47" s="544">
        <f t="shared" si="6"/>
        <v>35</v>
      </c>
      <c r="B47" s="341" t="s">
        <v>79</v>
      </c>
      <c r="C47" s="952">
        <v>0</v>
      </c>
      <c r="D47" s="952">
        <v>0</v>
      </c>
      <c r="E47" s="952">
        <v>699256.16176270798</v>
      </c>
      <c r="F47" s="953"/>
      <c r="G47" s="953"/>
      <c r="H47" s="545">
        <f t="shared" si="5"/>
        <v>699256.16176270798</v>
      </c>
      <c r="J47" s="231"/>
    </row>
    <row r="48" spans="1:10">
      <c r="A48" s="544">
        <f t="shared" si="6"/>
        <v>36</v>
      </c>
      <c r="B48" s="341" t="s">
        <v>85</v>
      </c>
      <c r="C48" s="952">
        <v>0</v>
      </c>
      <c r="D48" s="952">
        <v>0</v>
      </c>
      <c r="E48" s="952">
        <v>723761.03517525957</v>
      </c>
      <c r="F48" s="953"/>
      <c r="G48" s="953"/>
      <c r="H48" s="545">
        <f t="shared" si="5"/>
        <v>723761.03517525957</v>
      </c>
      <c r="J48" s="231"/>
    </row>
    <row r="49" spans="1:10">
      <c r="A49" s="544">
        <f t="shared" si="6"/>
        <v>37</v>
      </c>
      <c r="B49" s="341" t="s">
        <v>78</v>
      </c>
      <c r="C49" s="952">
        <v>0</v>
      </c>
      <c r="D49" s="952">
        <v>0</v>
      </c>
      <c r="E49" s="952">
        <v>748200.52414235927</v>
      </c>
      <c r="F49" s="953"/>
      <c r="G49" s="953"/>
      <c r="H49" s="545">
        <f t="shared" si="5"/>
        <v>748200.52414235927</v>
      </c>
      <c r="J49" s="231"/>
    </row>
    <row r="50" spans="1:10">
      <c r="A50" s="544">
        <f t="shared" si="6"/>
        <v>38</v>
      </c>
      <c r="B50" s="341" t="s">
        <v>196</v>
      </c>
      <c r="C50" s="952">
        <v>0</v>
      </c>
      <c r="D50" s="952">
        <v>0</v>
      </c>
      <c r="E50" s="952">
        <v>772575.71769795637</v>
      </c>
      <c r="F50" s="953"/>
      <c r="G50" s="953"/>
      <c r="H50" s="545">
        <f t="shared" si="5"/>
        <v>772575.71769795637</v>
      </c>
      <c r="J50" s="231"/>
    </row>
    <row r="51" spans="1:10">
      <c r="A51" s="544">
        <f t="shared" si="6"/>
        <v>39</v>
      </c>
      <c r="B51" s="341" t="s">
        <v>481</v>
      </c>
      <c r="C51" s="546">
        <f>AVERAGE(C38:C50)</f>
        <v>0</v>
      </c>
      <c r="D51" s="1098">
        <f>AVERAGE(D38:D50)</f>
        <v>0</v>
      </c>
      <c r="E51" s="546">
        <f>AVERAGE(E38:E50)</f>
        <v>625055.89121415257</v>
      </c>
      <c r="F51" s="546"/>
      <c r="G51" s="546"/>
      <c r="H51" s="546">
        <f>AVERAGE(H38:H50)</f>
        <v>625055.89121415257</v>
      </c>
      <c r="J51" s="231"/>
    </row>
    <row r="52" spans="1:10" ht="17.25">
      <c r="B52" s="1249" t="str">
        <f>+'Attachment H-7'!D180</f>
        <v>PECO Energy Company</v>
      </c>
      <c r="C52" s="1249"/>
      <c r="D52" s="1249"/>
      <c r="E52" s="1249"/>
      <c r="F52" s="1249"/>
      <c r="G52" s="1249"/>
    </row>
    <row r="53" spans="1:10" ht="19.899999999999999">
      <c r="A53" s="539"/>
      <c r="B53" s="540"/>
      <c r="C53" s="541"/>
      <c r="D53" s="542"/>
      <c r="E53" s="538"/>
      <c r="F53" s="538"/>
      <c r="G53" s="538"/>
      <c r="H53" s="16" t="s">
        <v>154</v>
      </c>
    </row>
    <row r="54" spans="1:10">
      <c r="A54" s="1250" t="str">
        <f>+A3</f>
        <v>Attachment 4E - Cost to Achieve Mergers (Note A)</v>
      </c>
      <c r="B54" s="1250"/>
      <c r="C54" s="1250"/>
      <c r="D54" s="1250"/>
      <c r="E54" s="1250"/>
      <c r="F54" s="1250"/>
      <c r="G54" s="538"/>
    </row>
    <row r="55" spans="1:10">
      <c r="B55" s="366" t="s">
        <v>198</v>
      </c>
      <c r="C55" s="366" t="s">
        <v>199</v>
      </c>
      <c r="D55" s="366" t="s">
        <v>200</v>
      </c>
      <c r="E55" s="366" t="s">
        <v>201</v>
      </c>
      <c r="F55" s="366" t="s">
        <v>203</v>
      </c>
      <c r="G55" s="366" t="s">
        <v>894</v>
      </c>
      <c r="H55" s="366" t="s">
        <v>898</v>
      </c>
    </row>
    <row r="56" spans="1:10">
      <c r="A56" s="538"/>
      <c r="B56" s="543" t="s">
        <v>899</v>
      </c>
      <c r="C56" s="341" t="str">
        <f>C37</f>
        <v>Constellation Merger</v>
      </c>
      <c r="D56" s="341" t="str">
        <f t="shared" ref="D56" si="7">D37</f>
        <v>PHI Merger</v>
      </c>
      <c r="E56" s="341"/>
      <c r="F56" s="341"/>
      <c r="G56" s="341"/>
      <c r="H56" s="544" t="s">
        <v>13</v>
      </c>
    </row>
    <row r="57" spans="1:10">
      <c r="A57" s="544">
        <f>A51+1</f>
        <v>40</v>
      </c>
      <c r="B57" s="341" t="s">
        <v>195</v>
      </c>
      <c r="C57" s="546">
        <f t="shared" ref="C57:D69" si="8">C21-C38</f>
        <v>0</v>
      </c>
      <c r="D57" s="546">
        <f t="shared" si="8"/>
        <v>0</v>
      </c>
      <c r="E57" s="546">
        <f t="shared" ref="E57:G57" si="9">E21-E38</f>
        <v>679423.54356599995</v>
      </c>
      <c r="F57" s="546">
        <f t="shared" si="9"/>
        <v>0</v>
      </c>
      <c r="G57" s="546">
        <f t="shared" si="9"/>
        <v>0</v>
      </c>
      <c r="H57" s="545">
        <f t="shared" ref="H57:H69" si="10">SUM(C57:G57)</f>
        <v>679423.54356599995</v>
      </c>
    </row>
    <row r="58" spans="1:10">
      <c r="A58" s="544">
        <f>A57+1</f>
        <v>41</v>
      </c>
      <c r="B58" s="341" t="s">
        <v>84</v>
      </c>
      <c r="C58" s="546">
        <f t="shared" si="8"/>
        <v>0</v>
      </c>
      <c r="D58" s="546">
        <f t="shared" si="8"/>
        <v>0</v>
      </c>
      <c r="E58" s="546">
        <f t="shared" ref="E58:G58" si="11">E22-E39</f>
        <v>655203.78531308565</v>
      </c>
      <c r="F58" s="546">
        <f t="shared" si="11"/>
        <v>0</v>
      </c>
      <c r="G58" s="546">
        <f t="shared" si="11"/>
        <v>0</v>
      </c>
      <c r="H58" s="545">
        <f t="shared" si="10"/>
        <v>655203.78531308565</v>
      </c>
    </row>
    <row r="59" spans="1:10">
      <c r="A59" s="544">
        <f t="shared" ref="A59:A70" si="12">A58+1</f>
        <v>42</v>
      </c>
      <c r="B59" s="341" t="s">
        <v>83</v>
      </c>
      <c r="C59" s="546">
        <f t="shared" si="8"/>
        <v>0</v>
      </c>
      <c r="D59" s="546">
        <f t="shared" si="8"/>
        <v>0</v>
      </c>
      <c r="E59" s="546">
        <f t="shared" ref="E59:G59" si="13">E23-E40</f>
        <v>631024.53622629074</v>
      </c>
      <c r="F59" s="546">
        <f t="shared" si="13"/>
        <v>0</v>
      </c>
      <c r="G59" s="546">
        <f t="shared" si="13"/>
        <v>0</v>
      </c>
      <c r="H59" s="545">
        <f t="shared" si="10"/>
        <v>631024.53622629074</v>
      </c>
    </row>
    <row r="60" spans="1:10">
      <c r="A60" s="544">
        <f t="shared" si="12"/>
        <v>43</v>
      </c>
      <c r="B60" s="341" t="s">
        <v>171</v>
      </c>
      <c r="C60" s="546">
        <f t="shared" si="8"/>
        <v>0</v>
      </c>
      <c r="D60" s="546">
        <f t="shared" si="8"/>
        <v>0</v>
      </c>
      <c r="E60" s="546">
        <f t="shared" ref="E60:G60" si="14">E24-E41</f>
        <v>606029.17698519106</v>
      </c>
      <c r="F60" s="546">
        <f t="shared" si="14"/>
        <v>0</v>
      </c>
      <c r="G60" s="546">
        <f t="shared" si="14"/>
        <v>0</v>
      </c>
      <c r="H60" s="545">
        <f t="shared" si="10"/>
        <v>606029.17698519106</v>
      </c>
    </row>
    <row r="61" spans="1:10">
      <c r="A61" s="544">
        <f t="shared" si="12"/>
        <v>44</v>
      </c>
      <c r="B61" s="341" t="s">
        <v>74</v>
      </c>
      <c r="C61" s="546">
        <f t="shared" si="8"/>
        <v>0</v>
      </c>
      <c r="D61" s="546">
        <f t="shared" si="8"/>
        <v>0</v>
      </c>
      <c r="E61" s="546">
        <f t="shared" ref="E61:G61" si="15">E25-E42</f>
        <v>581107.60365297482</v>
      </c>
      <c r="F61" s="546">
        <f t="shared" si="15"/>
        <v>0</v>
      </c>
      <c r="G61" s="546">
        <f t="shared" si="15"/>
        <v>0</v>
      </c>
      <c r="H61" s="545">
        <f t="shared" si="10"/>
        <v>581107.60365297482</v>
      </c>
    </row>
    <row r="62" spans="1:10">
      <c r="A62" s="544">
        <f t="shared" si="12"/>
        <v>45</v>
      </c>
      <c r="B62" s="341" t="s">
        <v>73</v>
      </c>
      <c r="C62" s="546">
        <f t="shared" si="8"/>
        <v>0</v>
      </c>
      <c r="D62" s="546">
        <f t="shared" si="8"/>
        <v>0</v>
      </c>
      <c r="E62" s="546">
        <f t="shared" ref="E62:G62" si="16">E26-E43</f>
        <v>556258.5270720456</v>
      </c>
      <c r="F62" s="546">
        <f t="shared" si="16"/>
        <v>0</v>
      </c>
      <c r="G62" s="546">
        <f t="shared" si="16"/>
        <v>0</v>
      </c>
      <c r="H62" s="545">
        <f t="shared" si="10"/>
        <v>556258.5270720456</v>
      </c>
    </row>
    <row r="63" spans="1:10">
      <c r="A63" s="544">
        <f t="shared" si="12"/>
        <v>46</v>
      </c>
      <c r="B63" s="341" t="s">
        <v>93</v>
      </c>
      <c r="C63" s="546">
        <f t="shared" si="8"/>
        <v>0</v>
      </c>
      <c r="D63" s="546">
        <f t="shared" si="8"/>
        <v>0</v>
      </c>
      <c r="E63" s="546">
        <f t="shared" ref="E63:G63" si="17">E27-E44</f>
        <v>531480.68911834271</v>
      </c>
      <c r="F63" s="546">
        <f t="shared" si="17"/>
        <v>0</v>
      </c>
      <c r="G63" s="546">
        <f t="shared" si="17"/>
        <v>0</v>
      </c>
      <c r="H63" s="545">
        <f t="shared" si="10"/>
        <v>531480.68911834271</v>
      </c>
    </row>
    <row r="64" spans="1:10">
      <c r="A64" s="544">
        <f t="shared" si="12"/>
        <v>47</v>
      </c>
      <c r="B64" s="341" t="s">
        <v>81</v>
      </c>
      <c r="C64" s="546">
        <f t="shared" si="8"/>
        <v>0</v>
      </c>
      <c r="D64" s="546">
        <f t="shared" si="8"/>
        <v>0</v>
      </c>
      <c r="E64" s="546">
        <f t="shared" ref="E64:G64" si="18">E28-E45</f>
        <v>506772.8618468357</v>
      </c>
      <c r="F64" s="546">
        <f t="shared" si="18"/>
        <v>0</v>
      </c>
      <c r="G64" s="546">
        <f t="shared" si="18"/>
        <v>0</v>
      </c>
      <c r="H64" s="545">
        <f t="shared" si="10"/>
        <v>506772.8618468357</v>
      </c>
    </row>
    <row r="65" spans="1:8">
      <c r="A65" s="544">
        <f t="shared" si="12"/>
        <v>48</v>
      </c>
      <c r="B65" s="341" t="s">
        <v>172</v>
      </c>
      <c r="C65" s="546">
        <f t="shared" si="8"/>
        <v>0</v>
      </c>
      <c r="D65" s="546">
        <f t="shared" si="8"/>
        <v>0</v>
      </c>
      <c r="E65" s="546">
        <f t="shared" ref="E65:G65" si="19">E29-E46</f>
        <v>482133.84666153311</v>
      </c>
      <c r="F65" s="546">
        <f t="shared" si="19"/>
        <v>0</v>
      </c>
      <c r="G65" s="546">
        <f t="shared" si="19"/>
        <v>0</v>
      </c>
      <c r="H65" s="545">
        <f t="shared" si="10"/>
        <v>482133.84666153311</v>
      </c>
    </row>
    <row r="66" spans="1:8">
      <c r="A66" s="544">
        <f t="shared" si="12"/>
        <v>49</v>
      </c>
      <c r="B66" s="341" t="s">
        <v>79</v>
      </c>
      <c r="C66" s="546">
        <f t="shared" si="8"/>
        <v>0</v>
      </c>
      <c r="D66" s="546">
        <f t="shared" si="8"/>
        <v>0</v>
      </c>
      <c r="E66" s="546">
        <f t="shared" ref="E66:G66" si="20">E30-E47</f>
        <v>457562.473509292</v>
      </c>
      <c r="F66" s="546">
        <f t="shared" si="20"/>
        <v>0</v>
      </c>
      <c r="G66" s="546">
        <f t="shared" si="20"/>
        <v>0</v>
      </c>
      <c r="H66" s="545">
        <f t="shared" si="10"/>
        <v>457562.473509292</v>
      </c>
    </row>
    <row r="67" spans="1:8">
      <c r="A67" s="544">
        <f t="shared" si="12"/>
        <v>50</v>
      </c>
      <c r="B67" s="341" t="s">
        <v>85</v>
      </c>
      <c r="C67" s="546">
        <f t="shared" si="8"/>
        <v>0</v>
      </c>
      <c r="D67" s="546">
        <f t="shared" si="8"/>
        <v>0</v>
      </c>
      <c r="E67" s="546">
        <f t="shared" ref="E67:G67" si="21">E31-E48</f>
        <v>433057.60009674041</v>
      </c>
      <c r="F67" s="546">
        <f t="shared" si="21"/>
        <v>0</v>
      </c>
      <c r="G67" s="546">
        <f t="shared" si="21"/>
        <v>0</v>
      </c>
      <c r="H67" s="545">
        <f t="shared" si="10"/>
        <v>433057.60009674041</v>
      </c>
    </row>
    <row r="68" spans="1:8">
      <c r="A68" s="544">
        <f t="shared" si="12"/>
        <v>51</v>
      </c>
      <c r="B68" s="341" t="s">
        <v>78</v>
      </c>
      <c r="C68" s="546">
        <f t="shared" si="8"/>
        <v>0</v>
      </c>
      <c r="D68" s="546">
        <f t="shared" si="8"/>
        <v>0</v>
      </c>
      <c r="E68" s="546">
        <f t="shared" ref="E68:G68" si="22">E32-E49</f>
        <v>408618.11112964072</v>
      </c>
      <c r="F68" s="546">
        <f t="shared" si="22"/>
        <v>0</v>
      </c>
      <c r="G68" s="546">
        <f t="shared" si="22"/>
        <v>0</v>
      </c>
      <c r="H68" s="545">
        <f t="shared" si="10"/>
        <v>408618.11112964072</v>
      </c>
    </row>
    <row r="69" spans="1:8">
      <c r="A69" s="544">
        <f t="shared" si="12"/>
        <v>52</v>
      </c>
      <c r="B69" s="341" t="s">
        <v>196</v>
      </c>
      <c r="C69" s="546">
        <f t="shared" si="8"/>
        <v>0</v>
      </c>
      <c r="D69" s="546">
        <f t="shared" si="8"/>
        <v>0</v>
      </c>
      <c r="E69" s="546">
        <f t="shared" ref="E69:G69" si="23">E33-E50</f>
        <v>384242.91757404362</v>
      </c>
      <c r="F69" s="546">
        <f t="shared" si="23"/>
        <v>0</v>
      </c>
      <c r="G69" s="546">
        <f t="shared" si="23"/>
        <v>0</v>
      </c>
      <c r="H69" s="545">
        <f t="shared" si="10"/>
        <v>384242.91757404362</v>
      </c>
    </row>
    <row r="70" spans="1:8">
      <c r="A70" s="544">
        <f t="shared" si="12"/>
        <v>53</v>
      </c>
      <c r="B70" s="341" t="s">
        <v>481</v>
      </c>
      <c r="C70" s="546">
        <f>C34-C51</f>
        <v>0</v>
      </c>
      <c r="D70" s="546">
        <f>AVERAGE(D57:D69)</f>
        <v>0</v>
      </c>
      <c r="E70" s="546">
        <f t="shared" ref="E70:G70" si="24">AVERAGE(E57:E69)</f>
        <v>531762.74405784742</v>
      </c>
      <c r="F70" s="546">
        <f t="shared" si="24"/>
        <v>0</v>
      </c>
      <c r="G70" s="546">
        <f t="shared" si="24"/>
        <v>0</v>
      </c>
      <c r="H70" s="546">
        <f>AVERAGE(H57:H69)</f>
        <v>531762.74405784742</v>
      </c>
    </row>
    <row r="71" spans="1:8">
      <c r="A71" s="538"/>
    </row>
    <row r="72" spans="1:8">
      <c r="A72" s="538"/>
    </row>
    <row r="73" spans="1:8">
      <c r="A73" s="538"/>
      <c r="B73" s="543" t="s">
        <v>895</v>
      </c>
      <c r="C73" s="341" t="str">
        <f>C56</f>
        <v>Constellation Merger</v>
      </c>
      <c r="D73" s="341" t="str">
        <f>D56</f>
        <v>PHI Merger</v>
      </c>
      <c r="H73" s="544" t="s">
        <v>13</v>
      </c>
    </row>
    <row r="74" spans="1:8">
      <c r="A74" s="544">
        <f>A70+1</f>
        <v>54</v>
      </c>
      <c r="B74" s="341" t="s">
        <v>84</v>
      </c>
      <c r="C74" s="546">
        <f t="shared" ref="C74:E75" si="25">C39-C38</f>
        <v>0</v>
      </c>
      <c r="D74" s="546">
        <f t="shared" si="25"/>
        <v>0</v>
      </c>
      <c r="E74" s="546">
        <f t="shared" si="25"/>
        <v>24219.758252914413</v>
      </c>
      <c r="H74" s="545">
        <f t="shared" ref="H74:H86" si="26">SUM(C74:G74)</f>
        <v>24219.758252914413</v>
      </c>
    </row>
    <row r="75" spans="1:8">
      <c r="A75" s="544">
        <f t="shared" ref="A75:A86" si="27">A74+1</f>
        <v>55</v>
      </c>
      <c r="B75" s="341" t="s">
        <v>83</v>
      </c>
      <c r="C75" s="546">
        <f t="shared" si="25"/>
        <v>0</v>
      </c>
      <c r="D75" s="546">
        <f t="shared" si="25"/>
        <v>0</v>
      </c>
      <c r="E75" s="546">
        <f t="shared" si="25"/>
        <v>24179.249086794851</v>
      </c>
      <c r="H75" s="545">
        <f t="shared" si="26"/>
        <v>24179.249086794851</v>
      </c>
    </row>
    <row r="76" spans="1:8">
      <c r="A76" s="544">
        <f t="shared" si="27"/>
        <v>56</v>
      </c>
      <c r="B76" s="341" t="s">
        <v>171</v>
      </c>
      <c r="C76" s="546">
        <f>(C41*31/12-C40)*12/31</f>
        <v>0</v>
      </c>
      <c r="D76" s="546">
        <f t="shared" ref="D76:E85" si="28">D41-D40</f>
        <v>0</v>
      </c>
      <c r="E76" s="546">
        <f t="shared" si="28"/>
        <v>24995.359241099679</v>
      </c>
      <c r="H76" s="545">
        <f t="shared" si="26"/>
        <v>24995.359241099679</v>
      </c>
    </row>
    <row r="77" spans="1:8">
      <c r="A77" s="544">
        <f t="shared" si="27"/>
        <v>57</v>
      </c>
      <c r="B77" s="341" t="s">
        <v>74</v>
      </c>
      <c r="C77" s="546">
        <f>C42-C41*0</f>
        <v>0</v>
      </c>
      <c r="D77" s="546">
        <f t="shared" si="28"/>
        <v>0</v>
      </c>
      <c r="E77" s="546">
        <f t="shared" si="28"/>
        <v>24921.573332216241</v>
      </c>
      <c r="H77" s="545">
        <f t="shared" si="26"/>
        <v>24921.573332216241</v>
      </c>
    </row>
    <row r="78" spans="1:8">
      <c r="A78" s="544">
        <f t="shared" si="27"/>
        <v>58</v>
      </c>
      <c r="B78" s="341" t="s">
        <v>73</v>
      </c>
      <c r="C78" s="546">
        <f t="shared" ref="C78:C85" si="29">C43-C42</f>
        <v>0</v>
      </c>
      <c r="D78" s="546">
        <f t="shared" si="28"/>
        <v>0</v>
      </c>
      <c r="E78" s="546">
        <f t="shared" si="28"/>
        <v>24849.076580929221</v>
      </c>
      <c r="H78" s="545">
        <f t="shared" si="26"/>
        <v>24849.076580929221</v>
      </c>
    </row>
    <row r="79" spans="1:8">
      <c r="A79" s="544">
        <f t="shared" si="27"/>
        <v>59</v>
      </c>
      <c r="B79" s="341" t="s">
        <v>93</v>
      </c>
      <c r="C79" s="546">
        <f t="shared" si="29"/>
        <v>0</v>
      </c>
      <c r="D79" s="546">
        <f t="shared" si="28"/>
        <v>0</v>
      </c>
      <c r="E79" s="546">
        <f t="shared" si="28"/>
        <v>24777.837953702896</v>
      </c>
      <c r="H79" s="545">
        <f t="shared" si="26"/>
        <v>24777.837953702896</v>
      </c>
    </row>
    <row r="80" spans="1:8">
      <c r="A80" s="544">
        <f t="shared" si="27"/>
        <v>60</v>
      </c>
      <c r="B80" s="341" t="s">
        <v>81</v>
      </c>
      <c r="C80" s="546">
        <f t="shared" si="29"/>
        <v>0</v>
      </c>
      <c r="D80" s="546">
        <f t="shared" si="28"/>
        <v>0</v>
      </c>
      <c r="E80" s="546">
        <f t="shared" si="28"/>
        <v>24707.827271507005</v>
      </c>
      <c r="H80" s="545">
        <f t="shared" si="26"/>
        <v>24707.827271507005</v>
      </c>
    </row>
    <row r="81" spans="1:8">
      <c r="A81" s="544">
        <f t="shared" si="27"/>
        <v>61</v>
      </c>
      <c r="B81" s="341" t="s">
        <v>172</v>
      </c>
      <c r="C81" s="546">
        <f t="shared" si="29"/>
        <v>0</v>
      </c>
      <c r="D81" s="546">
        <f t="shared" si="28"/>
        <v>0</v>
      </c>
      <c r="E81" s="546">
        <f t="shared" si="28"/>
        <v>24639.015185302589</v>
      </c>
      <c r="H81" s="545">
        <f t="shared" si="26"/>
        <v>24639.015185302589</v>
      </c>
    </row>
    <row r="82" spans="1:8">
      <c r="A82" s="544">
        <f t="shared" si="27"/>
        <v>62</v>
      </c>
      <c r="B82" s="341" t="s">
        <v>79</v>
      </c>
      <c r="C82" s="546">
        <f t="shared" si="29"/>
        <v>0</v>
      </c>
      <c r="D82" s="546">
        <f t="shared" si="28"/>
        <v>0</v>
      </c>
      <c r="E82" s="546">
        <f t="shared" si="28"/>
        <v>24571.373152241111</v>
      </c>
      <c r="H82" s="545">
        <f t="shared" si="26"/>
        <v>24571.373152241111</v>
      </c>
    </row>
    <row r="83" spans="1:8">
      <c r="A83" s="544">
        <f t="shared" si="27"/>
        <v>63</v>
      </c>
      <c r="B83" s="341" t="s">
        <v>85</v>
      </c>
      <c r="C83" s="546">
        <f t="shared" si="29"/>
        <v>0</v>
      </c>
      <c r="D83" s="546">
        <f t="shared" si="28"/>
        <v>0</v>
      </c>
      <c r="E83" s="546">
        <f t="shared" si="28"/>
        <v>24504.873412551591</v>
      </c>
      <c r="H83" s="545">
        <f t="shared" si="26"/>
        <v>24504.873412551591</v>
      </c>
    </row>
    <row r="84" spans="1:8">
      <c r="A84" s="544">
        <f t="shared" si="27"/>
        <v>64</v>
      </c>
      <c r="B84" s="341" t="s">
        <v>78</v>
      </c>
      <c r="C84" s="546">
        <f t="shared" si="29"/>
        <v>0</v>
      </c>
      <c r="D84" s="546">
        <f t="shared" si="28"/>
        <v>0</v>
      </c>
      <c r="E84" s="546">
        <f t="shared" si="28"/>
        <v>24439.488967099693</v>
      </c>
      <c r="H84" s="545">
        <f t="shared" si="26"/>
        <v>24439.488967099693</v>
      </c>
    </row>
    <row r="85" spans="1:8">
      <c r="A85" s="544">
        <f t="shared" si="27"/>
        <v>65</v>
      </c>
      <c r="B85" s="341" t="s">
        <v>196</v>
      </c>
      <c r="C85" s="546">
        <f t="shared" si="29"/>
        <v>0</v>
      </c>
      <c r="D85" s="546">
        <f t="shared" si="28"/>
        <v>0</v>
      </c>
      <c r="E85" s="546">
        <f t="shared" si="28"/>
        <v>24375.193555597099</v>
      </c>
      <c r="H85" s="545">
        <f t="shared" si="26"/>
        <v>24375.193555597099</v>
      </c>
    </row>
    <row r="86" spans="1:8">
      <c r="A86" s="544">
        <f t="shared" si="27"/>
        <v>66</v>
      </c>
      <c r="B86" s="341" t="s">
        <v>13</v>
      </c>
      <c r="C86" s="546">
        <f>SUM(C74:C85)</f>
        <v>0</v>
      </c>
      <c r="D86" s="546">
        <f>SUM(D74:D85)</f>
        <v>0</v>
      </c>
      <c r="E86" s="546">
        <f>SUM(E74:E85)</f>
        <v>295180.62599195639</v>
      </c>
      <c r="H86" s="545">
        <f t="shared" si="26"/>
        <v>295180.62599195639</v>
      </c>
    </row>
    <row r="87" spans="1:8">
      <c r="H87" s="546"/>
    </row>
    <row r="88" spans="1:8" ht="15.75" thickBot="1">
      <c r="A88" s="547" t="s">
        <v>1161</v>
      </c>
      <c r="H88" s="546"/>
    </row>
    <row r="89" spans="1:8">
      <c r="A89" s="16" t="s">
        <v>1144</v>
      </c>
    </row>
  </sheetData>
  <sheetProtection algorithmName="SHA-512" hashValue="WvgNHboBUbEF7GkYxjMp2zRkMd/l/1UCQF93/jejHywo2gztseAgHn0wgknhdswNu4YGNE/kN3Hrhoq20xipFA==" saltValue="cjUeLUd+cS8JlWS9CEPuuQ=="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56"/>
  <sheetViews>
    <sheetView view="pageBreakPreview" topLeftCell="E10" zoomScale="90" zoomScaleNormal="100" zoomScaleSheetLayoutView="90" workbookViewId="0">
      <selection activeCell="L21" sqref="L21"/>
    </sheetView>
  </sheetViews>
  <sheetFormatPr defaultColWidth="14" defaultRowHeight="13.15"/>
  <cols>
    <col min="1" max="1" width="5.88671875" style="548" bestFit="1" customWidth="1"/>
    <col min="2" max="2" width="23.6640625" style="21" customWidth="1"/>
    <col min="3" max="3" width="16.88671875" style="21" customWidth="1"/>
    <col min="4" max="4" width="16.33203125" style="21" customWidth="1"/>
    <col min="5" max="5" width="18.88671875" style="21" customWidth="1"/>
    <col min="6" max="6" width="15.44140625" style="21" customWidth="1"/>
    <col min="7" max="7" width="13.109375" style="21" customWidth="1"/>
    <col min="8" max="8" width="12.44140625" style="21" bestFit="1" customWidth="1"/>
    <col min="9" max="9" width="17.6640625" style="21" bestFit="1" customWidth="1"/>
    <col min="10" max="10" width="16" style="21" customWidth="1"/>
    <col min="11" max="11" width="12.5546875" style="21" bestFit="1" customWidth="1"/>
    <col min="12" max="13" width="13.109375" style="21" customWidth="1"/>
    <col min="14" max="14" width="14" style="21"/>
    <col min="15" max="15" width="10" style="21" bestFit="1" customWidth="1"/>
    <col min="16" max="16384" width="14" style="21"/>
  </cols>
  <sheetData>
    <row r="1" spans="1:15">
      <c r="G1" s="150" t="s">
        <v>192</v>
      </c>
      <c r="M1" s="326" t="s">
        <v>422</v>
      </c>
    </row>
    <row r="2" spans="1:15" ht="15" customHeight="1">
      <c r="G2" s="280" t="s">
        <v>1277</v>
      </c>
    </row>
    <row r="3" spans="1:15">
      <c r="D3" s="22"/>
      <c r="E3" s="22"/>
      <c r="F3" s="22"/>
      <c r="G3" s="24" t="str">
        <f>+'Attachment H-7'!D5</f>
        <v>PECO Energy Company</v>
      </c>
      <c r="H3" s="22"/>
      <c r="J3" s="22"/>
      <c r="K3" s="22"/>
      <c r="L3" s="22"/>
      <c r="M3" s="22"/>
      <c r="N3" s="22"/>
    </row>
    <row r="4" spans="1:15">
      <c r="B4" s="4"/>
    </row>
    <row r="6" spans="1:15" s="552" customFormat="1" ht="69.75" customHeight="1">
      <c r="A6" s="549" t="s">
        <v>155</v>
      </c>
      <c r="B6" s="550" t="s">
        <v>167</v>
      </c>
      <c r="C6" s="550" t="s">
        <v>276</v>
      </c>
      <c r="D6" s="550" t="s">
        <v>245</v>
      </c>
      <c r="E6" s="550" t="s">
        <v>246</v>
      </c>
      <c r="F6" s="550" t="s">
        <v>682</v>
      </c>
      <c r="G6" s="550" t="s">
        <v>277</v>
      </c>
      <c r="H6" s="551" t="s">
        <v>322</v>
      </c>
      <c r="I6" s="550" t="s">
        <v>278</v>
      </c>
      <c r="J6" s="550" t="s">
        <v>761</v>
      </c>
      <c r="K6" s="550" t="s">
        <v>1394</v>
      </c>
      <c r="L6" s="550" t="s">
        <v>1395</v>
      </c>
      <c r="M6" s="550" t="s">
        <v>1433</v>
      </c>
      <c r="O6" s="553"/>
    </row>
    <row r="7" spans="1:15" s="552" customFormat="1">
      <c r="A7" s="549"/>
      <c r="B7" s="550"/>
      <c r="C7" s="554" t="s">
        <v>198</v>
      </c>
      <c r="D7" s="325" t="s">
        <v>199</v>
      </c>
      <c r="E7" s="325" t="s">
        <v>200</v>
      </c>
      <c r="F7" s="555" t="s">
        <v>201</v>
      </c>
      <c r="G7" s="346" t="s">
        <v>203</v>
      </c>
      <c r="H7" s="280" t="s">
        <v>202</v>
      </c>
      <c r="I7" s="280" t="s">
        <v>204</v>
      </c>
      <c r="J7" s="346" t="s">
        <v>205</v>
      </c>
      <c r="K7" s="552" t="s">
        <v>206</v>
      </c>
      <c r="L7" s="552" t="s">
        <v>244</v>
      </c>
      <c r="M7" s="552" t="s">
        <v>248</v>
      </c>
      <c r="O7" s="553"/>
    </row>
    <row r="8" spans="1:15" ht="25.5" customHeight="1">
      <c r="A8" s="556"/>
      <c r="B8" s="334" t="s">
        <v>1278</v>
      </c>
      <c r="C8" s="554">
        <v>1</v>
      </c>
      <c r="D8" s="554">
        <v>2</v>
      </c>
      <c r="E8" s="554">
        <v>3</v>
      </c>
      <c r="F8" s="554"/>
      <c r="G8" s="554">
        <v>11</v>
      </c>
      <c r="H8" s="554">
        <v>12</v>
      </c>
      <c r="I8" s="554">
        <v>16</v>
      </c>
      <c r="J8" s="554"/>
      <c r="O8" s="557"/>
    </row>
    <row r="9" spans="1:15" s="560" customFormat="1" ht="54" customHeight="1">
      <c r="A9" s="556"/>
      <c r="B9" s="558" t="s">
        <v>398</v>
      </c>
      <c r="C9" s="280" t="s">
        <v>399</v>
      </c>
      <c r="D9" s="280" t="s">
        <v>400</v>
      </c>
      <c r="E9" s="280" t="s">
        <v>401</v>
      </c>
      <c r="F9" s="559" t="s">
        <v>683</v>
      </c>
      <c r="G9" s="559" t="s">
        <v>402</v>
      </c>
      <c r="H9" s="559" t="s">
        <v>403</v>
      </c>
      <c r="I9" s="559" t="s">
        <v>1391</v>
      </c>
      <c r="J9" s="559" t="s">
        <v>1455</v>
      </c>
      <c r="K9" s="559" t="s">
        <v>1393</v>
      </c>
      <c r="L9" s="559" t="s">
        <v>1435</v>
      </c>
      <c r="M9" s="559" t="s">
        <v>1434</v>
      </c>
      <c r="O9" s="561"/>
    </row>
    <row r="10" spans="1:15" s="560" customFormat="1" ht="26.25">
      <c r="A10" s="556"/>
      <c r="B10" s="558"/>
      <c r="F10" s="280"/>
      <c r="G10" s="559" t="s">
        <v>1443</v>
      </c>
      <c r="I10" s="280"/>
      <c r="J10" s="280"/>
      <c r="K10" s="280"/>
      <c r="L10" s="280"/>
      <c r="M10" s="280"/>
      <c r="O10" s="561"/>
    </row>
    <row r="11" spans="1:15">
      <c r="A11" s="556"/>
      <c r="B11" s="562"/>
      <c r="C11" s="554"/>
      <c r="D11" s="554"/>
      <c r="E11" s="554"/>
      <c r="F11" s="554"/>
      <c r="G11" s="554"/>
      <c r="H11" s="554"/>
      <c r="I11" s="554"/>
      <c r="J11" s="554"/>
      <c r="O11" s="557"/>
    </row>
    <row r="12" spans="1:15">
      <c r="A12" s="556" t="s">
        <v>242</v>
      </c>
      <c r="B12" s="563" t="s">
        <v>13</v>
      </c>
      <c r="C12" s="954">
        <f>273868049</f>
        <v>273868049</v>
      </c>
      <c r="D12" s="954">
        <v>16163936</v>
      </c>
      <c r="E12" s="954">
        <v>0</v>
      </c>
      <c r="F12" s="954">
        <f>102660342+105873733</f>
        <v>208534075</v>
      </c>
      <c r="G12" s="954">
        <v>0</v>
      </c>
      <c r="H12" s="564">
        <f>D12-G12</f>
        <v>16163936</v>
      </c>
      <c r="I12" s="564">
        <f>'8 - Depreciation Rates'!K26</f>
        <v>31999118.321264997</v>
      </c>
      <c r="J12" s="564">
        <f>'8 - Depreciation Rates'!K102</f>
        <v>47394143.269334003</v>
      </c>
      <c r="K12" s="564">
        <f>'8 - Depreciation Rates'!K58</f>
        <v>4731984.5683439998</v>
      </c>
      <c r="L12" s="564">
        <f>'8 - Depreciation Rates'!K68</f>
        <v>6079371.0042590005</v>
      </c>
      <c r="M12" s="564">
        <f>'8 - Depreciation Rates'!K72</f>
        <v>17441889.458158135</v>
      </c>
      <c r="O12" s="565"/>
    </row>
    <row r="13" spans="1:15">
      <c r="A13" s="556"/>
      <c r="B13" s="566"/>
      <c r="C13" s="566"/>
      <c r="D13" s="566"/>
      <c r="E13" s="566"/>
      <c r="F13" s="566"/>
      <c r="G13" s="566"/>
      <c r="H13" s="566"/>
      <c r="I13" s="566"/>
      <c r="J13" s="566"/>
      <c r="N13" s="566"/>
      <c r="O13" s="567"/>
    </row>
    <row r="14" spans="1:15">
      <c r="A14" s="556"/>
      <c r="B14" s="566"/>
      <c r="C14" s="566"/>
      <c r="D14" s="566"/>
      <c r="E14" s="566"/>
      <c r="F14" s="566"/>
      <c r="G14" s="566"/>
      <c r="H14" s="566"/>
      <c r="I14" s="566"/>
      <c r="J14" s="566"/>
      <c r="N14" s="566"/>
      <c r="O14" s="567"/>
    </row>
    <row r="15" spans="1:15" ht="78.75">
      <c r="A15" s="556"/>
      <c r="C15" s="550" t="s">
        <v>661</v>
      </c>
      <c r="D15" s="552" t="s">
        <v>247</v>
      </c>
      <c r="E15" s="550" t="s">
        <v>1333</v>
      </c>
      <c r="F15" s="552" t="s">
        <v>1338</v>
      </c>
      <c r="G15" s="550" t="s">
        <v>1334</v>
      </c>
      <c r="H15" s="550" t="s">
        <v>1456</v>
      </c>
      <c r="I15" s="550" t="s">
        <v>1336</v>
      </c>
      <c r="J15" s="550" t="s">
        <v>1339</v>
      </c>
      <c r="K15" s="550" t="s">
        <v>1098</v>
      </c>
      <c r="L15" s="550" t="s">
        <v>1225</v>
      </c>
      <c r="M15" s="550" t="s">
        <v>1136</v>
      </c>
      <c r="N15" s="566"/>
      <c r="O15" s="62"/>
    </row>
    <row r="16" spans="1:15">
      <c r="A16" s="556"/>
      <c r="C16" s="554" t="s">
        <v>198</v>
      </c>
      <c r="D16" s="325" t="s">
        <v>199</v>
      </c>
      <c r="E16" s="544" t="s">
        <v>1341</v>
      </c>
      <c r="F16" s="555" t="s">
        <v>1342</v>
      </c>
      <c r="G16" s="555" t="s">
        <v>203</v>
      </c>
      <c r="H16" s="555" t="s">
        <v>202</v>
      </c>
      <c r="I16" s="555" t="s">
        <v>204</v>
      </c>
      <c r="J16" s="346" t="s">
        <v>1343</v>
      </c>
      <c r="K16" s="346" t="s">
        <v>206</v>
      </c>
      <c r="L16" s="280" t="s">
        <v>244</v>
      </c>
      <c r="M16" s="280" t="s">
        <v>248</v>
      </c>
      <c r="N16" s="566"/>
      <c r="O16" s="62"/>
    </row>
    <row r="17" spans="1:15" ht="26.25">
      <c r="A17" s="556"/>
      <c r="B17" s="334" t="s">
        <v>1279</v>
      </c>
      <c r="C17" s="554">
        <v>17</v>
      </c>
      <c r="D17" s="556">
        <v>19</v>
      </c>
      <c r="E17" s="554">
        <v>23</v>
      </c>
      <c r="F17" s="554">
        <v>24</v>
      </c>
      <c r="G17" s="554">
        <v>26</v>
      </c>
      <c r="H17" s="554">
        <v>27</v>
      </c>
      <c r="I17" s="554">
        <v>28</v>
      </c>
      <c r="J17" s="554">
        <v>29</v>
      </c>
      <c r="K17" s="558">
        <v>38</v>
      </c>
      <c r="L17" s="554">
        <v>39</v>
      </c>
      <c r="M17" s="554">
        <v>40</v>
      </c>
      <c r="N17" s="566"/>
      <c r="O17" s="62"/>
    </row>
    <row r="18" spans="1:15" ht="25.35" customHeight="1">
      <c r="A18" s="556"/>
      <c r="B18" s="558" t="s">
        <v>398</v>
      </c>
      <c r="C18" s="559" t="s">
        <v>1392</v>
      </c>
      <c r="D18" s="280" t="s">
        <v>404</v>
      </c>
      <c r="E18" s="280" t="s">
        <v>1331</v>
      </c>
      <c r="F18" s="21" t="s">
        <v>1356</v>
      </c>
      <c r="G18" s="559" t="s">
        <v>1332</v>
      </c>
      <c r="H18" s="559" t="s">
        <v>1335</v>
      </c>
      <c r="I18" s="559" t="s">
        <v>1337</v>
      </c>
      <c r="J18" s="21" t="s">
        <v>1357</v>
      </c>
      <c r="K18" s="280" t="s">
        <v>1097</v>
      </c>
      <c r="L18" s="559" t="s">
        <v>1141</v>
      </c>
      <c r="M18" s="559" t="s">
        <v>1142</v>
      </c>
      <c r="N18" s="566"/>
      <c r="O18" s="62"/>
    </row>
    <row r="19" spans="1:15" s="560" customFormat="1">
      <c r="A19" s="556"/>
      <c r="B19" s="558"/>
      <c r="N19" s="280"/>
    </row>
    <row r="20" spans="1:15">
      <c r="A20" s="556"/>
      <c r="C20" s="554"/>
      <c r="E20" s="554"/>
      <c r="F20" s="554"/>
      <c r="G20" s="554"/>
      <c r="H20" s="554"/>
      <c r="I20" s="554"/>
      <c r="J20" s="554"/>
      <c r="K20" s="554"/>
      <c r="L20" s="554"/>
      <c r="M20" s="554"/>
      <c r="N20" s="566"/>
    </row>
    <row r="21" spans="1:15">
      <c r="A21" s="556" t="s">
        <v>165</v>
      </c>
      <c r="B21" s="563" t="s">
        <v>13</v>
      </c>
      <c r="C21" s="564">
        <f>'8 - Depreciation Rates'!K44</f>
        <v>23113085.930592999</v>
      </c>
      <c r="D21" s="955">
        <v>0</v>
      </c>
      <c r="E21" s="564">
        <f>'5C - Other Taxes'!E20</f>
        <v>13829706</v>
      </c>
      <c r="F21" s="955">
        <f>'5C - Other Taxes'!E47</f>
        <v>0</v>
      </c>
      <c r="G21" s="564">
        <f>'5C - Other Taxes'!E12</f>
        <v>14665809</v>
      </c>
      <c r="H21" s="564">
        <f>'5C - Other Taxes'!E37</f>
        <v>178621287</v>
      </c>
      <c r="I21" s="564">
        <f>'5C - Other Taxes'!E28</f>
        <v>2741123</v>
      </c>
      <c r="J21" s="955">
        <f>'5C - Other Taxes'!E52</f>
        <v>0</v>
      </c>
      <c r="K21" s="955">
        <v>2271.533656401617</v>
      </c>
      <c r="L21" s="564">
        <f>'9 - EDIT'!Q21+'9 - EDIT'!Q23+'9 - EDIT'!Q27</f>
        <v>8287220.5408883775</v>
      </c>
      <c r="M21" s="955">
        <v>261839.198692178</v>
      </c>
      <c r="N21" s="566"/>
    </row>
    <row r="22" spans="1:15">
      <c r="A22" s="556"/>
      <c r="B22" s="568"/>
      <c r="C22" s="569"/>
      <c r="D22" s="569"/>
      <c r="E22" s="569"/>
      <c r="F22" s="569"/>
      <c r="G22" s="569"/>
      <c r="H22" s="569"/>
      <c r="I22" s="569"/>
      <c r="J22" s="569"/>
      <c r="K22" s="569"/>
      <c r="L22" s="569"/>
      <c r="M22" s="569"/>
      <c r="N22" s="566"/>
    </row>
    <row r="23" spans="1:15">
      <c r="B23" s="566"/>
      <c r="C23" s="566"/>
      <c r="D23" s="566"/>
      <c r="E23" s="566"/>
      <c r="F23" s="566"/>
      <c r="G23" s="554" t="s">
        <v>192</v>
      </c>
      <c r="H23" s="566"/>
      <c r="I23" s="566"/>
      <c r="J23" s="566"/>
      <c r="M23" s="326" t="s">
        <v>154</v>
      </c>
      <c r="N23" s="566"/>
      <c r="O23" s="570"/>
    </row>
    <row r="24" spans="1:15">
      <c r="B24" s="566"/>
      <c r="C24" s="566"/>
      <c r="D24" s="566"/>
      <c r="E24" s="566"/>
      <c r="F24" s="566"/>
      <c r="G24" s="554" t="s">
        <v>1277</v>
      </c>
      <c r="H24" s="566"/>
      <c r="I24" s="566"/>
      <c r="J24" s="566"/>
      <c r="N24" s="566"/>
      <c r="O24" s="570"/>
    </row>
    <row r="25" spans="1:15" ht="15.4">
      <c r="A25" s="571"/>
      <c r="B25" s="572"/>
      <c r="C25" s="572"/>
      <c r="D25" s="572"/>
      <c r="E25" s="572"/>
      <c r="F25" s="572"/>
      <c r="G25" s="573" t="str">
        <f>+G3</f>
        <v>PECO Energy Company</v>
      </c>
      <c r="H25" s="572"/>
      <c r="I25" s="572"/>
      <c r="J25" s="572"/>
      <c r="K25" s="538"/>
      <c r="L25" s="538"/>
      <c r="M25" s="538"/>
      <c r="N25" s="566"/>
      <c r="O25" s="570"/>
    </row>
    <row r="26" spans="1:15">
      <c r="B26" s="566"/>
      <c r="C26" s="566"/>
      <c r="D26" s="566"/>
      <c r="E26" s="566"/>
      <c r="F26" s="566"/>
      <c r="G26" s="566"/>
      <c r="H26" s="566"/>
      <c r="I26" s="566"/>
      <c r="J26" s="566"/>
      <c r="N26" s="566"/>
      <c r="O26" s="570"/>
    </row>
    <row r="27" spans="1:15">
      <c r="B27" s="566"/>
      <c r="C27" s="566"/>
      <c r="D27" s="566"/>
      <c r="E27" s="566"/>
      <c r="F27" s="566"/>
      <c r="G27" s="566"/>
      <c r="H27" s="566"/>
      <c r="I27" s="566"/>
      <c r="J27" s="566"/>
      <c r="N27" s="566"/>
      <c r="O27" s="570"/>
    </row>
    <row r="28" spans="1:15" ht="13.5" thickBot="1">
      <c r="A28" s="574"/>
      <c r="B28" s="22"/>
      <c r="C28" s="4"/>
      <c r="D28" s="575"/>
      <c r="E28" s="575"/>
      <c r="F28" s="575"/>
      <c r="G28" s="575"/>
      <c r="H28" s="575"/>
      <c r="I28" s="575"/>
      <c r="J28" s="576" t="s">
        <v>44</v>
      </c>
      <c r="K28" s="577"/>
      <c r="L28" s="4"/>
      <c r="N28" s="578"/>
      <c r="O28" s="578"/>
    </row>
    <row r="29" spans="1:15">
      <c r="A29" s="574">
        <f>+A21+1</f>
        <v>3</v>
      </c>
      <c r="B29" s="22"/>
      <c r="C29" s="4"/>
      <c r="D29" s="575" t="s">
        <v>1137</v>
      </c>
      <c r="E29" s="575"/>
      <c r="F29" s="575"/>
      <c r="G29" s="575"/>
      <c r="H29" s="575"/>
      <c r="I29" s="575"/>
      <c r="J29" s="39">
        <f>'11 - Cost of Capital'!G13</f>
        <v>233466538.83000004</v>
      </c>
      <c r="N29" s="566"/>
      <c r="O29" s="566"/>
    </row>
    <row r="30" spans="1:15">
      <c r="A30" s="574"/>
      <c r="B30" s="22"/>
      <c r="C30" s="4"/>
      <c r="D30" s="575"/>
      <c r="E30" s="575"/>
      <c r="F30" s="575"/>
      <c r="G30" s="575"/>
      <c r="H30" s="575"/>
      <c r="I30" s="575"/>
      <c r="J30" s="39"/>
      <c r="N30" s="566"/>
      <c r="O30" s="566"/>
    </row>
    <row r="31" spans="1:15">
      <c r="A31" s="574">
        <f>+A29+1</f>
        <v>4</v>
      </c>
      <c r="B31" s="22"/>
      <c r="C31" s="4"/>
      <c r="D31" s="575" t="s">
        <v>300</v>
      </c>
      <c r="E31" s="575"/>
      <c r="F31" s="575"/>
      <c r="G31" s="575"/>
      <c r="H31" s="575"/>
      <c r="I31" s="575"/>
      <c r="J31" s="872">
        <v>0</v>
      </c>
      <c r="N31" s="566"/>
      <c r="O31" s="566"/>
    </row>
    <row r="32" spans="1:15">
      <c r="A32" s="574"/>
      <c r="B32" s="22"/>
      <c r="C32" s="4"/>
      <c r="D32" s="575"/>
      <c r="E32" s="575"/>
      <c r="F32" s="575"/>
      <c r="G32" s="575"/>
      <c r="H32" s="575"/>
      <c r="I32" s="575"/>
      <c r="J32" s="39"/>
    </row>
    <row r="33" spans="1:12">
      <c r="A33" s="574">
        <f>+A31+1</f>
        <v>5</v>
      </c>
      <c r="B33" s="22"/>
      <c r="C33" s="4"/>
      <c r="D33" s="575" t="s">
        <v>1213</v>
      </c>
      <c r="E33" s="579"/>
      <c r="F33" s="575"/>
      <c r="G33" s="575"/>
      <c r="H33" s="575"/>
      <c r="I33" s="575"/>
      <c r="J33" s="39">
        <f>'11 - Cost of Capital'!P42</f>
        <v>6603578654.8061543</v>
      </c>
    </row>
    <row r="34" spans="1:12">
      <c r="A34" s="574">
        <f>+A33+1</f>
        <v>6</v>
      </c>
      <c r="B34" s="22"/>
      <c r="C34" s="4"/>
      <c r="D34" s="575" t="s">
        <v>1214</v>
      </c>
      <c r="E34" s="575"/>
      <c r="F34" s="575"/>
      <c r="G34" s="575"/>
      <c r="H34" s="575"/>
      <c r="I34" s="575"/>
      <c r="J34" s="39">
        <f>'11 - Cost of Capital'!P43</f>
        <v>0</v>
      </c>
    </row>
    <row r="35" spans="1:12">
      <c r="A35" s="574">
        <f>+A34+1</f>
        <v>7</v>
      </c>
      <c r="B35" s="22"/>
      <c r="C35" s="4"/>
      <c r="D35" s="575" t="s">
        <v>1215</v>
      </c>
      <c r="E35" s="575"/>
      <c r="F35" s="575"/>
      <c r="G35" s="575"/>
      <c r="H35" s="575"/>
      <c r="I35" s="575"/>
      <c r="J35" s="39">
        <f>IF('11 - Cost of Capital'!P38&lt;0, 0, -'11 - Cost of Capital'!P38)</f>
        <v>0</v>
      </c>
    </row>
    <row r="36" spans="1:12" ht="13.5" thickBot="1">
      <c r="A36" s="574">
        <f>+A35+1</f>
        <v>8</v>
      </c>
      <c r="B36" s="22"/>
      <c r="C36" s="4"/>
      <c r="D36" s="575" t="s">
        <v>1216</v>
      </c>
      <c r="E36" s="575"/>
      <c r="F36" s="575"/>
      <c r="G36" s="575"/>
      <c r="H36" s="575"/>
      <c r="I36" s="575"/>
      <c r="J36" s="46">
        <f>-'11 - Cost of Capital'!P41</f>
        <v>-2708874.7007692307</v>
      </c>
    </row>
    <row r="37" spans="1:12">
      <c r="A37" s="574">
        <f>+A36+1</f>
        <v>9</v>
      </c>
      <c r="B37" s="22"/>
      <c r="C37" s="4"/>
      <c r="D37" s="575" t="s">
        <v>301</v>
      </c>
      <c r="E37" s="579" t="s">
        <v>1078</v>
      </c>
      <c r="F37" s="579"/>
      <c r="G37" s="579"/>
      <c r="H37" s="580"/>
      <c r="I37" s="579"/>
      <c r="J37" s="39">
        <f>+J33-J34+J35+J36</f>
        <v>6600869780.1053848</v>
      </c>
    </row>
    <row r="38" spans="1:12">
      <c r="A38" s="574"/>
      <c r="B38" s="22"/>
      <c r="C38" s="4"/>
      <c r="J38" s="39"/>
    </row>
    <row r="39" spans="1:12">
      <c r="A39" s="574"/>
      <c r="B39" s="22"/>
      <c r="C39" s="4"/>
      <c r="F39" s="4"/>
      <c r="G39" s="4"/>
      <c r="H39" s="4"/>
      <c r="I39" s="4"/>
      <c r="J39" s="4"/>
      <c r="K39" s="577"/>
      <c r="L39" s="4"/>
    </row>
    <row r="40" spans="1:12">
      <c r="A40" s="574"/>
      <c r="B40" s="22"/>
      <c r="C40" s="4"/>
      <c r="F40" s="4"/>
      <c r="G40" s="4"/>
      <c r="H40" s="4"/>
      <c r="I40" s="27" t="s">
        <v>52</v>
      </c>
      <c r="J40" s="4"/>
      <c r="K40" s="4"/>
      <c r="L40" s="4"/>
    </row>
    <row r="41" spans="1:12" ht="13.5" thickBot="1">
      <c r="A41" s="574"/>
      <c r="B41" s="22"/>
      <c r="C41" s="4"/>
      <c r="F41" s="35" t="s">
        <v>44</v>
      </c>
      <c r="G41" s="35" t="s">
        <v>53</v>
      </c>
      <c r="H41" s="4"/>
      <c r="I41" s="122"/>
      <c r="J41" s="4"/>
      <c r="K41" s="35" t="s">
        <v>54</v>
      </c>
      <c r="L41" s="4"/>
    </row>
    <row r="42" spans="1:12">
      <c r="A42" s="574">
        <f>+A37+1</f>
        <v>10</v>
      </c>
      <c r="B42" s="22" t="s">
        <v>1219</v>
      </c>
      <c r="C42" s="3" t="s">
        <v>1146</v>
      </c>
      <c r="F42" s="33">
        <f>'11 - Cost of Capital'!P22</f>
        <v>5561341685.9230766</v>
      </c>
      <c r="G42" s="42">
        <f>1-G44-G43</f>
        <v>0.45726401826321128</v>
      </c>
      <c r="H42" s="41"/>
      <c r="I42" s="42">
        <f>+J29/F42</f>
        <v>4.1980254408923098E-2</v>
      </c>
      <c r="J42" s="41"/>
      <c r="K42" s="42">
        <f>G42*I42</f>
        <v>1.9196059818736066E-2</v>
      </c>
      <c r="L42" s="104" t="s">
        <v>55</v>
      </c>
    </row>
    <row r="43" spans="1:12">
      <c r="A43" s="574">
        <f>+A42+1</f>
        <v>11</v>
      </c>
      <c r="B43" s="22" t="s">
        <v>1217</v>
      </c>
      <c r="C43" s="3" t="s">
        <v>1145</v>
      </c>
      <c r="F43" s="33">
        <f>J34</f>
        <v>0</v>
      </c>
      <c r="G43" s="41">
        <f>IF(F$45=0,0,F43/F$45)</f>
        <v>0</v>
      </c>
      <c r="H43" s="41"/>
      <c r="I43" s="41">
        <v>0</v>
      </c>
      <c r="J43" s="41"/>
      <c r="K43" s="42">
        <f>G43*I43</f>
        <v>0</v>
      </c>
      <c r="L43" s="4"/>
    </row>
    <row r="44" spans="1:12" ht="13.5" thickBot="1">
      <c r="A44" s="574">
        <f>+A43+1</f>
        <v>12</v>
      </c>
      <c r="B44" s="22" t="s">
        <v>1218</v>
      </c>
      <c r="C44" s="3" t="s">
        <v>1147</v>
      </c>
      <c r="F44" s="36">
        <f>+J37</f>
        <v>6600869780.1053848</v>
      </c>
      <c r="G44" s="42">
        <f>IF(F$45=0,0,IF(F44/F$45&gt;0.5575, 0.5575, F44/F$45))</f>
        <v>0.54273598173678872</v>
      </c>
      <c r="H44" s="135"/>
      <c r="I44" s="42">
        <f>0.5%+9.85%</f>
        <v>0.10349999999999999</v>
      </c>
      <c r="J44" s="41"/>
      <c r="K44" s="581">
        <f>G44*I44</f>
        <v>5.6173174109757633E-2</v>
      </c>
      <c r="L44" s="4"/>
    </row>
    <row r="45" spans="1:12">
      <c r="A45" s="574">
        <f>+A44+1</f>
        <v>13</v>
      </c>
      <c r="B45" s="22" t="s">
        <v>227</v>
      </c>
      <c r="C45" s="3" t="s">
        <v>1079</v>
      </c>
      <c r="F45" s="33">
        <f>SUM(F42:F44)</f>
        <v>12162211466.028461</v>
      </c>
      <c r="G45" s="41" t="s">
        <v>2</v>
      </c>
      <c r="H45" s="4"/>
      <c r="I45" s="41"/>
      <c r="J45" s="41"/>
      <c r="K45" s="42">
        <f>SUM(K42:K44)</f>
        <v>7.5369233928493706E-2</v>
      </c>
      <c r="L45" s="104" t="s">
        <v>56</v>
      </c>
    </row>
    <row r="46" spans="1:12">
      <c r="A46" s="574"/>
      <c r="G46" s="41"/>
    </row>
    <row r="47" spans="1:12" ht="13.5" thickBot="1">
      <c r="A47" s="582" t="s">
        <v>182</v>
      </c>
    </row>
    <row r="48" spans="1:12">
      <c r="A48" s="556" t="s">
        <v>58</v>
      </c>
      <c r="B48" s="21" t="s">
        <v>1167</v>
      </c>
    </row>
    <row r="49" spans="1:13">
      <c r="A49" s="556" t="s">
        <v>59</v>
      </c>
      <c r="B49" s="21" t="s">
        <v>420</v>
      </c>
    </row>
    <row r="50" spans="1:13">
      <c r="A50" s="556" t="s">
        <v>60</v>
      </c>
      <c r="B50" s="21" t="s">
        <v>768</v>
      </c>
    </row>
    <row r="51" spans="1:13">
      <c r="A51" s="556"/>
      <c r="B51" s="21" t="s">
        <v>1107</v>
      </c>
    </row>
    <row r="52" spans="1:13">
      <c r="A52" s="556"/>
      <c r="B52" s="1208" t="s">
        <v>1284</v>
      </c>
      <c r="C52" s="1208"/>
      <c r="D52" s="1208"/>
      <c r="E52" s="1208"/>
      <c r="F52" s="1208"/>
      <c r="G52" s="1208"/>
      <c r="H52" s="1208"/>
      <c r="I52" s="1208"/>
      <c r="J52" s="1208"/>
      <c r="K52" s="1208"/>
    </row>
    <row r="53" spans="1:13">
      <c r="A53" s="556" t="s">
        <v>61</v>
      </c>
      <c r="B53" s="575" t="s">
        <v>700</v>
      </c>
    </row>
    <row r="54" spans="1:13" ht="41.45" customHeight="1">
      <c r="A54" s="583" t="s">
        <v>62</v>
      </c>
      <c r="B54" s="1215" t="s">
        <v>1077</v>
      </c>
      <c r="C54" s="1215"/>
      <c r="D54" s="1215"/>
      <c r="E54" s="1215"/>
      <c r="F54" s="1215"/>
      <c r="G54" s="1215"/>
      <c r="H54" s="1215"/>
      <c r="I54" s="1215"/>
      <c r="J54" s="1215"/>
      <c r="K54" s="1215"/>
      <c r="L54" s="1215"/>
      <c r="M54" s="1215"/>
    </row>
    <row r="55" spans="1:13">
      <c r="A55" s="556" t="s">
        <v>63</v>
      </c>
      <c r="B55" s="584" t="s">
        <v>1344</v>
      </c>
    </row>
    <row r="56" spans="1:13">
      <c r="A56" s="556" t="s">
        <v>64</v>
      </c>
      <c r="B56" s="21" t="s">
        <v>1138</v>
      </c>
    </row>
  </sheetData>
  <sheetProtection algorithmName="SHA-512" hashValue="EsIAU+AMQ4aY3CKh7p/ZbrjSQcd+GGTIgJQ7S4NnURcPa9V+jtRHZW9ejePsaAacDYGCI9m/6d+u9aSL+ZOpRQ==" saltValue="RbKRo1tYfK/qre6GOG6+sg=="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ignoredErrors>
    <ignoredError sqref="F21 J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95"/>
  <sheetViews>
    <sheetView view="pageBreakPreview" zoomScale="70" zoomScaleNormal="90" zoomScaleSheetLayoutView="70" workbookViewId="0">
      <selection activeCell="E52" sqref="E52"/>
    </sheetView>
  </sheetViews>
  <sheetFormatPr defaultColWidth="7.109375" defaultRowHeight="13.9"/>
  <cols>
    <col min="1" max="1" width="5.88671875" style="587" customWidth="1"/>
    <col min="2" max="2" width="65.88671875" style="585" customWidth="1"/>
    <col min="3" max="3" width="14.109375" style="585" customWidth="1"/>
    <col min="4" max="4" width="13" style="534" customWidth="1"/>
    <col min="5" max="5" width="14.88671875" style="585" bestFit="1" customWidth="1"/>
    <col min="6" max="6" width="14" style="585" customWidth="1"/>
    <col min="7" max="7" width="10.6640625" style="585" bestFit="1" customWidth="1"/>
    <col min="8" max="8" width="12" style="585" customWidth="1"/>
    <col min="9" max="12" width="7.109375" style="585"/>
    <col min="13" max="13" width="10.21875" style="585" bestFit="1" customWidth="1"/>
    <col min="14" max="16384" width="7.109375" style="585"/>
  </cols>
  <sheetData>
    <row r="1" spans="1:8">
      <c r="A1" s="1246" t="s">
        <v>681</v>
      </c>
      <c r="B1" s="1246"/>
      <c r="C1" s="1246"/>
      <c r="D1" s="1246"/>
      <c r="H1" s="585" t="s">
        <v>422</v>
      </c>
    </row>
    <row r="2" spans="1:8">
      <c r="A2" s="1251" t="s">
        <v>650</v>
      </c>
      <c r="B2" s="1252"/>
      <c r="C2" s="1252"/>
      <c r="D2" s="1252"/>
      <c r="E2" s="586"/>
    </row>
    <row r="3" spans="1:8">
      <c r="A3" s="1251"/>
      <c r="B3" s="1252"/>
      <c r="C3" s="1252"/>
      <c r="D3" s="1252"/>
      <c r="E3" s="586"/>
    </row>
    <row r="4" spans="1:8">
      <c r="B4" s="588"/>
      <c r="C4" s="530"/>
    </row>
    <row r="5" spans="1:8">
      <c r="B5" s="528" t="s">
        <v>618</v>
      </c>
      <c r="C5" s="589"/>
      <c r="G5" s="590"/>
    </row>
    <row r="6" spans="1:8">
      <c r="A6" s="587">
        <v>1</v>
      </c>
      <c r="B6" s="591" t="s">
        <v>836</v>
      </c>
      <c r="C6" s="527"/>
      <c r="D6" s="592">
        <f>E60</f>
        <v>9992475</v>
      </c>
      <c r="G6" s="534"/>
    </row>
    <row r="7" spans="1:8">
      <c r="A7" s="587">
        <f>A6+1</f>
        <v>2</v>
      </c>
      <c r="B7" s="591" t="s">
        <v>837</v>
      </c>
      <c r="C7" s="527"/>
      <c r="D7" s="592">
        <f>E59+F68+E63</f>
        <v>1221292.7280913303</v>
      </c>
      <c r="G7" s="534"/>
    </row>
    <row r="8" spans="1:8">
      <c r="A8" s="587">
        <f>A7+1</f>
        <v>3</v>
      </c>
      <c r="B8" s="527" t="s">
        <v>624</v>
      </c>
      <c r="C8" s="589" t="s">
        <v>1080</v>
      </c>
      <c r="D8" s="593">
        <f>SUM(D6:D7)</f>
        <v>11213767.728091329</v>
      </c>
      <c r="G8" s="534"/>
    </row>
    <row r="9" spans="1:8">
      <c r="B9" s="527"/>
      <c r="C9" s="527"/>
      <c r="D9" s="593"/>
      <c r="G9" s="594"/>
    </row>
    <row r="10" spans="1:8">
      <c r="B10" s="528" t="s">
        <v>771</v>
      </c>
      <c r="C10" s="527"/>
      <c r="F10" s="595"/>
      <c r="G10" s="596"/>
    </row>
    <row r="11" spans="1:8">
      <c r="B11" s="597"/>
      <c r="C11" s="598"/>
      <c r="D11" s="599"/>
      <c r="G11" s="596"/>
    </row>
    <row r="12" spans="1:8">
      <c r="A12" s="587">
        <f>+A8+1</f>
        <v>4</v>
      </c>
      <c r="B12" s="591" t="s">
        <v>619</v>
      </c>
      <c r="C12" s="600"/>
      <c r="D12" s="601">
        <f>E85</f>
        <v>4912387</v>
      </c>
      <c r="G12" s="596"/>
    </row>
    <row r="13" spans="1:8" ht="27.75">
      <c r="A13" s="587">
        <f t="shared" ref="A13:A20" si="0">+A12+1</f>
        <v>5</v>
      </c>
      <c r="B13" s="600" t="s">
        <v>901</v>
      </c>
      <c r="C13" s="600"/>
      <c r="D13" s="601">
        <f>E88</f>
        <v>2661035</v>
      </c>
      <c r="G13" s="596"/>
    </row>
    <row r="14" spans="1:8">
      <c r="A14" s="587">
        <f t="shared" si="0"/>
        <v>6</v>
      </c>
      <c r="B14" s="600" t="s">
        <v>713</v>
      </c>
      <c r="C14" s="600"/>
      <c r="D14" s="956">
        <v>0</v>
      </c>
      <c r="G14" s="594"/>
    </row>
    <row r="15" spans="1:8">
      <c r="A15" s="587">
        <f t="shared" si="0"/>
        <v>7</v>
      </c>
      <c r="B15" s="527" t="s">
        <v>838</v>
      </c>
      <c r="C15" s="600"/>
      <c r="D15" s="602">
        <f>H81</f>
        <v>10643.215700993198</v>
      </c>
      <c r="G15" s="596"/>
    </row>
    <row r="16" spans="1:8">
      <c r="A16" s="587">
        <f t="shared" si="0"/>
        <v>8</v>
      </c>
      <c r="B16" s="527" t="s">
        <v>620</v>
      </c>
      <c r="C16" s="603"/>
      <c r="D16" s="956">
        <v>0</v>
      </c>
      <c r="G16" s="534"/>
    </row>
    <row r="17" spans="1:5">
      <c r="A17" s="587">
        <f t="shared" si="0"/>
        <v>9</v>
      </c>
      <c r="B17" s="527" t="s">
        <v>621</v>
      </c>
      <c r="C17" s="600"/>
      <c r="D17" s="956">
        <v>0</v>
      </c>
    </row>
    <row r="18" spans="1:5">
      <c r="A18" s="587">
        <f t="shared" si="0"/>
        <v>10</v>
      </c>
      <c r="B18" s="527" t="s">
        <v>625</v>
      </c>
      <c r="C18" s="527"/>
      <c r="D18" s="956">
        <v>0</v>
      </c>
    </row>
    <row r="19" spans="1:5">
      <c r="A19" s="587">
        <f t="shared" si="0"/>
        <v>11</v>
      </c>
      <c r="B19" s="527" t="s">
        <v>622</v>
      </c>
      <c r="C19" s="589"/>
      <c r="D19" s="956">
        <v>0</v>
      </c>
    </row>
    <row r="20" spans="1:5">
      <c r="A20" s="587">
        <f t="shared" si="0"/>
        <v>12</v>
      </c>
      <c r="B20" s="527" t="s">
        <v>626</v>
      </c>
      <c r="C20" s="589"/>
      <c r="D20" s="956">
        <v>0</v>
      </c>
    </row>
    <row r="21" spans="1:5">
      <c r="B21" s="527"/>
      <c r="C21" s="589"/>
      <c r="D21" s="604"/>
    </row>
    <row r="22" spans="1:5">
      <c r="A22" s="587">
        <f>+A20+1</f>
        <v>13</v>
      </c>
      <c r="B22" s="527" t="s">
        <v>623</v>
      </c>
      <c r="C22" s="589" t="s">
        <v>1093</v>
      </c>
      <c r="D22" s="534">
        <f>SUM(D12:D20)+D8</f>
        <v>18797832.943792321</v>
      </c>
    </row>
    <row r="23" spans="1:5">
      <c r="A23" s="587">
        <f t="shared" ref="A23:A24" si="1">+A22+1</f>
        <v>14</v>
      </c>
      <c r="B23" s="527" t="s">
        <v>627</v>
      </c>
      <c r="C23" s="589"/>
      <c r="D23" s="534">
        <f>+D38</f>
        <v>-6540391.5867697662</v>
      </c>
    </row>
    <row r="24" spans="1:5">
      <c r="A24" s="587">
        <f t="shared" si="1"/>
        <v>15</v>
      </c>
      <c r="B24" s="527" t="s">
        <v>628</v>
      </c>
      <c r="C24" s="589"/>
      <c r="D24" s="534">
        <f>+D22+D23</f>
        <v>12257441.357022554</v>
      </c>
    </row>
    <row r="25" spans="1:5">
      <c r="B25" s="527"/>
      <c r="C25" s="589"/>
    </row>
    <row r="26" spans="1:5" ht="50.25" customHeight="1">
      <c r="B26" s="605" t="s">
        <v>629</v>
      </c>
      <c r="C26" s="589"/>
      <c r="D26" s="604"/>
      <c r="E26" s="606"/>
    </row>
    <row r="27" spans="1:5" ht="87.75" customHeight="1">
      <c r="A27" s="607" t="s">
        <v>792</v>
      </c>
      <c r="B27" s="608" t="s">
        <v>1094</v>
      </c>
      <c r="C27" s="589"/>
      <c r="D27" s="956">
        <v>0</v>
      </c>
    </row>
    <row r="28" spans="1:5" ht="21" customHeight="1">
      <c r="A28" s="607"/>
      <c r="B28" s="527"/>
      <c r="C28" s="589"/>
      <c r="E28" s="606"/>
    </row>
    <row r="29" spans="1:5" ht="55.5">
      <c r="A29" s="607" t="s">
        <v>793</v>
      </c>
      <c r="B29" s="608" t="s">
        <v>630</v>
      </c>
      <c r="C29" s="589"/>
    </row>
    <row r="30" spans="1:5" ht="14.25" customHeight="1">
      <c r="A30" s="607"/>
      <c r="B30" s="527"/>
      <c r="C30" s="589"/>
      <c r="E30" s="606"/>
    </row>
    <row r="31" spans="1:5" ht="207.75" customHeight="1">
      <c r="A31" s="607" t="s">
        <v>794</v>
      </c>
      <c r="B31" s="609" t="s">
        <v>814</v>
      </c>
      <c r="C31" s="609"/>
    </row>
    <row r="32" spans="1:5">
      <c r="A32" s="607" t="s">
        <v>631</v>
      </c>
      <c r="B32" s="609" t="s">
        <v>632</v>
      </c>
      <c r="C32" s="609"/>
      <c r="D32" s="599">
        <f>+D6+D18+D20</f>
        <v>9992475</v>
      </c>
    </row>
    <row r="33" spans="1:8">
      <c r="A33" s="607" t="s">
        <v>633</v>
      </c>
      <c r="B33" s="609" t="s">
        <v>634</v>
      </c>
      <c r="C33" s="610"/>
      <c r="D33" s="599">
        <f>F54+(D32-F54)*'Attachment H-7'!D155</f>
        <v>3394528.8142989147</v>
      </c>
      <c r="E33" s="586"/>
    </row>
    <row r="34" spans="1:8">
      <c r="A34" s="607" t="s">
        <v>635</v>
      </c>
      <c r="B34" s="609" t="s">
        <v>636</v>
      </c>
      <c r="C34" s="609"/>
      <c r="D34" s="599">
        <f>+D32-D33</f>
        <v>6597946.1857010853</v>
      </c>
      <c r="E34" s="604"/>
    </row>
    <row r="35" spans="1:8">
      <c r="A35" s="607" t="s">
        <v>637</v>
      </c>
      <c r="B35" s="609" t="s">
        <v>638</v>
      </c>
      <c r="C35" s="609"/>
      <c r="D35" s="599">
        <f>+D34/2</f>
        <v>3298973.0928505426</v>
      </c>
    </row>
    <row r="36" spans="1:8" ht="41.65">
      <c r="A36" s="607" t="s">
        <v>639</v>
      </c>
      <c r="B36" s="609" t="s">
        <v>640</v>
      </c>
      <c r="C36" s="609"/>
      <c r="D36" s="599">
        <f>H54</f>
        <v>153110.32037969114</v>
      </c>
    </row>
    <row r="37" spans="1:8">
      <c r="A37" s="607" t="s">
        <v>641</v>
      </c>
      <c r="B37" s="527" t="s">
        <v>642</v>
      </c>
      <c r="C37" s="589"/>
      <c r="D37" s="534">
        <f>+D35+D36</f>
        <v>3452083.4132302338</v>
      </c>
    </row>
    <row r="38" spans="1:8">
      <c r="A38" s="607" t="s">
        <v>643</v>
      </c>
      <c r="B38" s="527" t="s">
        <v>644</v>
      </c>
      <c r="C38" s="589"/>
      <c r="D38" s="534">
        <f>+D37-D32</f>
        <v>-6540391.5867697662</v>
      </c>
    </row>
    <row r="39" spans="1:8" ht="78.599999999999994" customHeight="1">
      <c r="A39" s="607">
        <v>18</v>
      </c>
      <c r="B39" s="608" t="s">
        <v>1081</v>
      </c>
      <c r="C39" s="589"/>
      <c r="D39" s="956">
        <v>0</v>
      </c>
    </row>
    <row r="40" spans="1:8">
      <c r="B40" s="589"/>
      <c r="C40" s="589"/>
    </row>
    <row r="41" spans="1:8">
      <c r="A41" s="587">
        <v>19</v>
      </c>
      <c r="B41" s="589" t="s">
        <v>369</v>
      </c>
      <c r="C41" s="589"/>
      <c r="D41" s="956">
        <v>0</v>
      </c>
    </row>
    <row r="42" spans="1:8">
      <c r="B42" s="589"/>
      <c r="C42" s="589"/>
      <c r="D42" s="604"/>
    </row>
    <row r="43" spans="1:8">
      <c r="A43" s="587">
        <v>20</v>
      </c>
      <c r="B43" s="589" t="s">
        <v>645</v>
      </c>
      <c r="C43" s="589"/>
      <c r="D43" s="611">
        <f>+D22+D27+D39+D41</f>
        <v>18797832.943792321</v>
      </c>
    </row>
    <row r="44" spans="1:8">
      <c r="A44" s="587">
        <v>21</v>
      </c>
      <c r="B44" s="589" t="s">
        <v>369</v>
      </c>
      <c r="C44" s="589"/>
      <c r="D44" s="611"/>
    </row>
    <row r="46" spans="1:8">
      <c r="A46" s="612"/>
      <c r="D46" s="613"/>
      <c r="H46" s="585" t="s">
        <v>154</v>
      </c>
    </row>
    <row r="47" spans="1:8">
      <c r="A47" s="1251" t="s">
        <v>650</v>
      </c>
      <c r="B47" s="1252"/>
      <c r="C47" s="1252"/>
      <c r="D47" s="1252"/>
      <c r="E47" s="586"/>
    </row>
    <row r="49" spans="1:13">
      <c r="B49" s="609" t="s">
        <v>634</v>
      </c>
    </row>
    <row r="50" spans="1:13" ht="60" customHeight="1">
      <c r="B50" s="585" t="s">
        <v>646</v>
      </c>
      <c r="C50" s="614" t="s">
        <v>815</v>
      </c>
      <c r="D50" s="534" t="s">
        <v>841</v>
      </c>
      <c r="E50" s="614" t="s">
        <v>900</v>
      </c>
      <c r="F50" s="614" t="s">
        <v>840</v>
      </c>
      <c r="G50" s="614" t="s">
        <v>842</v>
      </c>
      <c r="H50" s="614" t="s">
        <v>843</v>
      </c>
    </row>
    <row r="51" spans="1:13">
      <c r="A51" s="587" t="s">
        <v>647</v>
      </c>
      <c r="B51" s="1066" t="s">
        <v>688</v>
      </c>
      <c r="C51" s="1066">
        <v>920000</v>
      </c>
      <c r="D51" s="1067">
        <v>908308.8899999999</v>
      </c>
      <c r="E51" s="633">
        <v>0.75</v>
      </c>
      <c r="F51" s="615">
        <f>D51*E51</f>
        <v>681231.66749999998</v>
      </c>
      <c r="G51" s="616">
        <f>'Attachment H-7'!I206</f>
        <v>0.12544749445449754</v>
      </c>
      <c r="H51" s="615">
        <f>D51*G51</f>
        <v>113945.0744412458</v>
      </c>
    </row>
    <row r="52" spans="1:13">
      <c r="A52" s="587" t="s">
        <v>648</v>
      </c>
      <c r="B52" s="1068" t="s">
        <v>693</v>
      </c>
      <c r="C52" s="1066">
        <v>926000</v>
      </c>
      <c r="D52" s="1067">
        <v>312204.29000000004</v>
      </c>
      <c r="E52" s="633">
        <v>0.75</v>
      </c>
      <c r="F52" s="615">
        <f>D52*E52</f>
        <v>234153.21750000003</v>
      </c>
      <c r="G52" s="616">
        <f>G51</f>
        <v>0.12544749445449754</v>
      </c>
      <c r="H52" s="615">
        <f>D52*G52</f>
        <v>39165.245938445347</v>
      </c>
    </row>
    <row r="53" spans="1:13">
      <c r="A53" s="587" t="s">
        <v>296</v>
      </c>
    </row>
    <row r="54" spans="1:13">
      <c r="A54" s="587">
        <v>23</v>
      </c>
      <c r="B54" s="585" t="s">
        <v>649</v>
      </c>
      <c r="D54" s="617">
        <f>SUM(D51:D53)</f>
        <v>1220513.18</v>
      </c>
      <c r="E54" s="618"/>
      <c r="F54" s="617">
        <f>SUM(F51:F53)</f>
        <v>915384.88500000001</v>
      </c>
      <c r="G54" s="618"/>
      <c r="H54" s="617">
        <f>SUM(H51:H53)</f>
        <v>153110.32037969114</v>
      </c>
    </row>
    <row r="56" spans="1:13">
      <c r="M56" s="1086"/>
    </row>
    <row r="57" spans="1:13" ht="28.35" customHeight="1">
      <c r="B57" s="619" t="s">
        <v>844</v>
      </c>
      <c r="C57" s="620" t="s">
        <v>839</v>
      </c>
      <c r="D57" s="620" t="s">
        <v>848</v>
      </c>
      <c r="E57" s="620" t="s">
        <v>849</v>
      </c>
      <c r="F57" s="620" t="s">
        <v>850</v>
      </c>
      <c r="G57" s="620" t="s">
        <v>851</v>
      </c>
      <c r="H57" s="621" t="s">
        <v>13</v>
      </c>
    </row>
    <row r="58" spans="1:13">
      <c r="A58" s="587" t="s">
        <v>861</v>
      </c>
      <c r="B58" s="619" t="s">
        <v>852</v>
      </c>
      <c r="C58" s="1069">
        <v>14587245</v>
      </c>
      <c r="D58" s="622">
        <f>C58</f>
        <v>14587245</v>
      </c>
      <c r="E58" s="623"/>
      <c r="F58" s="623"/>
      <c r="G58" s="623"/>
      <c r="H58" s="624"/>
    </row>
    <row r="59" spans="1:13">
      <c r="A59" s="587" t="s">
        <v>862</v>
      </c>
      <c r="B59" s="619" t="s">
        <v>853</v>
      </c>
      <c r="C59" s="957">
        <v>22041</v>
      </c>
      <c r="D59" s="625"/>
      <c r="E59" s="626">
        <f>C59</f>
        <v>22041</v>
      </c>
      <c r="F59" s="619"/>
      <c r="G59" s="619"/>
      <c r="H59" s="627"/>
    </row>
    <row r="60" spans="1:13">
      <c r="A60" s="587" t="s">
        <v>863</v>
      </c>
      <c r="B60" s="619" t="s">
        <v>1153</v>
      </c>
      <c r="C60" s="957">
        <v>9992475</v>
      </c>
      <c r="D60" s="625"/>
      <c r="E60" s="626">
        <f>C60</f>
        <v>9992475</v>
      </c>
      <c r="F60" s="619"/>
      <c r="G60" s="619"/>
      <c r="H60" s="627"/>
    </row>
    <row r="61" spans="1:13">
      <c r="A61" s="587" t="s">
        <v>864</v>
      </c>
      <c r="B61" s="619" t="s">
        <v>1154</v>
      </c>
      <c r="C61" s="957">
        <v>2658895</v>
      </c>
      <c r="D61" s="625">
        <f>C61</f>
        <v>2658895</v>
      </c>
      <c r="E61" s="619"/>
      <c r="F61" s="626"/>
      <c r="G61" s="619"/>
      <c r="H61" s="627"/>
    </row>
    <row r="62" spans="1:13">
      <c r="A62" s="587" t="s">
        <v>1152</v>
      </c>
      <c r="B62" s="619" t="s">
        <v>854</v>
      </c>
      <c r="C62" s="957">
        <v>7239387</v>
      </c>
      <c r="D62" s="625"/>
      <c r="E62" s="619"/>
      <c r="F62" s="626">
        <f>C62</f>
        <v>7239387</v>
      </c>
      <c r="G62" s="619"/>
      <c r="H62" s="627"/>
    </row>
    <row r="63" spans="1:13">
      <c r="A63" s="587" t="s">
        <v>1517</v>
      </c>
      <c r="B63" s="619" t="s">
        <v>1518</v>
      </c>
      <c r="C63" s="957">
        <v>537</v>
      </c>
      <c r="D63" s="625"/>
      <c r="E63" s="626">
        <f>C63</f>
        <v>537</v>
      </c>
      <c r="F63" s="626"/>
      <c r="G63" s="619"/>
      <c r="H63" s="627"/>
    </row>
    <row r="64" spans="1:13">
      <c r="A64" s="587" t="s">
        <v>1699</v>
      </c>
      <c r="B64" s="1087" t="s">
        <v>1698</v>
      </c>
      <c r="C64" s="957">
        <v>46503</v>
      </c>
      <c r="D64" s="625">
        <f>C64</f>
        <v>46503</v>
      </c>
      <c r="E64" s="619"/>
      <c r="F64" s="626"/>
      <c r="G64" s="619"/>
      <c r="H64" s="627"/>
    </row>
    <row r="65" spans="1:8">
      <c r="A65" s="587" t="s">
        <v>296</v>
      </c>
      <c r="B65" s="1087"/>
      <c r="C65" s="1069"/>
      <c r="D65" s="625"/>
      <c r="E65" s="619"/>
      <c r="F65" s="626"/>
      <c r="G65" s="619"/>
      <c r="H65" s="627"/>
    </row>
    <row r="66" spans="1:8">
      <c r="B66" s="628" t="s">
        <v>865</v>
      </c>
      <c r="C66" s="623">
        <f>SUM(C58:C65)</f>
        <v>34547083</v>
      </c>
      <c r="D66" s="623">
        <f>SUM(D58:D65)</f>
        <v>17292643</v>
      </c>
      <c r="E66" s="623">
        <f>SUM(E58:E65)</f>
        <v>10015053</v>
      </c>
      <c r="F66" s="623">
        <f>SUM(F58:F65)</f>
        <v>7239387</v>
      </c>
      <c r="G66" s="623">
        <f>SUM(G58:G65)</f>
        <v>0</v>
      </c>
      <c r="H66" s="624"/>
    </row>
    <row r="67" spans="1:8">
      <c r="B67" s="629" t="s">
        <v>855</v>
      </c>
      <c r="C67" s="619"/>
      <c r="D67" s="630">
        <v>0</v>
      </c>
      <c r="E67" s="630">
        <v>1</v>
      </c>
      <c r="F67" s="631">
        <f>'Attachment H-7'!G54</f>
        <v>0.16558235222006093</v>
      </c>
      <c r="G67" s="631">
        <f>'Attachment H-7'!I206</f>
        <v>0.12544749445449754</v>
      </c>
      <c r="H67" s="619"/>
    </row>
    <row r="68" spans="1:8">
      <c r="B68" s="629" t="s">
        <v>856</v>
      </c>
      <c r="C68" s="619"/>
      <c r="D68" s="622">
        <f>D66*D67</f>
        <v>0</v>
      </c>
      <c r="E68" s="622">
        <f t="shared" ref="E68:G68" si="2">E66*E67</f>
        <v>10015053</v>
      </c>
      <c r="F68" s="622">
        <f t="shared" si="2"/>
        <v>1198714.7280913303</v>
      </c>
      <c r="G68" s="622">
        <f t="shared" si="2"/>
        <v>0</v>
      </c>
      <c r="H68" s="624">
        <f t="shared" ref="H68" si="3">SUM(D68:G68)</f>
        <v>11213767.728091329</v>
      </c>
    </row>
    <row r="69" spans="1:8">
      <c r="E69" s="632"/>
    </row>
    <row r="70" spans="1:8">
      <c r="B70" s="619" t="s">
        <v>857</v>
      </c>
      <c r="C70" s="620" t="s">
        <v>839</v>
      </c>
      <c r="D70" s="620" t="s">
        <v>848</v>
      </c>
      <c r="E70" s="620" t="s">
        <v>849</v>
      </c>
      <c r="F70" s="620" t="s">
        <v>850</v>
      </c>
      <c r="G70" s="620" t="s">
        <v>851</v>
      </c>
      <c r="H70" s="621" t="s">
        <v>13</v>
      </c>
    </row>
    <row r="71" spans="1:8">
      <c r="A71" s="587" t="s">
        <v>583</v>
      </c>
      <c r="B71" s="619" t="s">
        <v>858</v>
      </c>
      <c r="C71" s="1069">
        <v>-4213220</v>
      </c>
      <c r="D71" s="622">
        <f>C71</f>
        <v>-4213220</v>
      </c>
      <c r="E71" s="623"/>
      <c r="F71" s="623"/>
      <c r="G71" s="623"/>
      <c r="H71" s="624"/>
    </row>
    <row r="72" spans="1:8">
      <c r="A72" s="587" t="s">
        <v>584</v>
      </c>
      <c r="B72" s="619" t="s">
        <v>1155</v>
      </c>
      <c r="C72" s="957">
        <v>3357511</v>
      </c>
      <c r="D72" s="622">
        <f>C72</f>
        <v>3357511</v>
      </c>
      <c r="E72" s="626"/>
      <c r="F72" s="619"/>
      <c r="G72" s="619"/>
      <c r="H72" s="627"/>
    </row>
    <row r="73" spans="1:8">
      <c r="A73" s="587" t="s">
        <v>585</v>
      </c>
      <c r="B73" s="619" t="s">
        <v>859</v>
      </c>
      <c r="C73" s="957">
        <v>3381526</v>
      </c>
      <c r="D73" s="622">
        <f>C73</f>
        <v>3381526</v>
      </c>
      <c r="E73" s="619"/>
      <c r="F73" s="619"/>
      <c r="G73" s="626"/>
      <c r="H73" s="627"/>
    </row>
    <row r="74" spans="1:8">
      <c r="A74" s="587" t="s">
        <v>586</v>
      </c>
      <c r="B74" s="619" t="s">
        <v>1462</v>
      </c>
      <c r="C74" s="957">
        <v>6913.7099999999991</v>
      </c>
      <c r="D74" s="627"/>
      <c r="E74" s="627">
        <f>C74</f>
        <v>6913.7099999999991</v>
      </c>
      <c r="F74" s="627"/>
      <c r="G74" s="627"/>
      <c r="H74" s="627"/>
    </row>
    <row r="75" spans="1:8">
      <c r="A75" s="587" t="s">
        <v>587</v>
      </c>
      <c r="B75" s="619" t="s">
        <v>1463</v>
      </c>
      <c r="C75" s="957">
        <v>0</v>
      </c>
      <c r="D75" s="627"/>
      <c r="E75" s="627"/>
      <c r="F75" s="627"/>
      <c r="G75" s="627">
        <f>C75</f>
        <v>0</v>
      </c>
      <c r="H75" s="627"/>
    </row>
    <row r="76" spans="1:8">
      <c r="A76" s="587" t="s">
        <v>588</v>
      </c>
      <c r="B76" s="619" t="s">
        <v>1464</v>
      </c>
      <c r="C76" s="957">
        <v>500595.66</v>
      </c>
      <c r="D76" s="627">
        <f>C76</f>
        <v>500595.66</v>
      </c>
      <c r="E76" s="627" t="s">
        <v>2</v>
      </c>
      <c r="F76" s="627"/>
      <c r="G76" s="627"/>
      <c r="H76" s="627"/>
    </row>
    <row r="77" spans="1:8">
      <c r="A77" s="587" t="s">
        <v>589</v>
      </c>
      <c r="B77" s="619" t="s">
        <v>848</v>
      </c>
      <c r="C77" s="957">
        <v>5106651</v>
      </c>
      <c r="D77" s="957">
        <v>5084126.3100000005</v>
      </c>
      <c r="E77" s="957">
        <v>0</v>
      </c>
      <c r="F77" s="957">
        <v>22523.57</v>
      </c>
      <c r="G77" s="957">
        <v>0</v>
      </c>
      <c r="H77" s="627"/>
    </row>
    <row r="78" spans="1:8">
      <c r="A78" s="587" t="s">
        <v>296</v>
      </c>
      <c r="B78" s="619"/>
      <c r="C78" s="957"/>
      <c r="D78" s="625"/>
      <c r="E78" s="619"/>
      <c r="F78" s="626"/>
      <c r="G78" s="626"/>
      <c r="H78" s="627"/>
    </row>
    <row r="79" spans="1:8">
      <c r="B79" s="628" t="s">
        <v>866</v>
      </c>
      <c r="C79" s="623">
        <f>SUM(C71:C77)</f>
        <v>8139977.3700000001</v>
      </c>
      <c r="D79" s="623">
        <f t="shared" ref="D79:G79" si="4">SUM(D71:D78)</f>
        <v>8110538.9700000007</v>
      </c>
      <c r="E79" s="623">
        <f t="shared" si="4"/>
        <v>6913.7099999999991</v>
      </c>
      <c r="F79" s="623">
        <f t="shared" si="4"/>
        <v>22523.57</v>
      </c>
      <c r="G79" s="623">
        <f t="shared" si="4"/>
        <v>0</v>
      </c>
      <c r="H79" s="624"/>
    </row>
    <row r="80" spans="1:8">
      <c r="B80" s="629" t="s">
        <v>855</v>
      </c>
      <c r="C80" s="619"/>
      <c r="D80" s="630">
        <v>0</v>
      </c>
      <c r="E80" s="630">
        <v>1</v>
      </c>
      <c r="F80" s="631">
        <f>'Attachment H-7'!G54</f>
        <v>0.16558235222006093</v>
      </c>
      <c r="G80" s="631">
        <f>'Attachment H-7'!I206</f>
        <v>0.12544749445449754</v>
      </c>
      <c r="H80" s="619"/>
    </row>
    <row r="81" spans="1:8">
      <c r="B81" s="629" t="s">
        <v>856</v>
      </c>
      <c r="C81" s="619"/>
      <c r="D81" s="622">
        <f>D79*D80</f>
        <v>0</v>
      </c>
      <c r="E81" s="622">
        <f t="shared" ref="E81" si="5">E79*E80</f>
        <v>6913.7099999999991</v>
      </c>
      <c r="F81" s="622">
        <f t="shared" ref="F81" si="6">F79*F80</f>
        <v>3729.5057009931979</v>
      </c>
      <c r="G81" s="622">
        <f t="shared" ref="G81" si="7">G79*G80</f>
        <v>0</v>
      </c>
      <c r="H81" s="624">
        <f>SUM(D81:G81)</f>
        <v>10643.215700993198</v>
      </c>
    </row>
    <row r="83" spans="1:8">
      <c r="B83" s="619" t="s">
        <v>860</v>
      </c>
      <c r="C83" s="620" t="s">
        <v>839</v>
      </c>
      <c r="D83" s="620" t="s">
        <v>848</v>
      </c>
      <c r="E83" s="620" t="s">
        <v>849</v>
      </c>
      <c r="F83" s="620" t="s">
        <v>850</v>
      </c>
      <c r="G83" s="620" t="s">
        <v>851</v>
      </c>
      <c r="H83" s="621" t="s">
        <v>13</v>
      </c>
    </row>
    <row r="84" spans="1:8">
      <c r="A84" s="587" t="s">
        <v>868</v>
      </c>
      <c r="B84" s="619" t="s">
        <v>845</v>
      </c>
      <c r="C84" s="1069">
        <v>217439199</v>
      </c>
      <c r="D84" s="622">
        <f>C84</f>
        <v>217439199</v>
      </c>
      <c r="E84" s="623"/>
      <c r="F84" s="623"/>
      <c r="G84" s="623"/>
      <c r="H84" s="624"/>
    </row>
    <row r="85" spans="1:8">
      <c r="A85" s="587" t="s">
        <v>869</v>
      </c>
      <c r="B85" s="619" t="s">
        <v>846</v>
      </c>
      <c r="C85" s="1069">
        <v>4912387</v>
      </c>
      <c r="D85" s="622"/>
      <c r="E85" s="622">
        <f>C85</f>
        <v>4912387</v>
      </c>
      <c r="F85" s="619"/>
      <c r="G85" s="619"/>
      <c r="H85" s="627"/>
    </row>
    <row r="86" spans="1:8">
      <c r="A86" s="587" t="s">
        <v>870</v>
      </c>
      <c r="B86" s="619" t="s">
        <v>1156</v>
      </c>
      <c r="C86" s="1069">
        <v>30838233</v>
      </c>
      <c r="D86" s="622">
        <f>C86</f>
        <v>30838233</v>
      </c>
      <c r="E86" s="622"/>
      <c r="F86" s="619"/>
      <c r="G86" s="619"/>
      <c r="H86" s="627"/>
    </row>
    <row r="87" spans="1:8">
      <c r="A87" s="587" t="s">
        <v>871</v>
      </c>
      <c r="B87" s="619" t="s">
        <v>1758</v>
      </c>
      <c r="C87" s="1069">
        <v>-12041</v>
      </c>
      <c r="D87" s="622">
        <f>C87</f>
        <v>-12041</v>
      </c>
      <c r="E87" s="622"/>
      <c r="F87" s="619"/>
      <c r="G87" s="619"/>
      <c r="H87" s="627"/>
    </row>
    <row r="88" spans="1:8">
      <c r="A88" s="587" t="s">
        <v>1157</v>
      </c>
      <c r="B88" s="619" t="s">
        <v>847</v>
      </c>
      <c r="C88" s="1069">
        <v>2661035</v>
      </c>
      <c r="D88" s="625"/>
      <c r="E88" s="626">
        <f>C88</f>
        <v>2661035</v>
      </c>
      <c r="F88" s="619"/>
      <c r="G88" s="619"/>
      <c r="H88" s="627"/>
    </row>
    <row r="89" spans="1:8">
      <c r="A89" s="587" t="s">
        <v>1757</v>
      </c>
      <c r="B89" s="619" t="s">
        <v>848</v>
      </c>
      <c r="C89" s="1069">
        <v>189717</v>
      </c>
      <c r="D89" s="625">
        <f>C89</f>
        <v>189717</v>
      </c>
      <c r="E89" s="619"/>
      <c r="F89" s="626"/>
      <c r="G89" s="626"/>
      <c r="H89" s="627"/>
    </row>
    <row r="90" spans="1:8">
      <c r="A90" s="587" t="s">
        <v>296</v>
      </c>
      <c r="B90" s="619"/>
      <c r="C90" s="1069"/>
      <c r="D90" s="625"/>
      <c r="E90" s="619"/>
      <c r="F90" s="626"/>
      <c r="G90" s="626"/>
      <c r="H90" s="627"/>
    </row>
    <row r="91" spans="1:8">
      <c r="B91" s="628" t="s">
        <v>867</v>
      </c>
      <c r="C91" s="623">
        <f>SUM(C84:C90)</f>
        <v>256028530</v>
      </c>
      <c r="D91" s="623">
        <f t="shared" ref="D91:G91" si="8">SUM(D84:D90)</f>
        <v>248455108</v>
      </c>
      <c r="E91" s="623">
        <f t="shared" si="8"/>
        <v>7573422</v>
      </c>
      <c r="F91" s="623">
        <f t="shared" si="8"/>
        <v>0</v>
      </c>
      <c r="G91" s="623">
        <f t="shared" si="8"/>
        <v>0</v>
      </c>
      <c r="H91" s="624"/>
    </row>
    <row r="92" spans="1:8">
      <c r="B92" s="629" t="s">
        <v>855</v>
      </c>
      <c r="C92" s="619"/>
      <c r="D92" s="630">
        <v>0</v>
      </c>
      <c r="E92" s="630">
        <v>1</v>
      </c>
      <c r="F92" s="631">
        <f>'Attachment H-7'!G54</f>
        <v>0.16558235222006093</v>
      </c>
      <c r="G92" s="631">
        <f>'Attachment H-7'!I206</f>
        <v>0.12544749445449754</v>
      </c>
      <c r="H92" s="619"/>
    </row>
    <row r="93" spans="1:8">
      <c r="B93" s="629" t="s">
        <v>856</v>
      </c>
      <c r="C93" s="619"/>
      <c r="D93" s="622">
        <f>D91*D92</f>
        <v>0</v>
      </c>
      <c r="E93" s="622">
        <f t="shared" ref="E93" si="9">E91*E92</f>
        <v>7573422</v>
      </c>
      <c r="F93" s="622">
        <f t="shared" ref="F93" si="10">F91*F92</f>
        <v>0</v>
      </c>
      <c r="G93" s="622">
        <f t="shared" ref="G93" si="11">G91*G92</f>
        <v>0</v>
      </c>
      <c r="H93" s="624">
        <f>SUM(D93:G93)</f>
        <v>7573422</v>
      </c>
    </row>
    <row r="95" spans="1:8">
      <c r="B95" s="585" t="s">
        <v>1052</v>
      </c>
    </row>
  </sheetData>
  <sheetProtection algorithmName="SHA-512" hashValue="kz7klAVe4IAhC+iSNFW6+Uyv+fe1oEka1ttTAjysMnWU9nVA3boaUSSoZVUW4vyM0KaGPXsmtw4c+syXzfSA/g==" saltValue="/sMa9e2oXve/tq+IfhZ7mA=="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E64:G64 A15:E15 A52 A51 D58:G58 D59:G59 D60:G60 D61:G61 D62:G62 C79:G83 D71:G71 D72:G72 D73:G73 E74:G74 D75:G75 D76 D89:G89 D84:G84 D85:G85 D86:G86 D88:G88 A40:E40 A39:C39 E39 A42:E50 A41:C41 E41 A14:C14 E14 A21:E26 A16:C16 E16 A17:C17 E17 A18:C18 E18 A19:C19 E19 A20:C20 E20 A28:E38 A27:C27 E27 C67:G70 D78:G78 F76:G7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34"/>
  <sheetViews>
    <sheetView view="pageBreakPreview" zoomScale="70" zoomScaleNormal="100" zoomScaleSheetLayoutView="70" workbookViewId="0">
      <selection activeCell="E7" sqref="E7"/>
    </sheetView>
  </sheetViews>
  <sheetFormatPr defaultColWidth="8.88671875" defaultRowHeight="13.9"/>
  <cols>
    <col min="1" max="1" width="4.109375" style="527" customWidth="1"/>
    <col min="2" max="2" width="47.21875" style="527" customWidth="1"/>
    <col min="3" max="3" width="1.6640625" style="527" customWidth="1"/>
    <col min="4" max="4" width="5.33203125" style="527" bestFit="1" customWidth="1"/>
    <col min="5" max="5" width="17" style="527" bestFit="1" customWidth="1"/>
    <col min="6" max="6" width="2.109375" style="527" customWidth="1"/>
    <col min="7" max="7" width="14.88671875" style="527" bestFit="1" customWidth="1"/>
    <col min="8" max="8" width="17.5546875" style="527" bestFit="1" customWidth="1"/>
    <col min="9" max="9" width="14" style="527" bestFit="1" customWidth="1"/>
    <col min="10" max="10" width="14.88671875" style="527" bestFit="1" customWidth="1"/>
    <col min="11" max="11" width="4.33203125" style="527" customWidth="1"/>
    <col min="12" max="16384" width="8.88671875" style="527"/>
  </cols>
  <sheetData>
    <row r="1" spans="1:10">
      <c r="B1" s="1246" t="str">
        <f>+'Attachment H-7'!D180</f>
        <v>PECO Energy Company</v>
      </c>
      <c r="C1" s="1246"/>
      <c r="D1" s="1246"/>
      <c r="E1" s="1246"/>
      <c r="F1" s="1246"/>
      <c r="G1" s="1246"/>
    </row>
    <row r="2" spans="1:10">
      <c r="B2" s="1251" t="s">
        <v>651</v>
      </c>
      <c r="C2" s="1251"/>
      <c r="D2" s="1251"/>
      <c r="E2" s="1251"/>
      <c r="F2" s="1251"/>
      <c r="G2" s="1251"/>
    </row>
    <row r="4" spans="1:10">
      <c r="B4" s="528"/>
      <c r="C4" s="528"/>
      <c r="D4" s="528"/>
      <c r="E4" s="528"/>
      <c r="F4" s="528"/>
      <c r="G4" s="528"/>
    </row>
    <row r="5" spans="1:10">
      <c r="B5" s="528"/>
    </row>
    <row r="6" spans="1:10">
      <c r="E6" s="634" t="s">
        <v>198</v>
      </c>
      <c r="G6" s="634" t="s">
        <v>199</v>
      </c>
      <c r="H6" s="634" t="s">
        <v>200</v>
      </c>
      <c r="I6" s="635" t="s">
        <v>201</v>
      </c>
      <c r="J6" s="634" t="s">
        <v>203</v>
      </c>
    </row>
    <row r="7" spans="1:10">
      <c r="E7" s="1111" t="s">
        <v>1775</v>
      </c>
    </row>
    <row r="8" spans="1:10">
      <c r="B8" s="589"/>
      <c r="C8" s="589"/>
      <c r="D8" s="589"/>
      <c r="E8" s="637"/>
      <c r="F8" s="638"/>
      <c r="G8" s="638"/>
      <c r="H8" s="638"/>
      <c r="I8" s="638"/>
      <c r="J8" s="638"/>
    </row>
    <row r="9" spans="1:10">
      <c r="B9" s="639"/>
      <c r="C9" s="640"/>
      <c r="D9" s="641"/>
      <c r="E9" s="642" t="s">
        <v>13</v>
      </c>
      <c r="F9" s="642"/>
      <c r="G9" s="642" t="s">
        <v>685</v>
      </c>
      <c r="H9" s="642" t="s">
        <v>686</v>
      </c>
      <c r="I9" s="642" t="s">
        <v>687</v>
      </c>
      <c r="J9" s="642" t="s">
        <v>1082</v>
      </c>
    </row>
    <row r="10" spans="1:10">
      <c r="A10" s="533">
        <v>1</v>
      </c>
      <c r="B10" s="643" t="s">
        <v>688</v>
      </c>
      <c r="C10" s="589"/>
      <c r="D10" s="644">
        <v>920</v>
      </c>
      <c r="E10" s="1070">
        <v>31946404</v>
      </c>
      <c r="F10" s="958"/>
      <c r="G10" s="1070">
        <v>31946404</v>
      </c>
      <c r="H10" s="645"/>
      <c r="I10" s="913">
        <v>0</v>
      </c>
      <c r="J10" s="913">
        <v>0</v>
      </c>
    </row>
    <row r="11" spans="1:10">
      <c r="A11" s="533">
        <f>A10+1</f>
        <v>2</v>
      </c>
      <c r="B11" s="643" t="s">
        <v>689</v>
      </c>
      <c r="C11" s="589"/>
      <c r="D11" s="644">
        <v>921</v>
      </c>
      <c r="E11" s="913">
        <v>5451101</v>
      </c>
      <c r="F11" s="1099"/>
      <c r="G11" s="913">
        <v>5451101</v>
      </c>
      <c r="H11" s="646"/>
      <c r="I11" s="913">
        <v>0</v>
      </c>
      <c r="J11" s="913">
        <v>0</v>
      </c>
    </row>
    <row r="12" spans="1:10">
      <c r="A12" s="533">
        <f t="shared" ref="A12:A23" si="0">A11+1</f>
        <v>3</v>
      </c>
      <c r="B12" s="643" t="s">
        <v>690</v>
      </c>
      <c r="C12" s="589"/>
      <c r="D12" s="644">
        <v>922</v>
      </c>
      <c r="E12" s="913">
        <v>0</v>
      </c>
      <c r="F12" s="1099"/>
      <c r="G12" s="913">
        <v>0</v>
      </c>
      <c r="H12" s="646"/>
      <c r="I12" s="913">
        <v>0</v>
      </c>
      <c r="J12" s="913">
        <v>0</v>
      </c>
    </row>
    <row r="13" spans="1:10">
      <c r="A13" s="533">
        <f t="shared" si="0"/>
        <v>4</v>
      </c>
      <c r="B13" s="643" t="s">
        <v>1113</v>
      </c>
      <c r="C13" s="589"/>
      <c r="D13" s="644">
        <v>923</v>
      </c>
      <c r="E13" s="913">
        <v>110618554</v>
      </c>
      <c r="F13" s="1099"/>
      <c r="G13" s="913">
        <v>110618554</v>
      </c>
      <c r="H13" s="646"/>
      <c r="I13" s="913">
        <v>0</v>
      </c>
      <c r="J13" s="913">
        <v>0</v>
      </c>
    </row>
    <row r="14" spans="1:10">
      <c r="A14" s="533">
        <f t="shared" si="0"/>
        <v>5</v>
      </c>
      <c r="B14" s="643" t="s">
        <v>691</v>
      </c>
      <c r="C14" s="589"/>
      <c r="D14" s="644">
        <v>924</v>
      </c>
      <c r="E14" s="913">
        <v>960032</v>
      </c>
      <c r="F14" s="1099"/>
      <c r="G14" s="913">
        <v>0</v>
      </c>
      <c r="H14" s="913">
        <v>960032</v>
      </c>
      <c r="I14" s="913">
        <v>0</v>
      </c>
      <c r="J14" s="913">
        <v>0</v>
      </c>
    </row>
    <row r="15" spans="1:10">
      <c r="A15" s="533">
        <f t="shared" si="0"/>
        <v>6</v>
      </c>
      <c r="B15" s="643" t="s">
        <v>692</v>
      </c>
      <c r="C15" s="589"/>
      <c r="D15" s="644">
        <v>925</v>
      </c>
      <c r="E15" s="913">
        <v>20934435</v>
      </c>
      <c r="F15" s="1099"/>
      <c r="G15" s="913">
        <v>20934435</v>
      </c>
      <c r="H15" s="646"/>
      <c r="I15" s="913">
        <v>0</v>
      </c>
      <c r="J15" s="913">
        <v>0</v>
      </c>
    </row>
    <row r="16" spans="1:10">
      <c r="A16" s="533">
        <f t="shared" si="0"/>
        <v>7</v>
      </c>
      <c r="B16" s="643" t="s">
        <v>693</v>
      </c>
      <c r="C16" s="589"/>
      <c r="D16" s="647">
        <v>926</v>
      </c>
      <c r="E16" s="913">
        <v>25468795</v>
      </c>
      <c r="F16" s="1099"/>
      <c r="G16" s="913">
        <v>25468795</v>
      </c>
      <c r="H16" s="646"/>
      <c r="I16" s="913">
        <v>0</v>
      </c>
      <c r="J16" s="913">
        <v>0</v>
      </c>
    </row>
    <row r="17" spans="1:11">
      <c r="A17" s="533">
        <f t="shared" si="0"/>
        <v>8</v>
      </c>
      <c r="B17" s="643" t="s">
        <v>694</v>
      </c>
      <c r="C17" s="589"/>
      <c r="D17" s="644">
        <v>927</v>
      </c>
      <c r="E17" s="913">
        <v>0</v>
      </c>
      <c r="F17" s="1099"/>
      <c r="G17" s="913">
        <v>0</v>
      </c>
      <c r="H17" s="646"/>
      <c r="I17" s="913">
        <v>0</v>
      </c>
      <c r="J17" s="913">
        <v>0</v>
      </c>
    </row>
    <row r="18" spans="1:11">
      <c r="A18" s="533">
        <f t="shared" si="0"/>
        <v>9</v>
      </c>
      <c r="B18" s="643" t="s">
        <v>766</v>
      </c>
      <c r="C18" s="589"/>
      <c r="D18" s="644">
        <v>928</v>
      </c>
      <c r="E18" s="913">
        <v>8151419</v>
      </c>
      <c r="F18" s="1099"/>
      <c r="G18" s="913">
        <v>0</v>
      </c>
      <c r="H18" s="646"/>
      <c r="I18" s="913">
        <v>8142650.7999999998</v>
      </c>
      <c r="J18" s="913">
        <v>8768.2000000000007</v>
      </c>
    </row>
    <row r="19" spans="1:11">
      <c r="A19" s="533">
        <f t="shared" si="0"/>
        <v>10</v>
      </c>
      <c r="B19" s="643" t="s">
        <v>695</v>
      </c>
      <c r="C19" s="589"/>
      <c r="D19" s="644">
        <v>929</v>
      </c>
      <c r="E19" s="913">
        <v>-1221801</v>
      </c>
      <c r="F19" s="1099"/>
      <c r="G19" s="913">
        <v>-1221801</v>
      </c>
      <c r="H19" s="646"/>
      <c r="I19" s="913">
        <v>0</v>
      </c>
      <c r="J19" s="913">
        <v>0</v>
      </c>
    </row>
    <row r="20" spans="1:11">
      <c r="A20" s="533">
        <f t="shared" si="0"/>
        <v>11</v>
      </c>
      <c r="B20" s="643" t="s">
        <v>1083</v>
      </c>
      <c r="C20" s="589"/>
      <c r="D20" s="644">
        <v>930.1</v>
      </c>
      <c r="E20" s="913">
        <v>1944935</v>
      </c>
      <c r="F20" s="1099"/>
      <c r="G20" s="913">
        <v>0</v>
      </c>
      <c r="H20" s="646"/>
      <c r="I20" s="913">
        <v>1944935</v>
      </c>
      <c r="J20" s="913">
        <v>0</v>
      </c>
    </row>
    <row r="21" spans="1:11">
      <c r="A21" s="533">
        <f t="shared" si="0"/>
        <v>12</v>
      </c>
      <c r="B21" s="643" t="s">
        <v>1084</v>
      </c>
      <c r="C21" s="589"/>
      <c r="D21" s="644">
        <v>930.2</v>
      </c>
      <c r="E21" s="913">
        <v>3060954</v>
      </c>
      <c r="F21" s="1099"/>
      <c r="G21" s="913">
        <v>2224929.6100000003</v>
      </c>
      <c r="H21" s="646"/>
      <c r="I21" s="913">
        <v>836024.3899999999</v>
      </c>
      <c r="J21" s="913">
        <v>0</v>
      </c>
    </row>
    <row r="22" spans="1:11">
      <c r="A22" s="533">
        <f t="shared" si="0"/>
        <v>13</v>
      </c>
      <c r="B22" s="643" t="s">
        <v>696</v>
      </c>
      <c r="C22" s="589"/>
      <c r="D22" s="644">
        <v>931</v>
      </c>
      <c r="E22" s="913">
        <v>0</v>
      </c>
      <c r="F22" s="1099"/>
      <c r="G22" s="913">
        <v>0</v>
      </c>
      <c r="H22" s="646"/>
      <c r="I22" s="913">
        <v>0</v>
      </c>
      <c r="J22" s="913">
        <v>0</v>
      </c>
    </row>
    <row r="23" spans="1:11">
      <c r="A23" s="533">
        <f t="shared" si="0"/>
        <v>14</v>
      </c>
      <c r="B23" s="648" t="s">
        <v>697</v>
      </c>
      <c r="C23" s="589"/>
      <c r="D23" s="641">
        <v>935</v>
      </c>
      <c r="E23" s="913">
        <v>6200883</v>
      </c>
      <c r="F23" s="1099"/>
      <c r="G23" s="913">
        <v>6200883</v>
      </c>
      <c r="H23" s="645"/>
      <c r="I23" s="913">
        <v>0</v>
      </c>
      <c r="J23" s="913">
        <v>0</v>
      </c>
      <c r="K23" s="534"/>
    </row>
    <row r="24" spans="1:11">
      <c r="A24" s="533" t="s">
        <v>1768</v>
      </c>
      <c r="B24" s="1109" t="s">
        <v>1772</v>
      </c>
      <c r="C24" s="658"/>
      <c r="D24" s="1110">
        <v>935.1</v>
      </c>
      <c r="E24" s="913">
        <v>0</v>
      </c>
      <c r="F24" s="1099"/>
      <c r="G24" s="913">
        <v>0</v>
      </c>
      <c r="H24" s="645"/>
      <c r="I24" s="913">
        <v>0</v>
      </c>
      <c r="J24" s="913">
        <v>0</v>
      </c>
      <c r="K24" s="534"/>
    </row>
    <row r="25" spans="1:11">
      <c r="A25" s="533" t="s">
        <v>1769</v>
      </c>
      <c r="B25" s="1109" t="s">
        <v>1773</v>
      </c>
      <c r="C25" s="658"/>
      <c r="D25" s="1110">
        <v>935.2</v>
      </c>
      <c r="E25" s="913">
        <v>0</v>
      </c>
      <c r="F25" s="1099"/>
      <c r="G25" s="913">
        <v>0</v>
      </c>
      <c r="H25" s="645"/>
      <c r="I25" s="913">
        <v>0</v>
      </c>
      <c r="J25" s="913">
        <v>0</v>
      </c>
      <c r="K25" s="534"/>
    </row>
    <row r="26" spans="1:11">
      <c r="A26" s="533" t="s">
        <v>1770</v>
      </c>
      <c r="B26" s="1109" t="s">
        <v>1774</v>
      </c>
      <c r="C26" s="658"/>
      <c r="D26" s="1110">
        <v>935.3</v>
      </c>
      <c r="E26" s="913">
        <v>0</v>
      </c>
      <c r="F26" s="1099"/>
      <c r="G26" s="913">
        <v>0</v>
      </c>
      <c r="H26" s="645"/>
      <c r="I26" s="913">
        <v>0</v>
      </c>
      <c r="J26" s="913">
        <v>0</v>
      </c>
      <c r="K26" s="534"/>
    </row>
    <row r="27" spans="1:11">
      <c r="A27" s="533">
        <f>A23+1</f>
        <v>15</v>
      </c>
      <c r="B27" s="649" t="s">
        <v>1771</v>
      </c>
      <c r="C27" s="589"/>
      <c r="D27" s="530"/>
      <c r="E27" s="650">
        <f>SUM(E10:E26)</f>
        <v>213515711</v>
      </c>
      <c r="F27" s="651"/>
      <c r="G27" s="650">
        <f>SUM(G10:G26)</f>
        <v>201623300.61000001</v>
      </c>
      <c r="H27" s="650">
        <f>SUM(H10:H26)</f>
        <v>960032</v>
      </c>
      <c r="I27" s="650">
        <f>SUM(I10:I26)</f>
        <v>10923610.190000001</v>
      </c>
      <c r="J27" s="650">
        <f>SUM(J10:J26)</f>
        <v>8768.2000000000007</v>
      </c>
    </row>
    <row r="28" spans="1:11">
      <c r="A28" s="533"/>
      <c r="B28" s="589"/>
      <c r="C28" s="589"/>
      <c r="D28" s="589"/>
      <c r="E28" s="589"/>
      <c r="F28" s="589"/>
      <c r="G28" s="589"/>
      <c r="H28" s="589"/>
      <c r="I28" s="589"/>
      <c r="J28" s="589"/>
    </row>
    <row r="29" spans="1:11">
      <c r="A29" s="533">
        <f>A27+1</f>
        <v>16</v>
      </c>
      <c r="B29" s="589"/>
      <c r="C29" s="589"/>
      <c r="D29" s="589"/>
      <c r="E29" s="652" t="s">
        <v>698</v>
      </c>
      <c r="F29" s="589"/>
      <c r="G29" s="653">
        <f>'Attachment H-7'!I206</f>
        <v>0.12544749445449754</v>
      </c>
      <c r="H29" s="653">
        <f>'Attachment H-7'!G54</f>
        <v>0.16558235222006093</v>
      </c>
      <c r="I29" s="653">
        <v>0</v>
      </c>
      <c r="J29" s="653">
        <v>1</v>
      </c>
    </row>
    <row r="30" spans="1:11" ht="14.65">
      <c r="A30" s="533">
        <f t="shared" ref="A30:A31" si="1">A29+1</f>
        <v>17</v>
      </c>
      <c r="B30" s="589"/>
      <c r="C30" s="589"/>
      <c r="D30" s="589"/>
      <c r="E30" s="652" t="s">
        <v>1085</v>
      </c>
      <c r="F30" s="589"/>
      <c r="G30" s="654">
        <f>G27*G29</f>
        <v>25293137.885170467</v>
      </c>
      <c r="H30" s="654">
        <f t="shared" ref="H30" si="2">H27*H29</f>
        <v>158964.35676652953</v>
      </c>
      <c r="I30" s="654">
        <f t="shared" ref="I30:J30" si="3">I27*I29</f>
        <v>0</v>
      </c>
      <c r="J30" s="654">
        <f t="shared" si="3"/>
        <v>8768.2000000000007</v>
      </c>
    </row>
    <row r="31" spans="1:11" ht="14.65">
      <c r="A31" s="533">
        <f t="shared" si="1"/>
        <v>18</v>
      </c>
      <c r="I31" s="652" t="s">
        <v>1086</v>
      </c>
      <c r="J31" s="655">
        <f>SUM(G30:J30)</f>
        <v>25460870.441936996</v>
      </c>
      <c r="K31" s="656"/>
    </row>
    <row r="32" spans="1:11" ht="14.25" thickBot="1">
      <c r="A32" s="657" t="s">
        <v>182</v>
      </c>
    </row>
    <row r="33" spans="1:1" ht="14.65">
      <c r="A33" s="527" t="s">
        <v>1087</v>
      </c>
    </row>
    <row r="34" spans="1:1" ht="14.65">
      <c r="A34" s="527" t="s">
        <v>1088</v>
      </c>
    </row>
  </sheetData>
  <sheetProtection algorithmName="SHA-512" hashValue="fAp0e7HGoSvAmuLWEFaHwAdEhQ53q4/6IBL9Vf5C58yHHo8M7arnkPTVOu5UU77D75VMl6Lk8AZr/TC1FlR8hQ==" saltValue="9ZiQgmbQp/TAYlHPOHnRxg==" spinCount="100000" sheet="1" objects="1" scenarios="1"/>
  <mergeCells count="2">
    <mergeCell ref="B1:G1"/>
    <mergeCell ref="B2:G2"/>
  </mergeCells>
  <pageMargins left="0.7" right="0.7" top="0.75" bottom="0.75" header="0.3" footer="0.3"/>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codeName="Sheet15">
    <pageSetUpPr fitToPage="1"/>
  </sheetPr>
  <dimension ref="A1:H64"/>
  <sheetViews>
    <sheetView zoomScale="70" zoomScaleNormal="70" workbookViewId="0">
      <selection activeCell="E40" sqref="E40"/>
    </sheetView>
  </sheetViews>
  <sheetFormatPr defaultColWidth="8.88671875" defaultRowHeight="13.9"/>
  <cols>
    <col min="1" max="1" width="4.6640625" style="658" customWidth="1"/>
    <col min="2" max="2" width="3.6640625" style="658" customWidth="1"/>
    <col min="3" max="3" width="74.6640625" style="658" customWidth="1"/>
    <col min="4" max="4" width="11.109375" style="658" customWidth="1"/>
    <col min="5" max="5" width="11.88671875" style="664" customWidth="1"/>
    <col min="6" max="6" width="11.88671875" style="658" customWidth="1"/>
    <col min="7" max="7" width="12" style="658" customWidth="1"/>
    <col min="8" max="16384" width="8.88671875" style="658"/>
  </cols>
  <sheetData>
    <row r="1" spans="1:8">
      <c r="A1" s="1253" t="str">
        <f>'Attachment H-7'!D5</f>
        <v>PECO Energy Company</v>
      </c>
      <c r="B1" s="1253"/>
      <c r="C1" s="1253"/>
      <c r="D1" s="1253"/>
      <c r="E1" s="1253"/>
      <c r="F1" s="1253"/>
      <c r="G1" s="1253"/>
      <c r="H1" s="1253"/>
    </row>
    <row r="2" spans="1:8">
      <c r="A2" s="1254" t="s">
        <v>1301</v>
      </c>
      <c r="B2" s="1254"/>
      <c r="C2" s="1254"/>
      <c r="D2" s="1254"/>
      <c r="E2" s="1254"/>
      <c r="F2" s="1254"/>
      <c r="G2" s="1254"/>
      <c r="H2" s="1254"/>
    </row>
    <row r="4" spans="1:8">
      <c r="D4" s="589"/>
      <c r="E4" s="659" t="s">
        <v>1302</v>
      </c>
    </row>
    <row r="5" spans="1:8">
      <c r="A5" s="660" t="s">
        <v>1319</v>
      </c>
      <c r="B5" s="660"/>
      <c r="D5" s="589"/>
      <c r="E5" s="659" t="s">
        <v>1303</v>
      </c>
    </row>
    <row r="6" spans="1:8">
      <c r="A6" s="660"/>
      <c r="B6" s="660"/>
      <c r="D6" s="589"/>
      <c r="E6" s="659"/>
    </row>
    <row r="7" spans="1:8">
      <c r="A7" s="661"/>
      <c r="B7" s="660" t="s">
        <v>1326</v>
      </c>
      <c r="D7" s="589"/>
      <c r="E7" s="662"/>
    </row>
    <row r="8" spans="1:8">
      <c r="A8" s="663" t="s">
        <v>508</v>
      </c>
      <c r="C8" s="959" t="s">
        <v>1702</v>
      </c>
      <c r="D8" s="589"/>
      <c r="E8" s="960">
        <v>14665809</v>
      </c>
    </row>
    <row r="9" spans="1:8">
      <c r="A9" s="663" t="s">
        <v>509</v>
      </c>
      <c r="B9" s="664"/>
      <c r="C9" s="959"/>
      <c r="D9" s="589"/>
      <c r="E9" s="960" t="s">
        <v>2</v>
      </c>
    </row>
    <row r="10" spans="1:8">
      <c r="A10" s="663" t="s">
        <v>510</v>
      </c>
      <c r="C10" s="959"/>
      <c r="D10" s="589"/>
      <c r="E10" s="960"/>
    </row>
    <row r="11" spans="1:8">
      <c r="A11" s="663" t="s">
        <v>296</v>
      </c>
      <c r="C11" s="959"/>
      <c r="D11" s="589"/>
      <c r="E11" s="961"/>
    </row>
    <row r="12" spans="1:8">
      <c r="A12" s="663">
        <v>1</v>
      </c>
      <c r="B12" s="660" t="s">
        <v>1313</v>
      </c>
      <c r="D12" s="589"/>
      <c r="E12" s="665">
        <f>SUM(E8:E11)</f>
        <v>14665809</v>
      </c>
    </row>
    <row r="13" spans="1:8">
      <c r="A13" s="661"/>
      <c r="D13" s="589"/>
      <c r="E13" s="666"/>
    </row>
    <row r="14" spans="1:8">
      <c r="A14" s="661"/>
      <c r="D14" s="589"/>
      <c r="E14" s="666"/>
    </row>
    <row r="15" spans="1:8">
      <c r="A15" s="661"/>
      <c r="B15" s="660" t="s">
        <v>1328</v>
      </c>
      <c r="D15" s="589"/>
      <c r="E15" s="667"/>
    </row>
    <row r="16" spans="1:8">
      <c r="A16" s="663" t="s">
        <v>1164</v>
      </c>
      <c r="C16" s="945" t="s">
        <v>1730</v>
      </c>
      <c r="D16" s="589"/>
      <c r="E16" s="960">
        <v>53525</v>
      </c>
    </row>
    <row r="17" spans="1:5">
      <c r="A17" s="663" t="s">
        <v>1315</v>
      </c>
      <c r="C17" s="945" t="s">
        <v>1703</v>
      </c>
      <c r="D17" s="589"/>
      <c r="E17" s="960">
        <v>220960</v>
      </c>
    </row>
    <row r="18" spans="1:5">
      <c r="A18" s="663" t="s">
        <v>1316</v>
      </c>
      <c r="C18" s="945" t="s">
        <v>1636</v>
      </c>
      <c r="D18" s="589"/>
      <c r="E18" s="960">
        <v>13555221</v>
      </c>
    </row>
    <row r="19" spans="1:5">
      <c r="A19" s="663" t="s">
        <v>296</v>
      </c>
      <c r="C19" s="959"/>
      <c r="D19" s="589"/>
      <c r="E19" s="961"/>
    </row>
    <row r="20" spans="1:5">
      <c r="A20" s="663">
        <v>2</v>
      </c>
      <c r="B20" s="660" t="s">
        <v>1314</v>
      </c>
      <c r="D20" s="589"/>
      <c r="E20" s="668">
        <f>SUM(E16:E19)</f>
        <v>13829706</v>
      </c>
    </row>
    <row r="21" spans="1:5">
      <c r="A21" s="661"/>
      <c r="B21" s="660"/>
      <c r="C21" s="666"/>
      <c r="D21" s="589"/>
    </row>
    <row r="22" spans="1:5">
      <c r="A22" s="661"/>
      <c r="B22" s="660"/>
      <c r="C22" s="666"/>
      <c r="D22" s="589"/>
    </row>
    <row r="23" spans="1:5">
      <c r="A23" s="661"/>
      <c r="B23" s="660" t="s">
        <v>1327</v>
      </c>
      <c r="D23" s="589"/>
      <c r="E23" s="662"/>
    </row>
    <row r="24" spans="1:5">
      <c r="A24" s="663" t="s">
        <v>387</v>
      </c>
      <c r="C24" s="945" t="s">
        <v>1704</v>
      </c>
      <c r="D24" s="589"/>
      <c r="E24" s="960">
        <v>2689965</v>
      </c>
    </row>
    <row r="25" spans="1:5">
      <c r="A25" s="663" t="s">
        <v>388</v>
      </c>
      <c r="C25" s="945" t="s">
        <v>1705</v>
      </c>
      <c r="D25" s="589"/>
      <c r="E25" s="960">
        <v>51158</v>
      </c>
    </row>
    <row r="26" spans="1:5">
      <c r="A26" s="663" t="s">
        <v>389</v>
      </c>
      <c r="C26" s="945"/>
      <c r="D26" s="589"/>
      <c r="E26" s="960"/>
    </row>
    <row r="27" spans="1:5">
      <c r="A27" s="663" t="s">
        <v>296</v>
      </c>
      <c r="C27" s="959"/>
      <c r="D27" s="589"/>
      <c r="E27" s="961"/>
    </row>
    <row r="28" spans="1:5">
      <c r="A28" s="663">
        <v>3</v>
      </c>
      <c r="B28" s="660" t="s">
        <v>1317</v>
      </c>
      <c r="D28" s="589"/>
      <c r="E28" s="668">
        <f>SUM(E24:E27)</f>
        <v>2741123</v>
      </c>
    </row>
    <row r="29" spans="1:5">
      <c r="A29" s="663"/>
      <c r="D29" s="589"/>
    </row>
    <row r="30" spans="1:5">
      <c r="A30" s="663">
        <v>4</v>
      </c>
      <c r="B30" s="660" t="s">
        <v>1318</v>
      </c>
      <c r="D30" s="589"/>
      <c r="E30" s="669">
        <f>E12+E20+E28</f>
        <v>31236638</v>
      </c>
    </row>
    <row r="31" spans="1:5">
      <c r="A31" s="663"/>
      <c r="C31" s="670"/>
      <c r="D31" s="589"/>
    </row>
    <row r="32" spans="1:5">
      <c r="A32" s="663"/>
      <c r="B32" s="660" t="s">
        <v>1359</v>
      </c>
      <c r="D32" s="589"/>
    </row>
    <row r="33" spans="1:7">
      <c r="A33" s="663" t="s">
        <v>1320</v>
      </c>
      <c r="C33" s="945" t="s">
        <v>1700</v>
      </c>
      <c r="D33" s="589"/>
      <c r="E33" s="960">
        <v>178621287</v>
      </c>
    </row>
    <row r="34" spans="1:7">
      <c r="A34" s="663" t="s">
        <v>1321</v>
      </c>
      <c r="C34" s="945" t="s">
        <v>1706</v>
      </c>
      <c r="D34" s="589"/>
      <c r="E34" s="960">
        <v>0</v>
      </c>
    </row>
    <row r="35" spans="1:7">
      <c r="A35" s="663" t="s">
        <v>1322</v>
      </c>
      <c r="C35" s="945"/>
      <c r="D35" s="589"/>
      <c r="E35" s="960"/>
    </row>
    <row r="36" spans="1:7">
      <c r="A36" s="663" t="s">
        <v>296</v>
      </c>
      <c r="C36" s="959"/>
      <c r="D36" s="589"/>
      <c r="E36" s="960"/>
    </row>
    <row r="37" spans="1:7">
      <c r="A37" s="663">
        <v>5</v>
      </c>
      <c r="B37" s="660" t="s">
        <v>1351</v>
      </c>
      <c r="C37" s="649"/>
      <c r="D37" s="589"/>
      <c r="E37" s="668">
        <f>SUM(E33:E36)</f>
        <v>178621287</v>
      </c>
    </row>
    <row r="38" spans="1:7">
      <c r="A38" s="663"/>
      <c r="C38" s="589"/>
      <c r="D38" s="589"/>
      <c r="E38" s="668"/>
    </row>
    <row r="39" spans="1:7">
      <c r="A39" s="663">
        <v>6</v>
      </c>
      <c r="B39" s="649" t="s">
        <v>1323</v>
      </c>
      <c r="C39" s="671"/>
      <c r="D39" s="589"/>
      <c r="E39" s="668">
        <f>E37+E30</f>
        <v>209857925</v>
      </c>
    </row>
    <row r="40" spans="1:7">
      <c r="A40" s="663">
        <f>A39+1</f>
        <v>7</v>
      </c>
      <c r="B40" s="649" t="s">
        <v>1325</v>
      </c>
      <c r="C40" s="671"/>
      <c r="D40" s="672"/>
      <c r="E40" s="1071">
        <v>209857925</v>
      </c>
      <c r="F40" s="673"/>
      <c r="G40" s="673"/>
    </row>
    <row r="41" spans="1:7">
      <c r="A41" s="663">
        <f>A40+1</f>
        <v>8</v>
      </c>
      <c r="B41" s="589"/>
      <c r="C41" s="674" t="s">
        <v>1324</v>
      </c>
      <c r="D41" s="674"/>
      <c r="E41" s="535">
        <f>+E39-E40</f>
        <v>0</v>
      </c>
      <c r="F41" s="675"/>
      <c r="G41" s="673"/>
    </row>
    <row r="42" spans="1:7">
      <c r="A42" s="663"/>
      <c r="B42" s="589"/>
      <c r="C42" s="674"/>
      <c r="D42" s="674"/>
      <c r="E42" s="535"/>
      <c r="F42" s="675"/>
      <c r="G42" s="673"/>
    </row>
    <row r="43" spans="1:7">
      <c r="A43" s="663"/>
      <c r="B43" s="649" t="s">
        <v>1358</v>
      </c>
      <c r="C43" s="674"/>
      <c r="D43" s="674"/>
      <c r="E43" s="535"/>
      <c r="F43" s="675"/>
      <c r="G43" s="673"/>
    </row>
    <row r="44" spans="1:7">
      <c r="A44" s="663" t="s">
        <v>1329</v>
      </c>
      <c r="B44" s="589"/>
      <c r="C44" s="678" t="s">
        <v>1722</v>
      </c>
      <c r="D44" s="674"/>
      <c r="E44" s="679"/>
      <c r="F44" s="675"/>
      <c r="G44" s="673"/>
    </row>
    <row r="45" spans="1:7">
      <c r="A45" s="663" t="s">
        <v>1330</v>
      </c>
      <c r="B45" s="589"/>
      <c r="C45" s="678"/>
      <c r="D45" s="674"/>
      <c r="E45" s="679"/>
      <c r="F45" s="675"/>
      <c r="G45" s="673"/>
    </row>
    <row r="46" spans="1:7">
      <c r="A46" s="663" t="s">
        <v>296</v>
      </c>
      <c r="B46" s="589"/>
      <c r="C46" s="678"/>
      <c r="D46" s="674"/>
      <c r="E46" s="679"/>
      <c r="F46" s="675"/>
      <c r="G46" s="673"/>
    </row>
    <row r="47" spans="1:7">
      <c r="A47" s="663">
        <v>9</v>
      </c>
      <c r="B47" s="589"/>
      <c r="C47" s="674" t="s">
        <v>1354</v>
      </c>
      <c r="D47" s="674"/>
      <c r="E47" s="535">
        <f>SUM(E44:E46)</f>
        <v>0</v>
      </c>
      <c r="F47" s="675"/>
      <c r="G47" s="673"/>
    </row>
    <row r="48" spans="1:7">
      <c r="A48" s="663"/>
      <c r="B48" s="589"/>
      <c r="C48" s="674"/>
      <c r="D48" s="674"/>
      <c r="E48" s="535"/>
      <c r="F48" s="675"/>
      <c r="G48" s="673"/>
    </row>
    <row r="49" spans="1:7">
      <c r="A49" s="663" t="s">
        <v>1352</v>
      </c>
      <c r="B49" s="589"/>
      <c r="C49" s="678"/>
      <c r="D49" s="674"/>
      <c r="E49" s="679"/>
      <c r="F49" s="675"/>
      <c r="G49" s="673"/>
    </row>
    <row r="50" spans="1:7">
      <c r="A50" s="663" t="s">
        <v>1353</v>
      </c>
      <c r="B50" s="589"/>
      <c r="C50" s="678"/>
      <c r="D50" s="674"/>
      <c r="E50" s="679"/>
      <c r="F50" s="675"/>
      <c r="G50" s="673"/>
    </row>
    <row r="51" spans="1:7">
      <c r="A51" s="663" t="s">
        <v>296</v>
      </c>
      <c r="B51" s="589"/>
      <c r="C51" s="678"/>
      <c r="D51" s="674"/>
      <c r="E51" s="679"/>
      <c r="F51" s="675"/>
      <c r="G51" s="673"/>
    </row>
    <row r="52" spans="1:7">
      <c r="A52" s="663">
        <v>10</v>
      </c>
      <c r="B52" s="589"/>
      <c r="C52" s="674" t="s">
        <v>1355</v>
      </c>
      <c r="D52" s="674"/>
      <c r="E52" s="535">
        <f>SUM(E49:E51)</f>
        <v>0</v>
      </c>
      <c r="F52" s="675"/>
      <c r="G52" s="673"/>
    </row>
    <row r="53" spans="1:7">
      <c r="A53" s="663"/>
      <c r="B53" s="589"/>
      <c r="C53" s="674"/>
      <c r="D53" s="674"/>
      <c r="E53" s="535"/>
      <c r="F53" s="675"/>
      <c r="G53" s="673"/>
    </row>
    <row r="54" spans="1:7">
      <c r="A54" s="663"/>
      <c r="B54" s="589"/>
      <c r="C54" s="674"/>
      <c r="D54" s="674"/>
      <c r="E54" s="535"/>
      <c r="F54" s="675"/>
      <c r="G54" s="673"/>
    </row>
    <row r="55" spans="1:7">
      <c r="B55" s="676" t="s">
        <v>1304</v>
      </c>
      <c r="C55" s="589"/>
      <c r="D55" s="589"/>
      <c r="E55" s="677"/>
      <c r="F55" s="589"/>
      <c r="G55" s="589"/>
    </row>
    <row r="56" spans="1:7">
      <c r="B56" s="589" t="s">
        <v>58</v>
      </c>
      <c r="C56" s="674" t="s">
        <v>1305</v>
      </c>
      <c r="D56" s="589"/>
      <c r="E56" s="677"/>
      <c r="F56" s="589"/>
      <c r="G56" s="589"/>
    </row>
    <row r="57" spans="1:7">
      <c r="B57" s="589"/>
      <c r="C57" s="674" t="s">
        <v>1306</v>
      </c>
      <c r="D57" s="589"/>
      <c r="E57" s="677"/>
      <c r="F57" s="589"/>
      <c r="G57" s="589"/>
    </row>
    <row r="58" spans="1:7">
      <c r="B58" s="589" t="s">
        <v>59</v>
      </c>
      <c r="C58" s="674" t="s">
        <v>1307</v>
      </c>
      <c r="D58" s="589"/>
      <c r="E58" s="677"/>
      <c r="F58" s="589"/>
      <c r="G58" s="589"/>
    </row>
    <row r="59" spans="1:7">
      <c r="B59" s="589"/>
      <c r="C59" s="674" t="s">
        <v>1306</v>
      </c>
      <c r="D59" s="589"/>
      <c r="E59" s="677"/>
      <c r="F59" s="589"/>
      <c r="G59" s="589"/>
    </row>
    <row r="60" spans="1:7">
      <c r="B60" s="589" t="s">
        <v>60</v>
      </c>
      <c r="C60" s="674" t="s">
        <v>1308</v>
      </c>
      <c r="D60" s="589"/>
      <c r="E60" s="677"/>
      <c r="F60" s="589"/>
      <c r="G60" s="589"/>
    </row>
    <row r="61" spans="1:7">
      <c r="B61" s="589" t="s">
        <v>61</v>
      </c>
      <c r="C61" s="674" t="s">
        <v>1309</v>
      </c>
      <c r="D61" s="589"/>
      <c r="E61" s="677"/>
      <c r="F61" s="589"/>
      <c r="G61" s="589"/>
    </row>
    <row r="62" spans="1:7">
      <c r="B62" s="589"/>
      <c r="C62" s="674" t="s">
        <v>1310</v>
      </c>
      <c r="D62" s="589"/>
      <c r="E62" s="677"/>
      <c r="F62" s="589"/>
      <c r="G62" s="589"/>
    </row>
    <row r="63" spans="1:7">
      <c r="B63" s="589"/>
      <c r="C63" s="674" t="s">
        <v>1311</v>
      </c>
    </row>
    <row r="64" spans="1:7">
      <c r="B64" s="589" t="s">
        <v>62</v>
      </c>
      <c r="C64" s="674" t="s">
        <v>1312</v>
      </c>
    </row>
  </sheetData>
  <sheetProtection algorithmName="SHA-512" hashValue="+WHcNt7EXjPUgvaIPZoslkUTNURQdGkOGsqpQ20QjQ9S9qXQtJzovz4DKaq6fh+pRdAtIQfryZ0hh4RhFoSLNw==" saltValue="hLGCgM3va2o88D8wIbgyKA==" spinCount="100000" sheet="1" scenarios="1" formatColumns="0" formatRows="0" insertRows="0" sort="0" autoFilter="0"/>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A93"/>
  <sheetViews>
    <sheetView view="pageBreakPreview" topLeftCell="A28" zoomScale="70" zoomScaleNormal="100" zoomScaleSheetLayoutView="70" workbookViewId="0">
      <selection activeCell="D42" sqref="D42"/>
    </sheetView>
  </sheetViews>
  <sheetFormatPr defaultColWidth="8.88671875" defaultRowHeight="13.15"/>
  <cols>
    <col min="1" max="1" width="4" style="21" customWidth="1"/>
    <col min="2" max="2" width="39.33203125" style="21" customWidth="1"/>
    <col min="3" max="3" width="13.109375" style="21" customWidth="1"/>
    <col min="4" max="4" width="11.109375" style="21" customWidth="1"/>
    <col min="5" max="5" width="9.44140625" style="21" customWidth="1"/>
    <col min="6" max="6" width="7.88671875" style="21" customWidth="1"/>
    <col min="7" max="7" width="10.44140625" style="21" customWidth="1"/>
    <col min="8" max="16" width="7.88671875" style="21" customWidth="1"/>
    <col min="17" max="17" width="10.6640625" style="21" bestFit="1" customWidth="1"/>
    <col min="18" max="16384" width="8.88671875" style="21"/>
  </cols>
  <sheetData>
    <row r="1" spans="1:27">
      <c r="E1" s="150" t="s">
        <v>193</v>
      </c>
      <c r="I1" s="326" t="s">
        <v>419</v>
      </c>
    </row>
    <row r="2" spans="1:27">
      <c r="E2" s="280" t="s">
        <v>405</v>
      </c>
    </row>
    <row r="3" spans="1:27">
      <c r="E3" s="24" t="str">
        <f>+'Attachment H-7'!D5</f>
        <v>PECO Energy Company</v>
      </c>
    </row>
    <row r="4" spans="1:27">
      <c r="I4" s="24"/>
    </row>
    <row r="5" spans="1:27">
      <c r="F5" s="62"/>
      <c r="G5" s="62"/>
      <c r="H5" s="62"/>
      <c r="I5" s="24"/>
    </row>
    <row r="6" spans="1:27" ht="15.4">
      <c r="E6" s="680"/>
      <c r="F6" s="681"/>
      <c r="G6" s="682"/>
      <c r="H6" s="681"/>
    </row>
    <row r="7" spans="1:27" ht="46.5" customHeight="1">
      <c r="A7" s="683"/>
      <c r="B7" s="684"/>
      <c r="C7" s="685" t="s">
        <v>669</v>
      </c>
      <c r="D7" s="685"/>
      <c r="E7" s="686" t="s">
        <v>890</v>
      </c>
      <c r="F7" s="687"/>
      <c r="G7" s="687"/>
      <c r="H7" s="687"/>
      <c r="S7" s="62"/>
      <c r="T7" s="62"/>
      <c r="U7" s="62"/>
      <c r="V7" s="62"/>
      <c r="W7" s="62"/>
      <c r="X7" s="62"/>
      <c r="Y7" s="62"/>
      <c r="Z7" s="62"/>
      <c r="AA7" s="62"/>
    </row>
    <row r="8" spans="1:27" ht="15.4">
      <c r="A8" s="683">
        <v>1</v>
      </c>
      <c r="B8" s="688"/>
      <c r="C8" s="21" t="s">
        <v>84</v>
      </c>
      <c r="D8" s="689"/>
      <c r="E8" s="1073">
        <v>7.1999999999999998E-3</v>
      </c>
      <c r="F8" s="690" t="s">
        <v>2</v>
      </c>
      <c r="G8" s="691"/>
      <c r="H8" s="691"/>
      <c r="S8" s="692"/>
      <c r="T8" s="692"/>
      <c r="U8" s="692"/>
      <c r="V8" s="693"/>
      <c r="W8" s="681"/>
      <c r="X8" s="682"/>
      <c r="Y8" s="681"/>
      <c r="Z8" s="692"/>
      <c r="AA8" s="62"/>
    </row>
    <row r="9" spans="1:27" ht="15.4">
      <c r="A9" s="683">
        <v>2</v>
      </c>
      <c r="B9" s="688"/>
      <c r="C9" s="21" t="s">
        <v>83</v>
      </c>
      <c r="D9" s="689"/>
      <c r="E9" s="1073">
        <v>6.7999999999999996E-3</v>
      </c>
      <c r="F9" s="690"/>
      <c r="G9" s="691"/>
      <c r="H9" s="691"/>
      <c r="S9" s="692"/>
      <c r="T9" s="694"/>
      <c r="U9" s="694"/>
      <c r="V9" s="687"/>
      <c r="W9" s="687"/>
      <c r="X9" s="687"/>
      <c r="Y9" s="687"/>
      <c r="Z9" s="687"/>
      <c r="AA9" s="62"/>
    </row>
    <row r="10" spans="1:27" ht="15.4">
      <c r="A10" s="683">
        <v>3</v>
      </c>
      <c r="B10" s="688"/>
      <c r="C10" s="21" t="s">
        <v>82</v>
      </c>
      <c r="D10" s="689"/>
      <c r="E10" s="1073">
        <v>7.1999999999999998E-3</v>
      </c>
      <c r="F10" s="690"/>
      <c r="G10" s="691"/>
      <c r="H10" s="691"/>
      <c r="S10" s="692"/>
      <c r="T10" s="694"/>
      <c r="U10" s="694"/>
      <c r="V10" s="690"/>
      <c r="W10" s="690"/>
      <c r="X10" s="695"/>
      <c r="Y10" s="695"/>
      <c r="Z10" s="695"/>
      <c r="AA10" s="62"/>
    </row>
    <row r="11" spans="1:27" ht="15.4">
      <c r="A11" s="683">
        <v>4</v>
      </c>
      <c r="B11" s="688"/>
      <c r="C11" s="21" t="s">
        <v>74</v>
      </c>
      <c r="D11" s="689"/>
      <c r="E11" s="1073">
        <v>7.0000000000000001E-3</v>
      </c>
      <c r="F11" s="690"/>
      <c r="G11" s="691"/>
      <c r="H11" s="691"/>
      <c r="S11" s="692"/>
      <c r="T11" s="694"/>
      <c r="U11" s="694"/>
      <c r="V11" s="690"/>
      <c r="W11" s="690"/>
      <c r="X11" s="695"/>
      <c r="Y11" s="695"/>
      <c r="Z11" s="695"/>
      <c r="AA11" s="62"/>
    </row>
    <row r="12" spans="1:27" ht="15.75" customHeight="1">
      <c r="A12" s="683">
        <v>5</v>
      </c>
      <c r="B12" s="688"/>
      <c r="C12" s="21" t="s">
        <v>73</v>
      </c>
      <c r="D12" s="689"/>
      <c r="E12" s="1073">
        <v>7.1999999999999998E-3</v>
      </c>
      <c r="F12" s="690"/>
      <c r="G12" s="691"/>
      <c r="H12" s="691"/>
      <c r="S12" s="692"/>
      <c r="T12" s="694"/>
      <c r="U12" s="694"/>
      <c r="V12" s="690"/>
      <c r="W12" s="690"/>
      <c r="X12" s="695"/>
      <c r="Y12" s="695"/>
      <c r="Z12" s="695"/>
      <c r="AA12" s="62"/>
    </row>
    <row r="13" spans="1:27" ht="15.4">
      <c r="A13" s="683">
        <v>6</v>
      </c>
      <c r="B13" s="688"/>
      <c r="C13" s="21" t="s">
        <v>93</v>
      </c>
      <c r="D13" s="689"/>
      <c r="E13" s="1073">
        <v>7.0000000000000001E-3</v>
      </c>
      <c r="F13" s="690"/>
      <c r="G13" s="691"/>
      <c r="H13" s="691"/>
      <c r="S13" s="692"/>
      <c r="T13" s="694"/>
      <c r="U13" s="694"/>
      <c r="V13" s="690"/>
      <c r="W13" s="690"/>
      <c r="X13" s="695"/>
      <c r="Y13" s="695"/>
      <c r="Z13" s="695"/>
      <c r="AA13" s="62"/>
    </row>
    <row r="14" spans="1:27" ht="15.4">
      <c r="A14" s="683">
        <v>7</v>
      </c>
      <c r="B14" s="688"/>
      <c r="C14" s="21" t="s">
        <v>81</v>
      </c>
      <c r="D14" s="689"/>
      <c r="E14" s="1073">
        <v>7.1999999999999998E-3</v>
      </c>
      <c r="F14" s="690"/>
      <c r="G14" s="691"/>
      <c r="H14" s="691"/>
      <c r="S14" s="692"/>
      <c r="T14" s="692"/>
      <c r="U14" s="692"/>
      <c r="V14" s="692"/>
      <c r="W14" s="692"/>
      <c r="X14" s="692"/>
      <c r="Y14" s="692"/>
      <c r="Z14" s="692"/>
      <c r="AA14" s="62"/>
    </row>
    <row r="15" spans="1:27" ht="15.4">
      <c r="A15" s="683">
        <v>8</v>
      </c>
      <c r="B15" s="688"/>
      <c r="C15" s="21" t="s">
        <v>80</v>
      </c>
      <c r="D15" s="689"/>
      <c r="E15" s="1073">
        <v>7.1999999999999998E-3</v>
      </c>
      <c r="F15" s="690"/>
      <c r="G15" s="691"/>
      <c r="H15" s="691"/>
      <c r="S15" s="692"/>
      <c r="T15" s="692"/>
      <c r="U15" s="692"/>
      <c r="V15" s="692"/>
      <c r="W15" s="692"/>
      <c r="X15" s="692"/>
      <c r="Y15" s="692"/>
      <c r="Z15" s="692"/>
      <c r="AA15" s="62"/>
    </row>
    <row r="16" spans="1:27" ht="15.4">
      <c r="A16" s="683">
        <v>9</v>
      </c>
      <c r="B16" s="688"/>
      <c r="C16" s="21" t="s">
        <v>79</v>
      </c>
      <c r="D16" s="689"/>
      <c r="E16" s="1073">
        <v>7.0000000000000001E-3</v>
      </c>
      <c r="F16" s="690"/>
      <c r="G16" s="691"/>
      <c r="H16" s="691"/>
      <c r="S16" s="692"/>
      <c r="T16" s="692"/>
      <c r="U16" s="692"/>
      <c r="V16" s="692"/>
      <c r="W16" s="692"/>
      <c r="X16" s="692"/>
      <c r="Y16" s="692"/>
      <c r="Z16" s="692"/>
      <c r="AA16" s="62"/>
    </row>
    <row r="17" spans="1:27" ht="15.4">
      <c r="A17" s="683">
        <v>10</v>
      </c>
      <c r="B17" s="688"/>
      <c r="C17" s="21" t="s">
        <v>85</v>
      </c>
      <c r="D17" s="689"/>
      <c r="E17" s="1073">
        <v>7.1999999999999998E-3</v>
      </c>
      <c r="F17" s="690"/>
      <c r="G17" s="691"/>
      <c r="H17" s="691"/>
      <c r="S17" s="692"/>
      <c r="T17" s="692"/>
      <c r="U17" s="692"/>
      <c r="V17" s="692"/>
      <c r="W17" s="692"/>
      <c r="X17" s="692"/>
      <c r="Y17" s="692"/>
      <c r="Z17" s="692"/>
      <c r="AA17" s="62"/>
    </row>
    <row r="18" spans="1:27" ht="15.4">
      <c r="A18" s="683">
        <v>11</v>
      </c>
      <c r="B18" s="688"/>
      <c r="C18" s="21" t="s">
        <v>78</v>
      </c>
      <c r="D18" s="689"/>
      <c r="E18" s="1073">
        <v>7.0000000000000001E-3</v>
      </c>
      <c r="F18" s="690"/>
      <c r="G18" s="691"/>
      <c r="H18" s="691"/>
      <c r="S18" s="692"/>
      <c r="T18" s="692"/>
      <c r="U18" s="692"/>
      <c r="V18" s="692"/>
      <c r="W18" s="692"/>
      <c r="X18" s="692"/>
      <c r="Y18" s="692"/>
      <c r="Z18" s="692"/>
      <c r="AA18" s="62"/>
    </row>
    <row r="19" spans="1:27" ht="15.4">
      <c r="A19" s="683">
        <v>12</v>
      </c>
      <c r="B19" s="688"/>
      <c r="C19" s="21" t="s">
        <v>77</v>
      </c>
      <c r="D19" s="689"/>
      <c r="E19" s="1073">
        <v>7.1999999999999998E-3</v>
      </c>
      <c r="F19" s="690"/>
      <c r="G19" s="691"/>
      <c r="H19" s="691"/>
      <c r="S19" s="692"/>
      <c r="T19" s="692"/>
      <c r="U19" s="692"/>
      <c r="V19" s="692"/>
      <c r="W19" s="692"/>
      <c r="X19" s="692"/>
      <c r="Y19" s="692"/>
      <c r="Z19" s="692"/>
      <c r="AA19" s="62"/>
    </row>
    <row r="20" spans="1:27" ht="15.4">
      <c r="A20" s="683">
        <v>13</v>
      </c>
      <c r="B20" s="688"/>
      <c r="C20" s="21" t="s">
        <v>84</v>
      </c>
      <c r="D20" s="689"/>
      <c r="E20" s="1073">
        <v>6.7999999999999996E-3</v>
      </c>
      <c r="F20" s="690"/>
      <c r="G20" s="691"/>
      <c r="H20" s="691"/>
      <c r="S20" s="692"/>
      <c r="T20" s="692"/>
      <c r="U20" s="692"/>
      <c r="V20" s="692"/>
      <c r="W20" s="692"/>
      <c r="X20" s="692"/>
      <c r="Y20" s="692"/>
      <c r="Z20" s="692"/>
      <c r="AA20" s="62"/>
    </row>
    <row r="21" spans="1:27" ht="15.4">
      <c r="A21" s="683">
        <v>14</v>
      </c>
      <c r="B21" s="688"/>
      <c r="C21" s="21" t="s">
        <v>83</v>
      </c>
      <c r="D21" s="689"/>
      <c r="E21" s="1073">
        <v>6.1999999999999998E-3</v>
      </c>
      <c r="F21" s="690"/>
      <c r="G21" s="691"/>
      <c r="H21" s="691"/>
      <c r="S21" s="692"/>
      <c r="T21" s="692"/>
      <c r="U21" s="692"/>
      <c r="V21" s="692"/>
      <c r="W21" s="692"/>
      <c r="X21" s="692"/>
      <c r="Y21" s="692"/>
      <c r="Z21" s="692"/>
      <c r="AA21" s="62"/>
    </row>
    <row r="22" spans="1:27" ht="15.4">
      <c r="A22" s="683">
        <v>15</v>
      </c>
      <c r="B22" s="688"/>
      <c r="C22" s="21" t="s">
        <v>82</v>
      </c>
      <c r="D22" s="689"/>
      <c r="E22" s="1073">
        <v>6.7999999999999996E-3</v>
      </c>
      <c r="F22" s="690"/>
      <c r="G22" s="691"/>
      <c r="H22" s="691"/>
      <c r="S22" s="692"/>
      <c r="T22" s="692"/>
      <c r="U22" s="692"/>
      <c r="V22" s="692"/>
      <c r="W22" s="692"/>
      <c r="X22" s="692"/>
      <c r="Y22" s="692"/>
      <c r="Z22" s="692"/>
      <c r="AA22" s="62"/>
    </row>
    <row r="23" spans="1:27" ht="15.4">
      <c r="A23" s="683">
        <v>16</v>
      </c>
      <c r="B23" s="688"/>
      <c r="C23" s="21" t="s">
        <v>74</v>
      </c>
      <c r="D23" s="689"/>
      <c r="E23" s="1073">
        <v>6.1999999999999998E-3</v>
      </c>
      <c r="F23" s="690"/>
      <c r="G23" s="691"/>
      <c r="H23" s="691"/>
      <c r="S23" s="692"/>
      <c r="T23" s="692"/>
      <c r="U23" s="692"/>
      <c r="V23" s="692"/>
      <c r="W23" s="692"/>
      <c r="X23" s="692"/>
      <c r="Y23" s="692"/>
      <c r="Z23" s="692"/>
      <c r="AA23" s="62"/>
    </row>
    <row r="24" spans="1:27" ht="15.4">
      <c r="A24" s="683">
        <v>17</v>
      </c>
      <c r="B24" s="688"/>
      <c r="C24" s="21" t="s">
        <v>73</v>
      </c>
      <c r="D24" s="689"/>
      <c r="E24" s="1073">
        <v>6.4000000000000003E-3</v>
      </c>
      <c r="F24" s="690"/>
      <c r="G24" s="691"/>
      <c r="H24" s="691"/>
      <c r="S24" s="692"/>
      <c r="T24" s="692"/>
      <c r="U24" s="692"/>
      <c r="V24" s="692"/>
      <c r="W24" s="692"/>
      <c r="X24" s="692"/>
      <c r="Y24" s="692"/>
      <c r="Z24" s="692"/>
      <c r="AA24" s="62"/>
    </row>
    <row r="25" spans="1:27" ht="15.4">
      <c r="A25" s="683"/>
      <c r="B25" s="688"/>
      <c r="C25" s="696"/>
      <c r="D25" s="697"/>
      <c r="E25" s="697"/>
      <c r="F25" s="697"/>
      <c r="G25" s="697"/>
      <c r="H25" s="697"/>
      <c r="S25" s="692"/>
      <c r="T25" s="692"/>
      <c r="U25" s="692"/>
      <c r="V25" s="698"/>
      <c r="W25" s="695"/>
      <c r="X25" s="692"/>
      <c r="Y25" s="692"/>
      <c r="Z25" s="692"/>
      <c r="AA25" s="62"/>
    </row>
    <row r="26" spans="1:27" ht="15.4">
      <c r="A26" s="683">
        <v>18</v>
      </c>
      <c r="B26" s="699" t="s">
        <v>670</v>
      </c>
      <c r="C26" s="237"/>
      <c r="D26" s="697"/>
      <c r="E26" s="700">
        <f>AVERAGE(E8:E24)</f>
        <v>6.9176470588235292E-3</v>
      </c>
      <c r="F26" s="697"/>
      <c r="G26" s="697"/>
      <c r="H26" s="697"/>
      <c r="S26" s="692"/>
      <c r="T26" s="692"/>
      <c r="U26" s="692"/>
      <c r="V26" s="698"/>
      <c r="W26" s="695"/>
      <c r="X26" s="692"/>
      <c r="Y26" s="692"/>
      <c r="Z26" s="692"/>
      <c r="AA26" s="62"/>
    </row>
    <row r="27" spans="1:27" ht="15.4">
      <c r="A27" s="688"/>
      <c r="B27" s="688"/>
      <c r="C27" s="237"/>
      <c r="D27" s="697"/>
      <c r="E27" s="697"/>
      <c r="F27" s="689"/>
      <c r="G27" s="689"/>
      <c r="H27" s="689"/>
      <c r="S27" s="692"/>
      <c r="T27" s="692"/>
      <c r="U27" s="692"/>
      <c r="V27" s="692"/>
      <c r="W27" s="692"/>
      <c r="X27" s="692"/>
      <c r="Y27" s="692"/>
      <c r="Z27" s="692"/>
      <c r="AA27" s="62"/>
    </row>
    <row r="28" spans="1:27" ht="15.75" thickBot="1">
      <c r="A28" s="701" t="s">
        <v>324</v>
      </c>
      <c r="B28" s="688"/>
      <c r="C28" s="688"/>
      <c r="D28" s="688"/>
      <c r="E28" s="688"/>
      <c r="F28" s="688"/>
      <c r="G28" s="688"/>
      <c r="H28" s="688"/>
      <c r="S28" s="692"/>
      <c r="T28" s="692"/>
      <c r="U28" s="692"/>
      <c r="V28" s="692"/>
      <c r="W28" s="692"/>
      <c r="X28" s="692"/>
      <c r="Y28" s="692"/>
      <c r="Z28" s="692"/>
      <c r="AA28" s="62"/>
    </row>
    <row r="29" spans="1:27" ht="15.4">
      <c r="A29" s="702" t="s">
        <v>58</v>
      </c>
      <c r="B29" s="703" t="s">
        <v>1178</v>
      </c>
      <c r="C29" s="688"/>
      <c r="D29" s="688"/>
      <c r="E29" s="688"/>
      <c r="F29" s="688"/>
      <c r="G29" s="688"/>
      <c r="H29" s="688"/>
      <c r="S29" s="694"/>
      <c r="T29" s="62"/>
      <c r="U29" s="692"/>
      <c r="V29" s="692"/>
      <c r="W29" s="692"/>
      <c r="X29" s="692"/>
      <c r="Y29" s="692"/>
      <c r="Z29" s="692"/>
      <c r="AA29" s="62"/>
    </row>
    <row r="30" spans="1:27" ht="15.4">
      <c r="A30" s="688"/>
      <c r="B30" s="703"/>
      <c r="C30" s="688"/>
      <c r="D30" s="688"/>
      <c r="E30" s="688"/>
      <c r="F30" s="688"/>
      <c r="G30" s="688"/>
      <c r="H30" s="688"/>
      <c r="S30" s="703"/>
      <c r="U30" s="703"/>
      <c r="V30" s="703"/>
      <c r="W30" s="703"/>
      <c r="X30" s="703"/>
      <c r="Y30" s="703"/>
      <c r="Z30" s="703"/>
    </row>
    <row r="31" spans="1:27" ht="15.4">
      <c r="A31" s="688"/>
      <c r="B31" s="703"/>
      <c r="C31" s="688"/>
      <c r="D31" s="688"/>
      <c r="E31" s="688"/>
      <c r="F31" s="688"/>
      <c r="G31" s="688"/>
      <c r="H31" s="688"/>
      <c r="S31" s="703"/>
      <c r="T31" s="703"/>
      <c r="U31" s="703"/>
      <c r="V31" s="703"/>
      <c r="W31" s="703"/>
      <c r="X31" s="703"/>
      <c r="Y31" s="703"/>
      <c r="Z31" s="703"/>
    </row>
    <row r="32" spans="1:27" ht="15.4">
      <c r="A32" s="688"/>
      <c r="B32" s="688"/>
      <c r="C32" s="688"/>
      <c r="D32" s="688"/>
      <c r="E32" s="688"/>
      <c r="F32" s="688"/>
      <c r="G32" s="688"/>
      <c r="H32" s="688"/>
    </row>
    <row r="33" spans="1:17">
      <c r="A33" s="279"/>
      <c r="B33" s="88"/>
      <c r="C33" s="88"/>
      <c r="D33" s="1255"/>
      <c r="E33" s="1255"/>
      <c r="F33" s="89"/>
      <c r="G33" s="89"/>
      <c r="H33" s="704"/>
      <c r="I33" s="89"/>
      <c r="J33" s="89"/>
      <c r="K33" s="89"/>
    </row>
    <row r="34" spans="1:17">
      <c r="A34" s="279">
        <v>19</v>
      </c>
      <c r="B34" s="88" t="s">
        <v>75</v>
      </c>
      <c r="C34" s="1072">
        <v>2024</v>
      </c>
      <c r="D34" s="1255"/>
      <c r="E34" s="1255"/>
      <c r="F34" s="1255"/>
      <c r="G34" s="1255"/>
      <c r="H34" s="704"/>
      <c r="I34" s="1255"/>
      <c r="J34" s="1255"/>
      <c r="K34" s="1255"/>
      <c r="L34" s="1255"/>
    </row>
    <row r="35" spans="1:17">
      <c r="A35" s="279">
        <v>20</v>
      </c>
      <c r="B35" s="88"/>
      <c r="C35" s="88"/>
      <c r="D35" s="89"/>
      <c r="E35" s="89"/>
      <c r="F35" s="569"/>
      <c r="G35" s="89"/>
      <c r="H35" s="89"/>
      <c r="I35" s="89"/>
      <c r="J35" s="89"/>
      <c r="K35" s="89"/>
      <c r="L35" s="89"/>
    </row>
    <row r="36" spans="1:17">
      <c r="A36" s="147"/>
      <c r="B36" s="296" t="s">
        <v>58</v>
      </c>
      <c r="C36" s="705" t="s">
        <v>59</v>
      </c>
      <c r="D36" s="705" t="s">
        <v>60</v>
      </c>
      <c r="E36" s="705" t="s">
        <v>61</v>
      </c>
      <c r="F36" s="705" t="s">
        <v>62</v>
      </c>
      <c r="G36" s="706" t="s">
        <v>63</v>
      </c>
      <c r="H36" s="704"/>
      <c r="I36" s="704"/>
      <c r="J36" s="704"/>
      <c r="K36" s="704"/>
      <c r="L36" s="704"/>
      <c r="M36" s="704"/>
      <c r="N36" s="704"/>
      <c r="O36" s="704"/>
      <c r="P36" s="704"/>
      <c r="Q36" s="704"/>
    </row>
    <row r="37" spans="1:17">
      <c r="A37" s="279"/>
      <c r="B37" s="707"/>
      <c r="C37" s="704"/>
      <c r="D37" s="704"/>
      <c r="E37" s="704"/>
      <c r="F37" s="704"/>
      <c r="G37" s="708"/>
      <c r="H37" s="704"/>
      <c r="I37" s="89"/>
      <c r="J37" s="704"/>
      <c r="K37" s="89"/>
      <c r="L37" s="89"/>
      <c r="M37" s="62"/>
      <c r="N37" s="62"/>
      <c r="O37" s="62"/>
      <c r="P37" s="62"/>
      <c r="Q37" s="62"/>
    </row>
    <row r="38" spans="1:17">
      <c r="A38" s="279"/>
      <c r="B38" s="295"/>
      <c r="C38" s="704"/>
      <c r="D38" s="704"/>
      <c r="E38" s="704"/>
      <c r="F38" s="704"/>
      <c r="G38" s="709"/>
      <c r="H38" s="704"/>
      <c r="I38" s="704"/>
      <c r="J38" s="704"/>
      <c r="K38" s="704"/>
      <c r="L38" s="704"/>
      <c r="M38" s="704"/>
      <c r="N38" s="704"/>
      <c r="O38" s="704"/>
      <c r="P38" s="704"/>
      <c r="Q38" s="704"/>
    </row>
    <row r="39" spans="1:17" ht="39.4">
      <c r="A39" s="279"/>
      <c r="B39" s="221" t="s">
        <v>426</v>
      </c>
      <c r="C39" s="710" t="s">
        <v>446</v>
      </c>
      <c r="D39" s="711" t="s">
        <v>11</v>
      </c>
      <c r="E39" s="704" t="s">
        <v>674</v>
      </c>
      <c r="F39" s="710" t="s">
        <v>351</v>
      </c>
      <c r="G39" s="712" t="s">
        <v>297</v>
      </c>
      <c r="H39" s="62"/>
      <c r="I39" s="62"/>
      <c r="J39" s="62"/>
      <c r="K39" s="62"/>
      <c r="L39" s="62"/>
      <c r="M39" s="62"/>
      <c r="N39" s="62"/>
      <c r="O39" s="62"/>
      <c r="P39" s="704"/>
      <c r="Q39" s="704"/>
    </row>
    <row r="40" spans="1:17" ht="30" customHeight="1">
      <c r="A40" s="279"/>
      <c r="B40" s="295"/>
      <c r="C40" s="704"/>
      <c r="D40" s="711" t="s">
        <v>773</v>
      </c>
      <c r="E40" s="704"/>
      <c r="F40" s="711" t="s">
        <v>675</v>
      </c>
      <c r="G40" s="713" t="s">
        <v>676</v>
      </c>
      <c r="H40" s="704"/>
      <c r="I40" s="704"/>
      <c r="J40" s="704"/>
      <c r="K40" s="704"/>
      <c r="L40" s="704"/>
      <c r="M40" s="704"/>
      <c r="N40" s="704"/>
      <c r="O40" s="704"/>
      <c r="P40" s="704"/>
      <c r="Q40" s="704"/>
    </row>
    <row r="41" spans="1:17">
      <c r="A41" s="279">
        <v>21</v>
      </c>
      <c r="B41" s="707" t="str">
        <f>+'1-Project Rev Req'!C66</f>
        <v xml:space="preserve">Zonal </v>
      </c>
      <c r="C41" s="89" t="str">
        <f>+'1-Project Rev Req'!D66</f>
        <v>Zonal</v>
      </c>
      <c r="D41" s="56">
        <f>+'3-Project True-up'!H18+'3-Project True-up'!I18</f>
        <v>3979976.3801876418</v>
      </c>
      <c r="E41" s="56">
        <v>17</v>
      </c>
      <c r="F41" s="968">
        <f>+E26</f>
        <v>6.9176470588235292E-3</v>
      </c>
      <c r="G41" s="715">
        <f>+D41*E41*F41</f>
        <v>468045.22231006669</v>
      </c>
      <c r="H41" s="714"/>
      <c r="I41" s="177"/>
      <c r="J41" s="177"/>
      <c r="K41" s="177"/>
      <c r="L41" s="177"/>
      <c r="M41" s="62"/>
      <c r="N41" s="62"/>
      <c r="O41" s="62"/>
      <c r="P41" s="62"/>
      <c r="Q41" s="62"/>
    </row>
    <row r="42" spans="1:17">
      <c r="A42" s="279" t="s">
        <v>671</v>
      </c>
      <c r="B42" s="962" t="s">
        <v>1558</v>
      </c>
      <c r="C42" s="963" t="s">
        <v>720</v>
      </c>
      <c r="D42" s="56">
        <f>+'3-Project True-up'!H19+'3-Project True-up'!I19</f>
        <v>30894.406105170507</v>
      </c>
      <c r="E42" s="56">
        <v>17</v>
      </c>
      <c r="F42" s="968">
        <f>+F41</f>
        <v>6.9176470588235292E-3</v>
      </c>
      <c r="G42" s="715">
        <f t="shared" ref="G42:G65" si="0">+D42*E42*F42</f>
        <v>3633.1821579680513</v>
      </c>
      <c r="H42" s="714"/>
      <c r="I42" s="89"/>
      <c r="J42" s="714"/>
      <c r="K42" s="177"/>
      <c r="L42" s="177"/>
      <c r="M42" s="62"/>
      <c r="N42" s="62"/>
      <c r="O42" s="62"/>
      <c r="P42" s="59"/>
      <c r="Q42" s="716"/>
    </row>
    <row r="43" spans="1:17">
      <c r="A43" s="279" t="s">
        <v>672</v>
      </c>
      <c r="B43" s="962" t="s">
        <v>1559</v>
      </c>
      <c r="C43" s="963" t="s">
        <v>1560</v>
      </c>
      <c r="D43" s="56">
        <f>+'3-Project True-up'!H20+'3-Project True-up'!I20</f>
        <v>-137868.49300673394</v>
      </c>
      <c r="E43" s="56">
        <v>17</v>
      </c>
      <c r="F43" s="968">
        <f t="shared" ref="F43:F67" si="1">+F42</f>
        <v>6.9176470588235292E-3</v>
      </c>
      <c r="G43" s="715">
        <f t="shared" si="0"/>
        <v>-16213.334777591914</v>
      </c>
      <c r="H43" s="714"/>
      <c r="I43" s="89"/>
      <c r="J43" s="714"/>
      <c r="K43" s="177"/>
      <c r="L43" s="177"/>
      <c r="M43" s="62"/>
      <c r="N43" s="62"/>
      <c r="O43" s="62"/>
      <c r="P43" s="59"/>
      <c r="Q43" s="716"/>
    </row>
    <row r="44" spans="1:17">
      <c r="A44" s="279" t="s">
        <v>673</v>
      </c>
      <c r="B44" s="962" t="s">
        <v>798</v>
      </c>
      <c r="C44" s="963" t="s">
        <v>722</v>
      </c>
      <c r="D44" s="56">
        <f>+'3-Project True-up'!H21+'3-Project True-up'!I21</f>
        <v>-3245.2998172954922</v>
      </c>
      <c r="E44" s="56">
        <v>17</v>
      </c>
      <c r="F44" s="968">
        <f t="shared" si="1"/>
        <v>6.9176470588235292E-3</v>
      </c>
      <c r="G44" s="715">
        <f t="shared" si="0"/>
        <v>-381.64725851394985</v>
      </c>
      <c r="H44" s="714"/>
      <c r="I44" s="89"/>
      <c r="J44" s="714"/>
      <c r="K44" s="177"/>
      <c r="L44" s="177"/>
      <c r="M44" s="62"/>
      <c r="N44" s="62"/>
      <c r="O44" s="62"/>
      <c r="P44" s="59"/>
      <c r="Q44" s="716"/>
    </row>
    <row r="45" spans="1:17">
      <c r="A45" s="279" t="s">
        <v>1473</v>
      </c>
      <c r="B45" s="962" t="s">
        <v>798</v>
      </c>
      <c r="C45" s="963" t="s">
        <v>1511</v>
      </c>
      <c r="D45" s="56">
        <f>+'3-Project True-up'!H22+'3-Project True-up'!I22</f>
        <v>-10240.167708962432</v>
      </c>
      <c r="E45" s="56">
        <v>17</v>
      </c>
      <c r="F45" s="968">
        <f t="shared" si="1"/>
        <v>6.9176470588235292E-3</v>
      </c>
      <c r="G45" s="715">
        <f t="shared" si="0"/>
        <v>-1204.2437225739818</v>
      </c>
      <c r="H45" s="714"/>
      <c r="I45" s="89"/>
      <c r="J45" s="714"/>
      <c r="K45" s="177"/>
      <c r="L45" s="177"/>
      <c r="M45" s="62"/>
      <c r="N45" s="62"/>
      <c r="O45" s="62"/>
      <c r="P45" s="59"/>
      <c r="Q45" s="716"/>
    </row>
    <row r="46" spans="1:17">
      <c r="A46" s="279" t="s">
        <v>1474</v>
      </c>
      <c r="B46" s="962" t="s">
        <v>799</v>
      </c>
      <c r="C46" s="963" t="s">
        <v>723</v>
      </c>
      <c r="D46" s="56">
        <f>+'3-Project True-up'!H23+'3-Project True-up'!I23</f>
        <v>-7751.2165545293428</v>
      </c>
      <c r="E46" s="56">
        <v>17</v>
      </c>
      <c r="F46" s="968">
        <f t="shared" si="1"/>
        <v>6.9176470588235292E-3</v>
      </c>
      <c r="G46" s="715">
        <f t="shared" si="0"/>
        <v>-911.54306681265075</v>
      </c>
      <c r="H46" s="714"/>
      <c r="I46" s="89"/>
      <c r="J46" s="714"/>
      <c r="K46" s="177"/>
      <c r="L46" s="177"/>
      <c r="M46" s="62"/>
      <c r="N46" s="62"/>
      <c r="O46" s="62"/>
      <c r="P46" s="59"/>
      <c r="Q46" s="716"/>
    </row>
    <row r="47" spans="1:17">
      <c r="A47" s="279" t="s">
        <v>1475</v>
      </c>
      <c r="B47" s="962" t="s">
        <v>800</v>
      </c>
      <c r="C47" s="963" t="s">
        <v>724</v>
      </c>
      <c r="D47" s="56">
        <f>+'3-Project True-up'!H24+'3-Project True-up'!I24</f>
        <v>-9999.4247020767671</v>
      </c>
      <c r="E47" s="56">
        <v>17</v>
      </c>
      <c r="F47" s="968">
        <f t="shared" si="1"/>
        <v>6.9176470588235292E-3</v>
      </c>
      <c r="G47" s="715">
        <f t="shared" si="0"/>
        <v>-1175.9323449642277</v>
      </c>
      <c r="H47" s="714"/>
      <c r="I47" s="89"/>
      <c r="J47" s="714"/>
      <c r="K47" s="177"/>
      <c r="L47" s="177"/>
      <c r="M47" s="62"/>
      <c r="N47" s="62"/>
      <c r="O47" s="62"/>
      <c r="P47" s="59"/>
      <c r="Q47" s="716"/>
    </row>
    <row r="48" spans="1:17">
      <c r="A48" s="279" t="s">
        <v>1476</v>
      </c>
      <c r="B48" s="962" t="s">
        <v>801</v>
      </c>
      <c r="C48" s="963" t="s">
        <v>1561</v>
      </c>
      <c r="D48" s="56">
        <f>+'3-Project True-up'!H25+'3-Project True-up'!I25</f>
        <v>-46698.334569629842</v>
      </c>
      <c r="E48" s="56">
        <v>17</v>
      </c>
      <c r="F48" s="968">
        <f t="shared" si="1"/>
        <v>6.9176470588235292E-3</v>
      </c>
      <c r="G48" s="715">
        <f t="shared" ref="G48:G57" si="2">+D48*E48*F48</f>
        <v>-5491.7241453884699</v>
      </c>
      <c r="H48" s="714"/>
      <c r="I48" s="89"/>
      <c r="J48" s="714"/>
      <c r="K48" s="177"/>
      <c r="L48" s="177"/>
      <c r="M48" s="62"/>
      <c r="N48" s="62"/>
      <c r="O48" s="62"/>
      <c r="P48" s="59"/>
      <c r="Q48" s="716"/>
    </row>
    <row r="49" spans="1:17">
      <c r="A49" s="279" t="s">
        <v>1477</v>
      </c>
      <c r="B49" s="962" t="s">
        <v>876</v>
      </c>
      <c r="C49" s="963" t="s">
        <v>877</v>
      </c>
      <c r="D49" s="56">
        <f>+'3-Project True-up'!H26+'3-Project True-up'!I26</f>
        <v>-184985.80797356935</v>
      </c>
      <c r="E49" s="56">
        <v>17</v>
      </c>
      <c r="F49" s="968">
        <f t="shared" si="1"/>
        <v>6.9176470588235292E-3</v>
      </c>
      <c r="G49" s="715">
        <f t="shared" si="2"/>
        <v>-21754.331017691755</v>
      </c>
      <c r="H49" s="714"/>
      <c r="I49" s="89"/>
      <c r="J49" s="714"/>
      <c r="K49" s="177"/>
      <c r="L49" s="177"/>
      <c r="M49" s="62"/>
      <c r="N49" s="62"/>
      <c r="O49" s="62"/>
      <c r="P49" s="59"/>
      <c r="Q49" s="716"/>
    </row>
    <row r="50" spans="1:17">
      <c r="A50" s="279" t="s">
        <v>1478</v>
      </c>
      <c r="B50" s="962" t="s">
        <v>802</v>
      </c>
      <c r="C50" s="963" t="s">
        <v>725</v>
      </c>
      <c r="D50" s="56">
        <f>+'3-Project True-up'!H27+'3-Project True-up'!I27</f>
        <v>-31535.620715616664</v>
      </c>
      <c r="E50" s="56">
        <v>17</v>
      </c>
      <c r="F50" s="968">
        <f t="shared" si="1"/>
        <v>6.9176470588235292E-3</v>
      </c>
      <c r="G50" s="715">
        <f t="shared" si="2"/>
        <v>-3708.5889961565194</v>
      </c>
      <c r="H50" s="714"/>
      <c r="I50" s="89"/>
      <c r="J50" s="714"/>
      <c r="K50" s="177"/>
      <c r="L50" s="177"/>
      <c r="M50" s="62"/>
      <c r="N50" s="62"/>
      <c r="O50" s="62"/>
      <c r="P50" s="59"/>
      <c r="Q50" s="716"/>
    </row>
    <row r="51" spans="1:17">
      <c r="A51" s="279" t="s">
        <v>1480</v>
      </c>
      <c r="B51" s="962" t="s">
        <v>803</v>
      </c>
      <c r="C51" s="963" t="s">
        <v>726</v>
      </c>
      <c r="D51" s="56">
        <f>+'3-Project True-up'!H28+'3-Project True-up'!I28</f>
        <v>-43769.474764765408</v>
      </c>
      <c r="E51" s="56">
        <v>17</v>
      </c>
      <c r="F51" s="968">
        <f t="shared" si="1"/>
        <v>6.9176470588235292E-3</v>
      </c>
      <c r="G51" s="715">
        <f t="shared" si="2"/>
        <v>-5147.2902323364115</v>
      </c>
      <c r="H51" s="714"/>
      <c r="I51" s="89"/>
      <c r="J51" s="714"/>
      <c r="K51" s="177"/>
      <c r="L51" s="177"/>
      <c r="M51" s="62"/>
      <c r="N51" s="62"/>
      <c r="O51" s="62"/>
      <c r="P51" s="59"/>
      <c r="Q51" s="716"/>
    </row>
    <row r="52" spans="1:17">
      <c r="A52" s="279" t="s">
        <v>1481</v>
      </c>
      <c r="B52" s="962" t="s">
        <v>804</v>
      </c>
      <c r="C52" s="963" t="s">
        <v>727</v>
      </c>
      <c r="D52" s="56">
        <f>+'3-Project True-up'!H29+'3-Project True-up'!I29</f>
        <v>-39739.680001864013</v>
      </c>
      <c r="E52" s="56">
        <v>17</v>
      </c>
      <c r="F52" s="968">
        <f t="shared" si="1"/>
        <v>6.9176470588235292E-3</v>
      </c>
      <c r="G52" s="715">
        <f t="shared" si="2"/>
        <v>-4673.3863682192077</v>
      </c>
      <c r="H52" s="714"/>
      <c r="I52" s="89"/>
      <c r="J52" s="714"/>
      <c r="K52" s="177"/>
      <c r="L52" s="177"/>
      <c r="M52" s="62"/>
      <c r="N52" s="62"/>
      <c r="O52" s="62"/>
      <c r="P52" s="59"/>
      <c r="Q52" s="716"/>
    </row>
    <row r="53" spans="1:17">
      <c r="A53" s="279" t="s">
        <v>1482</v>
      </c>
      <c r="B53" s="962" t="s">
        <v>805</v>
      </c>
      <c r="C53" s="963" t="s">
        <v>728</v>
      </c>
      <c r="D53" s="56">
        <f>+'3-Project True-up'!H30+'3-Project True-up'!I30</f>
        <v>-29682.654408429349</v>
      </c>
      <c r="E53" s="56">
        <v>17</v>
      </c>
      <c r="F53" s="968">
        <f t="shared" si="1"/>
        <v>6.9176470588235292E-3</v>
      </c>
      <c r="G53" s="715">
        <f t="shared" si="2"/>
        <v>-3490.6801584312911</v>
      </c>
      <c r="H53" s="714"/>
      <c r="I53" s="89"/>
      <c r="J53" s="714"/>
      <c r="K53" s="177"/>
      <c r="L53" s="177"/>
      <c r="M53" s="62"/>
      <c r="N53" s="62"/>
      <c r="O53" s="62"/>
      <c r="P53" s="59"/>
      <c r="Q53" s="716"/>
    </row>
    <row r="54" spans="1:17">
      <c r="A54" s="279" t="s">
        <v>1483</v>
      </c>
      <c r="B54" s="962" t="s">
        <v>806</v>
      </c>
      <c r="C54" s="963" t="s">
        <v>729</v>
      </c>
      <c r="D54" s="56">
        <f>+'3-Project True-up'!H31+'3-Project True-up'!I31</f>
        <v>-20708.062336756506</v>
      </c>
      <c r="E54" s="56">
        <v>17</v>
      </c>
      <c r="F54" s="968">
        <f t="shared" si="1"/>
        <v>6.9176470588235292E-3</v>
      </c>
      <c r="G54" s="715">
        <f t="shared" si="2"/>
        <v>-2435.2681308025649</v>
      </c>
      <c r="H54" s="714"/>
      <c r="I54" s="89"/>
      <c r="J54" s="714"/>
      <c r="K54" s="177"/>
      <c r="L54" s="177"/>
      <c r="M54" s="62"/>
      <c r="N54" s="62"/>
      <c r="O54" s="62"/>
      <c r="P54" s="59"/>
      <c r="Q54" s="716"/>
    </row>
    <row r="55" spans="1:17">
      <c r="A55" s="279" t="s">
        <v>1484</v>
      </c>
      <c r="B55" s="962" t="s">
        <v>1562</v>
      </c>
      <c r="C55" s="963" t="s">
        <v>730</v>
      </c>
      <c r="D55" s="56">
        <f>+'3-Project True-up'!H32+'3-Project True-up'!I32</f>
        <v>-4824.3531904571237</v>
      </c>
      <c r="E55" s="56">
        <v>17</v>
      </c>
      <c r="F55" s="968">
        <f t="shared" si="1"/>
        <v>6.9176470588235292E-3</v>
      </c>
      <c r="G55" s="715">
        <f t="shared" si="2"/>
        <v>-567.34393519775779</v>
      </c>
      <c r="H55" s="714"/>
      <c r="I55" s="89"/>
      <c r="J55" s="714"/>
      <c r="K55" s="177"/>
      <c r="L55" s="177"/>
      <c r="M55" s="62"/>
      <c r="N55" s="62"/>
      <c r="O55" s="62"/>
      <c r="P55" s="59"/>
      <c r="Q55" s="716"/>
    </row>
    <row r="56" spans="1:17">
      <c r="A56" s="279" t="s">
        <v>1479</v>
      </c>
      <c r="B56" s="962" t="s">
        <v>808</v>
      </c>
      <c r="C56" s="963" t="s">
        <v>731</v>
      </c>
      <c r="D56" s="56">
        <f>+'3-Project True-up'!H33+'3-Project True-up'!I33</f>
        <v>-4326.6750861889304</v>
      </c>
      <c r="E56" s="56">
        <v>17</v>
      </c>
      <c r="F56" s="968">
        <f t="shared" si="1"/>
        <v>6.9176470588235292E-3</v>
      </c>
      <c r="G56" s="715">
        <f t="shared" si="2"/>
        <v>-508.81699013581823</v>
      </c>
      <c r="H56" s="714"/>
      <c r="I56" s="89"/>
      <c r="J56" s="714"/>
      <c r="K56" s="177"/>
      <c r="L56" s="177"/>
      <c r="M56" s="62"/>
      <c r="N56" s="62"/>
      <c r="O56" s="62"/>
      <c r="P56" s="59"/>
      <c r="Q56" s="716"/>
    </row>
    <row r="57" spans="1:17">
      <c r="A57" s="279" t="s">
        <v>1485</v>
      </c>
      <c r="B57" s="962" t="s">
        <v>967</v>
      </c>
      <c r="C57" s="963" t="s">
        <v>732</v>
      </c>
      <c r="D57" s="56">
        <f>+'3-Project True-up'!H34+'3-Project True-up'!I34</f>
        <v>-4673.2923720289609</v>
      </c>
      <c r="E57" s="56">
        <v>17</v>
      </c>
      <c r="F57" s="968">
        <f>+F56</f>
        <v>6.9176470588235292E-3</v>
      </c>
      <c r="G57" s="715">
        <f t="shared" si="2"/>
        <v>-549.57918295060574</v>
      </c>
      <c r="H57" s="714"/>
      <c r="I57" s="89"/>
      <c r="J57" s="714"/>
      <c r="K57" s="177"/>
      <c r="L57" s="177"/>
      <c r="M57" s="62"/>
      <c r="N57" s="62"/>
      <c r="O57" s="62"/>
      <c r="P57" s="59"/>
      <c r="Q57" s="716"/>
    </row>
    <row r="58" spans="1:17">
      <c r="A58" s="279" t="s">
        <v>1486</v>
      </c>
      <c r="B58" s="962" t="s">
        <v>807</v>
      </c>
      <c r="C58" s="963" t="s">
        <v>733</v>
      </c>
      <c r="D58" s="56">
        <f>+'3-Project True-up'!H35+'3-Project True-up'!I35</f>
        <v>-6528.5927756012543</v>
      </c>
      <c r="E58" s="56">
        <v>17</v>
      </c>
      <c r="F58" s="968">
        <f>+F57</f>
        <v>6.9176470588235292E-3</v>
      </c>
      <c r="G58" s="715">
        <f t="shared" si="0"/>
        <v>-767.76251041070748</v>
      </c>
      <c r="H58" s="714"/>
      <c r="I58" s="62"/>
      <c r="J58" s="62"/>
      <c r="K58" s="177"/>
      <c r="L58" s="177"/>
      <c r="M58" s="62"/>
      <c r="N58" s="62"/>
      <c r="O58" s="62"/>
      <c r="P58" s="59"/>
      <c r="Q58" s="716"/>
    </row>
    <row r="59" spans="1:17">
      <c r="A59" s="279" t="s">
        <v>1487</v>
      </c>
      <c r="B59" s="962" t="s">
        <v>809</v>
      </c>
      <c r="C59" s="963" t="s">
        <v>734</v>
      </c>
      <c r="D59" s="56">
        <f>+'3-Project True-up'!H36+'3-Project True-up'!I36</f>
        <v>-6937.422725551558</v>
      </c>
      <c r="E59" s="56">
        <v>17</v>
      </c>
      <c r="F59" s="968">
        <f t="shared" si="1"/>
        <v>6.9176470588235292E-3</v>
      </c>
      <c r="G59" s="715">
        <f t="shared" si="0"/>
        <v>-815.84091252486314</v>
      </c>
      <c r="H59" s="714"/>
      <c r="I59" s="62"/>
      <c r="J59" s="62"/>
      <c r="K59" s="177"/>
      <c r="L59" s="177"/>
      <c r="M59" s="62"/>
      <c r="N59" s="62"/>
      <c r="O59" s="62"/>
      <c r="P59" s="59"/>
      <c r="Q59" s="716"/>
    </row>
    <row r="60" spans="1:17">
      <c r="A60" s="279" t="s">
        <v>1488</v>
      </c>
      <c r="B60" s="962" t="s">
        <v>810</v>
      </c>
      <c r="C60" s="963" t="s">
        <v>735</v>
      </c>
      <c r="D60" s="56">
        <f>+'3-Project True-up'!H37+'3-Project True-up'!I37</f>
        <v>-9746.3989508207396</v>
      </c>
      <c r="E60" s="56">
        <v>17</v>
      </c>
      <c r="F60" s="968">
        <f t="shared" si="1"/>
        <v>6.9176470588235292E-3</v>
      </c>
      <c r="G60" s="715">
        <f t="shared" si="0"/>
        <v>-1146.1765166165189</v>
      </c>
      <c r="H60" s="714"/>
      <c r="I60" s="62"/>
      <c r="J60" s="62"/>
      <c r="K60" s="177"/>
      <c r="L60" s="177"/>
      <c r="M60" s="62"/>
      <c r="N60" s="62"/>
      <c r="O60" s="62"/>
      <c r="P60" s="59"/>
      <c r="Q60" s="716"/>
    </row>
    <row r="61" spans="1:17">
      <c r="A61" s="279" t="s">
        <v>1489</v>
      </c>
      <c r="B61" s="962" t="s">
        <v>811</v>
      </c>
      <c r="C61" s="963" t="s">
        <v>737</v>
      </c>
      <c r="D61" s="56">
        <f>+'3-Project True-up'!H38+'3-Project True-up'!I38</f>
        <v>-5653.5249038305428</v>
      </c>
      <c r="E61" s="56">
        <v>17</v>
      </c>
      <c r="F61" s="968">
        <f t="shared" si="1"/>
        <v>6.9176470588235292E-3</v>
      </c>
      <c r="G61" s="715">
        <f t="shared" si="0"/>
        <v>-664.85452869047185</v>
      </c>
      <c r="H61" s="714"/>
      <c r="K61" s="177"/>
      <c r="L61" s="177"/>
      <c r="M61" s="62"/>
      <c r="N61" s="62"/>
      <c r="O61" s="62"/>
      <c r="P61" s="59"/>
      <c r="Q61" s="716"/>
    </row>
    <row r="62" spans="1:17">
      <c r="A62" s="279" t="s">
        <v>1490</v>
      </c>
      <c r="B62" s="962" t="s">
        <v>968</v>
      </c>
      <c r="C62" s="963" t="s">
        <v>1563</v>
      </c>
      <c r="D62" s="56">
        <f>+'3-Project True-up'!H39+'3-Project True-up'!I39</f>
        <v>-3723.1524244188868</v>
      </c>
      <c r="E62" s="56">
        <v>17</v>
      </c>
      <c r="F62" s="968">
        <f t="shared" si="1"/>
        <v>6.9176470588235292E-3</v>
      </c>
      <c r="G62" s="715">
        <f t="shared" si="0"/>
        <v>-437.84272511166108</v>
      </c>
      <c r="H62" s="714"/>
      <c r="K62" s="177"/>
      <c r="L62" s="177"/>
      <c r="M62" s="62"/>
      <c r="N62" s="62"/>
      <c r="O62" s="62"/>
      <c r="P62" s="59"/>
      <c r="Q62" s="716"/>
    </row>
    <row r="63" spans="1:17">
      <c r="A63" s="279" t="s">
        <v>1491</v>
      </c>
      <c r="B63" s="962" t="s">
        <v>812</v>
      </c>
      <c r="C63" s="963" t="s">
        <v>738</v>
      </c>
      <c r="D63" s="56">
        <f>+'3-Project True-up'!H40+'3-Project True-up'!I40</f>
        <v>-5239.3637237483917</v>
      </c>
      <c r="E63" s="56">
        <v>17</v>
      </c>
      <c r="F63" s="968">
        <f t="shared" si="1"/>
        <v>6.9176470588235292E-3</v>
      </c>
      <c r="G63" s="715">
        <f t="shared" si="0"/>
        <v>-616.14917391281085</v>
      </c>
      <c r="H63" s="714"/>
      <c r="K63" s="177"/>
      <c r="L63" s="177"/>
      <c r="M63" s="62"/>
      <c r="N63" s="62"/>
      <c r="O63" s="62"/>
      <c r="P63" s="59"/>
      <c r="Q63" s="716"/>
    </row>
    <row r="64" spans="1:17">
      <c r="A64" s="279" t="s">
        <v>1492</v>
      </c>
      <c r="B64" s="962" t="s">
        <v>1148</v>
      </c>
      <c r="C64" s="963" t="s">
        <v>721</v>
      </c>
      <c r="D64" s="56">
        <f>+'3-Project True-up'!H41+'3-Project True-up'!I41</f>
        <v>-22761.736457555442</v>
      </c>
      <c r="E64" s="56">
        <v>17</v>
      </c>
      <c r="F64" s="968">
        <f t="shared" si="1"/>
        <v>6.9176470588235292E-3</v>
      </c>
      <c r="G64" s="715">
        <f t="shared" si="0"/>
        <v>-2676.7802074085198</v>
      </c>
      <c r="H64" s="714"/>
      <c r="K64" s="177"/>
      <c r="L64" s="177"/>
      <c r="M64" s="62"/>
      <c r="N64" s="62"/>
      <c r="O64" s="62"/>
      <c r="P64" s="59"/>
      <c r="Q64" s="716"/>
    </row>
    <row r="65" spans="1:17">
      <c r="A65" s="279" t="s">
        <v>1493</v>
      </c>
      <c r="B65" s="962" t="s">
        <v>1149</v>
      </c>
      <c r="C65" s="963" t="s">
        <v>736</v>
      </c>
      <c r="D65" s="56">
        <f>+'3-Project True-up'!H42+'3-Project True-up'!I42</f>
        <v>-15297.057018870852</v>
      </c>
      <c r="E65" s="56">
        <v>17</v>
      </c>
      <c r="F65" s="968">
        <f t="shared" si="1"/>
        <v>6.9176470588235292E-3</v>
      </c>
      <c r="G65" s="715">
        <f t="shared" si="0"/>
        <v>-1798.9339054192119</v>
      </c>
      <c r="H65" s="714"/>
      <c r="K65" s="177"/>
      <c r="L65" s="177"/>
      <c r="M65" s="62"/>
      <c r="N65" s="62"/>
      <c r="O65" s="62"/>
      <c r="P65" s="59"/>
      <c r="Q65" s="716"/>
    </row>
    <row r="66" spans="1:17">
      <c r="A66" s="279" t="s">
        <v>1513</v>
      </c>
      <c r="B66" s="962" t="s">
        <v>1508</v>
      </c>
      <c r="C66" s="963" t="s">
        <v>1509</v>
      </c>
      <c r="D66" s="56">
        <f>+'3-Project True-up'!H43+'3-Project True-up'!I43</f>
        <v>-207587.68755038676</v>
      </c>
      <c r="E66" s="56">
        <v>17</v>
      </c>
      <c r="F66" s="968">
        <f t="shared" si="1"/>
        <v>6.9176470588235292E-3</v>
      </c>
      <c r="G66" s="715">
        <f t="shared" ref="G66" si="3">+D66*E66*F66</f>
        <v>-24412.312055925482</v>
      </c>
      <c r="H66" s="714"/>
      <c r="K66" s="177"/>
      <c r="L66" s="177"/>
      <c r="M66" s="62"/>
      <c r="N66" s="62"/>
      <c r="O66" s="62"/>
      <c r="P66" s="59"/>
      <c r="Q66" s="716"/>
    </row>
    <row r="67" spans="1:17">
      <c r="A67" s="279" t="s">
        <v>1514</v>
      </c>
      <c r="B67" s="962" t="s">
        <v>1520</v>
      </c>
      <c r="C67" s="963" t="s">
        <v>1521</v>
      </c>
      <c r="D67" s="56">
        <f>+'3-Project True-up'!H44+'3-Project True-up'!I44</f>
        <v>-18817.112679902813</v>
      </c>
      <c r="E67" s="56">
        <v>17</v>
      </c>
      <c r="F67" s="968">
        <f t="shared" si="1"/>
        <v>6.9176470588235292E-3</v>
      </c>
      <c r="G67" s="715">
        <f t="shared" ref="G67" si="4">+D67*E67*F67</f>
        <v>-2212.8924511565706</v>
      </c>
      <c r="H67" s="714"/>
      <c r="K67" s="177"/>
      <c r="L67" s="177"/>
      <c r="M67" s="62"/>
      <c r="N67" s="62"/>
      <c r="O67" s="62"/>
      <c r="P67" s="59"/>
      <c r="Q67" s="716"/>
    </row>
    <row r="68" spans="1:17" hidden="1">
      <c r="A68" s="279"/>
      <c r="B68" s="962"/>
      <c r="C68" s="963"/>
      <c r="D68" s="56"/>
      <c r="E68" s="56"/>
      <c r="F68" s="714"/>
      <c r="G68" s="715"/>
      <c r="H68" s="714"/>
      <c r="K68" s="177"/>
      <c r="L68" s="177"/>
      <c r="M68" s="62"/>
      <c r="N68" s="62"/>
      <c r="O68" s="62"/>
      <c r="P68" s="59"/>
      <c r="Q68" s="716"/>
    </row>
    <row r="69" spans="1:17" hidden="1">
      <c r="A69" s="279"/>
      <c r="B69" s="962"/>
      <c r="C69" s="963"/>
      <c r="D69" s="56"/>
      <c r="E69" s="56"/>
      <c r="F69" s="714"/>
      <c r="G69" s="715"/>
      <c r="H69" s="714"/>
      <c r="K69" s="177"/>
      <c r="L69" s="177"/>
      <c r="M69" s="62"/>
      <c r="N69" s="62"/>
      <c r="O69" s="62"/>
      <c r="P69" s="59"/>
      <c r="Q69" s="716"/>
    </row>
    <row r="70" spans="1:17">
      <c r="A70" s="279" t="s">
        <v>296</v>
      </c>
      <c r="B70" s="962"/>
      <c r="C70" s="963"/>
      <c r="D70" s="714"/>
      <c r="E70" s="56"/>
      <c r="F70" s="714"/>
      <c r="G70" s="717"/>
      <c r="H70" s="714"/>
      <c r="K70" s="177"/>
      <c r="L70" s="177"/>
      <c r="M70" s="62"/>
      <c r="N70" s="62"/>
      <c r="O70" s="62"/>
      <c r="P70" s="59"/>
      <c r="Q70" s="716"/>
    </row>
    <row r="71" spans="1:17">
      <c r="A71" s="279"/>
      <c r="B71" s="962"/>
      <c r="C71" s="963"/>
      <c r="D71" s="714"/>
      <c r="E71" s="56"/>
      <c r="F71" s="714"/>
      <c r="G71" s="717"/>
      <c r="H71" s="714"/>
      <c r="K71" s="177"/>
      <c r="L71" s="177"/>
      <c r="M71" s="62"/>
      <c r="N71" s="62"/>
      <c r="O71" s="62"/>
      <c r="P71" s="59"/>
      <c r="Q71" s="716"/>
    </row>
    <row r="72" spans="1:17">
      <c r="A72" s="279"/>
      <c r="B72" s="962"/>
      <c r="C72" s="963"/>
      <c r="D72" s="714"/>
      <c r="E72" s="56"/>
      <c r="F72" s="714"/>
      <c r="G72" s="717"/>
      <c r="H72" s="714"/>
      <c r="K72" s="177"/>
      <c r="L72" s="177"/>
      <c r="M72" s="62"/>
      <c r="N72" s="62"/>
      <c r="O72" s="62"/>
      <c r="P72" s="59"/>
      <c r="Q72" s="716"/>
    </row>
    <row r="73" spans="1:17">
      <c r="A73" s="279"/>
      <c r="B73" s="962"/>
      <c r="C73" s="963"/>
      <c r="D73" s="714"/>
      <c r="E73" s="56"/>
      <c r="F73" s="714"/>
      <c r="G73" s="717"/>
      <c r="H73" s="714"/>
      <c r="K73" s="177"/>
      <c r="L73" s="177"/>
      <c r="M73" s="62"/>
      <c r="N73" s="62"/>
      <c r="O73" s="62"/>
      <c r="P73" s="59"/>
      <c r="Q73" s="716"/>
    </row>
    <row r="74" spans="1:17">
      <c r="A74" s="279"/>
      <c r="B74" s="718"/>
      <c r="C74" s="719"/>
      <c r="D74" s="720"/>
      <c r="E74" s="720"/>
      <c r="F74" s="720"/>
      <c r="G74" s="721"/>
      <c r="H74" s="714"/>
      <c r="K74" s="177"/>
      <c r="L74" s="177"/>
      <c r="M74" s="62"/>
      <c r="N74" s="62"/>
      <c r="O74" s="62"/>
      <c r="P74" s="59"/>
      <c r="Q74" s="716"/>
    </row>
    <row r="75" spans="1:17">
      <c r="A75" s="279"/>
      <c r="B75" s="89"/>
      <c r="C75" s="89"/>
      <c r="D75" s="569"/>
      <c r="E75" s="722"/>
      <c r="F75" s="89"/>
      <c r="G75" s="722"/>
      <c r="H75" s="569"/>
      <c r="K75" s="89"/>
      <c r="L75" s="89"/>
      <c r="M75" s="62"/>
      <c r="N75" s="62"/>
      <c r="O75" s="62"/>
      <c r="P75" s="59"/>
      <c r="Q75" s="62"/>
    </row>
    <row r="76" spans="1:17">
      <c r="A76" s="279"/>
      <c r="B76" s="88"/>
      <c r="C76" s="88"/>
      <c r="D76" s="714"/>
      <c r="E76" s="714"/>
      <c r="F76" s="714"/>
      <c r="G76" s="714"/>
      <c r="H76" s="714"/>
      <c r="K76" s="714"/>
      <c r="L76" s="714"/>
      <c r="M76" s="62"/>
      <c r="N76" s="62"/>
      <c r="O76" s="62"/>
      <c r="P76" s="62"/>
      <c r="Q76" s="62"/>
    </row>
    <row r="77" spans="1:17">
      <c r="A77" s="279"/>
      <c r="B77" s="88"/>
      <c r="C77" s="88"/>
      <c r="D77" s="305"/>
      <c r="E77" s="305"/>
      <c r="F77" s="305"/>
      <c r="G77" s="305"/>
      <c r="H77" s="305"/>
      <c r="K77" s="305"/>
      <c r="L77" s="305"/>
    </row>
    <row r="78" spans="1:17">
      <c r="A78" s="279"/>
      <c r="B78" s="88"/>
      <c r="C78" s="88"/>
      <c r="D78" s="305"/>
      <c r="E78" s="305"/>
      <c r="F78" s="305"/>
      <c r="G78" s="305"/>
      <c r="H78" s="305"/>
      <c r="K78" s="305"/>
      <c r="L78" s="305"/>
    </row>
    <row r="79" spans="1:17">
      <c r="A79" s="279"/>
      <c r="B79" s="88"/>
      <c r="C79" s="88"/>
      <c r="D79" s="305"/>
      <c r="E79" s="305"/>
      <c r="F79" s="305"/>
      <c r="G79" s="305"/>
      <c r="H79" s="305"/>
      <c r="K79" s="305"/>
      <c r="L79" s="305"/>
    </row>
    <row r="93" ht="24" customHeight="1"/>
  </sheetData>
  <sheetProtection algorithmName="SHA-512" hashValue="fo61atqQFKmatNYPDP4aY92G03k45lqKLImWuJj8rSUQZVfQPWl8MrZJiDxMbSVemRl1Dv2zPL8Vx0N5Na1whA==" saltValue="hbVdAaKW5DHw5S+9BKjVeA=="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69"/>
  <sheetViews>
    <sheetView view="pageBreakPreview" zoomScale="70" zoomScaleNormal="100" zoomScaleSheetLayoutView="70" workbookViewId="0">
      <selection activeCell="C20" sqref="C20"/>
    </sheetView>
  </sheetViews>
  <sheetFormatPr defaultColWidth="8.88671875" defaultRowHeight="13.9"/>
  <cols>
    <col min="1" max="1" width="8.88671875" style="527"/>
    <col min="2" max="2" width="97.44140625" style="527" bestFit="1" customWidth="1"/>
    <col min="3" max="3" width="15.5546875" style="527" customWidth="1"/>
    <col min="4" max="4" width="16.33203125" style="527" customWidth="1"/>
    <col min="5" max="5" width="13.5546875" style="527" customWidth="1"/>
    <col min="6" max="6" width="14.44140625" style="527" customWidth="1"/>
    <col min="7" max="16384" width="8.88671875" style="527"/>
  </cols>
  <sheetData>
    <row r="1" spans="1:13">
      <c r="A1" s="723"/>
      <c r="C1" s="530" t="s">
        <v>194</v>
      </c>
      <c r="F1" s="652" t="s">
        <v>419</v>
      </c>
    </row>
    <row r="2" spans="1:13">
      <c r="C2" s="724" t="s">
        <v>283</v>
      </c>
    </row>
    <row r="3" spans="1:13">
      <c r="A3" s="725"/>
      <c r="C3" s="530" t="str">
        <f>+'Attachment H-7'!D5</f>
        <v>PECO Energy Company</v>
      </c>
    </row>
    <row r="4" spans="1:13">
      <c r="A4" s="725"/>
      <c r="C4" s="726"/>
    </row>
    <row r="5" spans="1:13">
      <c r="A5" s="725"/>
      <c r="C5" s="726"/>
    </row>
    <row r="6" spans="1:13">
      <c r="A6" s="727"/>
      <c r="B6" s="728" t="s">
        <v>280</v>
      </c>
      <c r="C6" s="729"/>
      <c r="D6" s="727"/>
    </row>
    <row r="7" spans="1:13">
      <c r="A7" s="727"/>
      <c r="B7" s="730" t="s">
        <v>198</v>
      </c>
      <c r="C7" s="729"/>
      <c r="D7" s="730" t="s">
        <v>199</v>
      </c>
      <c r="E7" s="730" t="s">
        <v>200</v>
      </c>
      <c r="F7" s="530" t="s">
        <v>201</v>
      </c>
    </row>
    <row r="8" spans="1:13">
      <c r="A8" s="727"/>
      <c r="B8" s="731"/>
      <c r="C8" s="731"/>
      <c r="D8" s="732" t="s">
        <v>770</v>
      </c>
      <c r="F8" s="733" t="s">
        <v>701</v>
      </c>
    </row>
    <row r="9" spans="1:13" ht="36" customHeight="1">
      <c r="A9" s="725"/>
      <c r="B9" s="725"/>
      <c r="C9" s="734"/>
      <c r="E9" s="636" t="s">
        <v>902</v>
      </c>
      <c r="F9" s="636" t="s">
        <v>1089</v>
      </c>
    </row>
    <row r="10" spans="1:13">
      <c r="A10" s="727">
        <v>1</v>
      </c>
      <c r="B10" s="735" t="s">
        <v>677</v>
      </c>
      <c r="C10" s="735"/>
      <c r="D10" s="604">
        <v>1066173</v>
      </c>
      <c r="E10" s="604">
        <v>679716.20693636674</v>
      </c>
      <c r="F10" s="534">
        <f>+E10*D19</f>
        <v>553825.90149105026</v>
      </c>
      <c r="G10" s="536"/>
    </row>
    <row r="11" spans="1:13">
      <c r="A11" s="727">
        <v>2</v>
      </c>
      <c r="B11" s="735" t="s">
        <v>678</v>
      </c>
      <c r="C11" s="735"/>
      <c r="D11" s="736"/>
      <c r="E11" s="1074">
        <v>383290.40622223751</v>
      </c>
      <c r="F11" s="736">
        <f>+E11*D19</f>
        <v>312301.15244077781</v>
      </c>
    </row>
    <row r="12" spans="1:13">
      <c r="A12" s="727">
        <v>3</v>
      </c>
      <c r="B12" s="735" t="s">
        <v>679</v>
      </c>
      <c r="C12" s="735" t="s">
        <v>680</v>
      </c>
      <c r="D12" s="604"/>
      <c r="F12" s="604">
        <f t="shared" ref="F12" si="0">+F10-F11</f>
        <v>241524.74905027245</v>
      </c>
    </row>
    <row r="14" spans="1:13">
      <c r="A14" s="737"/>
      <c r="B14" s="737"/>
      <c r="C14" s="737"/>
      <c r="D14" s="737"/>
      <c r="E14" s="737"/>
      <c r="F14" s="737"/>
      <c r="G14" s="737"/>
      <c r="H14" s="737"/>
      <c r="I14" s="737"/>
      <c r="J14" s="737"/>
      <c r="K14" s="737"/>
      <c r="L14" s="737"/>
      <c r="M14" s="737"/>
    </row>
    <row r="15" spans="1:13" ht="14.25" thickBot="1">
      <c r="A15" s="738" t="s">
        <v>182</v>
      </c>
      <c r="B15" s="737"/>
      <c r="C15" s="737"/>
      <c r="D15" s="737"/>
      <c r="E15" s="737"/>
      <c r="F15" s="737"/>
      <c r="G15" s="737"/>
      <c r="H15" s="737"/>
      <c r="I15" s="737"/>
      <c r="J15" s="737"/>
      <c r="K15" s="737"/>
      <c r="L15" s="737"/>
      <c r="M15" s="737"/>
    </row>
    <row r="16" spans="1:13">
      <c r="A16" s="739" t="s">
        <v>58</v>
      </c>
      <c r="B16" s="740" t="s">
        <v>903</v>
      </c>
      <c r="C16" s="741"/>
      <c r="D16" s="741"/>
      <c r="E16" s="741"/>
      <c r="F16" s="741"/>
      <c r="G16" s="741"/>
      <c r="H16" s="741"/>
      <c r="I16" s="741"/>
      <c r="J16" s="741"/>
      <c r="K16" s="741"/>
      <c r="L16" s="741"/>
      <c r="M16" s="741"/>
    </row>
    <row r="17" spans="1:13">
      <c r="A17" s="739"/>
      <c r="B17" s="740" t="s">
        <v>904</v>
      </c>
      <c r="C17" s="741"/>
      <c r="D17" s="741"/>
      <c r="E17" s="741"/>
      <c r="F17" s="741"/>
      <c r="G17" s="741"/>
      <c r="H17" s="741"/>
      <c r="I17" s="741"/>
      <c r="J17" s="741"/>
      <c r="K17" s="741"/>
      <c r="L17" s="741"/>
      <c r="M17" s="741"/>
    </row>
    <row r="18" spans="1:13">
      <c r="A18" s="742"/>
      <c r="C18" s="530" t="s">
        <v>44</v>
      </c>
      <c r="E18" s="530"/>
    </row>
    <row r="19" spans="1:13">
      <c r="A19" s="530" t="s">
        <v>59</v>
      </c>
      <c r="B19" s="658" t="s">
        <v>1731</v>
      </c>
      <c r="C19" s="1067">
        <v>182994862</v>
      </c>
      <c r="D19" s="536">
        <f>C21/C25</f>
        <v>0.81478990178455168</v>
      </c>
      <c r="E19" s="42"/>
    </row>
    <row r="20" spans="1:13">
      <c r="A20" s="1089"/>
      <c r="B20" s="658" t="s">
        <v>1719</v>
      </c>
      <c r="C20" s="1074">
        <v>53286909</v>
      </c>
      <c r="D20" s="536"/>
      <c r="E20" s="42"/>
    </row>
    <row r="21" spans="1:13">
      <c r="A21" s="1089"/>
      <c r="B21" s="658" t="s">
        <v>1732</v>
      </c>
      <c r="C21" s="1101">
        <f>SUM(C19:C20)</f>
        <v>236281771</v>
      </c>
      <c r="D21" s="536"/>
      <c r="E21" s="42"/>
    </row>
    <row r="22" spans="1:13">
      <c r="B22" s="658" t="s">
        <v>1733</v>
      </c>
      <c r="C22" s="1090">
        <v>45896188</v>
      </c>
      <c r="D22" s="536">
        <f>C24/C25</f>
        <v>0.18521009821544832</v>
      </c>
      <c r="E22" s="42"/>
    </row>
    <row r="23" spans="1:13">
      <c r="B23" s="658" t="s">
        <v>1734</v>
      </c>
      <c r="C23" s="1074">
        <v>7813081</v>
      </c>
      <c r="D23" s="536"/>
      <c r="E23" s="42"/>
    </row>
    <row r="24" spans="1:13">
      <c r="B24" s="658" t="s">
        <v>1735</v>
      </c>
      <c r="C24" s="604">
        <f>SUM(C22:C23)</f>
        <v>53709269</v>
      </c>
      <c r="D24" s="743"/>
    </row>
    <row r="25" spans="1:13">
      <c r="B25" s="527" t="s">
        <v>227</v>
      </c>
      <c r="C25" s="534">
        <f>+C21+C24</f>
        <v>289991040</v>
      </c>
    </row>
    <row r="27" spans="1:13">
      <c r="A27" s="530" t="s">
        <v>60</v>
      </c>
      <c r="B27" s="744" t="s">
        <v>1090</v>
      </c>
    </row>
    <row r="28" spans="1:13">
      <c r="B28" s="527" t="s">
        <v>1091</v>
      </c>
    </row>
    <row r="69" ht="24" customHeight="1"/>
  </sheetData>
  <sheetProtection algorithmName="SHA-512" hashValue="lLq/1BMQ79EDgBiMulvpAZ2OVpfKBZa/B8egiJoJo7dqIwcrqCVEaTXvTvvYOOXi6+kshrp0Efq7EkVwiigA7w==" saltValue="Oqi58atOkHwtQbYCc5X1dg==" spinCount="100000" sheet="1" objects="1" scenarios="1"/>
  <phoneticPr fontId="0" type="noConversion"/>
  <pageMargins left="0.7" right="0.7" top="0.75" bottom="0.75" header="0.3" footer="0.3"/>
  <pageSetup scale="6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55"/>
  <sheetViews>
    <sheetView view="pageBreakPreview" topLeftCell="A93" zoomScale="60" zoomScaleNormal="70" workbookViewId="0">
      <selection activeCell="J118" sqref="J118"/>
    </sheetView>
  </sheetViews>
  <sheetFormatPr defaultColWidth="8.88671875" defaultRowHeight="15.4"/>
  <cols>
    <col min="1" max="1" width="8.88671875" style="745"/>
    <col min="2" max="2" width="6.88671875" style="746" customWidth="1"/>
    <col min="3" max="3" width="56.6640625" style="746" customWidth="1"/>
    <col min="4" max="4" width="18.44140625" style="746" customWidth="1"/>
    <col min="5" max="5" width="21.33203125" style="746" customWidth="1"/>
    <col min="6" max="6" width="16.33203125" style="746" customWidth="1"/>
    <col min="7" max="7" width="21.44140625" style="746" customWidth="1"/>
    <col min="8" max="8" width="22.88671875" style="746" customWidth="1"/>
    <col min="9" max="11" width="22.88671875" style="747" customWidth="1"/>
    <col min="12" max="12" width="18.109375" style="747" customWidth="1"/>
    <col min="13" max="13" width="8.88671875" style="746"/>
    <col min="14" max="14" width="14.109375" style="748" bestFit="1" customWidth="1"/>
    <col min="15" max="15" width="16.44140625" style="749" customWidth="1"/>
    <col min="16" max="16" width="9.44140625" style="746" customWidth="1"/>
    <col min="17" max="17" width="9.109375" style="746" customWidth="1"/>
    <col min="18" max="16384" width="8.88671875" style="746"/>
  </cols>
  <sheetData>
    <row r="1" spans="1:14">
      <c r="L1" s="231" t="s">
        <v>1411</v>
      </c>
    </row>
    <row r="2" spans="1:14">
      <c r="B2" s="1256" t="s">
        <v>681</v>
      </c>
      <c r="C2" s="1256"/>
      <c r="D2" s="1256"/>
      <c r="E2" s="1256"/>
      <c r="F2" s="1256"/>
      <c r="G2" s="1256"/>
      <c r="H2" s="1256"/>
      <c r="I2" s="1256"/>
      <c r="J2" s="1256"/>
      <c r="K2" s="1256"/>
      <c r="L2" s="1256"/>
    </row>
    <row r="3" spans="1:14">
      <c r="B3" s="1256" t="s">
        <v>1439</v>
      </c>
      <c r="C3" s="1256"/>
      <c r="D3" s="1256"/>
      <c r="E3" s="1256"/>
      <c r="F3" s="1256"/>
      <c r="G3" s="1256"/>
      <c r="H3" s="1256"/>
      <c r="I3" s="1256"/>
      <c r="J3" s="1256"/>
      <c r="K3" s="1256"/>
      <c r="L3" s="1256"/>
    </row>
    <row r="4" spans="1:14">
      <c r="L4" s="746"/>
    </row>
    <row r="6" spans="1:14">
      <c r="G6" s="17"/>
      <c r="L6" s="241"/>
    </row>
    <row r="7" spans="1:14">
      <c r="B7" s="750" t="s">
        <v>905</v>
      </c>
      <c r="C7" s="750" t="s">
        <v>906</v>
      </c>
      <c r="D7" s="750" t="s">
        <v>907</v>
      </c>
      <c r="E7" s="750" t="s">
        <v>908</v>
      </c>
      <c r="F7" s="241" t="s">
        <v>909</v>
      </c>
      <c r="G7" s="751" t="s">
        <v>910</v>
      </c>
      <c r="H7" s="752" t="s">
        <v>911</v>
      </c>
      <c r="I7" s="241" t="s">
        <v>912</v>
      </c>
      <c r="J7" s="241" t="s">
        <v>913</v>
      </c>
      <c r="K7" s="241" t="s">
        <v>914</v>
      </c>
    </row>
    <row r="8" spans="1:14">
      <c r="C8" s="753"/>
      <c r="D8" s="750"/>
      <c r="E8" s="750"/>
      <c r="F8" s="751"/>
      <c r="G8" s="752"/>
      <c r="H8" s="241" t="s">
        <v>915</v>
      </c>
      <c r="I8" s="241" t="s">
        <v>916</v>
      </c>
      <c r="J8" s="241" t="s">
        <v>969</v>
      </c>
      <c r="K8" s="241" t="s">
        <v>917</v>
      </c>
    </row>
    <row r="9" spans="1:14">
      <c r="C9" s="753"/>
      <c r="D9" s="750" t="s">
        <v>918</v>
      </c>
      <c r="E9" s="750" t="s">
        <v>919</v>
      </c>
      <c r="F9" s="751" t="s">
        <v>920</v>
      </c>
      <c r="G9" s="751" t="s">
        <v>1446</v>
      </c>
      <c r="H9" s="241" t="s">
        <v>1364</v>
      </c>
      <c r="I9" s="241" t="s">
        <v>917</v>
      </c>
      <c r="J9" s="241" t="s">
        <v>458</v>
      </c>
      <c r="K9" s="241" t="s">
        <v>921</v>
      </c>
    </row>
    <row r="10" spans="1:14">
      <c r="B10" s="754" t="s">
        <v>922</v>
      </c>
      <c r="C10" s="754" t="s">
        <v>923</v>
      </c>
      <c r="D10" s="754" t="s">
        <v>924</v>
      </c>
      <c r="E10" s="754" t="s">
        <v>925</v>
      </c>
      <c r="F10" s="755" t="s">
        <v>926</v>
      </c>
      <c r="G10" s="755" t="s">
        <v>1447</v>
      </c>
      <c r="H10" s="756" t="s">
        <v>44</v>
      </c>
      <c r="I10" s="756" t="s">
        <v>44</v>
      </c>
      <c r="J10" s="756" t="s">
        <v>44</v>
      </c>
      <c r="K10" s="756" t="s">
        <v>44</v>
      </c>
    </row>
    <row r="11" spans="1:14">
      <c r="B11" s="750"/>
      <c r="C11" s="757"/>
      <c r="D11" s="758" t="s">
        <v>1050</v>
      </c>
      <c r="E11" s="758" t="s">
        <v>1050</v>
      </c>
      <c r="F11" s="759" t="s">
        <v>970</v>
      </c>
      <c r="G11" s="760"/>
      <c r="H11" s="759" t="s">
        <v>1049</v>
      </c>
      <c r="I11" s="759" t="s">
        <v>1049</v>
      </c>
      <c r="J11" s="761" t="s">
        <v>971</v>
      </c>
      <c r="K11" s="761" t="s">
        <v>1365</v>
      </c>
    </row>
    <row r="12" spans="1:14" ht="15.75" thickBot="1">
      <c r="B12" s="750"/>
      <c r="C12" s="762"/>
      <c r="D12" s="763"/>
      <c r="E12" s="763"/>
      <c r="F12" s="764"/>
      <c r="G12" s="765"/>
      <c r="H12" s="766"/>
      <c r="I12" s="766"/>
      <c r="J12" s="766"/>
      <c r="K12" s="766"/>
    </row>
    <row r="13" spans="1:14" ht="15.75" thickBot="1">
      <c r="A13" s="745">
        <v>1</v>
      </c>
      <c r="B13" s="767"/>
      <c r="D13" s="768"/>
      <c r="E13" s="769"/>
      <c r="F13" s="770"/>
      <c r="G13" s="700"/>
      <c r="H13" s="1260" t="s">
        <v>1743</v>
      </c>
      <c r="I13" s="1261"/>
      <c r="J13" s="1262"/>
      <c r="K13" s="771" t="s">
        <v>1744</v>
      </c>
      <c r="N13" s="772"/>
    </row>
    <row r="14" spans="1:14">
      <c r="A14" s="745">
        <f>A13+1</f>
        <v>2</v>
      </c>
      <c r="B14" s="767"/>
      <c r="C14" s="773" t="s">
        <v>797</v>
      </c>
      <c r="D14" s="768"/>
      <c r="E14" s="769"/>
      <c r="F14" s="770"/>
      <c r="G14" s="774"/>
      <c r="H14" s="775"/>
      <c r="I14" s="775"/>
      <c r="J14" s="776"/>
      <c r="K14" s="777"/>
      <c r="N14" s="777"/>
    </row>
    <row r="15" spans="1:14">
      <c r="A15" s="745" t="s">
        <v>1164</v>
      </c>
      <c r="B15" s="767">
        <v>351.1</v>
      </c>
      <c r="C15" s="778" t="s">
        <v>1746</v>
      </c>
      <c r="D15" s="768"/>
      <c r="E15" s="769"/>
      <c r="F15" s="1112"/>
      <c r="G15" s="774"/>
      <c r="H15" s="1113"/>
      <c r="I15" s="1113"/>
      <c r="J15" s="238">
        <v>0</v>
      </c>
      <c r="K15" s="781">
        <v>0</v>
      </c>
      <c r="N15" s="777"/>
    </row>
    <row r="16" spans="1:14">
      <c r="A16" s="745" t="s">
        <v>1315</v>
      </c>
      <c r="B16" s="767">
        <v>351.2</v>
      </c>
      <c r="C16" s="778" t="s">
        <v>1747</v>
      </c>
      <c r="D16" s="768"/>
      <c r="E16" s="769"/>
      <c r="F16" s="770"/>
      <c r="G16" s="774"/>
      <c r="H16" s="1113"/>
      <c r="I16" s="1113"/>
      <c r="J16" s="238">
        <v>0</v>
      </c>
      <c r="K16" s="781">
        <v>0</v>
      </c>
      <c r="N16" s="777"/>
    </row>
    <row r="17" spans="1:17">
      <c r="A17" s="745" t="s">
        <v>1316</v>
      </c>
      <c r="B17" s="767">
        <v>351.3</v>
      </c>
      <c r="C17" s="778" t="s">
        <v>1748</v>
      </c>
      <c r="D17" s="768"/>
      <c r="E17" s="769"/>
      <c r="F17" s="1112"/>
      <c r="G17" s="774"/>
      <c r="H17" s="1113"/>
      <c r="I17" s="1113"/>
      <c r="J17" s="238">
        <v>0</v>
      </c>
      <c r="K17" s="781">
        <v>0</v>
      </c>
      <c r="N17" s="777"/>
    </row>
    <row r="18" spans="1:17">
      <c r="A18" s="745">
        <f>A14+1</f>
        <v>3</v>
      </c>
      <c r="B18" s="767">
        <v>352</v>
      </c>
      <c r="C18" s="778" t="s">
        <v>927</v>
      </c>
      <c r="D18" s="768" t="s">
        <v>952</v>
      </c>
      <c r="E18" s="768" t="s">
        <v>952</v>
      </c>
      <c r="F18" s="1135" t="s">
        <v>952</v>
      </c>
      <c r="G18" s="1107">
        <v>1.7439E-2</v>
      </c>
      <c r="H18" s="844">
        <v>164031527</v>
      </c>
      <c r="I18" s="844">
        <v>29793982</v>
      </c>
      <c r="J18" s="238">
        <f t="shared" ref="J18:J25" si="0">H18-I18</f>
        <v>134237545</v>
      </c>
      <c r="K18" s="781">
        <f>IF(G18="N/A", 0, G18*H18)</f>
        <v>2860545.7993529998</v>
      </c>
      <c r="N18" s="782"/>
      <c r="O18" s="783"/>
    </row>
    <row r="19" spans="1:17">
      <c r="A19" s="745">
        <f t="shared" ref="A19:A26" si="1">A18+1</f>
        <v>4</v>
      </c>
      <c r="B19" s="767">
        <v>353</v>
      </c>
      <c r="C19" s="778" t="s">
        <v>928</v>
      </c>
      <c r="D19" s="768" t="s">
        <v>952</v>
      </c>
      <c r="E19" s="768" t="s">
        <v>952</v>
      </c>
      <c r="F19" s="1135" t="s">
        <v>952</v>
      </c>
      <c r="G19" s="1107">
        <v>1.7544000000000001E-2</v>
      </c>
      <c r="H19" s="844">
        <v>1029161481</v>
      </c>
      <c r="I19" s="844">
        <v>253539932</v>
      </c>
      <c r="J19" s="238">
        <f t="shared" si="0"/>
        <v>775621549</v>
      </c>
      <c r="K19" s="781">
        <f t="shared" ref="K19:K25" si="2">IF(G19="N/A", 0, G19*H19)</f>
        <v>18055609.022663999</v>
      </c>
      <c r="N19" s="782"/>
      <c r="O19" s="783"/>
    </row>
    <row r="20" spans="1:17">
      <c r="A20" s="745">
        <f t="shared" si="1"/>
        <v>5</v>
      </c>
      <c r="B20" s="767">
        <v>354</v>
      </c>
      <c r="C20" s="778" t="s">
        <v>929</v>
      </c>
      <c r="D20" s="768" t="s">
        <v>952</v>
      </c>
      <c r="E20" s="768" t="s">
        <v>952</v>
      </c>
      <c r="F20" s="1135" t="s">
        <v>952</v>
      </c>
      <c r="G20" s="1107">
        <v>1.1805E-2</v>
      </c>
      <c r="H20" s="844">
        <v>293428629</v>
      </c>
      <c r="I20" s="844">
        <v>176240137</v>
      </c>
      <c r="J20" s="238">
        <f t="shared" si="0"/>
        <v>117188492</v>
      </c>
      <c r="K20" s="781">
        <f t="shared" si="2"/>
        <v>3463924.9653449999</v>
      </c>
      <c r="N20" s="782"/>
      <c r="O20" s="783"/>
    </row>
    <row r="21" spans="1:17">
      <c r="A21" s="745">
        <f t="shared" si="1"/>
        <v>6</v>
      </c>
      <c r="B21" s="767">
        <v>355</v>
      </c>
      <c r="C21" s="778" t="s">
        <v>931</v>
      </c>
      <c r="D21" s="768" t="s">
        <v>952</v>
      </c>
      <c r="E21" s="768" t="s">
        <v>952</v>
      </c>
      <c r="F21" s="1135" t="s">
        <v>952</v>
      </c>
      <c r="G21" s="1107">
        <v>1.5903E-2</v>
      </c>
      <c r="H21" s="844">
        <v>27760354</v>
      </c>
      <c r="I21" s="844">
        <v>4205583</v>
      </c>
      <c r="J21" s="238">
        <f t="shared" si="0"/>
        <v>23554771</v>
      </c>
      <c r="K21" s="781">
        <f t="shared" si="2"/>
        <v>441472.90966200002</v>
      </c>
      <c r="N21" s="782"/>
      <c r="O21" s="783"/>
    </row>
    <row r="22" spans="1:17">
      <c r="A22" s="745">
        <f t="shared" si="1"/>
        <v>7</v>
      </c>
      <c r="B22" s="767">
        <v>356</v>
      </c>
      <c r="C22" s="778" t="s">
        <v>932</v>
      </c>
      <c r="D22" s="768" t="s">
        <v>952</v>
      </c>
      <c r="E22" s="768" t="s">
        <v>952</v>
      </c>
      <c r="F22" s="1135" t="s">
        <v>952</v>
      </c>
      <c r="G22" s="1107">
        <v>1.5691E-2</v>
      </c>
      <c r="H22" s="844">
        <v>283744600</v>
      </c>
      <c r="I22" s="844">
        <v>98834107</v>
      </c>
      <c r="J22" s="238">
        <f t="shared" si="0"/>
        <v>184910493</v>
      </c>
      <c r="K22" s="781">
        <f t="shared" si="2"/>
        <v>4452236.5186000001</v>
      </c>
      <c r="N22" s="782"/>
      <c r="O22" s="783"/>
    </row>
    <row r="23" spans="1:17">
      <c r="A23" s="745">
        <f t="shared" si="1"/>
        <v>8</v>
      </c>
      <c r="B23" s="767">
        <v>357</v>
      </c>
      <c r="C23" s="778" t="s">
        <v>933</v>
      </c>
      <c r="D23" s="768" t="s">
        <v>952</v>
      </c>
      <c r="E23" s="768" t="s">
        <v>952</v>
      </c>
      <c r="F23" s="1135" t="s">
        <v>952</v>
      </c>
      <c r="G23" s="1107">
        <v>1.2959999999999999E-2</v>
      </c>
      <c r="H23" s="844">
        <v>50750476</v>
      </c>
      <c r="I23" s="844">
        <v>5969941</v>
      </c>
      <c r="J23" s="238">
        <f t="shared" si="0"/>
        <v>44780535</v>
      </c>
      <c r="K23" s="781">
        <f t="shared" si="2"/>
        <v>657726.16895999992</v>
      </c>
      <c r="N23" s="782"/>
      <c r="O23" s="783"/>
    </row>
    <row r="24" spans="1:17">
      <c r="A24" s="745">
        <f t="shared" si="1"/>
        <v>9</v>
      </c>
      <c r="B24" s="767">
        <v>358</v>
      </c>
      <c r="C24" s="778" t="s">
        <v>934</v>
      </c>
      <c r="D24" s="768" t="s">
        <v>952</v>
      </c>
      <c r="E24" s="768" t="s">
        <v>952</v>
      </c>
      <c r="F24" s="1135" t="s">
        <v>952</v>
      </c>
      <c r="G24" s="1107">
        <v>1.7203E-2</v>
      </c>
      <c r="H24" s="844">
        <v>118535905</v>
      </c>
      <c r="I24" s="844">
        <v>51539432</v>
      </c>
      <c r="J24" s="784">
        <f t="shared" si="0"/>
        <v>66996473</v>
      </c>
      <c r="K24" s="782">
        <f t="shared" si="2"/>
        <v>2039173.173715</v>
      </c>
      <c r="N24" s="782"/>
      <c r="O24" s="783"/>
    </row>
    <row r="25" spans="1:17">
      <c r="A25" s="745">
        <f t="shared" si="1"/>
        <v>10</v>
      </c>
      <c r="B25" s="767">
        <v>359</v>
      </c>
      <c r="C25" s="778" t="s">
        <v>935</v>
      </c>
      <c r="D25" s="768" t="s">
        <v>952</v>
      </c>
      <c r="E25" s="768" t="s">
        <v>952</v>
      </c>
      <c r="F25" s="1135" t="s">
        <v>952</v>
      </c>
      <c r="G25" s="1107">
        <v>1.0846E-2</v>
      </c>
      <c r="H25" s="844">
        <v>2621221</v>
      </c>
      <c r="I25" s="844">
        <v>2221765</v>
      </c>
      <c r="J25" s="784">
        <f t="shared" si="0"/>
        <v>399456</v>
      </c>
      <c r="K25" s="782">
        <f t="shared" si="2"/>
        <v>28429.762965999998</v>
      </c>
      <c r="N25" s="782"/>
      <c r="O25" s="783"/>
    </row>
    <row r="26" spans="1:17" ht="15.75" thickBot="1">
      <c r="A26" s="745">
        <f t="shared" si="1"/>
        <v>11</v>
      </c>
      <c r="B26" s="767"/>
      <c r="C26" s="778"/>
      <c r="D26" s="768"/>
      <c r="E26" s="768"/>
      <c r="F26" s="768"/>
      <c r="G26" s="780"/>
      <c r="H26" s="785">
        <f>SUM(H15:H25)</f>
        <v>1970034193</v>
      </c>
      <c r="I26" s="785">
        <f>SUM(I15:I25)</f>
        <v>622344879</v>
      </c>
      <c r="J26" s="785">
        <f>SUM(J15:J25)</f>
        <v>1347689314</v>
      </c>
      <c r="K26" s="785">
        <f>SUM(K15:K25)</f>
        <v>31999118.321264997</v>
      </c>
      <c r="M26" s="786"/>
      <c r="N26" s="787"/>
      <c r="O26" s="788"/>
    </row>
    <row r="27" spans="1:17" ht="15.75" thickTop="1">
      <c r="B27" s="767"/>
      <c r="C27" s="778"/>
      <c r="D27" s="768"/>
      <c r="E27" s="768"/>
      <c r="F27" s="768"/>
      <c r="G27" s="780"/>
      <c r="H27" s="784"/>
      <c r="I27" s="784"/>
      <c r="J27" s="784"/>
      <c r="K27" s="782"/>
      <c r="N27" s="782"/>
    </row>
    <row r="28" spans="1:17">
      <c r="A28" s="745">
        <f>A26+1</f>
        <v>12</v>
      </c>
      <c r="B28" s="767"/>
      <c r="C28" s="773" t="s">
        <v>874</v>
      </c>
      <c r="F28" s="95"/>
      <c r="G28" s="789"/>
      <c r="H28" s="747"/>
      <c r="J28" s="776"/>
      <c r="K28" s="777"/>
      <c r="N28" s="777"/>
    </row>
    <row r="29" spans="1:17" ht="15" customHeight="1">
      <c r="A29" s="745">
        <f>A28+1</f>
        <v>13</v>
      </c>
      <c r="B29" s="767">
        <v>390</v>
      </c>
      <c r="C29" s="778" t="s">
        <v>927</v>
      </c>
      <c r="D29" s="1079">
        <v>45</v>
      </c>
      <c r="E29" s="1080" t="s">
        <v>1694</v>
      </c>
      <c r="F29" s="1077">
        <v>42.56</v>
      </c>
      <c r="G29" s="1107">
        <v>2.3385E-2</v>
      </c>
      <c r="H29" s="844">
        <v>50962153</v>
      </c>
      <c r="I29" s="844">
        <v>16992050</v>
      </c>
      <c r="J29" s="790">
        <f t="shared" ref="J29:J43" si="3">H29-I29</f>
        <v>33970103</v>
      </c>
      <c r="K29" s="790">
        <f t="shared" ref="K29:K43" si="4">IF(G29="N/A", 0, G29*H29)</f>
        <v>1191749.9479050001</v>
      </c>
      <c r="N29" s="791"/>
      <c r="O29" s="783"/>
    </row>
    <row r="30" spans="1:17" ht="15" customHeight="1">
      <c r="A30" s="745">
        <f t="shared" ref="A30:A44" si="5">A29+1</f>
        <v>14</v>
      </c>
      <c r="B30" s="767">
        <v>391.1</v>
      </c>
      <c r="C30" s="778" t="s">
        <v>937</v>
      </c>
      <c r="D30" s="1079">
        <v>10</v>
      </c>
      <c r="E30" s="1080" t="s">
        <v>938</v>
      </c>
      <c r="F30" s="1077">
        <v>5.5</v>
      </c>
      <c r="G30" s="1107">
        <v>0</v>
      </c>
      <c r="H30" s="844">
        <v>0</v>
      </c>
      <c r="I30" s="844">
        <v>-137</v>
      </c>
      <c r="J30" s="790">
        <f t="shared" si="3"/>
        <v>137</v>
      </c>
      <c r="K30" s="790">
        <f t="shared" si="4"/>
        <v>0</v>
      </c>
      <c r="N30" s="791"/>
      <c r="O30" s="783"/>
    </row>
    <row r="31" spans="1:17" ht="15" customHeight="1">
      <c r="A31" s="745">
        <f t="shared" si="5"/>
        <v>15</v>
      </c>
      <c r="B31" s="767">
        <v>391.2</v>
      </c>
      <c r="C31" s="778" t="s">
        <v>939</v>
      </c>
      <c r="D31" s="1079">
        <v>15</v>
      </c>
      <c r="E31" s="1080" t="s">
        <v>938</v>
      </c>
      <c r="F31" s="1077">
        <v>9.2899999999999991</v>
      </c>
      <c r="G31" s="1107">
        <v>7.0049E-2</v>
      </c>
      <c r="H31" s="844">
        <v>966413</v>
      </c>
      <c r="I31" s="844">
        <v>349938</v>
      </c>
      <c r="J31" s="790">
        <f t="shared" si="3"/>
        <v>616475</v>
      </c>
      <c r="K31" s="790">
        <f t="shared" si="4"/>
        <v>67696.264236999996</v>
      </c>
      <c r="N31" s="791"/>
      <c r="O31" s="783"/>
      <c r="P31" s="792"/>
      <c r="Q31" s="793"/>
    </row>
    <row r="32" spans="1:17" ht="15" customHeight="1">
      <c r="A32" s="745">
        <f t="shared" si="5"/>
        <v>16</v>
      </c>
      <c r="B32" s="767">
        <v>391.3</v>
      </c>
      <c r="C32" s="778" t="s">
        <v>940</v>
      </c>
      <c r="D32" s="1079">
        <v>5</v>
      </c>
      <c r="E32" s="1080" t="s">
        <v>938</v>
      </c>
      <c r="F32" s="1077">
        <v>2.7</v>
      </c>
      <c r="G32" s="1107">
        <v>0.177484</v>
      </c>
      <c r="H32" s="844">
        <v>43804512</v>
      </c>
      <c r="I32" s="844">
        <v>20110153</v>
      </c>
      <c r="J32" s="790">
        <f t="shared" si="3"/>
        <v>23694359</v>
      </c>
      <c r="K32" s="790">
        <f t="shared" si="4"/>
        <v>7774600.0078079998</v>
      </c>
      <c r="N32" s="791"/>
      <c r="O32" s="783"/>
      <c r="P32" s="792"/>
    </row>
    <row r="33" spans="1:16" ht="15" customHeight="1">
      <c r="A33" s="745">
        <f t="shared" si="5"/>
        <v>17</v>
      </c>
      <c r="B33" s="767">
        <v>391.4</v>
      </c>
      <c r="C33" s="778" t="s">
        <v>941</v>
      </c>
      <c r="D33" s="1079">
        <v>5</v>
      </c>
      <c r="E33" s="1080" t="s">
        <v>938</v>
      </c>
      <c r="F33" s="1077">
        <v>2.7</v>
      </c>
      <c r="G33" s="1107">
        <v>0</v>
      </c>
      <c r="H33" s="844">
        <v>0</v>
      </c>
      <c r="I33" s="844">
        <v>-92546</v>
      </c>
      <c r="J33" s="790">
        <f t="shared" si="3"/>
        <v>92546</v>
      </c>
      <c r="K33" s="790">
        <f t="shared" si="4"/>
        <v>0</v>
      </c>
      <c r="N33" s="791"/>
      <c r="O33" s="783"/>
      <c r="P33" s="792"/>
    </row>
    <row r="34" spans="1:16" ht="15" customHeight="1">
      <c r="A34" s="745">
        <f t="shared" si="5"/>
        <v>18</v>
      </c>
      <c r="B34" s="767">
        <v>393</v>
      </c>
      <c r="C34" s="778" t="s">
        <v>942</v>
      </c>
      <c r="D34" s="1079">
        <v>15</v>
      </c>
      <c r="E34" s="1080" t="s">
        <v>938</v>
      </c>
      <c r="F34" s="1077">
        <v>9.61</v>
      </c>
      <c r="G34" s="1107">
        <v>8.6649000000000004E-2</v>
      </c>
      <c r="H34" s="844">
        <v>44813</v>
      </c>
      <c r="I34" s="844">
        <v>29371</v>
      </c>
      <c r="J34" s="790">
        <f t="shared" si="3"/>
        <v>15442</v>
      </c>
      <c r="K34" s="790">
        <f t="shared" si="4"/>
        <v>3883.0016370000003</v>
      </c>
      <c r="N34" s="791"/>
      <c r="O34" s="783"/>
    </row>
    <row r="35" spans="1:16" ht="15" customHeight="1">
      <c r="A35" s="745">
        <f t="shared" si="5"/>
        <v>19</v>
      </c>
      <c r="B35" s="767">
        <v>394</v>
      </c>
      <c r="C35" s="778" t="s">
        <v>943</v>
      </c>
      <c r="D35" s="1079">
        <v>15</v>
      </c>
      <c r="E35" s="1080" t="s">
        <v>938</v>
      </c>
      <c r="F35" s="1077">
        <v>8.94</v>
      </c>
      <c r="G35" s="1107">
        <v>6.1449999999999998E-2</v>
      </c>
      <c r="H35" s="844">
        <v>60925670</v>
      </c>
      <c r="I35" s="844">
        <v>23175958</v>
      </c>
      <c r="J35" s="790">
        <f t="shared" si="3"/>
        <v>37749712</v>
      </c>
      <c r="K35" s="790">
        <f t="shared" si="4"/>
        <v>3743882.4214999997</v>
      </c>
      <c r="N35" s="791"/>
      <c r="O35" s="783"/>
    </row>
    <row r="36" spans="1:16" ht="15" customHeight="1">
      <c r="A36" s="745">
        <f t="shared" si="5"/>
        <v>20</v>
      </c>
      <c r="B36" s="767">
        <v>395.1</v>
      </c>
      <c r="C36" s="778" t="s">
        <v>944</v>
      </c>
      <c r="D36" s="1079">
        <v>20</v>
      </c>
      <c r="E36" s="1080" t="s">
        <v>938</v>
      </c>
      <c r="F36" s="1077">
        <v>2.23</v>
      </c>
      <c r="G36" s="1107">
        <v>4.2666999999999997E-2</v>
      </c>
      <c r="H36" s="844">
        <v>255136</v>
      </c>
      <c r="I36" s="844">
        <v>236317</v>
      </c>
      <c r="J36" s="790">
        <f t="shared" si="3"/>
        <v>18819</v>
      </c>
      <c r="K36" s="790">
        <f t="shared" si="4"/>
        <v>10885.887712</v>
      </c>
      <c r="N36" s="791"/>
      <c r="O36" s="783"/>
    </row>
    <row r="37" spans="1:16" ht="15" customHeight="1">
      <c r="A37" s="745">
        <f t="shared" si="5"/>
        <v>21</v>
      </c>
      <c r="B37" s="767">
        <v>395.2</v>
      </c>
      <c r="C37" s="778" t="s">
        <v>945</v>
      </c>
      <c r="D37" s="1079">
        <v>15</v>
      </c>
      <c r="E37" s="1080" t="s">
        <v>938</v>
      </c>
      <c r="F37" s="1077">
        <v>0</v>
      </c>
      <c r="G37" s="1107">
        <v>0</v>
      </c>
      <c r="H37" s="844">
        <v>0</v>
      </c>
      <c r="I37" s="844">
        <v>-286</v>
      </c>
      <c r="J37" s="790">
        <f t="shared" si="3"/>
        <v>286</v>
      </c>
      <c r="K37" s="790">
        <f t="shared" si="4"/>
        <v>0</v>
      </c>
      <c r="N37" s="791"/>
      <c r="O37" s="783"/>
    </row>
    <row r="38" spans="1:16" ht="15" customHeight="1">
      <c r="A38" s="745">
        <f t="shared" si="5"/>
        <v>22</v>
      </c>
      <c r="B38" s="767">
        <v>397</v>
      </c>
      <c r="C38" s="778" t="s">
        <v>946</v>
      </c>
      <c r="D38" s="1079">
        <v>20</v>
      </c>
      <c r="E38" s="1080" t="s">
        <v>947</v>
      </c>
      <c r="F38" s="1077">
        <v>14.34</v>
      </c>
      <c r="G38" s="1107">
        <v>5.2942999999999997E-2</v>
      </c>
      <c r="H38" s="844">
        <v>145156530</v>
      </c>
      <c r="I38" s="844">
        <v>58897940</v>
      </c>
      <c r="J38" s="790">
        <f t="shared" si="3"/>
        <v>86258590</v>
      </c>
      <c r="K38" s="790">
        <f t="shared" si="4"/>
        <v>7685022.1677899994</v>
      </c>
      <c r="N38" s="791"/>
      <c r="O38" s="783"/>
    </row>
    <row r="39" spans="1:16" ht="15" customHeight="1">
      <c r="A39" s="745">
        <f t="shared" si="5"/>
        <v>23</v>
      </c>
      <c r="B39" s="767">
        <v>397</v>
      </c>
      <c r="C39" s="778" t="s">
        <v>948</v>
      </c>
      <c r="D39" s="1079">
        <v>15</v>
      </c>
      <c r="E39" s="1080" t="s">
        <v>949</v>
      </c>
      <c r="F39" s="1077">
        <v>14.34</v>
      </c>
      <c r="G39" s="1107">
        <v>6.3321000000000002E-2</v>
      </c>
      <c r="H39" s="844">
        <v>40069104</v>
      </c>
      <c r="I39" s="844">
        <v>23781390</v>
      </c>
      <c r="J39" s="790">
        <f t="shared" si="3"/>
        <v>16287714</v>
      </c>
      <c r="K39" s="790">
        <f t="shared" si="4"/>
        <v>2537215.7343840003</v>
      </c>
      <c r="N39" s="791"/>
      <c r="O39" s="783"/>
    </row>
    <row r="40" spans="1:16" ht="15" customHeight="1">
      <c r="A40" s="745" t="s">
        <v>1749</v>
      </c>
      <c r="B40" s="767">
        <v>397.1</v>
      </c>
      <c r="C40" s="778" t="s">
        <v>1746</v>
      </c>
      <c r="D40" s="1084"/>
      <c r="E40" s="1085"/>
      <c r="F40" s="1077"/>
      <c r="G40" s="1107"/>
      <c r="H40" s="844"/>
      <c r="I40" s="844"/>
      <c r="J40" s="790">
        <v>0</v>
      </c>
      <c r="K40" s="790">
        <v>0</v>
      </c>
      <c r="N40" s="791"/>
      <c r="O40" s="783"/>
    </row>
    <row r="41" spans="1:16" ht="15" customHeight="1">
      <c r="A41" s="745" t="s">
        <v>1750</v>
      </c>
      <c r="B41" s="767">
        <v>397.2</v>
      </c>
      <c r="C41" s="778" t="s">
        <v>1747</v>
      </c>
      <c r="D41" s="1084"/>
      <c r="E41" s="1085"/>
      <c r="F41" s="1114"/>
      <c r="G41" s="1107"/>
      <c r="H41" s="844"/>
      <c r="I41" s="844"/>
      <c r="J41" s="790">
        <v>0</v>
      </c>
      <c r="K41" s="790">
        <v>0</v>
      </c>
      <c r="N41" s="791"/>
      <c r="O41" s="783"/>
    </row>
    <row r="42" spans="1:16" ht="15" customHeight="1">
      <c r="A42" s="745" t="s">
        <v>1751</v>
      </c>
      <c r="B42" s="767">
        <v>397.3</v>
      </c>
      <c r="C42" s="778" t="s">
        <v>1748</v>
      </c>
      <c r="D42" s="1084"/>
      <c r="E42" s="1085"/>
      <c r="F42" s="1077"/>
      <c r="G42" s="1107"/>
      <c r="H42" s="844"/>
      <c r="I42" s="844"/>
      <c r="J42" s="790">
        <v>0</v>
      </c>
      <c r="K42" s="790">
        <v>0</v>
      </c>
      <c r="N42" s="791"/>
      <c r="O42" s="783"/>
    </row>
    <row r="43" spans="1:16" ht="15" customHeight="1">
      <c r="A43" s="745">
        <f>A39+1</f>
        <v>24</v>
      </c>
      <c r="B43" s="767">
        <v>398</v>
      </c>
      <c r="C43" s="778" t="s">
        <v>950</v>
      </c>
      <c r="D43" s="1079">
        <v>15</v>
      </c>
      <c r="E43" s="1080" t="s">
        <v>938</v>
      </c>
      <c r="F43" s="1077">
        <v>3.69</v>
      </c>
      <c r="G43" s="1107">
        <v>6.5236000000000002E-2</v>
      </c>
      <c r="H43" s="844">
        <v>1504545</v>
      </c>
      <c r="I43" s="844">
        <v>-94523</v>
      </c>
      <c r="J43" s="790">
        <f t="shared" si="3"/>
        <v>1599068</v>
      </c>
      <c r="K43" s="790">
        <f t="shared" si="4"/>
        <v>98150.497620000009</v>
      </c>
      <c r="N43" s="791"/>
      <c r="O43" s="783"/>
    </row>
    <row r="44" spans="1:16" ht="15" customHeight="1" thickBot="1">
      <c r="A44" s="745">
        <f t="shared" si="5"/>
        <v>25</v>
      </c>
      <c r="B44" s="767"/>
      <c r="C44" s="778"/>
      <c r="D44" s="768"/>
      <c r="E44" s="768"/>
      <c r="F44" s="768"/>
      <c r="G44" s="794"/>
      <c r="H44" s="795">
        <f>SUM(H29:H43)</f>
        <v>343688876</v>
      </c>
      <c r="I44" s="795">
        <f>SUM(I29:I43)</f>
        <v>143385625</v>
      </c>
      <c r="J44" s="795">
        <f>SUM(J29:J43)</f>
        <v>200303251</v>
      </c>
      <c r="K44" s="795">
        <f>SUM(K29:K43)</f>
        <v>23113085.930592999</v>
      </c>
      <c r="M44" s="786"/>
      <c r="N44" s="796"/>
      <c r="O44" s="788"/>
    </row>
    <row r="45" spans="1:16" ht="15" customHeight="1" thickTop="1">
      <c r="B45" s="797"/>
      <c r="C45" s="798"/>
      <c r="D45" s="768"/>
      <c r="E45" s="768"/>
      <c r="F45" s="768"/>
      <c r="G45" s="799"/>
      <c r="H45" s="796"/>
      <c r="I45" s="796"/>
      <c r="J45" s="796"/>
      <c r="K45" s="796"/>
      <c r="L45" s="231" t="s">
        <v>1412</v>
      </c>
      <c r="M45" s="786"/>
    </row>
    <row r="46" spans="1:16" ht="15" customHeight="1">
      <c r="B46" s="1256" t="s">
        <v>681</v>
      </c>
      <c r="C46" s="1256"/>
      <c r="D46" s="1256"/>
      <c r="E46" s="1256"/>
      <c r="F46" s="1256"/>
      <c r="G46" s="1256"/>
      <c r="H46" s="1256"/>
      <c r="I46" s="1256"/>
      <c r="J46" s="1256"/>
      <c r="K46" s="1256"/>
      <c r="L46" s="1256"/>
      <c r="M46" s="786"/>
    </row>
    <row r="47" spans="1:16" ht="15" customHeight="1">
      <c r="B47" s="1256" t="s">
        <v>1439</v>
      </c>
      <c r="C47" s="1256"/>
      <c r="D47" s="1256"/>
      <c r="E47" s="1256"/>
      <c r="F47" s="1256"/>
      <c r="G47" s="1256"/>
      <c r="H47" s="1256"/>
      <c r="I47" s="1256"/>
      <c r="J47" s="1256"/>
      <c r="K47" s="1256"/>
      <c r="L47" s="1256"/>
      <c r="M47" s="786"/>
    </row>
    <row r="48" spans="1:16" ht="15" customHeight="1">
      <c r="B48" s="753"/>
      <c r="C48" s="778"/>
      <c r="D48" s="800"/>
      <c r="E48" s="800"/>
      <c r="F48" s="800"/>
      <c r="G48" s="794"/>
      <c r="H48" s="790"/>
      <c r="I48" s="790"/>
      <c r="J48" s="790"/>
      <c r="K48" s="790"/>
    </row>
    <row r="49" spans="1:15" ht="15" customHeight="1">
      <c r="A49" s="745">
        <v>1</v>
      </c>
      <c r="B49" s="753"/>
      <c r="C49" s="773" t="s">
        <v>951</v>
      </c>
      <c r="D49" s="95"/>
      <c r="E49" s="95"/>
      <c r="F49" s="95"/>
      <c r="G49" s="774"/>
      <c r="H49" s="781"/>
      <c r="I49" s="781"/>
      <c r="J49" s="776"/>
      <c r="K49" s="777"/>
    </row>
    <row r="50" spans="1:15" ht="15" customHeight="1">
      <c r="A50" s="745">
        <f>A49+1</f>
        <v>2</v>
      </c>
      <c r="B50" s="797">
        <v>303</v>
      </c>
      <c r="C50" s="798" t="s">
        <v>1374</v>
      </c>
      <c r="D50" s="1081">
        <v>2</v>
      </c>
      <c r="E50" s="1081" t="s">
        <v>952</v>
      </c>
      <c r="F50" s="779" t="s">
        <v>952</v>
      </c>
      <c r="G50" s="1107">
        <v>0</v>
      </c>
      <c r="H50" s="844">
        <v>0</v>
      </c>
      <c r="I50" s="844">
        <v>0</v>
      </c>
      <c r="J50" s="790">
        <f>H50-I50</f>
        <v>0</v>
      </c>
      <c r="K50" s="790">
        <f t="shared" ref="K50:K57" si="6">IF(G50="N/A", 0, G50*H50)</f>
        <v>0</v>
      </c>
      <c r="L50" s="801"/>
      <c r="N50" s="791"/>
      <c r="O50" s="783"/>
    </row>
    <row r="51" spans="1:15" ht="15" customHeight="1">
      <c r="A51" s="745">
        <f t="shared" ref="A51:A58" si="7">A50+1</f>
        <v>3</v>
      </c>
      <c r="B51" s="797">
        <v>303</v>
      </c>
      <c r="C51" s="798" t="s">
        <v>1375</v>
      </c>
      <c r="D51" s="1081">
        <v>3</v>
      </c>
      <c r="E51" s="1081" t="s">
        <v>952</v>
      </c>
      <c r="F51" s="779" t="s">
        <v>952</v>
      </c>
      <c r="G51" s="1107" t="s">
        <v>952</v>
      </c>
      <c r="H51" s="844">
        <v>0</v>
      </c>
      <c r="I51" s="844">
        <v>0</v>
      </c>
      <c r="J51" s="790">
        <f t="shared" ref="J51:J70" si="8">H51-I51</f>
        <v>0</v>
      </c>
      <c r="K51" s="790">
        <f t="shared" si="6"/>
        <v>0</v>
      </c>
      <c r="L51" s="801"/>
      <c r="N51" s="791"/>
      <c r="O51" s="783"/>
    </row>
    <row r="52" spans="1:15" ht="15" customHeight="1">
      <c r="A52" s="745">
        <f t="shared" si="7"/>
        <v>4</v>
      </c>
      <c r="B52" s="797">
        <v>303</v>
      </c>
      <c r="C52" s="798" t="s">
        <v>1376</v>
      </c>
      <c r="D52" s="1081">
        <v>4</v>
      </c>
      <c r="E52" s="1081" t="s">
        <v>952</v>
      </c>
      <c r="F52" s="779" t="s">
        <v>952</v>
      </c>
      <c r="G52" s="1107" t="s">
        <v>952</v>
      </c>
      <c r="H52" s="844">
        <v>0</v>
      </c>
      <c r="I52" s="844">
        <v>0</v>
      </c>
      <c r="J52" s="790">
        <f t="shared" si="8"/>
        <v>0</v>
      </c>
      <c r="K52" s="790">
        <f t="shared" si="6"/>
        <v>0</v>
      </c>
      <c r="L52" s="801"/>
      <c r="N52" s="791"/>
      <c r="O52" s="783"/>
    </row>
    <row r="53" spans="1:15" ht="15" customHeight="1">
      <c r="A53" s="745">
        <f t="shared" si="7"/>
        <v>5</v>
      </c>
      <c r="B53" s="797">
        <v>303</v>
      </c>
      <c r="C53" s="798" t="s">
        <v>1377</v>
      </c>
      <c r="D53" s="1081">
        <v>5</v>
      </c>
      <c r="E53" s="1081" t="s">
        <v>952</v>
      </c>
      <c r="F53" s="779" t="s">
        <v>952</v>
      </c>
      <c r="G53" s="1107">
        <v>0.206958</v>
      </c>
      <c r="H53" s="844">
        <v>22864468</v>
      </c>
      <c r="I53" s="844">
        <v>19125519</v>
      </c>
      <c r="J53" s="790">
        <f t="shared" si="8"/>
        <v>3738949</v>
      </c>
      <c r="K53" s="790">
        <f t="shared" si="6"/>
        <v>4731984.5683439998</v>
      </c>
      <c r="L53" s="801"/>
      <c r="N53" s="791"/>
      <c r="O53" s="783"/>
    </row>
    <row r="54" spans="1:15" ht="15" customHeight="1">
      <c r="A54" s="745">
        <f t="shared" si="7"/>
        <v>6</v>
      </c>
      <c r="B54" s="797">
        <v>303</v>
      </c>
      <c r="C54" s="798" t="s">
        <v>1378</v>
      </c>
      <c r="D54" s="1081">
        <v>7</v>
      </c>
      <c r="E54" s="1081" t="s">
        <v>952</v>
      </c>
      <c r="F54" s="779" t="s">
        <v>952</v>
      </c>
      <c r="G54" s="1107" t="s">
        <v>952</v>
      </c>
      <c r="H54" s="844">
        <v>0</v>
      </c>
      <c r="I54" s="844">
        <v>0</v>
      </c>
      <c r="J54" s="790">
        <f t="shared" si="8"/>
        <v>0</v>
      </c>
      <c r="K54" s="790">
        <f t="shared" si="6"/>
        <v>0</v>
      </c>
      <c r="L54" s="801"/>
      <c r="N54" s="791"/>
      <c r="O54" s="783"/>
    </row>
    <row r="55" spans="1:15" ht="15" customHeight="1">
      <c r="A55" s="745">
        <f t="shared" si="7"/>
        <v>7</v>
      </c>
      <c r="B55" s="797">
        <v>303</v>
      </c>
      <c r="C55" s="798" t="s">
        <v>1379</v>
      </c>
      <c r="D55" s="1081">
        <v>10</v>
      </c>
      <c r="E55" s="1081" t="s">
        <v>952</v>
      </c>
      <c r="F55" s="779" t="s">
        <v>952</v>
      </c>
      <c r="G55" s="1107" t="s">
        <v>952</v>
      </c>
      <c r="H55" s="844">
        <v>0</v>
      </c>
      <c r="I55" s="844">
        <v>0</v>
      </c>
      <c r="J55" s="790">
        <f t="shared" si="8"/>
        <v>0</v>
      </c>
      <c r="K55" s="790">
        <f t="shared" si="6"/>
        <v>0</v>
      </c>
      <c r="L55" s="801"/>
      <c r="N55" s="791"/>
      <c r="O55" s="783"/>
    </row>
    <row r="56" spans="1:15" ht="15" customHeight="1">
      <c r="A56" s="745">
        <f t="shared" si="7"/>
        <v>8</v>
      </c>
      <c r="B56" s="797">
        <v>303</v>
      </c>
      <c r="C56" s="798" t="s">
        <v>1380</v>
      </c>
      <c r="D56" s="1081">
        <v>13</v>
      </c>
      <c r="E56" s="1081" t="s">
        <v>952</v>
      </c>
      <c r="F56" s="779" t="s">
        <v>952</v>
      </c>
      <c r="G56" s="1107" t="s">
        <v>952</v>
      </c>
      <c r="H56" s="844">
        <v>0</v>
      </c>
      <c r="I56" s="844">
        <v>0</v>
      </c>
      <c r="J56" s="790">
        <f t="shared" si="8"/>
        <v>0</v>
      </c>
      <c r="K56" s="790">
        <f t="shared" si="6"/>
        <v>0</v>
      </c>
      <c r="L56" s="801"/>
      <c r="N56" s="791"/>
      <c r="O56" s="783"/>
    </row>
    <row r="57" spans="1:15" ht="15" customHeight="1">
      <c r="A57" s="745">
        <f t="shared" si="7"/>
        <v>9</v>
      </c>
      <c r="B57" s="797">
        <v>303</v>
      </c>
      <c r="C57" s="798" t="s">
        <v>1381</v>
      </c>
      <c r="D57" s="1081">
        <v>15</v>
      </c>
      <c r="E57" s="1081" t="s">
        <v>952</v>
      </c>
      <c r="F57" s="779" t="s">
        <v>952</v>
      </c>
      <c r="G57" s="1107" t="s">
        <v>952</v>
      </c>
      <c r="H57" s="844">
        <v>0</v>
      </c>
      <c r="I57" s="844">
        <v>0</v>
      </c>
      <c r="J57" s="790">
        <f t="shared" si="8"/>
        <v>0</v>
      </c>
      <c r="K57" s="790">
        <f t="shared" si="6"/>
        <v>0</v>
      </c>
      <c r="L57" s="801"/>
      <c r="N57" s="791"/>
      <c r="O57" s="783"/>
    </row>
    <row r="58" spans="1:15" ht="15.75" thickBot="1">
      <c r="A58" s="745">
        <f t="shared" si="7"/>
        <v>10</v>
      </c>
      <c r="G58" s="802"/>
      <c r="H58" s="795">
        <f>SUM(H50:H57)</f>
        <v>22864468</v>
      </c>
      <c r="I58" s="795">
        <f t="shared" ref="I58:K58" si="9">SUM(I50:I57)</f>
        <v>19125519</v>
      </c>
      <c r="J58" s="795">
        <f t="shared" si="9"/>
        <v>3738949</v>
      </c>
      <c r="K58" s="795">
        <f t="shared" si="9"/>
        <v>4731984.5683439998</v>
      </c>
      <c r="N58" s="796"/>
      <c r="O58" s="788"/>
    </row>
    <row r="59" spans="1:15" ht="15" customHeight="1" thickTop="1">
      <c r="B59" s="797"/>
      <c r="C59" s="798"/>
      <c r="D59" s="768"/>
      <c r="E59" s="768"/>
      <c r="F59" s="779"/>
      <c r="G59" s="802"/>
      <c r="L59" s="799"/>
      <c r="N59" s="788"/>
    </row>
    <row r="60" spans="1:15" ht="15" customHeight="1">
      <c r="A60" s="745">
        <f>A58+1</f>
        <v>11</v>
      </c>
      <c r="B60" s="797">
        <v>303</v>
      </c>
      <c r="C60" s="798" t="s">
        <v>1382</v>
      </c>
      <c r="D60" s="1082">
        <v>2</v>
      </c>
      <c r="E60" s="1082" t="s">
        <v>952</v>
      </c>
      <c r="F60" s="779" t="s">
        <v>952</v>
      </c>
      <c r="G60" s="1107" t="s">
        <v>952</v>
      </c>
      <c r="H60" s="844">
        <v>0</v>
      </c>
      <c r="I60" s="844">
        <v>0</v>
      </c>
      <c r="J60" s="790">
        <f>H60-I60</f>
        <v>0</v>
      </c>
      <c r="K60" s="790">
        <f t="shared" ref="K60:K67" si="10">IF(G60="N/A", 0, G60*H60)</f>
        <v>0</v>
      </c>
      <c r="L60" s="801"/>
      <c r="N60" s="791"/>
      <c r="O60" s="783"/>
    </row>
    <row r="61" spans="1:15" ht="15" customHeight="1">
      <c r="A61" s="745">
        <f t="shared" ref="A61" si="11">A60+1</f>
        <v>12</v>
      </c>
      <c r="B61" s="797">
        <v>303</v>
      </c>
      <c r="C61" s="798" t="s">
        <v>1383</v>
      </c>
      <c r="D61" s="1082">
        <v>3</v>
      </c>
      <c r="E61" s="1082" t="s">
        <v>952</v>
      </c>
      <c r="F61" s="779" t="s">
        <v>952</v>
      </c>
      <c r="G61" s="1107">
        <v>0.18990699999999999</v>
      </c>
      <c r="H61" s="844">
        <v>6802415</v>
      </c>
      <c r="I61" s="844">
        <v>2014252</v>
      </c>
      <c r="J61" s="790">
        <f t="shared" ref="J61:J67" si="12">H61-I61</f>
        <v>4788163</v>
      </c>
      <c r="K61" s="790">
        <f t="shared" si="10"/>
        <v>1291826.2254049999</v>
      </c>
      <c r="L61" s="801"/>
      <c r="N61" s="791"/>
      <c r="O61" s="783"/>
    </row>
    <row r="62" spans="1:15" ht="15" customHeight="1">
      <c r="A62" s="745">
        <f>A61+1</f>
        <v>13</v>
      </c>
      <c r="B62" s="797">
        <v>303</v>
      </c>
      <c r="C62" s="798" t="s">
        <v>1384</v>
      </c>
      <c r="D62" s="1082">
        <v>4</v>
      </c>
      <c r="E62" s="1082" t="s">
        <v>952</v>
      </c>
      <c r="F62" s="779" t="s">
        <v>952</v>
      </c>
      <c r="G62" s="1107" t="s">
        <v>952</v>
      </c>
      <c r="H62" s="844">
        <v>0</v>
      </c>
      <c r="I62" s="844">
        <v>0</v>
      </c>
      <c r="J62" s="790">
        <f t="shared" si="12"/>
        <v>0</v>
      </c>
      <c r="K62" s="790">
        <f t="shared" si="10"/>
        <v>0</v>
      </c>
      <c r="L62" s="801"/>
      <c r="N62" s="791"/>
      <c r="O62" s="783"/>
    </row>
    <row r="63" spans="1:15" ht="15" customHeight="1">
      <c r="A63" s="745">
        <f t="shared" ref="A63:A72" si="13">A62+1</f>
        <v>14</v>
      </c>
      <c r="B63" s="797">
        <v>303</v>
      </c>
      <c r="C63" s="798" t="s">
        <v>1385</v>
      </c>
      <c r="D63" s="1082">
        <v>5</v>
      </c>
      <c r="E63" s="1082" t="s">
        <v>952</v>
      </c>
      <c r="F63" s="779" t="s">
        <v>952</v>
      </c>
      <c r="G63" s="1107">
        <v>0.18695100000000001</v>
      </c>
      <c r="H63" s="844">
        <v>25608554</v>
      </c>
      <c r="I63" s="844">
        <v>14555267</v>
      </c>
      <c r="J63" s="790">
        <f>H63-I63</f>
        <v>11053287</v>
      </c>
      <c r="K63" s="790">
        <f>IF(G63="N/A", 0, G63*H63)</f>
        <v>4787544.7788540004</v>
      </c>
      <c r="L63" s="801"/>
      <c r="N63" s="791"/>
      <c r="O63" s="783"/>
    </row>
    <row r="64" spans="1:15" ht="15" customHeight="1">
      <c r="A64" s="745">
        <f t="shared" si="13"/>
        <v>15</v>
      </c>
      <c r="B64" s="797">
        <v>303</v>
      </c>
      <c r="C64" s="798" t="s">
        <v>1386</v>
      </c>
      <c r="D64" s="1082">
        <v>7</v>
      </c>
      <c r="E64" s="1082" t="s">
        <v>952</v>
      </c>
      <c r="F64" s="779" t="s">
        <v>952</v>
      </c>
      <c r="G64" s="1107" t="s">
        <v>952</v>
      </c>
      <c r="H64" s="844">
        <v>0</v>
      </c>
      <c r="I64" s="844">
        <v>0</v>
      </c>
      <c r="J64" s="790">
        <f t="shared" si="12"/>
        <v>0</v>
      </c>
      <c r="K64" s="790">
        <f t="shared" si="10"/>
        <v>0</v>
      </c>
      <c r="L64" s="801"/>
      <c r="N64" s="791"/>
      <c r="O64" s="783"/>
    </row>
    <row r="65" spans="1:15" ht="15" customHeight="1">
      <c r="A65" s="745">
        <f t="shared" si="13"/>
        <v>16</v>
      </c>
      <c r="B65" s="797">
        <v>303</v>
      </c>
      <c r="C65" s="798" t="s">
        <v>1387</v>
      </c>
      <c r="D65" s="1082">
        <v>10</v>
      </c>
      <c r="E65" s="1082" t="s">
        <v>952</v>
      </c>
      <c r="F65" s="779" t="s">
        <v>952</v>
      </c>
      <c r="G65" s="1107" t="s">
        <v>952</v>
      </c>
      <c r="H65" s="844">
        <v>0</v>
      </c>
      <c r="I65" s="844">
        <v>0</v>
      </c>
      <c r="J65" s="790">
        <f t="shared" si="12"/>
        <v>0</v>
      </c>
      <c r="K65" s="790">
        <f t="shared" si="10"/>
        <v>0</v>
      </c>
      <c r="L65" s="801"/>
      <c r="N65" s="791"/>
      <c r="O65" s="783"/>
    </row>
    <row r="66" spans="1:15" ht="15" customHeight="1">
      <c r="A66" s="745">
        <f t="shared" si="13"/>
        <v>17</v>
      </c>
      <c r="B66" s="797">
        <v>303</v>
      </c>
      <c r="C66" s="798" t="s">
        <v>1388</v>
      </c>
      <c r="D66" s="1082">
        <v>13</v>
      </c>
      <c r="E66" s="1082" t="s">
        <v>952</v>
      </c>
      <c r="F66" s="779" t="s">
        <v>952</v>
      </c>
      <c r="G66" s="1107" t="s">
        <v>952</v>
      </c>
      <c r="H66" s="844">
        <v>0</v>
      </c>
      <c r="I66" s="844">
        <v>0</v>
      </c>
      <c r="J66" s="790">
        <f t="shared" si="12"/>
        <v>0</v>
      </c>
      <c r="K66" s="790">
        <f t="shared" si="10"/>
        <v>0</v>
      </c>
      <c r="L66" s="801"/>
      <c r="N66" s="791"/>
      <c r="O66" s="783"/>
    </row>
    <row r="67" spans="1:15" ht="15" customHeight="1">
      <c r="A67" s="745">
        <f t="shared" si="13"/>
        <v>18</v>
      </c>
      <c r="B67" s="797">
        <v>303</v>
      </c>
      <c r="C67" s="798" t="s">
        <v>1389</v>
      </c>
      <c r="D67" s="1082">
        <v>15</v>
      </c>
      <c r="E67" s="1082" t="s">
        <v>952</v>
      </c>
      <c r="F67" s="779" t="s">
        <v>952</v>
      </c>
      <c r="G67" s="1107" t="s">
        <v>952</v>
      </c>
      <c r="H67" s="844">
        <v>0</v>
      </c>
      <c r="I67" s="844">
        <v>0</v>
      </c>
      <c r="J67" s="790">
        <f t="shared" si="12"/>
        <v>0</v>
      </c>
      <c r="K67" s="790">
        <f t="shared" si="10"/>
        <v>0</v>
      </c>
      <c r="L67" s="801"/>
      <c r="N67" s="791"/>
      <c r="O67" s="783"/>
    </row>
    <row r="68" spans="1:15" ht="15" customHeight="1" thickBot="1">
      <c r="A68" s="745">
        <f t="shared" si="13"/>
        <v>19</v>
      </c>
      <c r="B68" s="797"/>
      <c r="C68" s="798"/>
      <c r="D68" s="768"/>
      <c r="E68" s="768"/>
      <c r="F68" s="779"/>
      <c r="G68" s="1104"/>
      <c r="H68" s="795">
        <f>SUM(H60:H67)</f>
        <v>32410969</v>
      </c>
      <c r="I68" s="795">
        <f t="shared" ref="I68:J68" si="14">SUM(I60:I67)</f>
        <v>16569519</v>
      </c>
      <c r="J68" s="795">
        <f t="shared" si="14"/>
        <v>15841450</v>
      </c>
      <c r="K68" s="795">
        <f>SUM(K60:K67)</f>
        <v>6079371.0042590005</v>
      </c>
      <c r="L68" s="803"/>
      <c r="N68" s="796"/>
      <c r="O68" s="788"/>
    </row>
    <row r="69" spans="1:15" ht="15" customHeight="1" thickTop="1">
      <c r="B69" s="797"/>
      <c r="C69" s="798"/>
      <c r="D69" s="768"/>
      <c r="E69" s="768"/>
      <c r="F69" s="779"/>
      <c r="G69" s="1104"/>
      <c r="H69" s="790"/>
      <c r="I69" s="790"/>
      <c r="J69" s="790"/>
      <c r="K69" s="790"/>
      <c r="L69" s="803"/>
      <c r="N69" s="791"/>
    </row>
    <row r="70" spans="1:15" ht="15" customHeight="1">
      <c r="A70" s="745">
        <f>A68+1</f>
        <v>20</v>
      </c>
      <c r="B70" s="797">
        <v>303</v>
      </c>
      <c r="C70" s="798" t="s">
        <v>1401</v>
      </c>
      <c r="D70" s="768" t="s">
        <v>952</v>
      </c>
      <c r="E70" s="768" t="s">
        <v>952</v>
      </c>
      <c r="F70" s="779" t="s">
        <v>952</v>
      </c>
      <c r="G70" s="1107" t="s">
        <v>952</v>
      </c>
      <c r="H70" s="844">
        <v>155014393</v>
      </c>
      <c r="I70" s="844">
        <v>41254972</v>
      </c>
      <c r="J70" s="790">
        <f t="shared" si="8"/>
        <v>113759421</v>
      </c>
      <c r="K70" s="790">
        <f>'4D - Intangible Pnt'!E105</f>
        <v>17441889.458158135</v>
      </c>
      <c r="L70" s="801"/>
      <c r="N70" s="791"/>
    </row>
    <row r="71" spans="1:15" ht="15" customHeight="1">
      <c r="A71" s="745">
        <f t="shared" si="13"/>
        <v>21</v>
      </c>
      <c r="B71" s="797">
        <v>303</v>
      </c>
      <c r="C71" s="798" t="s">
        <v>953</v>
      </c>
      <c r="D71" s="768" t="s">
        <v>952</v>
      </c>
      <c r="E71" s="768" t="s">
        <v>952</v>
      </c>
      <c r="F71" s="779" t="s">
        <v>952</v>
      </c>
      <c r="G71" s="1107" t="s">
        <v>952</v>
      </c>
      <c r="H71" s="844">
        <v>833241</v>
      </c>
      <c r="I71" s="844">
        <v>479114</v>
      </c>
      <c r="J71" s="790">
        <f>H71-I71</f>
        <v>354127</v>
      </c>
      <c r="K71" s="264" t="s">
        <v>703</v>
      </c>
      <c r="N71" s="804"/>
    </row>
    <row r="72" spans="1:15" ht="15" customHeight="1" thickBot="1">
      <c r="A72" s="745">
        <f t="shared" si="13"/>
        <v>22</v>
      </c>
      <c r="B72" s="797"/>
      <c r="C72" s="798"/>
      <c r="D72" s="768"/>
      <c r="E72" s="768"/>
      <c r="F72" s="768"/>
      <c r="G72" s="1104"/>
      <c r="H72" s="795">
        <f>SUM(H70:H71)</f>
        <v>155847634</v>
      </c>
      <c r="I72" s="795">
        <f t="shared" ref="I72:K72" si="15">SUM(I70:I71)</f>
        <v>41734086</v>
      </c>
      <c r="J72" s="795">
        <f t="shared" si="15"/>
        <v>114113548</v>
      </c>
      <c r="K72" s="795">
        <f t="shared" si="15"/>
        <v>17441889.458158135</v>
      </c>
      <c r="M72" s="786"/>
      <c r="N72" s="796"/>
    </row>
    <row r="73" spans="1:15" ht="15" customHeight="1" thickTop="1">
      <c r="B73" s="753"/>
      <c r="C73" s="778"/>
      <c r="D73" s="800"/>
      <c r="E73" s="800"/>
      <c r="F73" s="800"/>
      <c r="G73" s="1105"/>
      <c r="H73" s="790"/>
      <c r="I73" s="790"/>
      <c r="J73" s="790"/>
      <c r="K73" s="790"/>
      <c r="N73" s="791"/>
    </row>
    <row r="74" spans="1:15">
      <c r="A74" s="745">
        <f>A72+1</f>
        <v>23</v>
      </c>
      <c r="B74" s="753"/>
      <c r="C74" s="773" t="s">
        <v>1400</v>
      </c>
      <c r="D74" s="95"/>
      <c r="E74" s="95"/>
      <c r="F74" s="95"/>
      <c r="G74" s="774"/>
      <c r="H74" s="781"/>
      <c r="I74" s="781"/>
      <c r="J74" s="776"/>
      <c r="K74" s="777"/>
      <c r="N74" s="777"/>
    </row>
    <row r="75" spans="1:15">
      <c r="A75" s="745">
        <f t="shared" ref="A75:A102" si="16">A74+1</f>
        <v>24</v>
      </c>
      <c r="B75" s="767">
        <v>303</v>
      </c>
      <c r="C75" s="798" t="s">
        <v>1366</v>
      </c>
      <c r="D75" s="1083">
        <v>2</v>
      </c>
      <c r="E75" s="1083" t="s">
        <v>952</v>
      </c>
      <c r="F75" s="779" t="s">
        <v>952</v>
      </c>
      <c r="G75" s="1107" t="s">
        <v>952</v>
      </c>
      <c r="H75" s="844">
        <v>0</v>
      </c>
      <c r="I75" s="844">
        <v>0</v>
      </c>
      <c r="J75" s="790">
        <f t="shared" ref="J75:J101" si="17">H75-I75</f>
        <v>0</v>
      </c>
      <c r="K75" s="790">
        <f t="shared" ref="K75:K82" si="18">IF(G75="N/A", 0, G75*H75)</f>
        <v>0</v>
      </c>
      <c r="L75" s="801"/>
      <c r="N75" s="791"/>
      <c r="O75" s="783"/>
    </row>
    <row r="76" spans="1:15">
      <c r="A76" s="745">
        <f t="shared" si="16"/>
        <v>25</v>
      </c>
      <c r="B76" s="767">
        <v>303</v>
      </c>
      <c r="C76" s="798" t="s">
        <v>1367</v>
      </c>
      <c r="D76" s="1083">
        <v>3</v>
      </c>
      <c r="E76" s="1083" t="s">
        <v>952</v>
      </c>
      <c r="F76" s="779" t="s">
        <v>952</v>
      </c>
      <c r="G76" s="1107">
        <v>0.209505</v>
      </c>
      <c r="H76" s="844">
        <v>9021578</v>
      </c>
      <c r="I76" s="844">
        <v>5229367</v>
      </c>
      <c r="J76" s="790">
        <f t="shared" si="17"/>
        <v>3792211</v>
      </c>
      <c r="K76" s="790">
        <f t="shared" si="18"/>
        <v>1890065.6988899999</v>
      </c>
      <c r="L76" s="801"/>
      <c r="N76" s="791"/>
      <c r="O76" s="783"/>
    </row>
    <row r="77" spans="1:15">
      <c r="A77" s="745">
        <f t="shared" si="16"/>
        <v>26</v>
      </c>
      <c r="B77" s="767">
        <v>303</v>
      </c>
      <c r="C77" s="798" t="s">
        <v>1368</v>
      </c>
      <c r="D77" s="1083">
        <v>4</v>
      </c>
      <c r="E77" s="1083" t="s">
        <v>952</v>
      </c>
      <c r="F77" s="779" t="s">
        <v>952</v>
      </c>
      <c r="G77" s="1107" t="s">
        <v>952</v>
      </c>
      <c r="H77" s="844">
        <v>0</v>
      </c>
      <c r="I77" s="844">
        <v>0</v>
      </c>
      <c r="J77" s="790">
        <f t="shared" si="17"/>
        <v>0</v>
      </c>
      <c r="K77" s="790">
        <f t="shared" si="18"/>
        <v>0</v>
      </c>
      <c r="L77" s="801"/>
      <c r="N77" s="791"/>
      <c r="O77" s="783"/>
    </row>
    <row r="78" spans="1:15">
      <c r="A78" s="745">
        <f t="shared" si="16"/>
        <v>27</v>
      </c>
      <c r="B78" s="767">
        <v>303</v>
      </c>
      <c r="C78" s="798" t="s">
        <v>1369</v>
      </c>
      <c r="D78" s="1083">
        <v>5</v>
      </c>
      <c r="E78" s="1083" t="s">
        <v>952</v>
      </c>
      <c r="F78" s="779" t="s">
        <v>952</v>
      </c>
      <c r="G78" s="1107">
        <v>0.139628</v>
      </c>
      <c r="H78" s="844">
        <v>176344629</v>
      </c>
      <c r="I78" s="844">
        <v>114068369</v>
      </c>
      <c r="J78" s="790">
        <f t="shared" si="17"/>
        <v>62276260</v>
      </c>
      <c r="K78" s="790">
        <f t="shared" si="18"/>
        <v>24622647.858012002</v>
      </c>
      <c r="L78" s="801"/>
      <c r="N78" s="791"/>
      <c r="O78" s="783"/>
    </row>
    <row r="79" spans="1:15">
      <c r="A79" s="745">
        <f t="shared" si="16"/>
        <v>28</v>
      </c>
      <c r="B79" s="767">
        <v>303</v>
      </c>
      <c r="C79" s="798" t="s">
        <v>1370</v>
      </c>
      <c r="D79" s="1083">
        <v>7</v>
      </c>
      <c r="E79" s="1083" t="s">
        <v>952</v>
      </c>
      <c r="F79" s="779" t="s">
        <v>952</v>
      </c>
      <c r="G79" s="1107" t="s">
        <v>952</v>
      </c>
      <c r="H79" s="844">
        <v>0</v>
      </c>
      <c r="I79" s="844">
        <v>0</v>
      </c>
      <c r="J79" s="790">
        <f t="shared" si="17"/>
        <v>0</v>
      </c>
      <c r="K79" s="790">
        <f t="shared" si="18"/>
        <v>0</v>
      </c>
      <c r="L79" s="801"/>
      <c r="N79" s="791"/>
      <c r="O79" s="783"/>
    </row>
    <row r="80" spans="1:15">
      <c r="A80" s="745">
        <f t="shared" si="16"/>
        <v>29</v>
      </c>
      <c r="B80" s="767">
        <v>303</v>
      </c>
      <c r="C80" s="798" t="s">
        <v>1371</v>
      </c>
      <c r="D80" s="1083">
        <v>10</v>
      </c>
      <c r="E80" s="1083" t="s">
        <v>952</v>
      </c>
      <c r="F80" s="779" t="s">
        <v>952</v>
      </c>
      <c r="G80" s="1107" t="s">
        <v>952</v>
      </c>
      <c r="H80" s="844">
        <v>0</v>
      </c>
      <c r="I80" s="844">
        <v>0</v>
      </c>
      <c r="J80" s="790">
        <f t="shared" si="17"/>
        <v>0</v>
      </c>
      <c r="K80" s="790">
        <f t="shared" si="18"/>
        <v>0</v>
      </c>
      <c r="L80" s="801"/>
      <c r="N80" s="791"/>
      <c r="O80" s="783"/>
    </row>
    <row r="81" spans="1:15">
      <c r="A81" s="745">
        <f t="shared" si="16"/>
        <v>30</v>
      </c>
      <c r="B81" s="767">
        <v>303</v>
      </c>
      <c r="C81" s="798" t="s">
        <v>1372</v>
      </c>
      <c r="D81" s="1083">
        <v>13</v>
      </c>
      <c r="E81" s="1083" t="s">
        <v>952</v>
      </c>
      <c r="F81" s="779" t="s">
        <v>952</v>
      </c>
      <c r="G81" s="1107" t="s">
        <v>952</v>
      </c>
      <c r="H81" s="844">
        <v>0</v>
      </c>
      <c r="I81" s="844">
        <v>0</v>
      </c>
      <c r="J81" s="790">
        <f t="shared" si="17"/>
        <v>0</v>
      </c>
      <c r="K81" s="790">
        <f t="shared" si="18"/>
        <v>0</v>
      </c>
      <c r="L81" s="801"/>
      <c r="N81" s="791"/>
      <c r="O81" s="783"/>
    </row>
    <row r="82" spans="1:15">
      <c r="A82" s="745">
        <f t="shared" si="16"/>
        <v>31</v>
      </c>
      <c r="B82" s="767">
        <v>303</v>
      </c>
      <c r="C82" s="798" t="s">
        <v>1373</v>
      </c>
      <c r="D82" s="1083">
        <v>15</v>
      </c>
      <c r="E82" s="1083" t="s">
        <v>952</v>
      </c>
      <c r="F82" s="779" t="s">
        <v>952</v>
      </c>
      <c r="G82" s="1107" t="s">
        <v>952</v>
      </c>
      <c r="H82" s="844">
        <v>0</v>
      </c>
      <c r="I82" s="844">
        <v>0</v>
      </c>
      <c r="J82" s="790">
        <f t="shared" si="17"/>
        <v>0</v>
      </c>
      <c r="K82" s="790">
        <f t="shared" si="18"/>
        <v>0</v>
      </c>
      <c r="L82" s="801"/>
      <c r="N82" s="791"/>
      <c r="O82" s="783"/>
    </row>
    <row r="83" spans="1:15">
      <c r="A83" s="745">
        <f t="shared" si="16"/>
        <v>32</v>
      </c>
      <c r="B83" s="767">
        <v>303</v>
      </c>
      <c r="C83" s="798" t="s">
        <v>953</v>
      </c>
      <c r="D83" s="1083" t="s">
        <v>952</v>
      </c>
      <c r="E83" s="1083" t="s">
        <v>952</v>
      </c>
      <c r="F83" s="779" t="s">
        <v>952</v>
      </c>
      <c r="G83" s="1107" t="s">
        <v>952</v>
      </c>
      <c r="H83" s="844">
        <v>0</v>
      </c>
      <c r="I83" s="844">
        <v>0</v>
      </c>
      <c r="J83" s="790">
        <f t="shared" si="17"/>
        <v>0</v>
      </c>
      <c r="K83" s="805" t="s">
        <v>703</v>
      </c>
      <c r="N83" s="806"/>
      <c r="O83" s="783"/>
    </row>
    <row r="84" spans="1:15">
      <c r="A84" s="745">
        <f t="shared" si="16"/>
        <v>33</v>
      </c>
      <c r="B84" s="767">
        <v>390</v>
      </c>
      <c r="C84" s="778" t="s">
        <v>927</v>
      </c>
      <c r="D84" s="1084">
        <v>55</v>
      </c>
      <c r="E84" s="1085" t="s">
        <v>936</v>
      </c>
      <c r="F84" s="1077">
        <v>42.56</v>
      </c>
      <c r="G84" s="1107">
        <v>1.8689999999999998E-2</v>
      </c>
      <c r="H84" s="844">
        <v>315433759</v>
      </c>
      <c r="I84" s="844">
        <v>55983445</v>
      </c>
      <c r="J84" s="790">
        <f t="shared" si="17"/>
        <v>259450314</v>
      </c>
      <c r="K84" s="790">
        <f t="shared" ref="K84:K87" si="19">IF(G84="N/A", 0, G84*H84)</f>
        <v>5895456.9557099994</v>
      </c>
      <c r="N84" s="791"/>
      <c r="O84" s="783"/>
    </row>
    <row r="85" spans="1:15">
      <c r="A85" s="745">
        <f t="shared" si="16"/>
        <v>34</v>
      </c>
      <c r="B85" s="767">
        <v>391.1</v>
      </c>
      <c r="C85" s="778" t="s">
        <v>937</v>
      </c>
      <c r="D85" s="1084">
        <v>10</v>
      </c>
      <c r="E85" s="1085" t="s">
        <v>938</v>
      </c>
      <c r="F85" s="1077">
        <v>5.5</v>
      </c>
      <c r="G85" s="1107">
        <v>0.12477100000000001</v>
      </c>
      <c r="H85" s="844">
        <v>77622</v>
      </c>
      <c r="I85" s="844">
        <v>29452</v>
      </c>
      <c r="J85" s="790">
        <f t="shared" si="17"/>
        <v>48170</v>
      </c>
      <c r="K85" s="790">
        <f t="shared" si="19"/>
        <v>9684.9745620000012</v>
      </c>
      <c r="N85" s="791"/>
      <c r="O85" s="783"/>
    </row>
    <row r="86" spans="1:15">
      <c r="A86" s="745">
        <f t="shared" si="16"/>
        <v>35</v>
      </c>
      <c r="B86" s="767">
        <v>391.2</v>
      </c>
      <c r="C86" s="778" t="s">
        <v>939</v>
      </c>
      <c r="D86" s="1084">
        <v>15</v>
      </c>
      <c r="E86" s="1085" t="s">
        <v>938</v>
      </c>
      <c r="F86" s="1077">
        <v>9.2899999999999991</v>
      </c>
      <c r="G86" s="1107">
        <v>8.0726999999999993E-2</v>
      </c>
      <c r="H86" s="844">
        <v>21063246</v>
      </c>
      <c r="I86" s="844">
        <v>5786226</v>
      </c>
      <c r="J86" s="790">
        <f t="shared" si="17"/>
        <v>15277020</v>
      </c>
      <c r="K86" s="790">
        <f t="shared" si="19"/>
        <v>1700372.6598419999</v>
      </c>
      <c r="N86" s="791"/>
      <c r="O86" s="783"/>
    </row>
    <row r="87" spans="1:15">
      <c r="A87" s="745">
        <f t="shared" si="16"/>
        <v>36</v>
      </c>
      <c r="B87" s="767">
        <v>391.3</v>
      </c>
      <c r="C87" s="778" t="s">
        <v>940</v>
      </c>
      <c r="D87" s="1084">
        <v>5</v>
      </c>
      <c r="E87" s="1085" t="s">
        <v>938</v>
      </c>
      <c r="F87" s="1077">
        <v>2.7</v>
      </c>
      <c r="G87" s="1107">
        <v>0.20524700000000001</v>
      </c>
      <c r="H87" s="844">
        <v>39157510</v>
      </c>
      <c r="I87" s="844">
        <v>17032127</v>
      </c>
      <c r="J87" s="790">
        <f t="shared" si="17"/>
        <v>22125383</v>
      </c>
      <c r="K87" s="790">
        <f t="shared" si="19"/>
        <v>8036961.4549700003</v>
      </c>
      <c r="N87" s="791"/>
      <c r="O87" s="783"/>
    </row>
    <row r="88" spans="1:15">
      <c r="A88" s="745">
        <f t="shared" si="16"/>
        <v>37</v>
      </c>
      <c r="B88" s="767">
        <v>392.1</v>
      </c>
      <c r="C88" s="778" t="s">
        <v>954</v>
      </c>
      <c r="D88" s="1084">
        <v>6</v>
      </c>
      <c r="E88" s="1085" t="s">
        <v>947</v>
      </c>
      <c r="F88" s="1077">
        <v>1.65</v>
      </c>
      <c r="G88" s="1107" t="s">
        <v>952</v>
      </c>
      <c r="H88" s="844">
        <v>45099</v>
      </c>
      <c r="I88" s="844">
        <v>46512</v>
      </c>
      <c r="J88" s="790">
        <f t="shared" si="17"/>
        <v>-1413</v>
      </c>
      <c r="K88" s="805" t="s">
        <v>703</v>
      </c>
      <c r="M88" s="807"/>
      <c r="N88" s="808"/>
      <c r="O88" s="783"/>
    </row>
    <row r="89" spans="1:15">
      <c r="A89" s="745">
        <f t="shared" si="16"/>
        <v>38</v>
      </c>
      <c r="B89" s="767">
        <v>392.2</v>
      </c>
      <c r="C89" s="778" t="s">
        <v>955</v>
      </c>
      <c r="D89" s="1084">
        <v>12</v>
      </c>
      <c r="E89" s="1085" t="s">
        <v>1695</v>
      </c>
      <c r="F89" s="1077">
        <v>7.05</v>
      </c>
      <c r="G89" s="1107" t="s">
        <v>952</v>
      </c>
      <c r="H89" s="844">
        <v>41150240</v>
      </c>
      <c r="I89" s="844">
        <v>16585693</v>
      </c>
      <c r="J89" s="790">
        <f t="shared" si="17"/>
        <v>24564547</v>
      </c>
      <c r="K89" s="805" t="s">
        <v>703</v>
      </c>
      <c r="M89" s="807"/>
      <c r="N89" s="808"/>
      <c r="O89" s="783"/>
    </row>
    <row r="90" spans="1:15">
      <c r="A90" s="745">
        <f t="shared" si="16"/>
        <v>39</v>
      </c>
      <c r="B90" s="767">
        <v>392.3</v>
      </c>
      <c r="C90" s="778" t="s">
        <v>957</v>
      </c>
      <c r="D90" s="1084">
        <v>14</v>
      </c>
      <c r="E90" s="1085" t="s">
        <v>930</v>
      </c>
      <c r="F90" s="1077">
        <v>8.18</v>
      </c>
      <c r="G90" s="1107" t="s">
        <v>952</v>
      </c>
      <c r="H90" s="844">
        <v>94753826</v>
      </c>
      <c r="I90" s="844">
        <v>38935766</v>
      </c>
      <c r="J90" s="790">
        <f t="shared" si="17"/>
        <v>55818060</v>
      </c>
      <c r="K90" s="805" t="s">
        <v>703</v>
      </c>
      <c r="M90" s="807"/>
      <c r="N90" s="808"/>
      <c r="O90" s="783"/>
    </row>
    <row r="91" spans="1:15">
      <c r="A91" s="745">
        <f t="shared" si="16"/>
        <v>40</v>
      </c>
      <c r="B91" s="767">
        <v>392.4</v>
      </c>
      <c r="C91" s="778" t="s">
        <v>958</v>
      </c>
      <c r="D91" s="1084">
        <v>11</v>
      </c>
      <c r="E91" s="1085" t="s">
        <v>959</v>
      </c>
      <c r="F91" s="1077">
        <v>4.46</v>
      </c>
      <c r="G91" s="1107" t="s">
        <v>952</v>
      </c>
      <c r="H91" s="844">
        <v>371807</v>
      </c>
      <c r="I91" s="844">
        <v>212544</v>
      </c>
      <c r="J91" s="790">
        <f t="shared" si="17"/>
        <v>159263</v>
      </c>
      <c r="K91" s="805" t="s">
        <v>703</v>
      </c>
      <c r="M91" s="807"/>
      <c r="N91" s="808"/>
      <c r="O91" s="783"/>
    </row>
    <row r="92" spans="1:15">
      <c r="A92" s="745">
        <f t="shared" si="16"/>
        <v>41</v>
      </c>
      <c r="B92" s="767">
        <v>392.5</v>
      </c>
      <c r="C92" s="778" t="s">
        <v>960</v>
      </c>
      <c r="D92" s="1084">
        <v>14</v>
      </c>
      <c r="E92" s="1085" t="s">
        <v>1696</v>
      </c>
      <c r="F92" s="1077">
        <v>8</v>
      </c>
      <c r="G92" s="1107" t="s">
        <v>952</v>
      </c>
      <c r="H92" s="844">
        <v>4626850</v>
      </c>
      <c r="I92" s="844">
        <v>2699859</v>
      </c>
      <c r="J92" s="790">
        <f t="shared" si="17"/>
        <v>1926991</v>
      </c>
      <c r="K92" s="805" t="s">
        <v>703</v>
      </c>
      <c r="M92" s="807"/>
      <c r="N92" s="808"/>
      <c r="O92" s="783"/>
    </row>
    <row r="93" spans="1:15">
      <c r="A93" s="745">
        <f t="shared" si="16"/>
        <v>42</v>
      </c>
      <c r="B93" s="767">
        <v>392.6</v>
      </c>
      <c r="C93" s="778" t="s">
        <v>961</v>
      </c>
      <c r="D93" s="1084">
        <v>15</v>
      </c>
      <c r="E93" s="1085" t="s">
        <v>959</v>
      </c>
      <c r="F93" s="1077">
        <v>7.34</v>
      </c>
      <c r="G93" s="1107" t="s">
        <v>952</v>
      </c>
      <c r="H93" s="844">
        <v>5101583</v>
      </c>
      <c r="I93" s="844">
        <v>3552123</v>
      </c>
      <c r="J93" s="790">
        <f t="shared" si="17"/>
        <v>1549460</v>
      </c>
      <c r="K93" s="805" t="s">
        <v>703</v>
      </c>
      <c r="M93" s="807"/>
      <c r="N93" s="808"/>
      <c r="O93" s="783"/>
    </row>
    <row r="94" spans="1:15">
      <c r="A94" s="745">
        <f t="shared" si="16"/>
        <v>43</v>
      </c>
      <c r="B94" s="767">
        <v>392.7</v>
      </c>
      <c r="C94" s="778" t="s">
        <v>1160</v>
      </c>
      <c r="D94" s="1084">
        <v>8</v>
      </c>
      <c r="E94" s="1084" t="s">
        <v>956</v>
      </c>
      <c r="F94" s="1077">
        <v>4.47</v>
      </c>
      <c r="G94" s="1107" t="s">
        <v>952</v>
      </c>
      <c r="H94" s="844">
        <v>25164322</v>
      </c>
      <c r="I94" s="844">
        <v>13004606</v>
      </c>
      <c r="J94" s="790">
        <f t="shared" si="17"/>
        <v>12159716</v>
      </c>
      <c r="K94" s="805" t="s">
        <v>703</v>
      </c>
      <c r="N94" s="808"/>
      <c r="O94" s="783"/>
    </row>
    <row r="95" spans="1:15">
      <c r="A95" s="745">
        <f t="shared" si="16"/>
        <v>44</v>
      </c>
      <c r="B95" s="767">
        <v>393</v>
      </c>
      <c r="C95" s="778" t="s">
        <v>942</v>
      </c>
      <c r="D95" s="1084">
        <v>15</v>
      </c>
      <c r="E95" s="1085" t="s">
        <v>938</v>
      </c>
      <c r="F95" s="1077">
        <v>9.61</v>
      </c>
      <c r="G95" s="1107">
        <v>6.7502000000000006E-2</v>
      </c>
      <c r="H95" s="844">
        <v>1177176</v>
      </c>
      <c r="I95" s="844">
        <v>326264</v>
      </c>
      <c r="J95" s="790">
        <f t="shared" si="17"/>
        <v>850912</v>
      </c>
      <c r="K95" s="790">
        <f t="shared" ref="K95:K97" si="20">IF(G95="N/A", 0, G95*H95)</f>
        <v>79461.734352000014</v>
      </c>
      <c r="N95" s="809"/>
      <c r="O95" s="783"/>
    </row>
    <row r="96" spans="1:15">
      <c r="A96" s="745">
        <f t="shared" si="16"/>
        <v>45</v>
      </c>
      <c r="B96" s="767">
        <v>394.1</v>
      </c>
      <c r="C96" s="778" t="s">
        <v>962</v>
      </c>
      <c r="D96" s="1084">
        <v>15</v>
      </c>
      <c r="E96" s="1085" t="s">
        <v>938</v>
      </c>
      <c r="F96" s="1077">
        <v>0</v>
      </c>
      <c r="G96" s="1107">
        <v>0</v>
      </c>
      <c r="H96" s="844">
        <v>0</v>
      </c>
      <c r="I96" s="844">
        <v>-367</v>
      </c>
      <c r="J96" s="790">
        <f t="shared" si="17"/>
        <v>367</v>
      </c>
      <c r="K96" s="790">
        <f t="shared" si="20"/>
        <v>0</v>
      </c>
      <c r="N96" s="809"/>
      <c r="O96" s="783"/>
    </row>
    <row r="97" spans="1:16">
      <c r="A97" s="745">
        <f t="shared" si="16"/>
        <v>46</v>
      </c>
      <c r="B97" s="767">
        <v>394.2</v>
      </c>
      <c r="C97" s="778" t="s">
        <v>963</v>
      </c>
      <c r="D97" s="1084">
        <v>15</v>
      </c>
      <c r="E97" s="1085" t="s">
        <v>938</v>
      </c>
      <c r="F97" s="1077">
        <v>9.2799999999999994</v>
      </c>
      <c r="G97" s="1107">
        <v>6.5389000000000003E-2</v>
      </c>
      <c r="H97" s="844">
        <v>779612</v>
      </c>
      <c r="I97" s="844">
        <v>333841</v>
      </c>
      <c r="J97" s="790">
        <f t="shared" si="17"/>
        <v>445771</v>
      </c>
      <c r="K97" s="790">
        <f t="shared" si="20"/>
        <v>50978.049068</v>
      </c>
      <c r="M97" s="807"/>
      <c r="N97" s="809"/>
      <c r="O97" s="783"/>
    </row>
    <row r="98" spans="1:16">
      <c r="A98" s="745">
        <f t="shared" si="16"/>
        <v>47</v>
      </c>
      <c r="B98" s="767">
        <v>394.3</v>
      </c>
      <c r="C98" s="778" t="s">
        <v>964</v>
      </c>
      <c r="D98" s="1084">
        <v>20</v>
      </c>
      <c r="E98" s="1085" t="s">
        <v>938</v>
      </c>
      <c r="F98" s="1077">
        <v>12.4</v>
      </c>
      <c r="G98" s="1107" t="s">
        <v>952</v>
      </c>
      <c r="H98" s="844">
        <v>1354684</v>
      </c>
      <c r="I98" s="844">
        <v>491267</v>
      </c>
      <c r="J98" s="790">
        <f t="shared" si="17"/>
        <v>863417</v>
      </c>
      <c r="K98" s="805" t="s">
        <v>703</v>
      </c>
      <c r="M98" s="807"/>
      <c r="N98" s="808"/>
      <c r="O98" s="783"/>
    </row>
    <row r="99" spans="1:16">
      <c r="A99" s="745">
        <f t="shared" si="16"/>
        <v>48</v>
      </c>
      <c r="B99" s="767">
        <v>396</v>
      </c>
      <c r="C99" s="778" t="s">
        <v>965</v>
      </c>
      <c r="D99" s="1084">
        <v>12</v>
      </c>
      <c r="E99" s="1085" t="s">
        <v>1697</v>
      </c>
      <c r="F99" s="1077">
        <v>0.9</v>
      </c>
      <c r="G99" s="1107" t="s">
        <v>952</v>
      </c>
      <c r="H99" s="844">
        <v>142834</v>
      </c>
      <c r="I99" s="844">
        <v>142807</v>
      </c>
      <c r="J99" s="790">
        <f t="shared" si="17"/>
        <v>27</v>
      </c>
      <c r="K99" s="805" t="s">
        <v>703</v>
      </c>
      <c r="M99" s="807"/>
      <c r="N99" s="808"/>
      <c r="O99" s="783"/>
    </row>
    <row r="100" spans="1:16">
      <c r="A100" s="745">
        <f t="shared" si="16"/>
        <v>49</v>
      </c>
      <c r="B100" s="767">
        <v>397</v>
      </c>
      <c r="C100" s="778" t="s">
        <v>946</v>
      </c>
      <c r="D100" s="1084">
        <v>20</v>
      </c>
      <c r="E100" s="1085" t="s">
        <v>947</v>
      </c>
      <c r="F100" s="1077">
        <v>14.34</v>
      </c>
      <c r="G100" s="1107">
        <v>4.6522000000000001E-2</v>
      </c>
      <c r="H100" s="844">
        <v>102708250</v>
      </c>
      <c r="I100" s="844">
        <v>34590776</v>
      </c>
      <c r="J100" s="790">
        <f t="shared" si="17"/>
        <v>68117474</v>
      </c>
      <c r="K100" s="805">
        <f>IF(G100="N/A", 0, G100*H100)</f>
        <v>4778193.2065000003</v>
      </c>
      <c r="N100" s="808"/>
      <c r="O100" s="783"/>
    </row>
    <row r="101" spans="1:16">
      <c r="A101" s="745">
        <f t="shared" si="16"/>
        <v>50</v>
      </c>
      <c r="B101" s="767">
        <v>398</v>
      </c>
      <c r="C101" s="778" t="s">
        <v>950</v>
      </c>
      <c r="D101" s="1084">
        <v>15</v>
      </c>
      <c r="E101" s="1085" t="s">
        <v>938</v>
      </c>
      <c r="F101" s="1077">
        <v>3.69</v>
      </c>
      <c r="G101" s="1107">
        <v>0.12612300000000001</v>
      </c>
      <c r="H101" s="844">
        <v>2619036</v>
      </c>
      <c r="I101" s="844">
        <v>963585</v>
      </c>
      <c r="J101" s="790">
        <f t="shared" si="17"/>
        <v>1655451</v>
      </c>
      <c r="K101" s="790">
        <f t="shared" ref="K101" si="21">IF(G101="N/A", 0, G101*H101)</f>
        <v>330320.67742800002</v>
      </c>
      <c r="N101" s="809"/>
      <c r="O101" s="783"/>
    </row>
    <row r="102" spans="1:16" ht="15.75" thickBot="1">
      <c r="A102" s="745">
        <f t="shared" si="16"/>
        <v>51</v>
      </c>
      <c r="B102" s="753"/>
      <c r="C102" s="773"/>
      <c r="D102" s="95"/>
      <c r="E102" s="95"/>
      <c r="F102" s="95"/>
      <c r="G102" s="95"/>
      <c r="H102" s="810">
        <f>SUM(H75:H101)</f>
        <v>841093663</v>
      </c>
      <c r="I102" s="810">
        <f>SUM(I75:I101)</f>
        <v>310014262</v>
      </c>
      <c r="J102" s="810">
        <f>SUM(J75:J101)</f>
        <v>531079401</v>
      </c>
      <c r="K102" s="810">
        <f>SUM(K75:K101)</f>
        <v>47394143.269334003</v>
      </c>
      <c r="N102" s="811"/>
      <c r="O102" s="788"/>
      <c r="P102" s="812"/>
    </row>
    <row r="103" spans="1:16" ht="15" customHeight="1" thickTop="1">
      <c r="B103" s="797"/>
      <c r="C103" s="798"/>
      <c r="D103" s="768"/>
      <c r="E103" s="768"/>
      <c r="F103" s="768"/>
      <c r="G103" s="799"/>
      <c r="H103" s="796"/>
      <c r="I103" s="796"/>
      <c r="J103" s="796"/>
      <c r="K103" s="796"/>
      <c r="L103" s="231" t="s">
        <v>1413</v>
      </c>
      <c r="M103" s="786"/>
    </row>
    <row r="104" spans="1:16" ht="15" customHeight="1">
      <c r="B104" s="1256" t="s">
        <v>681</v>
      </c>
      <c r="C104" s="1256"/>
      <c r="D104" s="1256"/>
      <c r="E104" s="1256"/>
      <c r="F104" s="1256"/>
      <c r="G104" s="1256"/>
      <c r="H104" s="1256"/>
      <c r="I104" s="1256"/>
      <c r="J104" s="1256"/>
      <c r="K104" s="1256"/>
      <c r="L104" s="1256"/>
      <c r="M104" s="786"/>
    </row>
    <row r="105" spans="1:16" ht="15" customHeight="1">
      <c r="B105" s="1256" t="s">
        <v>1439</v>
      </c>
      <c r="C105" s="1256"/>
      <c r="D105" s="1256"/>
      <c r="E105" s="1256"/>
      <c r="F105" s="1256"/>
      <c r="G105" s="1256"/>
      <c r="H105" s="1256"/>
      <c r="I105" s="1256"/>
      <c r="J105" s="1256"/>
      <c r="K105" s="1256"/>
      <c r="L105" s="1256"/>
      <c r="M105" s="786"/>
    </row>
    <row r="106" spans="1:16" ht="20.45" customHeight="1">
      <c r="B106" s="813"/>
      <c r="C106" s="814"/>
      <c r="D106" s="814"/>
      <c r="E106" s="814"/>
      <c r="F106" s="814"/>
      <c r="G106" s="814"/>
      <c r="H106" s="814"/>
      <c r="I106" s="814"/>
      <c r="J106" s="814"/>
      <c r="K106" s="814"/>
      <c r="L106" s="814"/>
    </row>
    <row r="107" spans="1:16" ht="20.45" customHeight="1">
      <c r="B107" s="813"/>
      <c r="C107" s="814"/>
      <c r="D107" s="815" t="s">
        <v>1404</v>
      </c>
      <c r="E107" s="815" t="s">
        <v>1404</v>
      </c>
      <c r="F107" s="815" t="str">
        <f>+E107</f>
        <v>Current Year</v>
      </c>
      <c r="G107" s="815" t="s">
        <v>1406</v>
      </c>
      <c r="H107" s="815" t="s">
        <v>1404</v>
      </c>
      <c r="I107" s="241" t="s">
        <v>1416</v>
      </c>
      <c r="J107" s="241" t="s">
        <v>1416</v>
      </c>
      <c r="K107" s="241" t="s">
        <v>1404</v>
      </c>
      <c r="L107" s="241" t="s">
        <v>1404</v>
      </c>
    </row>
    <row r="108" spans="1:16" ht="19.350000000000001" customHeight="1">
      <c r="B108" s="730"/>
      <c r="D108" s="815" t="s">
        <v>1448</v>
      </c>
      <c r="E108" s="815" t="s">
        <v>1449</v>
      </c>
      <c r="F108" s="815" t="s">
        <v>1403</v>
      </c>
      <c r="G108" s="815" t="s">
        <v>1407</v>
      </c>
      <c r="H108" s="815" t="s">
        <v>1415</v>
      </c>
      <c r="I108" s="241" t="s">
        <v>1417</v>
      </c>
      <c r="J108" s="241" t="s">
        <v>1417</v>
      </c>
      <c r="K108" s="241" t="s">
        <v>1417</v>
      </c>
      <c r="L108" s="241" t="s">
        <v>1417</v>
      </c>
      <c r="M108" s="816"/>
    </row>
    <row r="109" spans="1:16" ht="19.350000000000001" customHeight="1">
      <c r="B109" s="16"/>
      <c r="C109" s="16"/>
      <c r="D109" s="815" t="s">
        <v>1405</v>
      </c>
      <c r="E109" s="815" t="s">
        <v>1457</v>
      </c>
      <c r="F109" s="17" t="s">
        <v>1418</v>
      </c>
      <c r="G109" s="815"/>
      <c r="H109" s="815" t="s">
        <v>1407</v>
      </c>
      <c r="I109" s="241" t="s">
        <v>1403</v>
      </c>
      <c r="J109" s="241" t="s">
        <v>1403</v>
      </c>
      <c r="K109" s="241" t="s">
        <v>1403</v>
      </c>
      <c r="L109" s="241" t="s">
        <v>1403</v>
      </c>
      <c r="M109" s="816"/>
    </row>
    <row r="110" spans="1:16" ht="19.350000000000001" customHeight="1">
      <c r="B110" s="16"/>
      <c r="C110" s="16"/>
      <c r="D110" s="17" t="s">
        <v>1418</v>
      </c>
      <c r="E110" s="17" t="s">
        <v>1418</v>
      </c>
      <c r="G110" s="16"/>
      <c r="H110" s="817"/>
      <c r="I110" s="17" t="s">
        <v>1418</v>
      </c>
      <c r="J110" s="17" t="s">
        <v>17</v>
      </c>
      <c r="K110" s="17" t="s">
        <v>1418</v>
      </c>
      <c r="L110" s="17" t="s">
        <v>17</v>
      </c>
      <c r="M110" s="816"/>
    </row>
    <row r="111" spans="1:16" ht="19.350000000000001" customHeight="1">
      <c r="B111" s="750"/>
      <c r="D111" s="750" t="s">
        <v>906</v>
      </c>
      <c r="E111" s="750" t="s">
        <v>907</v>
      </c>
      <c r="F111" s="818" t="s">
        <v>1419</v>
      </c>
      <c r="G111" s="241" t="s">
        <v>909</v>
      </c>
      <c r="H111" s="819" t="s">
        <v>1420</v>
      </c>
      <c r="I111" s="752" t="s">
        <v>911</v>
      </c>
      <c r="J111" s="241" t="s">
        <v>912</v>
      </c>
      <c r="K111" s="241" t="s">
        <v>1421</v>
      </c>
      <c r="L111" s="241" t="s">
        <v>1422</v>
      </c>
      <c r="M111" s="816"/>
    </row>
    <row r="112" spans="1:16" ht="19.350000000000001" customHeight="1">
      <c r="B112" s="16"/>
      <c r="C112" s="16"/>
      <c r="E112" s="16"/>
      <c r="F112" s="16"/>
      <c r="G112" s="16"/>
      <c r="H112" s="817"/>
      <c r="L112" s="816"/>
      <c r="M112" s="816"/>
    </row>
    <row r="113" spans="1:13" ht="19.350000000000001" customHeight="1">
      <c r="B113" s="16"/>
      <c r="C113" s="16"/>
      <c r="E113" s="16"/>
      <c r="F113" s="16"/>
      <c r="G113" s="16"/>
      <c r="H113" s="817"/>
      <c r="L113" s="816"/>
      <c r="M113" s="816"/>
    </row>
    <row r="114" spans="1:13" ht="19.350000000000001" customHeight="1">
      <c r="A114" s="745">
        <f>A112+1</f>
        <v>1</v>
      </c>
      <c r="B114" s="820" t="s">
        <v>17</v>
      </c>
      <c r="C114" s="16"/>
      <c r="D114" s="817">
        <f>'8 - Depreciation Rates'!K26</f>
        <v>31999118.321264997</v>
      </c>
      <c r="E114" s="1076">
        <v>31999026</v>
      </c>
      <c r="F114" s="747">
        <f>D114-E114</f>
        <v>92.321264997124672</v>
      </c>
      <c r="G114" s="821">
        <v>1</v>
      </c>
      <c r="H114" s="231">
        <f>F114*G114</f>
        <v>92.321264997124672</v>
      </c>
      <c r="I114" s="1075">
        <v>-838.84792092441717</v>
      </c>
      <c r="J114" s="1075">
        <v>-838.84792092441717</v>
      </c>
      <c r="K114" s="747">
        <f>I114+F114</f>
        <v>-746.5266559272925</v>
      </c>
      <c r="L114" s="822">
        <f>H114+J114</f>
        <v>-746.5266559272925</v>
      </c>
      <c r="M114" s="816"/>
    </row>
    <row r="115" spans="1:13" ht="19.350000000000001" customHeight="1">
      <c r="A115" s="745">
        <f>A114+1</f>
        <v>2</v>
      </c>
      <c r="B115" s="820" t="s">
        <v>874</v>
      </c>
      <c r="D115" s="817">
        <f>'8 - Depreciation Rates'!K44</f>
        <v>23113085.930592999</v>
      </c>
      <c r="E115" s="1076">
        <v>23170142</v>
      </c>
      <c r="F115" s="747">
        <f>D115-E115</f>
        <v>-57056.069407001138</v>
      </c>
      <c r="G115" s="821">
        <f>'Attachment H-7'!I206</f>
        <v>0.12544749445449754</v>
      </c>
      <c r="H115" s="231">
        <f>F115*G115</f>
        <v>-7157.5409505302023</v>
      </c>
      <c r="I115" s="1075">
        <v>-99615.264224631712</v>
      </c>
      <c r="J115" s="1075">
        <v>-12170.93263484664</v>
      </c>
      <c r="K115" s="747">
        <f t="shared" ref="K115:K119" si="22">I115+F115</f>
        <v>-156671.33363163285</v>
      </c>
      <c r="L115" s="822">
        <f t="shared" ref="L115:L119" si="23">H115+J115</f>
        <v>-19328.473585376843</v>
      </c>
      <c r="M115" s="816"/>
    </row>
    <row r="116" spans="1:13" ht="19.350000000000001" customHeight="1">
      <c r="A116" s="745">
        <f>A115+1</f>
        <v>3</v>
      </c>
      <c r="B116" s="820" t="s">
        <v>1390</v>
      </c>
      <c r="D116" s="817">
        <f>'8 - Depreciation Rates'!K102</f>
        <v>47394143.269334003</v>
      </c>
      <c r="E116" s="1076">
        <v>47394759</v>
      </c>
      <c r="F116" s="747">
        <f>D116-E116</f>
        <v>-615.73066599667072</v>
      </c>
      <c r="G116" s="821">
        <f>G115</f>
        <v>0.12544749445449754</v>
      </c>
      <c r="H116" s="231">
        <f>F116*G116</f>
        <v>-77.241869308081434</v>
      </c>
      <c r="I116" s="1075">
        <v>-7919.7625939920545</v>
      </c>
      <c r="J116" s="1075">
        <v>-974.0547492097611</v>
      </c>
      <c r="K116" s="747">
        <f t="shared" si="22"/>
        <v>-8535.4932599887252</v>
      </c>
      <c r="L116" s="822">
        <f t="shared" si="23"/>
        <v>-1051.2966185178425</v>
      </c>
      <c r="M116" s="816"/>
    </row>
    <row r="117" spans="1:13" ht="19.350000000000001" customHeight="1">
      <c r="A117" s="745">
        <f>A116+1</f>
        <v>4</v>
      </c>
      <c r="B117" s="820" t="s">
        <v>1408</v>
      </c>
      <c r="D117" s="817">
        <f>'8 - Depreciation Rates'!K58</f>
        <v>4731984.5683439998</v>
      </c>
      <c r="E117" s="817">
        <f>'4D - Intangible Pnt'!D105</f>
        <v>4731982.8718418628</v>
      </c>
      <c r="F117" s="747">
        <f t="shared" ref="F117:F119" si="24">D117-E117</f>
        <v>1.6965021369978786</v>
      </c>
      <c r="G117" s="821">
        <f>G114</f>
        <v>1</v>
      </c>
      <c r="H117" s="231">
        <f t="shared" ref="H117:H119" si="25">F117*G117</f>
        <v>1.6965021369978786</v>
      </c>
      <c r="I117" s="1075">
        <v>9271.3832373491987</v>
      </c>
      <c r="J117" s="1075">
        <v>9271.3832374391986</v>
      </c>
      <c r="K117" s="747">
        <f t="shared" si="22"/>
        <v>9273.0797394861966</v>
      </c>
      <c r="L117" s="822">
        <f t="shared" si="23"/>
        <v>9273.0797395761965</v>
      </c>
      <c r="M117" s="816"/>
    </row>
    <row r="118" spans="1:13" ht="19.350000000000001" customHeight="1">
      <c r="A118" s="745">
        <f t="shared" ref="A118:A120" si="26">A117+1</f>
        <v>5</v>
      </c>
      <c r="B118" s="820" t="s">
        <v>1409</v>
      </c>
      <c r="D118" s="817">
        <f>+'8 - Depreciation Rates'!K68</f>
        <v>6079371.0042590005</v>
      </c>
      <c r="E118" s="817">
        <f>'4D - Intangible Pnt'!F105</f>
        <v>6079372.8700000001</v>
      </c>
      <c r="F118" s="747">
        <f t="shared" si="24"/>
        <v>-1.8657409995794296</v>
      </c>
      <c r="G118" s="821">
        <f>G116</f>
        <v>0.12544749445449754</v>
      </c>
      <c r="H118" s="231">
        <f t="shared" si="25"/>
        <v>-0.2340525336982692</v>
      </c>
      <c r="I118" s="1075">
        <v>0.67959432117640972</v>
      </c>
      <c r="J118" s="1075">
        <v>0.13870605922946999</v>
      </c>
      <c r="K118" s="747">
        <f t="shared" si="22"/>
        <v>-1.1861466784030199</v>
      </c>
      <c r="L118" s="822">
        <f t="shared" si="23"/>
        <v>-9.5346474468799208E-2</v>
      </c>
      <c r="M118" s="816"/>
    </row>
    <row r="119" spans="1:13" ht="19.350000000000001" customHeight="1">
      <c r="A119" s="745">
        <f t="shared" si="26"/>
        <v>6</v>
      </c>
      <c r="B119" s="820" t="s">
        <v>1410</v>
      </c>
      <c r="D119" s="817">
        <f>+'8 - Depreciation Rates'!K72</f>
        <v>17441889.458158135</v>
      </c>
      <c r="E119" s="817">
        <f>'4D - Intangible Pnt'!E105</f>
        <v>17441889.458158135</v>
      </c>
      <c r="F119" s="747">
        <f t="shared" si="24"/>
        <v>0</v>
      </c>
      <c r="G119" s="821">
        <v>0</v>
      </c>
      <c r="H119" s="231">
        <f t="shared" si="25"/>
        <v>0</v>
      </c>
      <c r="I119" s="803">
        <v>0</v>
      </c>
      <c r="J119" s="803">
        <v>0</v>
      </c>
      <c r="K119" s="747">
        <f t="shared" si="22"/>
        <v>0</v>
      </c>
      <c r="L119" s="822">
        <f t="shared" si="23"/>
        <v>0</v>
      </c>
      <c r="M119" s="816"/>
    </row>
    <row r="120" spans="1:13" ht="19.350000000000001" customHeight="1">
      <c r="A120" s="745">
        <f t="shared" si="26"/>
        <v>7</v>
      </c>
      <c r="B120" s="823"/>
      <c r="D120" s="538"/>
      <c r="I120" s="821"/>
      <c r="J120" s="817"/>
      <c r="K120" s="817"/>
      <c r="L120" s="816"/>
      <c r="M120" s="816"/>
    </row>
    <row r="121" spans="1:13" ht="19.350000000000001" customHeight="1">
      <c r="A121" s="745">
        <f>A120+1</f>
        <v>8</v>
      </c>
      <c r="B121" s="824" t="s">
        <v>1423</v>
      </c>
      <c r="D121" s="538"/>
      <c r="H121" s="16"/>
      <c r="I121" s="821"/>
      <c r="J121" s="16"/>
      <c r="K121" s="817"/>
      <c r="L121" s="816"/>
      <c r="M121" s="816"/>
    </row>
    <row r="122" spans="1:13" ht="19.350000000000001" customHeight="1">
      <c r="B122" s="824"/>
      <c r="D122" s="538"/>
      <c r="E122" s="746" t="s">
        <v>1424</v>
      </c>
      <c r="F122" s="17" t="s">
        <v>1426</v>
      </c>
      <c r="G122" s="17" t="s">
        <v>1428</v>
      </c>
      <c r="H122" s="815" t="s">
        <v>1406</v>
      </c>
      <c r="I122" s="17" t="s">
        <v>1428</v>
      </c>
      <c r="J122" s="16"/>
      <c r="K122" s="817"/>
      <c r="L122" s="816"/>
      <c r="M122" s="816"/>
    </row>
    <row r="123" spans="1:13" ht="19.350000000000001" customHeight="1">
      <c r="B123" s="824"/>
      <c r="D123" s="538"/>
      <c r="E123" s="746" t="s">
        <v>1450</v>
      </c>
      <c r="F123" s="17" t="s">
        <v>1427</v>
      </c>
      <c r="G123" s="17" t="s">
        <v>1451</v>
      </c>
      <c r="H123" s="815" t="s">
        <v>1407</v>
      </c>
      <c r="I123" s="17" t="s">
        <v>1451</v>
      </c>
      <c r="J123" s="16"/>
      <c r="K123" s="817"/>
      <c r="L123" s="816"/>
      <c r="M123" s="816"/>
    </row>
    <row r="124" spans="1:13" ht="19.350000000000001" customHeight="1">
      <c r="A124" s="745">
        <f>A121+1</f>
        <v>9</v>
      </c>
      <c r="B124" s="825"/>
      <c r="C124" s="825"/>
      <c r="D124" s="825"/>
      <c r="E124" s="826" t="s">
        <v>1418</v>
      </c>
      <c r="F124" s="826" t="s">
        <v>1418</v>
      </c>
      <c r="G124" s="826" t="s">
        <v>1418</v>
      </c>
      <c r="I124" s="826" t="s">
        <v>17</v>
      </c>
      <c r="J124" s="16"/>
      <c r="K124" s="817"/>
      <c r="L124" s="816"/>
      <c r="M124" s="816"/>
    </row>
    <row r="125" spans="1:13" ht="19.350000000000001" customHeight="1">
      <c r="B125" s="825"/>
      <c r="C125" s="825"/>
      <c r="D125" s="825"/>
      <c r="E125" s="826"/>
      <c r="F125" s="826"/>
      <c r="G125" s="827"/>
      <c r="I125" s="827"/>
      <c r="J125" s="16"/>
      <c r="K125" s="817"/>
      <c r="L125" s="816"/>
      <c r="M125" s="816"/>
    </row>
    <row r="126" spans="1:13" ht="19.350000000000001" customHeight="1">
      <c r="B126" s="825"/>
      <c r="C126" s="825"/>
      <c r="D126" s="825"/>
      <c r="E126" s="826"/>
      <c r="F126" s="826"/>
      <c r="G126" s="827"/>
      <c r="I126" s="827"/>
      <c r="J126" s="16"/>
      <c r="K126" s="817"/>
      <c r="L126" s="816"/>
      <c r="M126" s="816"/>
    </row>
    <row r="127" spans="1:13" ht="19.350000000000001" customHeight="1">
      <c r="A127" s="745">
        <f>A124+1</f>
        <v>10</v>
      </c>
      <c r="B127" s="820" t="s">
        <v>17</v>
      </c>
      <c r="D127" s="825"/>
      <c r="E127" s="828">
        <f>'4- Rate Base'!J24</f>
        <v>622949978.41480875</v>
      </c>
      <c r="F127" s="782">
        <f>(I114+K114)/2</f>
        <v>-792.68728842585483</v>
      </c>
      <c r="G127" s="782">
        <f>E127-F127</f>
        <v>622950771.10209715</v>
      </c>
      <c r="H127" s="829">
        <f>G114</f>
        <v>1</v>
      </c>
      <c r="I127" s="782">
        <f>G127*H127</f>
        <v>622950771.10209715</v>
      </c>
      <c r="J127" s="16"/>
      <c r="K127" s="817"/>
      <c r="L127" s="816"/>
      <c r="M127" s="816"/>
    </row>
    <row r="128" spans="1:13" ht="19.350000000000001" customHeight="1">
      <c r="A128" s="745">
        <f t="shared" ref="A128:A141" si="27">A127+1</f>
        <v>11</v>
      </c>
      <c r="B128" s="820" t="s">
        <v>874</v>
      </c>
      <c r="D128" s="825"/>
      <c r="E128" s="830">
        <f>'4- Rate Base'!K24</f>
        <v>152366823.094295</v>
      </c>
      <c r="F128" s="782">
        <f t="shared" ref="F128:F132" si="28">(I115+K115)/2</f>
        <v>-128143.29892813228</v>
      </c>
      <c r="G128" s="782">
        <f t="shared" ref="G128:G132" si="29">E128-F128</f>
        <v>152494966.39322314</v>
      </c>
      <c r="H128" s="829">
        <f t="shared" ref="H128:H131" si="30">G115</f>
        <v>0.12544749445449754</v>
      </c>
      <c r="I128" s="782">
        <f t="shared" ref="I128:I132" si="31">G128*H128</f>
        <v>19130111.450952649</v>
      </c>
      <c r="J128" s="817"/>
      <c r="K128" s="817"/>
      <c r="L128" s="814"/>
    </row>
    <row r="129" spans="1:17">
      <c r="A129" s="745">
        <f t="shared" si="27"/>
        <v>12</v>
      </c>
      <c r="B129" s="820" t="s">
        <v>1390</v>
      </c>
      <c r="D129" s="825"/>
      <c r="E129" s="830">
        <f>'4- Rate Base'!L24</f>
        <v>331415940.56592518</v>
      </c>
      <c r="F129" s="782">
        <f t="shared" si="28"/>
        <v>-8227.6279269903898</v>
      </c>
      <c r="G129" s="782">
        <f t="shared" si="29"/>
        <v>331424168.19385219</v>
      </c>
      <c r="H129" s="829">
        <f t="shared" si="30"/>
        <v>0.12544749445449754</v>
      </c>
      <c r="I129" s="782">
        <f t="shared" si="31"/>
        <v>41576331.501584731</v>
      </c>
      <c r="J129" s="817"/>
      <c r="K129" s="817"/>
    </row>
    <row r="130" spans="1:17">
      <c r="A130" s="745">
        <f t="shared" si="27"/>
        <v>13</v>
      </c>
      <c r="B130" s="820" t="s">
        <v>1408</v>
      </c>
      <c r="D130" s="825"/>
      <c r="E130" s="830">
        <f>'4D - Intangible Pnt'!Q52</f>
        <v>20921045.268003739</v>
      </c>
      <c r="F130" s="782">
        <f t="shared" si="28"/>
        <v>9272.2314884176976</v>
      </c>
      <c r="G130" s="782">
        <f t="shared" si="29"/>
        <v>20911773.036515322</v>
      </c>
      <c r="H130" s="829">
        <f t="shared" si="30"/>
        <v>1</v>
      </c>
      <c r="I130" s="782">
        <f t="shared" si="31"/>
        <v>20911773.036515322</v>
      </c>
      <c r="J130" s="16"/>
      <c r="K130" s="817"/>
    </row>
    <row r="131" spans="1:17">
      <c r="A131" s="745">
        <f t="shared" si="27"/>
        <v>14</v>
      </c>
      <c r="B131" s="820" t="s">
        <v>1409</v>
      </c>
      <c r="D131" s="538"/>
      <c r="E131" s="830">
        <f>'4D - Intangible Pnt'!S52</f>
        <v>21043762.956482358</v>
      </c>
      <c r="F131" s="782">
        <f t="shared" si="28"/>
        <v>-0.25327617861330509</v>
      </c>
      <c r="G131" s="782">
        <f t="shared" si="29"/>
        <v>21043763.209758535</v>
      </c>
      <c r="H131" s="829">
        <f t="shared" si="30"/>
        <v>0.12544749445449754</v>
      </c>
      <c r="I131" s="782">
        <f t="shared" si="31"/>
        <v>2639887.368557943</v>
      </c>
      <c r="J131" s="16"/>
      <c r="K131" s="817"/>
    </row>
    <row r="132" spans="1:17">
      <c r="A132" s="745">
        <f t="shared" si="27"/>
        <v>15</v>
      </c>
      <c r="B132" s="820" t="s">
        <v>1410</v>
      </c>
      <c r="D132" s="16"/>
      <c r="E132" s="830">
        <f>'4D - Intangible Pnt'!R52</f>
        <v>46189219.661280014</v>
      </c>
      <c r="F132" s="828">
        <f t="shared" si="28"/>
        <v>0</v>
      </c>
      <c r="G132" s="782">
        <f t="shared" si="29"/>
        <v>46189219.661280014</v>
      </c>
      <c r="H132" s="829">
        <v>0</v>
      </c>
      <c r="I132" s="782">
        <f t="shared" si="31"/>
        <v>0</v>
      </c>
      <c r="J132" s="16"/>
      <c r="K132" s="817"/>
    </row>
    <row r="133" spans="1:17">
      <c r="A133" s="745">
        <f t="shared" si="27"/>
        <v>16</v>
      </c>
      <c r="B133" s="820" t="s">
        <v>1425</v>
      </c>
      <c r="D133" s="16"/>
      <c r="E133" s="830">
        <f>SUM(E130:E132)</f>
        <v>88154027.885766119</v>
      </c>
      <c r="F133" s="830">
        <f>SUM(F130:F132)</f>
        <v>9271.9782122390843</v>
      </c>
      <c r="G133" s="830">
        <f>SUM(G130:G132)</f>
        <v>88144755.907553881</v>
      </c>
      <c r="I133" s="830">
        <f>SUM(I130:I132)</f>
        <v>23551660.405073263</v>
      </c>
      <c r="J133" s="817"/>
      <c r="K133" s="16"/>
    </row>
    <row r="134" spans="1:17">
      <c r="A134" s="745">
        <f t="shared" si="27"/>
        <v>17</v>
      </c>
      <c r="B134" s="823"/>
      <c r="D134" s="538"/>
      <c r="I134" s="821"/>
      <c r="J134" s="817"/>
      <c r="K134" s="16"/>
    </row>
    <row r="135" spans="1:17">
      <c r="A135" s="745">
        <f t="shared" si="27"/>
        <v>18</v>
      </c>
      <c r="B135" s="823"/>
      <c r="D135" s="538"/>
      <c r="I135" s="831"/>
      <c r="J135" s="817"/>
      <c r="K135" s="16"/>
    </row>
    <row r="136" spans="1:17">
      <c r="A136" s="745">
        <f t="shared" si="27"/>
        <v>19</v>
      </c>
      <c r="B136" s="823"/>
      <c r="D136" s="538"/>
      <c r="H136" s="817"/>
      <c r="I136" s="16"/>
      <c r="J136" s="16"/>
      <c r="K136" s="817"/>
    </row>
    <row r="137" spans="1:17">
      <c r="A137" s="745">
        <f t="shared" si="27"/>
        <v>20</v>
      </c>
      <c r="B137" s="823"/>
      <c r="D137" s="538"/>
      <c r="H137" s="16"/>
      <c r="I137" s="16"/>
      <c r="J137" s="16"/>
      <c r="K137" s="817"/>
    </row>
    <row r="138" spans="1:17">
      <c r="A138" s="745">
        <f t="shared" si="27"/>
        <v>21</v>
      </c>
      <c r="B138" s="16"/>
      <c r="C138" s="16"/>
      <c r="H138" s="16"/>
      <c r="I138" s="16"/>
      <c r="J138" s="16"/>
      <c r="K138" s="817"/>
    </row>
    <row r="139" spans="1:17">
      <c r="A139" s="745">
        <f t="shared" si="27"/>
        <v>22</v>
      </c>
      <c r="B139" s="16"/>
      <c r="C139" s="16"/>
      <c r="H139" s="16"/>
      <c r="I139" s="16"/>
      <c r="J139" s="16"/>
      <c r="K139" s="817"/>
    </row>
    <row r="140" spans="1:17">
      <c r="A140" s="745">
        <f t="shared" si="27"/>
        <v>23</v>
      </c>
      <c r="B140" s="16"/>
      <c r="C140" s="16"/>
      <c r="H140" s="16"/>
      <c r="I140" s="16"/>
      <c r="J140" s="16"/>
      <c r="K140" s="817"/>
    </row>
    <row r="141" spans="1:17">
      <c r="A141" s="745">
        <f t="shared" si="27"/>
        <v>24</v>
      </c>
      <c r="B141" s="16"/>
      <c r="C141" s="16"/>
    </row>
    <row r="143" spans="1:17">
      <c r="B143" s="753"/>
      <c r="C143" s="773"/>
      <c r="D143" s="95"/>
      <c r="E143" s="95"/>
      <c r="F143" s="95"/>
      <c r="G143" s="95"/>
      <c r="H143" s="95"/>
      <c r="I143" s="781"/>
      <c r="J143" s="781"/>
      <c r="K143" s="781"/>
      <c r="L143" s="231" t="s">
        <v>1414</v>
      </c>
      <c r="O143" s="832"/>
      <c r="P143" s="833"/>
      <c r="Q143" s="834"/>
    </row>
    <row r="144" spans="1:17" ht="15.75" thickBot="1">
      <c r="B144" s="835" t="s">
        <v>182</v>
      </c>
      <c r="C144" s="836"/>
      <c r="D144" s="95"/>
      <c r="E144" s="95"/>
      <c r="F144" s="95"/>
      <c r="G144" s="95"/>
      <c r="H144" s="95"/>
      <c r="I144" s="781"/>
      <c r="J144" s="781"/>
      <c r="K144" s="781"/>
      <c r="L144" s="781"/>
      <c r="P144" s="812"/>
      <c r="Q144" s="793"/>
    </row>
    <row r="145" spans="1:15" s="840" customFormat="1" ht="18" customHeight="1">
      <c r="A145" s="837"/>
      <c r="B145" s="838">
        <v>1</v>
      </c>
      <c r="C145" s="839" t="s">
        <v>1452</v>
      </c>
      <c r="I145" s="841"/>
      <c r="J145" s="841"/>
      <c r="K145" s="841"/>
      <c r="L145" s="841"/>
      <c r="N145" s="842"/>
      <c r="O145" s="843"/>
    </row>
    <row r="146" spans="1:15" s="840" customFormat="1" ht="52.35" customHeight="1">
      <c r="A146" s="837"/>
      <c r="B146" s="838">
        <v>2</v>
      </c>
      <c r="C146" s="1259" t="s">
        <v>1169</v>
      </c>
      <c r="D146" s="1259"/>
      <c r="E146" s="1259"/>
      <c r="F146" s="1259"/>
      <c r="G146" s="1259"/>
      <c r="H146" s="1259"/>
      <c r="I146" s="1259"/>
      <c r="J146" s="1259"/>
      <c r="K146" s="1259"/>
      <c r="L146" s="1259"/>
      <c r="N146" s="842"/>
      <c r="O146" s="843"/>
    </row>
    <row r="147" spans="1:15" s="840" customFormat="1" ht="19.350000000000001" customHeight="1">
      <c r="A147" s="837"/>
      <c r="B147" s="838">
        <v>3</v>
      </c>
      <c r="C147" s="1257" t="s">
        <v>1442</v>
      </c>
      <c r="D147" s="1257"/>
      <c r="E147" s="1257"/>
      <c r="F147" s="1257"/>
      <c r="G147" s="1257"/>
      <c r="H147" s="1257"/>
      <c r="I147" s="1257"/>
      <c r="J147" s="1257"/>
      <c r="K147" s="1257"/>
      <c r="L147" s="1257"/>
      <c r="N147" s="842"/>
      <c r="O147" s="843"/>
    </row>
    <row r="148" spans="1:15" s="840" customFormat="1">
      <c r="A148" s="837"/>
      <c r="B148" s="838">
        <v>4</v>
      </c>
      <c r="C148" s="839" t="s">
        <v>1044</v>
      </c>
      <c r="I148" s="841"/>
      <c r="J148" s="841"/>
      <c r="K148" s="841"/>
      <c r="L148" s="841"/>
      <c r="N148" s="842"/>
      <c r="O148" s="843"/>
    </row>
    <row r="149" spans="1:15" s="840" customFormat="1">
      <c r="A149" s="837"/>
      <c r="B149" s="838">
        <v>5</v>
      </c>
      <c r="C149" s="839" t="s">
        <v>972</v>
      </c>
      <c r="I149" s="841"/>
      <c r="J149" s="841"/>
      <c r="K149" s="841"/>
      <c r="L149" s="841"/>
      <c r="N149" s="842"/>
      <c r="O149" s="843"/>
    </row>
    <row r="150" spans="1:15" s="840" customFormat="1">
      <c r="A150" s="837"/>
      <c r="B150" s="838">
        <v>6</v>
      </c>
      <c r="C150" s="1258" t="s">
        <v>369</v>
      </c>
      <c r="D150" s="1258"/>
      <c r="E150" s="1258"/>
      <c r="F150" s="1258"/>
      <c r="G150" s="1258"/>
      <c r="H150" s="1258"/>
      <c r="I150" s="1258"/>
      <c r="J150" s="1258"/>
      <c r="K150" s="1258"/>
      <c r="L150" s="1258"/>
      <c r="N150" s="842"/>
      <c r="O150" s="843"/>
    </row>
    <row r="151" spans="1:15" s="840" customFormat="1" ht="15.75" customHeight="1">
      <c r="A151" s="837"/>
      <c r="B151" s="838">
        <v>7</v>
      </c>
      <c r="C151" s="1258" t="s">
        <v>369</v>
      </c>
      <c r="D151" s="1258"/>
      <c r="E151" s="1258"/>
      <c r="F151" s="1258"/>
      <c r="G151" s="1258"/>
      <c r="H151" s="1258"/>
      <c r="I151" s="1258"/>
      <c r="J151" s="1258"/>
      <c r="K151" s="1258"/>
      <c r="L151" s="1258"/>
      <c r="N151" s="842"/>
      <c r="O151" s="843"/>
    </row>
    <row r="152" spans="1:15" s="840" customFormat="1">
      <c r="A152" s="837"/>
      <c r="B152" s="838">
        <v>8</v>
      </c>
      <c r="C152" s="839" t="s">
        <v>966</v>
      </c>
      <c r="I152" s="841"/>
      <c r="J152" s="841"/>
      <c r="K152" s="841"/>
      <c r="L152" s="841"/>
      <c r="N152" s="842"/>
      <c r="O152" s="843"/>
    </row>
    <row r="153" spans="1:15">
      <c r="B153" s="838">
        <v>9</v>
      </c>
      <c r="C153" s="839" t="s">
        <v>973</v>
      </c>
      <c r="D153" s="840"/>
      <c r="E153" s="840"/>
      <c r="F153" s="840"/>
      <c r="G153" s="840"/>
      <c r="H153" s="840"/>
      <c r="I153" s="841"/>
      <c r="J153" s="841"/>
      <c r="K153" s="841"/>
      <c r="L153" s="841"/>
      <c r="M153" s="840"/>
    </row>
    <row r="154" spans="1:15" ht="48" customHeight="1">
      <c r="B154" s="813">
        <v>10</v>
      </c>
      <c r="C154" s="1263" t="s">
        <v>1454</v>
      </c>
      <c r="D154" s="1263"/>
      <c r="E154" s="1263"/>
      <c r="F154" s="1263"/>
      <c r="G154" s="1263"/>
      <c r="H154" s="1263"/>
      <c r="I154" s="1263"/>
      <c r="J154" s="1263"/>
      <c r="K154" s="1263"/>
      <c r="L154" s="1263"/>
      <c r="M154" s="816"/>
    </row>
    <row r="155" spans="1:15" ht="14.25" customHeight="1">
      <c r="B155" s="813">
        <v>11</v>
      </c>
      <c r="C155" s="1264" t="s">
        <v>1402</v>
      </c>
      <c r="D155" s="1264"/>
      <c r="E155" s="1264"/>
      <c r="F155" s="1264"/>
      <c r="G155" s="1264"/>
      <c r="H155" s="1264"/>
      <c r="I155" s="1264"/>
      <c r="J155" s="1264"/>
      <c r="K155" s="1264"/>
      <c r="L155" s="1264"/>
    </row>
  </sheetData>
  <sheetProtection algorithmName="SHA-512" hashValue="tw5V+yrP723WygWAy2voRsCkCo6JS9jNPFBUF4k+N1USZl9/+MzJFFDLOrGFLEVxfRiv39PIJx+CMmOhvvSrBA==" saltValue="/ML7uP/A44nbUMPdkYvJeA==" spinCount="100000" sheet="1" objects="1" scenarios="1"/>
  <mergeCells count="13">
    <mergeCell ref="C154:L154"/>
    <mergeCell ref="B46:L46"/>
    <mergeCell ref="B47:L47"/>
    <mergeCell ref="C155:L155"/>
    <mergeCell ref="B104:L104"/>
    <mergeCell ref="B105:L105"/>
    <mergeCell ref="B2:L2"/>
    <mergeCell ref="B3:L3"/>
    <mergeCell ref="C147:L147"/>
    <mergeCell ref="C151:L151"/>
    <mergeCell ref="C146:L146"/>
    <mergeCell ref="C150:L150"/>
    <mergeCell ref="H13:J13"/>
  </mergeCells>
  <pageMargins left="0.5" right="0.5" top="0.5" bottom="0.5" header="0.05" footer="0.05"/>
  <pageSetup paperSize="17" scale="65" fitToHeight="0" orientation="landscape" r:id="rId1"/>
  <rowBreaks count="3" manualBreakCount="3">
    <brk id="44" max="11" man="1"/>
    <brk id="102" max="11" man="1"/>
    <brk id="142"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Q190"/>
  <sheetViews>
    <sheetView topLeftCell="B1" zoomScale="70" zoomScaleNormal="70" workbookViewId="0">
      <selection activeCell="D15" sqref="D15"/>
    </sheetView>
  </sheetViews>
  <sheetFormatPr defaultColWidth="8.88671875" defaultRowHeight="15.4"/>
  <cols>
    <col min="1" max="1" width="4.5546875" style="745" customWidth="1"/>
    <col min="2" max="2" width="58.44140625" style="16" customWidth="1"/>
    <col min="3" max="4" width="18.109375" style="16" customWidth="1"/>
    <col min="5" max="15" width="11.109375" style="16" bestFit="1" customWidth="1"/>
    <col min="16" max="16" width="12" style="16" bestFit="1" customWidth="1"/>
    <col min="17" max="17" width="14.6640625" style="16" customWidth="1"/>
    <col min="18" max="18" width="11.5546875" style="16" bestFit="1" customWidth="1"/>
    <col min="19" max="16384" width="8.88671875" style="16"/>
  </cols>
  <sheetData>
    <row r="1" spans="1:17" s="746" customFormat="1">
      <c r="A1" s="745"/>
      <c r="B1" s="1256" t="s">
        <v>1125</v>
      </c>
      <c r="C1" s="1256"/>
      <c r="D1" s="1256"/>
      <c r="E1" s="1256"/>
      <c r="F1" s="1256"/>
      <c r="G1" s="1256"/>
      <c r="H1" s="1256"/>
      <c r="I1" s="1256"/>
      <c r="J1" s="1256"/>
      <c r="K1" s="1256"/>
      <c r="L1" s="1256"/>
      <c r="M1" s="1256"/>
      <c r="N1" s="1256"/>
      <c r="O1" s="1256"/>
      <c r="P1" s="1256"/>
      <c r="Q1" s="1256"/>
    </row>
    <row r="2" spans="1:17" s="746" customFormat="1">
      <c r="A2" s="745"/>
      <c r="B2" s="1256" t="s">
        <v>1918</v>
      </c>
      <c r="C2" s="1256"/>
      <c r="D2" s="1256"/>
      <c r="E2" s="1256"/>
      <c r="F2" s="1256"/>
      <c r="G2" s="1256"/>
      <c r="H2" s="1256"/>
      <c r="I2" s="1256"/>
      <c r="J2" s="1256"/>
      <c r="K2" s="1256"/>
      <c r="L2" s="1256"/>
      <c r="M2" s="1256"/>
      <c r="N2" s="1256"/>
      <c r="O2" s="1256"/>
      <c r="P2" s="1256"/>
      <c r="Q2" s="1256"/>
    </row>
    <row r="3" spans="1:17" s="746" customFormat="1">
      <c r="A3" s="745"/>
      <c r="B3" s="1256" t="s">
        <v>681</v>
      </c>
      <c r="C3" s="1256"/>
      <c r="D3" s="1256"/>
      <c r="E3" s="1256"/>
      <c r="F3" s="1256"/>
      <c r="G3" s="1256"/>
      <c r="H3" s="1256"/>
      <c r="I3" s="1256"/>
      <c r="J3" s="1256"/>
      <c r="K3" s="1256"/>
      <c r="L3" s="1256"/>
      <c r="M3" s="1256"/>
      <c r="N3" s="1256"/>
      <c r="O3" s="1256"/>
      <c r="P3" s="1256"/>
      <c r="Q3" s="1256"/>
    </row>
    <row r="4" spans="1:17" s="746" customFormat="1">
      <c r="A4" s="745"/>
      <c r="B4" s="1200"/>
      <c r="C4" s="1200"/>
      <c r="D4" s="1200"/>
      <c r="E4" s="1200"/>
      <c r="F4" s="1200"/>
      <c r="G4" s="1200"/>
      <c r="H4" s="1200"/>
      <c r="I4" s="1200"/>
      <c r="J4" s="1200"/>
      <c r="K4" s="1200"/>
      <c r="L4" s="1200"/>
      <c r="M4" s="1200"/>
      <c r="N4" s="1200"/>
      <c r="O4" s="1200"/>
      <c r="P4" s="1200"/>
      <c r="Q4" s="1200"/>
    </row>
    <row r="5" spans="1:17" s="746" customFormat="1">
      <c r="A5" s="1266" t="s">
        <v>1906</v>
      </c>
      <c r="B5" s="1267"/>
      <c r="C5" s="1267"/>
      <c r="D5" s="1267"/>
      <c r="E5" s="1267"/>
      <c r="F5" s="1267"/>
      <c r="G5" s="1267"/>
      <c r="H5" s="1267"/>
      <c r="I5" s="1267"/>
      <c r="J5" s="1267"/>
      <c r="K5" s="1267"/>
      <c r="L5" s="1267"/>
      <c r="M5" s="1267"/>
      <c r="N5" s="1267"/>
      <c r="O5" s="1267"/>
      <c r="P5" s="1267"/>
      <c r="Q5" s="1268"/>
    </row>
    <row r="6" spans="1:17" s="746" customFormat="1">
      <c r="A6" s="745"/>
      <c r="B6" s="1200"/>
      <c r="C6" s="1200"/>
      <c r="D6" s="1200"/>
      <c r="E6" s="1200"/>
      <c r="F6" s="1200"/>
      <c r="G6" s="1200"/>
      <c r="H6" s="1200"/>
      <c r="I6" s="1200"/>
      <c r="J6" s="1200"/>
      <c r="K6" s="1200"/>
      <c r="L6" s="1200"/>
      <c r="M6" s="1200"/>
      <c r="N6" s="1200"/>
      <c r="O6" s="1200"/>
      <c r="P6" s="1200"/>
      <c r="Q6" s="1200"/>
    </row>
    <row r="7" spans="1:17" s="746" customFormat="1">
      <c r="A7" s="745"/>
      <c r="C7" s="366" t="s">
        <v>198</v>
      </c>
      <c r="D7" s="366" t="s">
        <v>199</v>
      </c>
      <c r="E7" s="845" t="s">
        <v>200</v>
      </c>
      <c r="F7" s="366" t="s">
        <v>201</v>
      </c>
      <c r="G7" s="366" t="s">
        <v>203</v>
      </c>
      <c r="H7" s="366" t="s">
        <v>202</v>
      </c>
      <c r="I7" s="366" t="s">
        <v>204</v>
      </c>
      <c r="J7" s="366" t="s">
        <v>205</v>
      </c>
      <c r="K7" s="366" t="s">
        <v>206</v>
      </c>
      <c r="L7" s="366" t="s">
        <v>244</v>
      </c>
      <c r="M7" s="366" t="s">
        <v>248</v>
      </c>
      <c r="N7" s="366" t="s">
        <v>453</v>
      </c>
      <c r="O7" s="17" t="s">
        <v>779</v>
      </c>
      <c r="P7" s="17" t="s">
        <v>780</v>
      </c>
      <c r="Q7" s="17" t="s">
        <v>781</v>
      </c>
    </row>
    <row r="8" spans="1:17">
      <c r="B8" s="846" t="s">
        <v>1919</v>
      </c>
    </row>
    <row r="9" spans="1:17" ht="61.5">
      <c r="C9" s="826" t="s">
        <v>1781</v>
      </c>
      <c r="D9" s="847"/>
      <c r="E9" s="847" t="s">
        <v>84</v>
      </c>
      <c r="F9" s="847" t="s">
        <v>83</v>
      </c>
      <c r="G9" s="847" t="s">
        <v>171</v>
      </c>
      <c r="H9" s="847" t="s">
        <v>74</v>
      </c>
      <c r="I9" s="847" t="s">
        <v>73</v>
      </c>
      <c r="J9" s="847" t="s">
        <v>93</v>
      </c>
      <c r="K9" s="847" t="s">
        <v>81</v>
      </c>
      <c r="L9" s="847" t="s">
        <v>172</v>
      </c>
      <c r="M9" s="847" t="s">
        <v>79</v>
      </c>
      <c r="N9" s="847" t="s">
        <v>85</v>
      </c>
      <c r="O9" s="847" t="s">
        <v>78</v>
      </c>
      <c r="P9" s="847" t="s">
        <v>196</v>
      </c>
      <c r="Q9" s="17" t="s">
        <v>13</v>
      </c>
    </row>
    <row r="10" spans="1:17">
      <c r="A10" s="745">
        <v>1</v>
      </c>
      <c r="B10" s="846" t="s">
        <v>1134</v>
      </c>
      <c r="C10" s="1117"/>
      <c r="E10" s="538"/>
      <c r="F10" s="538"/>
      <c r="G10" s="538"/>
      <c r="H10" s="538"/>
      <c r="I10" s="538"/>
      <c r="J10" s="538"/>
      <c r="K10" s="538"/>
      <c r="L10" s="538"/>
      <c r="M10" s="538"/>
      <c r="N10" s="538"/>
      <c r="O10" s="538"/>
      <c r="P10" s="538"/>
      <c r="Q10" s="817"/>
    </row>
    <row r="11" spans="1:17" s="538" customFormat="1">
      <c r="A11" s="848">
        <f>A10+1</f>
        <v>2</v>
      </c>
      <c r="B11" s="849" t="s">
        <v>17</v>
      </c>
      <c r="C11" s="745">
        <v>411.1</v>
      </c>
      <c r="E11" s="1076">
        <v>116820.27888813576</v>
      </c>
      <c r="F11" s="1076">
        <v>116820.27888813576</v>
      </c>
      <c r="G11" s="1076">
        <v>116820.27888813576</v>
      </c>
      <c r="H11" s="1076">
        <v>116820.27888813576</v>
      </c>
      <c r="I11" s="1076">
        <v>116820.27888813576</v>
      </c>
      <c r="J11" s="1076">
        <v>116820.27888813576</v>
      </c>
      <c r="K11" s="1076">
        <v>116820.27888813576</v>
      </c>
      <c r="L11" s="1076">
        <v>116820.27888813576</v>
      </c>
      <c r="M11" s="1076">
        <v>116820.27888813576</v>
      </c>
      <c r="N11" s="1076">
        <v>116820.27888813576</v>
      </c>
      <c r="O11" s="1076">
        <v>116820.27888813576</v>
      </c>
      <c r="P11" s="1076">
        <v>116820.27888813576</v>
      </c>
      <c r="Q11" s="817">
        <f>SUM(E11:P11)</f>
        <v>1401843.3466576289</v>
      </c>
    </row>
    <row r="12" spans="1:17" s="538" customFormat="1">
      <c r="A12" s="848"/>
      <c r="C12" s="746"/>
      <c r="Q12" s="850"/>
    </row>
    <row r="13" spans="1:17">
      <c r="A13" s="745">
        <f>A11+1</f>
        <v>3</v>
      </c>
      <c r="B13" s="849" t="s">
        <v>1129</v>
      </c>
      <c r="C13" s="745">
        <v>411.1</v>
      </c>
      <c r="E13" s="1076">
        <v>38513.916666666672</v>
      </c>
      <c r="F13" s="1076">
        <v>38513.916666666672</v>
      </c>
      <c r="G13" s="1076">
        <v>38513.916666666672</v>
      </c>
      <c r="H13" s="1076">
        <v>38513.916666666672</v>
      </c>
      <c r="I13" s="1076">
        <v>38513.916666666672</v>
      </c>
      <c r="J13" s="1076">
        <v>38513.916666666672</v>
      </c>
      <c r="K13" s="1076">
        <v>38513.916666666672</v>
      </c>
      <c r="L13" s="1076">
        <v>38513.916666666672</v>
      </c>
      <c r="M13" s="1076">
        <v>38513.916666666672</v>
      </c>
      <c r="N13" s="1076">
        <v>38513.916666666672</v>
      </c>
      <c r="O13" s="1076">
        <v>38513.916666666672</v>
      </c>
      <c r="P13" s="1076">
        <v>38513.916666666555</v>
      </c>
      <c r="Q13" s="817">
        <f>SUM(E13:P13)</f>
        <v>462167.00000000006</v>
      </c>
    </row>
    <row r="14" spans="1:17">
      <c r="A14" s="848">
        <f t="shared" ref="A14:A15" si="0">A13+1</f>
        <v>4</v>
      </c>
      <c r="B14" s="849" t="s">
        <v>1280</v>
      </c>
      <c r="C14" s="823"/>
      <c r="E14" s="1078">
        <f>'Attachment H-7'!I206</f>
        <v>0.12544749445449754</v>
      </c>
      <c r="F14" s="817"/>
      <c r="G14" s="817"/>
      <c r="H14" s="817"/>
      <c r="I14" s="817"/>
      <c r="J14" s="817"/>
      <c r="K14" s="817"/>
      <c r="L14" s="817"/>
      <c r="M14" s="817"/>
      <c r="N14" s="817"/>
      <c r="O14" s="817"/>
      <c r="P14" s="817"/>
      <c r="Q14" s="817"/>
    </row>
    <row r="15" spans="1:17">
      <c r="A15" s="848">
        <f t="shared" si="0"/>
        <v>5</v>
      </c>
      <c r="B15" s="849" t="s">
        <v>1131</v>
      </c>
      <c r="C15" s="745">
        <v>411.1</v>
      </c>
      <c r="E15" s="850">
        <f>E13*$E$14</f>
        <v>4831.4743474626475</v>
      </c>
      <c r="F15" s="850">
        <f t="shared" ref="F15:P15" si="1">F13*$E$14</f>
        <v>4831.4743474626475</v>
      </c>
      <c r="G15" s="850">
        <f t="shared" si="1"/>
        <v>4831.4743474626475</v>
      </c>
      <c r="H15" s="850">
        <f t="shared" si="1"/>
        <v>4831.4743474626475</v>
      </c>
      <c r="I15" s="850">
        <f t="shared" si="1"/>
        <v>4831.4743474626475</v>
      </c>
      <c r="J15" s="850">
        <f t="shared" si="1"/>
        <v>4831.4743474626475</v>
      </c>
      <c r="K15" s="850">
        <f t="shared" si="1"/>
        <v>4831.4743474626475</v>
      </c>
      <c r="L15" s="850">
        <f t="shared" si="1"/>
        <v>4831.4743474626475</v>
      </c>
      <c r="M15" s="850">
        <f t="shared" si="1"/>
        <v>4831.4743474626475</v>
      </c>
      <c r="N15" s="850">
        <f t="shared" si="1"/>
        <v>4831.4743474626475</v>
      </c>
      <c r="O15" s="850">
        <f t="shared" si="1"/>
        <v>4831.4743474626475</v>
      </c>
      <c r="P15" s="850">
        <f t="shared" si="1"/>
        <v>4831.474347462633</v>
      </c>
      <c r="Q15" s="817">
        <f>SUM(E15:P15)</f>
        <v>57977.692169551745</v>
      </c>
    </row>
    <row r="16" spans="1:17">
      <c r="B16" s="538"/>
      <c r="C16" s="746"/>
      <c r="D16" s="538"/>
      <c r="E16" s="538"/>
      <c r="F16" s="538"/>
      <c r="G16" s="538"/>
      <c r="H16" s="538"/>
      <c r="I16" s="538"/>
      <c r="J16" s="538"/>
      <c r="K16" s="538"/>
      <c r="L16" s="538"/>
      <c r="M16" s="538"/>
      <c r="N16" s="538"/>
      <c r="O16" s="538"/>
      <c r="P16" s="538"/>
      <c r="Q16" s="850"/>
    </row>
    <row r="17" spans="1:17">
      <c r="A17" s="745">
        <f>A15+1</f>
        <v>6</v>
      </c>
      <c r="B17" s="849" t="s">
        <v>1132</v>
      </c>
      <c r="C17" s="745">
        <v>411.1</v>
      </c>
      <c r="E17" s="1076">
        <v>97383.416666666672</v>
      </c>
      <c r="F17" s="1076">
        <v>97383.416666666672</v>
      </c>
      <c r="G17" s="1076">
        <v>97383.416666666672</v>
      </c>
      <c r="H17" s="1076">
        <v>97383.416666666672</v>
      </c>
      <c r="I17" s="1076">
        <v>97383.416666666672</v>
      </c>
      <c r="J17" s="1076">
        <v>97383.416666666672</v>
      </c>
      <c r="K17" s="1076">
        <v>97383.416666666672</v>
      </c>
      <c r="L17" s="1076">
        <v>97383.416666666672</v>
      </c>
      <c r="M17" s="1076">
        <v>97383.416666666672</v>
      </c>
      <c r="N17" s="1076">
        <v>97383.416666666672</v>
      </c>
      <c r="O17" s="1076">
        <v>97383.416666666672</v>
      </c>
      <c r="P17" s="1076">
        <v>97383.416666666672</v>
      </c>
      <c r="Q17" s="817">
        <f>SUM(E17:P17)</f>
        <v>1168601</v>
      </c>
    </row>
    <row r="18" spans="1:17">
      <c r="A18" s="848">
        <f t="shared" ref="A18:A19" si="2">A17+1</f>
        <v>7</v>
      </c>
      <c r="B18" s="849" t="s">
        <v>1162</v>
      </c>
      <c r="C18" s="823"/>
      <c r="E18" s="1078">
        <v>9.6820376219981213E-2</v>
      </c>
      <c r="F18" s="817"/>
      <c r="G18" s="817"/>
      <c r="H18" s="817"/>
      <c r="I18" s="817"/>
      <c r="J18" s="817"/>
      <c r="K18" s="817"/>
      <c r="L18" s="817"/>
      <c r="M18" s="817"/>
      <c r="N18" s="817"/>
      <c r="O18" s="817"/>
      <c r="P18" s="817"/>
      <c r="Q18" s="817"/>
    </row>
    <row r="19" spans="1:17">
      <c r="A19" s="848">
        <f t="shared" si="2"/>
        <v>8</v>
      </c>
      <c r="B19" s="849" t="s">
        <v>1131</v>
      </c>
      <c r="C19" s="745">
        <v>411.1</v>
      </c>
      <c r="E19" s="850">
        <f>E17*$E$18</f>
        <v>9428.6990392538555</v>
      </c>
      <c r="F19" s="850">
        <f t="shared" ref="F19:P19" si="3">F17*$E$18</f>
        <v>9428.6990392538555</v>
      </c>
      <c r="G19" s="850">
        <f t="shared" si="3"/>
        <v>9428.6990392538555</v>
      </c>
      <c r="H19" s="850">
        <f t="shared" si="3"/>
        <v>9428.6990392538555</v>
      </c>
      <c r="I19" s="850">
        <f t="shared" si="3"/>
        <v>9428.6990392538555</v>
      </c>
      <c r="J19" s="850">
        <f t="shared" si="3"/>
        <v>9428.6990392538555</v>
      </c>
      <c r="K19" s="850">
        <f t="shared" si="3"/>
        <v>9428.6990392538555</v>
      </c>
      <c r="L19" s="850">
        <f t="shared" si="3"/>
        <v>9428.6990392538555</v>
      </c>
      <c r="M19" s="850">
        <f t="shared" si="3"/>
        <v>9428.6990392538555</v>
      </c>
      <c r="N19" s="850">
        <f t="shared" si="3"/>
        <v>9428.6990392538555</v>
      </c>
      <c r="O19" s="850">
        <f t="shared" si="3"/>
        <v>9428.6990392538555</v>
      </c>
      <c r="P19" s="850">
        <f t="shared" si="3"/>
        <v>9428.6990392538555</v>
      </c>
      <c r="Q19" s="817">
        <f>SUM(E19:P19)</f>
        <v>113144.38847104627</v>
      </c>
    </row>
    <row r="20" spans="1:17" s="538" customFormat="1">
      <c r="A20" s="848"/>
      <c r="B20" s="849"/>
      <c r="C20" s="823"/>
      <c r="E20" s="850"/>
      <c r="F20" s="850"/>
      <c r="G20" s="850"/>
      <c r="H20" s="850"/>
      <c r="I20" s="850"/>
      <c r="J20" s="850"/>
      <c r="K20" s="850"/>
      <c r="L20" s="850"/>
      <c r="M20" s="850"/>
      <c r="N20" s="850"/>
      <c r="O20" s="850"/>
      <c r="P20" s="850"/>
      <c r="Q20" s="850"/>
    </row>
    <row r="21" spans="1:17">
      <c r="A21" s="745">
        <f>A19+1</f>
        <v>9</v>
      </c>
      <c r="B21" s="851" t="s">
        <v>1133</v>
      </c>
      <c r="C21" s="745">
        <v>411.1</v>
      </c>
      <c r="E21" s="850">
        <f>E11+E15+E19</f>
        <v>131080.45227485226</v>
      </c>
      <c r="F21" s="850">
        <f t="shared" ref="F21:P21" si="4">F11+F15+F19</f>
        <v>131080.45227485226</v>
      </c>
      <c r="G21" s="850">
        <f t="shared" si="4"/>
        <v>131080.45227485226</v>
      </c>
      <c r="H21" s="850">
        <f t="shared" si="4"/>
        <v>131080.45227485226</v>
      </c>
      <c r="I21" s="850">
        <f t="shared" si="4"/>
        <v>131080.45227485226</v>
      </c>
      <c r="J21" s="850">
        <f t="shared" si="4"/>
        <v>131080.45227485226</v>
      </c>
      <c r="K21" s="850">
        <f t="shared" si="4"/>
        <v>131080.45227485226</v>
      </c>
      <c r="L21" s="850">
        <f t="shared" si="4"/>
        <v>131080.45227485226</v>
      </c>
      <c r="M21" s="850">
        <f t="shared" si="4"/>
        <v>131080.45227485226</v>
      </c>
      <c r="N21" s="850">
        <f t="shared" si="4"/>
        <v>131080.45227485226</v>
      </c>
      <c r="O21" s="850">
        <f t="shared" si="4"/>
        <v>131080.45227485226</v>
      </c>
      <c r="P21" s="850">
        <f t="shared" si="4"/>
        <v>131080.45227485223</v>
      </c>
      <c r="Q21" s="817">
        <f>SUM(E21:P21)</f>
        <v>1572965.4272982266</v>
      </c>
    </row>
    <row r="22" spans="1:17" s="538" customFormat="1">
      <c r="A22" s="848"/>
      <c r="C22" s="746"/>
      <c r="Q22" s="850"/>
    </row>
    <row r="23" spans="1:17">
      <c r="A23" s="745">
        <f>A21+1</f>
        <v>10</v>
      </c>
      <c r="B23" s="852" t="s">
        <v>1656</v>
      </c>
      <c r="C23" s="745">
        <v>411.1</v>
      </c>
      <c r="E23" s="1076">
        <v>563200.57463739696</v>
      </c>
      <c r="F23" s="1076">
        <v>563200.57463739696</v>
      </c>
      <c r="G23" s="1076">
        <v>563200.57463739696</v>
      </c>
      <c r="H23" s="1076">
        <v>563200.57463739696</v>
      </c>
      <c r="I23" s="1076">
        <v>563200.57463739696</v>
      </c>
      <c r="J23" s="1076">
        <v>563200.57463739696</v>
      </c>
      <c r="K23" s="1076">
        <v>563200.57463739696</v>
      </c>
      <c r="L23" s="1076">
        <v>563200.57463739696</v>
      </c>
      <c r="M23" s="1076">
        <v>563200.57463739696</v>
      </c>
      <c r="N23" s="1076">
        <v>563200.57463739696</v>
      </c>
      <c r="O23" s="1076">
        <v>563200.57463739696</v>
      </c>
      <c r="P23" s="1076">
        <v>563200.57463739743</v>
      </c>
      <c r="Q23" s="817">
        <f>SUM(E23:P23)</f>
        <v>6758406.8956487654</v>
      </c>
    </row>
    <row r="24" spans="1:17" s="538" customFormat="1">
      <c r="A24" s="848"/>
      <c r="C24" s="746"/>
      <c r="Q24" s="850"/>
    </row>
    <row r="25" spans="1:17">
      <c r="A25" s="745">
        <f>A23+1</f>
        <v>11</v>
      </c>
      <c r="B25" s="852" t="s">
        <v>1920</v>
      </c>
      <c r="C25" s="745">
        <v>411.1</v>
      </c>
      <c r="E25" s="1076">
        <v>23595.020999215547</v>
      </c>
      <c r="F25" s="1076">
        <v>23595.020999215547</v>
      </c>
      <c r="G25" s="1076">
        <v>23595.020999215547</v>
      </c>
      <c r="H25" s="1076">
        <v>23595.020999215547</v>
      </c>
      <c r="I25" s="1076">
        <v>23595.020999215547</v>
      </c>
      <c r="J25" s="1076">
        <v>23595.020999215547</v>
      </c>
      <c r="K25" s="1076">
        <v>23595.020999215547</v>
      </c>
      <c r="L25" s="1076">
        <v>23595.020999215547</v>
      </c>
      <c r="M25" s="1076">
        <v>23595.020999215547</v>
      </c>
      <c r="N25" s="1076">
        <v>23595.020999215547</v>
      </c>
      <c r="O25" s="1076">
        <v>23595.020999215547</v>
      </c>
      <c r="P25" s="1076">
        <v>23595.020999215547</v>
      </c>
      <c r="Q25" s="817">
        <f t="shared" ref="Q25:Q26" si="5">SUM(E25:P25)</f>
        <v>283140.25199058658</v>
      </c>
    </row>
    <row r="26" spans="1:17">
      <c r="A26" s="848">
        <f t="shared" ref="A26:A27" si="6">A25+1</f>
        <v>12</v>
      </c>
      <c r="B26" s="852" t="s">
        <v>1921</v>
      </c>
      <c r="C26" s="745">
        <v>410.1</v>
      </c>
      <c r="E26" s="1076">
        <v>-27274.336170766775</v>
      </c>
      <c r="F26" s="1076">
        <v>-27274.336170766775</v>
      </c>
      <c r="G26" s="1076">
        <v>-27274.336170766775</v>
      </c>
      <c r="H26" s="1076">
        <v>-27274.336170766775</v>
      </c>
      <c r="I26" s="1076">
        <v>-27274.336170766775</v>
      </c>
      <c r="J26" s="1076">
        <v>-27274.336170766775</v>
      </c>
      <c r="K26" s="1076">
        <v>-27274.336170766775</v>
      </c>
      <c r="L26" s="1076">
        <v>-27274.336170766775</v>
      </c>
      <c r="M26" s="1076">
        <v>-27274.336170766775</v>
      </c>
      <c r="N26" s="1076">
        <v>-27274.336170766775</v>
      </c>
      <c r="O26" s="1076">
        <v>-27274.336170766775</v>
      </c>
      <c r="P26" s="1076">
        <v>-27274.336170766775</v>
      </c>
      <c r="Q26" s="817">
        <f t="shared" si="5"/>
        <v>-327292.03404920129</v>
      </c>
    </row>
    <row r="27" spans="1:17">
      <c r="A27" s="848">
        <f t="shared" si="6"/>
        <v>13</v>
      </c>
      <c r="B27" s="852" t="s">
        <v>1922</v>
      </c>
      <c r="C27" s="745">
        <v>411.1</v>
      </c>
      <c r="E27" s="817">
        <f t="shared" ref="E27:P27" si="7">SUM(E25:E26)</f>
        <v>-3679.3151715512286</v>
      </c>
      <c r="F27" s="817">
        <f t="shared" si="7"/>
        <v>-3679.3151715512286</v>
      </c>
      <c r="G27" s="817">
        <f t="shared" si="7"/>
        <v>-3679.3151715512286</v>
      </c>
      <c r="H27" s="817">
        <f t="shared" si="7"/>
        <v>-3679.3151715512286</v>
      </c>
      <c r="I27" s="817">
        <f t="shared" si="7"/>
        <v>-3679.3151715512286</v>
      </c>
      <c r="J27" s="817">
        <f t="shared" si="7"/>
        <v>-3679.3151715512286</v>
      </c>
      <c r="K27" s="817">
        <f t="shared" si="7"/>
        <v>-3679.3151715512286</v>
      </c>
      <c r="L27" s="817">
        <f t="shared" si="7"/>
        <v>-3679.3151715512286</v>
      </c>
      <c r="M27" s="817">
        <f t="shared" si="7"/>
        <v>-3679.3151715512286</v>
      </c>
      <c r="N27" s="817">
        <f t="shared" si="7"/>
        <v>-3679.3151715512286</v>
      </c>
      <c r="O27" s="817">
        <f t="shared" si="7"/>
        <v>-3679.3151715512286</v>
      </c>
      <c r="P27" s="817">
        <f t="shared" si="7"/>
        <v>-3679.3151715512286</v>
      </c>
      <c r="Q27" s="817">
        <f>SUM(Q25:Q26)</f>
        <v>-44151.782058614714</v>
      </c>
    </row>
    <row r="28" spans="1:17">
      <c r="B28" s="744"/>
      <c r="E28" s="538"/>
      <c r="F28" s="538"/>
      <c r="G28" s="538"/>
      <c r="H28" s="538"/>
      <c r="I28" s="538"/>
      <c r="J28" s="538"/>
      <c r="K28" s="538"/>
      <c r="L28" s="538"/>
      <c r="M28" s="538"/>
      <c r="N28" s="538"/>
      <c r="O28" s="538"/>
      <c r="P28" s="538"/>
    </row>
    <row r="29" spans="1:17">
      <c r="B29" s="744"/>
      <c r="E29" s="538"/>
      <c r="F29" s="538"/>
      <c r="G29" s="538"/>
      <c r="H29" s="538"/>
      <c r="I29" s="538"/>
      <c r="J29" s="538"/>
      <c r="K29" s="538"/>
      <c r="L29" s="538"/>
      <c r="M29" s="538"/>
      <c r="N29" s="538"/>
      <c r="O29" s="538"/>
      <c r="P29" s="538"/>
    </row>
    <row r="30" spans="1:17">
      <c r="B30" s="846" t="s">
        <v>1923</v>
      </c>
      <c r="E30" s="538"/>
      <c r="F30" s="538"/>
      <c r="G30" s="538"/>
      <c r="H30" s="538"/>
      <c r="I30" s="538"/>
      <c r="J30" s="538"/>
      <c r="K30" s="538"/>
      <c r="L30" s="538"/>
      <c r="M30" s="538"/>
      <c r="N30" s="538"/>
      <c r="O30" s="538"/>
      <c r="P30" s="538"/>
    </row>
    <row r="31" spans="1:17" ht="41.45" customHeight="1">
      <c r="D31" s="847" t="s">
        <v>195</v>
      </c>
      <c r="E31" s="847" t="s">
        <v>84</v>
      </c>
      <c r="F31" s="847" t="s">
        <v>83</v>
      </c>
      <c r="G31" s="847" t="s">
        <v>171</v>
      </c>
      <c r="H31" s="847" t="s">
        <v>74</v>
      </c>
      <c r="I31" s="847" t="s">
        <v>73</v>
      </c>
      <c r="J31" s="847" t="s">
        <v>93</v>
      </c>
      <c r="K31" s="847" t="s">
        <v>81</v>
      </c>
      <c r="L31" s="847" t="s">
        <v>172</v>
      </c>
      <c r="M31" s="847" t="s">
        <v>79</v>
      </c>
      <c r="N31" s="847" t="s">
        <v>85</v>
      </c>
      <c r="O31" s="847" t="s">
        <v>78</v>
      </c>
      <c r="P31" s="847" t="s">
        <v>196</v>
      </c>
      <c r="Q31" s="826" t="s">
        <v>1177</v>
      </c>
    </row>
    <row r="32" spans="1:17">
      <c r="A32" s="745">
        <f>A27+1</f>
        <v>14</v>
      </c>
      <c r="B32" s="846" t="s">
        <v>1134</v>
      </c>
    </row>
    <row r="33" spans="1:17">
      <c r="A33" s="848">
        <f>A32+1</f>
        <v>15</v>
      </c>
      <c r="B33" s="849" t="s">
        <v>17</v>
      </c>
      <c r="D33" s="1076">
        <v>72258002.386650741</v>
      </c>
      <c r="E33" s="238">
        <f>D33-E11</f>
        <v>72141182.107762605</v>
      </c>
      <c r="F33" s="238">
        <f t="shared" ref="F33:O33" si="8">E33-F11</f>
        <v>72024361.828874469</v>
      </c>
      <c r="G33" s="238">
        <f t="shared" si="8"/>
        <v>71907541.549986333</v>
      </c>
      <c r="H33" s="238">
        <f t="shared" si="8"/>
        <v>71790721.271098197</v>
      </c>
      <c r="I33" s="238">
        <f t="shared" si="8"/>
        <v>71673900.99221006</v>
      </c>
      <c r="J33" s="238">
        <f t="shared" si="8"/>
        <v>71557080.713321924</v>
      </c>
      <c r="K33" s="238">
        <f t="shared" si="8"/>
        <v>71440260.434433788</v>
      </c>
      <c r="L33" s="238">
        <f t="shared" si="8"/>
        <v>71323440.155545652</v>
      </c>
      <c r="M33" s="238">
        <f t="shared" si="8"/>
        <v>71206619.876657516</v>
      </c>
      <c r="N33" s="238">
        <f t="shared" si="8"/>
        <v>71089799.59776938</v>
      </c>
      <c r="O33" s="238">
        <f t="shared" si="8"/>
        <v>70972979.318881243</v>
      </c>
      <c r="P33" s="238">
        <f>O33-P11</f>
        <v>70856159.039993107</v>
      </c>
      <c r="Q33" s="853">
        <f>AVERAGE(D33,P33)</f>
        <v>71557080.713321924</v>
      </c>
    </row>
    <row r="34" spans="1:17">
      <c r="A34" s="848"/>
      <c r="B34" s="538"/>
      <c r="D34" s="850"/>
      <c r="E34" s="238"/>
      <c r="F34" s="238"/>
      <c r="G34" s="238"/>
      <c r="H34" s="238"/>
      <c r="I34" s="238"/>
      <c r="J34" s="238"/>
      <c r="K34" s="238"/>
      <c r="L34" s="238"/>
      <c r="M34" s="238"/>
      <c r="N34" s="238"/>
      <c r="O34" s="238"/>
      <c r="P34" s="238"/>
      <c r="Q34" s="854"/>
    </row>
    <row r="35" spans="1:17">
      <c r="A35" s="745">
        <f>A33+1</f>
        <v>16</v>
      </c>
      <c r="B35" s="849" t="s">
        <v>1129</v>
      </c>
      <c r="D35" s="1076">
        <v>462167.00000000006</v>
      </c>
      <c r="E35" s="238">
        <f>D35-E13</f>
        <v>423653.08333333337</v>
      </c>
      <c r="F35" s="238">
        <f t="shared" ref="F35:P35" si="9">E35-F13</f>
        <v>385139.16666666669</v>
      </c>
      <c r="G35" s="238">
        <f t="shared" si="9"/>
        <v>346625.25</v>
      </c>
      <c r="H35" s="238">
        <f t="shared" si="9"/>
        <v>308111.33333333331</v>
      </c>
      <c r="I35" s="238">
        <f t="shared" si="9"/>
        <v>269597.41666666663</v>
      </c>
      <c r="J35" s="238">
        <f t="shared" si="9"/>
        <v>231083.49999999994</v>
      </c>
      <c r="K35" s="238">
        <f t="shared" si="9"/>
        <v>192569.58333333326</v>
      </c>
      <c r="L35" s="238">
        <f t="shared" si="9"/>
        <v>154055.66666666657</v>
      </c>
      <c r="M35" s="238">
        <f t="shared" si="9"/>
        <v>115541.7499999999</v>
      </c>
      <c r="N35" s="238">
        <f t="shared" si="9"/>
        <v>77027.833333333227</v>
      </c>
      <c r="O35" s="238">
        <f t="shared" si="9"/>
        <v>38513.916666666555</v>
      </c>
      <c r="P35" s="238">
        <f t="shared" si="9"/>
        <v>0</v>
      </c>
      <c r="Q35" s="853">
        <f>AVERAGE(D35,P35)</f>
        <v>231083.50000000003</v>
      </c>
    </row>
    <row r="36" spans="1:17">
      <c r="A36" s="848">
        <f t="shared" ref="A36:A37" si="10">A35+1</f>
        <v>17</v>
      </c>
      <c r="B36" s="849" t="s">
        <v>1130</v>
      </c>
      <c r="D36" s="1078">
        <f>E14</f>
        <v>0.12544749445449754</v>
      </c>
      <c r="E36" s="238"/>
      <c r="F36" s="238"/>
      <c r="G36" s="238"/>
      <c r="H36" s="238"/>
      <c r="I36" s="238"/>
      <c r="J36" s="238"/>
      <c r="K36" s="238"/>
      <c r="L36" s="238"/>
      <c r="M36" s="238"/>
      <c r="N36" s="238"/>
      <c r="O36" s="238"/>
      <c r="P36" s="238"/>
      <c r="Q36" s="853"/>
    </row>
    <row r="37" spans="1:17">
      <c r="A37" s="848">
        <f t="shared" si="10"/>
        <v>18</v>
      </c>
      <c r="B37" s="849" t="s">
        <v>1131</v>
      </c>
      <c r="D37" s="850">
        <f t="shared" ref="D37:P37" si="11">D35*$D$36</f>
        <v>57977.692169551774</v>
      </c>
      <c r="E37" s="853">
        <f t="shared" si="11"/>
        <v>53146.217822089122</v>
      </c>
      <c r="F37" s="853">
        <f t="shared" si="11"/>
        <v>48314.743474626477</v>
      </c>
      <c r="G37" s="853">
        <f t="shared" si="11"/>
        <v>43483.269127163825</v>
      </c>
      <c r="H37" s="853">
        <f t="shared" si="11"/>
        <v>38651.794779701173</v>
      </c>
      <c r="I37" s="853">
        <f t="shared" si="11"/>
        <v>33820.320432238528</v>
      </c>
      <c r="J37" s="853">
        <f t="shared" si="11"/>
        <v>28988.846084775876</v>
      </c>
      <c r="K37" s="853">
        <f t="shared" si="11"/>
        <v>24157.371737313228</v>
      </c>
      <c r="L37" s="853">
        <f t="shared" si="11"/>
        <v>19325.897389850576</v>
      </c>
      <c r="M37" s="853">
        <f t="shared" si="11"/>
        <v>14494.423042387929</v>
      </c>
      <c r="N37" s="853">
        <f t="shared" si="11"/>
        <v>9662.9486949252805</v>
      </c>
      <c r="O37" s="853">
        <f t="shared" si="11"/>
        <v>4831.474347462633</v>
      </c>
      <c r="P37" s="853">
        <f t="shared" si="11"/>
        <v>0</v>
      </c>
      <c r="Q37" s="853">
        <f>AVERAGE(D37,P37)</f>
        <v>28988.846084775887</v>
      </c>
    </row>
    <row r="38" spans="1:17">
      <c r="B38" s="538"/>
      <c r="D38" s="850"/>
      <c r="E38" s="238"/>
      <c r="F38" s="238"/>
      <c r="G38" s="238"/>
      <c r="H38" s="238"/>
      <c r="I38" s="238"/>
      <c r="J38" s="238"/>
      <c r="K38" s="238"/>
      <c r="L38" s="238"/>
      <c r="M38" s="238"/>
      <c r="N38" s="238"/>
      <c r="O38" s="238"/>
      <c r="P38" s="238"/>
      <c r="Q38" s="854"/>
    </row>
    <row r="39" spans="1:17">
      <c r="A39" s="745">
        <f>A37+1</f>
        <v>19</v>
      </c>
      <c r="B39" s="849" t="s">
        <v>1132</v>
      </c>
      <c r="D39" s="1076">
        <v>8280235</v>
      </c>
      <c r="E39" s="238">
        <f>D39-E17</f>
        <v>8182851.583333333</v>
      </c>
      <c r="F39" s="238">
        <f t="shared" ref="F39:P39" si="12">E39-F17</f>
        <v>8085468.166666666</v>
      </c>
      <c r="G39" s="238">
        <f t="shared" si="12"/>
        <v>7988084.7499999991</v>
      </c>
      <c r="H39" s="238">
        <f t="shared" si="12"/>
        <v>7890701.3333333321</v>
      </c>
      <c r="I39" s="238">
        <f t="shared" si="12"/>
        <v>7793317.9166666651</v>
      </c>
      <c r="J39" s="238">
        <f t="shared" si="12"/>
        <v>7695934.4999999981</v>
      </c>
      <c r="K39" s="238">
        <f t="shared" si="12"/>
        <v>7598551.0833333312</v>
      </c>
      <c r="L39" s="238">
        <f t="shared" si="12"/>
        <v>7501167.6666666642</v>
      </c>
      <c r="M39" s="238">
        <f t="shared" si="12"/>
        <v>7403784.2499999972</v>
      </c>
      <c r="N39" s="238">
        <f t="shared" si="12"/>
        <v>7306400.8333333302</v>
      </c>
      <c r="O39" s="238">
        <f t="shared" si="12"/>
        <v>7209017.4166666633</v>
      </c>
      <c r="P39" s="238">
        <f t="shared" si="12"/>
        <v>7111633.9999999963</v>
      </c>
      <c r="Q39" s="853">
        <f>AVERAGE(D39,P39)</f>
        <v>7695934.4999999981</v>
      </c>
    </row>
    <row r="40" spans="1:17">
      <c r="A40" s="848">
        <f t="shared" ref="A40:A41" si="13">A39+1</f>
        <v>20</v>
      </c>
      <c r="B40" s="849" t="s">
        <v>1130</v>
      </c>
      <c r="D40" s="1078">
        <f>E18</f>
        <v>9.6820376219981213E-2</v>
      </c>
      <c r="E40" s="238"/>
      <c r="F40" s="238"/>
      <c r="G40" s="238"/>
      <c r="H40" s="238"/>
      <c r="I40" s="238"/>
      <c r="J40" s="238"/>
      <c r="K40" s="238"/>
      <c r="L40" s="238"/>
      <c r="M40" s="238"/>
      <c r="N40" s="238"/>
      <c r="O40" s="238"/>
      <c r="P40" s="238"/>
      <c r="Q40" s="853"/>
    </row>
    <row r="41" spans="1:17">
      <c r="A41" s="848">
        <f t="shared" si="13"/>
        <v>21</v>
      </c>
      <c r="B41" s="849" t="s">
        <v>1131</v>
      </c>
      <c r="D41" s="850">
        <f t="shared" ref="D41:P41" si="14">D39*$D$40</f>
        <v>801695.4678898562</v>
      </c>
      <c r="E41" s="853">
        <f t="shared" si="14"/>
        <v>792266.76885060221</v>
      </c>
      <c r="F41" s="853">
        <f t="shared" si="14"/>
        <v>782838.06981134834</v>
      </c>
      <c r="G41" s="853">
        <f t="shared" si="14"/>
        <v>773409.37077209447</v>
      </c>
      <c r="H41" s="853">
        <f t="shared" si="14"/>
        <v>763980.67173284059</v>
      </c>
      <c r="I41" s="853">
        <f t="shared" si="14"/>
        <v>754551.97269358672</v>
      </c>
      <c r="J41" s="853">
        <f t="shared" si="14"/>
        <v>745123.27365433285</v>
      </c>
      <c r="K41" s="853">
        <f t="shared" si="14"/>
        <v>735694.57461507898</v>
      </c>
      <c r="L41" s="853">
        <f t="shared" si="14"/>
        <v>726265.87557582511</v>
      </c>
      <c r="M41" s="853">
        <f t="shared" si="14"/>
        <v>716837.17653657112</v>
      </c>
      <c r="N41" s="853">
        <f t="shared" si="14"/>
        <v>707408.47749731725</v>
      </c>
      <c r="O41" s="853">
        <f t="shared" si="14"/>
        <v>697979.77845806337</v>
      </c>
      <c r="P41" s="853">
        <f t="shared" si="14"/>
        <v>688551.0794188095</v>
      </c>
      <c r="Q41" s="853">
        <f>AVERAGE(D41,P41)</f>
        <v>745123.27365433285</v>
      </c>
    </row>
    <row r="42" spans="1:17">
      <c r="A42" s="848"/>
      <c r="B42" s="846"/>
      <c r="D42" s="850"/>
      <c r="E42" s="238"/>
      <c r="F42" s="238"/>
      <c r="G42" s="238"/>
      <c r="H42" s="238"/>
      <c r="I42" s="238"/>
      <c r="J42" s="238"/>
      <c r="K42" s="238"/>
      <c r="L42" s="238"/>
      <c r="M42" s="238"/>
      <c r="N42" s="238"/>
      <c r="O42" s="238"/>
      <c r="P42" s="238"/>
      <c r="Q42" s="854"/>
    </row>
    <row r="43" spans="1:17">
      <c r="A43" s="745">
        <f>A41+1</f>
        <v>22</v>
      </c>
      <c r="B43" s="851" t="s">
        <v>1133</v>
      </c>
      <c r="D43" s="850">
        <f>D33+D37+D41</f>
        <v>73117675.546710148</v>
      </c>
      <c r="E43" s="853">
        <f t="shared" ref="E43:P43" si="15">E33+E37+E41</f>
        <v>72986595.094435304</v>
      </c>
      <c r="F43" s="853">
        <f t="shared" si="15"/>
        <v>72855514.642160445</v>
      </c>
      <c r="G43" s="853">
        <f t="shared" si="15"/>
        <v>72724434.189885587</v>
      </c>
      <c r="H43" s="853">
        <f t="shared" si="15"/>
        <v>72593353.737610742</v>
      </c>
      <c r="I43" s="853">
        <f t="shared" si="15"/>
        <v>72462273.285335898</v>
      </c>
      <c r="J43" s="853">
        <f t="shared" si="15"/>
        <v>72331192.833061025</v>
      </c>
      <c r="K43" s="853">
        <f t="shared" si="15"/>
        <v>72200112.38078618</v>
      </c>
      <c r="L43" s="853">
        <f t="shared" si="15"/>
        <v>72069031.928511322</v>
      </c>
      <c r="M43" s="853">
        <f t="shared" si="15"/>
        <v>71937951.476236477</v>
      </c>
      <c r="N43" s="853">
        <f t="shared" si="15"/>
        <v>71806871.023961633</v>
      </c>
      <c r="O43" s="853">
        <f t="shared" si="15"/>
        <v>71675790.57168676</v>
      </c>
      <c r="P43" s="853">
        <f t="shared" si="15"/>
        <v>71544710.119411916</v>
      </c>
      <c r="Q43" s="853">
        <f>AVERAGE(D43,P43)</f>
        <v>72331192.833061039</v>
      </c>
    </row>
    <row r="44" spans="1:17" s="538" customFormat="1">
      <c r="A44" s="848"/>
      <c r="D44" s="855"/>
      <c r="E44" s="856"/>
      <c r="F44" s="856"/>
      <c r="G44" s="856"/>
      <c r="H44" s="856"/>
      <c r="I44" s="856"/>
      <c r="J44" s="856"/>
      <c r="K44" s="856"/>
      <c r="L44" s="856"/>
      <c r="M44" s="856"/>
      <c r="N44" s="856"/>
      <c r="O44" s="856"/>
      <c r="P44" s="856"/>
      <c r="Q44" s="856"/>
    </row>
    <row r="45" spans="1:17">
      <c r="A45" s="745">
        <f>A43+1</f>
        <v>23</v>
      </c>
      <c r="B45" s="852" t="s">
        <v>1656</v>
      </c>
      <c r="D45" s="1076">
        <v>28433561.373892579</v>
      </c>
      <c r="E45" s="238">
        <f>D45-E23</f>
        <v>27870360.799255181</v>
      </c>
      <c r="F45" s="238">
        <f t="shared" ref="F45:P45" si="16">E45-F23</f>
        <v>27307160.224617783</v>
      </c>
      <c r="G45" s="238">
        <f t="shared" si="16"/>
        <v>26743959.649980385</v>
      </c>
      <c r="H45" s="238">
        <f t="shared" si="16"/>
        <v>26180759.075342987</v>
      </c>
      <c r="I45" s="238">
        <f t="shared" si="16"/>
        <v>25617558.500705589</v>
      </c>
      <c r="J45" s="238">
        <f t="shared" si="16"/>
        <v>25054357.92606819</v>
      </c>
      <c r="K45" s="238">
        <f t="shared" si="16"/>
        <v>24491157.351430792</v>
      </c>
      <c r="L45" s="238">
        <f t="shared" si="16"/>
        <v>23927956.776793394</v>
      </c>
      <c r="M45" s="238">
        <f t="shared" si="16"/>
        <v>23364756.202155996</v>
      </c>
      <c r="N45" s="238">
        <f t="shared" si="16"/>
        <v>22801555.627518598</v>
      </c>
      <c r="O45" s="238">
        <f t="shared" si="16"/>
        <v>22238355.0528812</v>
      </c>
      <c r="P45" s="238">
        <f t="shared" si="16"/>
        <v>21675154.478243802</v>
      </c>
      <c r="Q45" s="853">
        <f>AVERAGE(D45,P45)</f>
        <v>25054357.92606819</v>
      </c>
    </row>
    <row r="46" spans="1:17" s="538" customFormat="1">
      <c r="A46" s="848"/>
      <c r="D46" s="855"/>
      <c r="E46" s="856"/>
      <c r="F46" s="856"/>
      <c r="G46" s="856"/>
      <c r="H46" s="856"/>
      <c r="I46" s="856"/>
      <c r="J46" s="856"/>
      <c r="K46" s="856"/>
      <c r="L46" s="856"/>
      <c r="M46" s="856"/>
      <c r="N46" s="856"/>
      <c r="O46" s="856"/>
      <c r="P46" s="856"/>
      <c r="Q46" s="856"/>
    </row>
    <row r="47" spans="1:17">
      <c r="A47" s="745">
        <f>A45+1</f>
        <v>24</v>
      </c>
      <c r="B47" s="852" t="s">
        <v>1920</v>
      </c>
      <c r="D47" s="1076">
        <v>1132561.0079623463</v>
      </c>
      <c r="E47" s="238">
        <f>D47-E25</f>
        <v>1108965.9869631308</v>
      </c>
      <c r="F47" s="238">
        <f t="shared" ref="F47:P47" si="17">E47-F25</f>
        <v>1085370.9659639152</v>
      </c>
      <c r="G47" s="238">
        <f t="shared" si="17"/>
        <v>1061775.9449646997</v>
      </c>
      <c r="H47" s="238">
        <f t="shared" si="17"/>
        <v>1038180.9239654841</v>
      </c>
      <c r="I47" s="238">
        <f t="shared" si="17"/>
        <v>1014585.9029662686</v>
      </c>
      <c r="J47" s="238">
        <f t="shared" si="17"/>
        <v>990990.88196705305</v>
      </c>
      <c r="K47" s="238">
        <f t="shared" si="17"/>
        <v>967395.86096783751</v>
      </c>
      <c r="L47" s="238">
        <f t="shared" si="17"/>
        <v>943800.83996862196</v>
      </c>
      <c r="M47" s="238">
        <f t="shared" si="17"/>
        <v>920205.81896940642</v>
      </c>
      <c r="N47" s="238">
        <f t="shared" si="17"/>
        <v>896610.79797019088</v>
      </c>
      <c r="O47" s="238">
        <f t="shared" si="17"/>
        <v>873015.77697097533</v>
      </c>
      <c r="P47" s="238">
        <f t="shared" si="17"/>
        <v>849420.75597175979</v>
      </c>
      <c r="Q47" s="853">
        <f>AVERAGE(D47,P47)</f>
        <v>990990.88196705305</v>
      </c>
    </row>
    <row r="48" spans="1:17">
      <c r="A48" s="848">
        <f t="shared" ref="A48:A49" si="18">A47+1</f>
        <v>25</v>
      </c>
      <c r="B48" s="852" t="s">
        <v>1924</v>
      </c>
      <c r="D48" s="1076">
        <v>-1309168.1361968052</v>
      </c>
      <c r="E48" s="238">
        <f>D48-E26</f>
        <v>-1281893.8000260384</v>
      </c>
      <c r="F48" s="238">
        <f t="shared" ref="F48:P48" si="19">E48-F26</f>
        <v>-1254619.4638552717</v>
      </c>
      <c r="G48" s="238">
        <f t="shared" si="19"/>
        <v>-1227345.127684505</v>
      </c>
      <c r="H48" s="238">
        <f t="shared" si="19"/>
        <v>-1200070.7915137382</v>
      </c>
      <c r="I48" s="238">
        <f t="shared" si="19"/>
        <v>-1172796.4553429715</v>
      </c>
      <c r="J48" s="238">
        <f t="shared" si="19"/>
        <v>-1145522.1191722048</v>
      </c>
      <c r="K48" s="238">
        <f t="shared" si="19"/>
        <v>-1118247.783001438</v>
      </c>
      <c r="L48" s="238">
        <f t="shared" si="19"/>
        <v>-1090973.4468306713</v>
      </c>
      <c r="M48" s="238">
        <f t="shared" si="19"/>
        <v>-1063699.1106599045</v>
      </c>
      <c r="N48" s="238">
        <f t="shared" si="19"/>
        <v>-1036424.7744891378</v>
      </c>
      <c r="O48" s="238">
        <f t="shared" si="19"/>
        <v>-1009150.4383183711</v>
      </c>
      <c r="P48" s="238">
        <f t="shared" si="19"/>
        <v>-981876.10214760434</v>
      </c>
      <c r="Q48" s="853">
        <f>AVERAGE(D48,P48)</f>
        <v>-1145522.1191722048</v>
      </c>
    </row>
    <row r="49" spans="1:17">
      <c r="A49" s="848">
        <f t="shared" si="18"/>
        <v>26</v>
      </c>
      <c r="B49" s="852" t="s">
        <v>1922</v>
      </c>
      <c r="D49" s="817">
        <f t="shared" ref="D49" si="20">SUM(D47:D48)</f>
        <v>-176607.12823445885</v>
      </c>
      <c r="E49" s="854">
        <f t="shared" ref="E49" si="21">SUM(E47:E48)</f>
        <v>-172927.81306290766</v>
      </c>
      <c r="F49" s="854">
        <f t="shared" ref="F49" si="22">SUM(F47:F48)</f>
        <v>-169248.49789135647</v>
      </c>
      <c r="G49" s="854">
        <f t="shared" ref="G49" si="23">SUM(G47:G48)</f>
        <v>-165569.18271980528</v>
      </c>
      <c r="H49" s="854">
        <f t="shared" ref="H49" si="24">SUM(H47:H48)</f>
        <v>-161889.86754825409</v>
      </c>
      <c r="I49" s="854">
        <f t="shared" ref="I49" si="25">SUM(I47:I48)</f>
        <v>-158210.55237670289</v>
      </c>
      <c r="J49" s="854">
        <f t="shared" ref="J49" si="26">SUM(J47:J48)</f>
        <v>-154531.2372051517</v>
      </c>
      <c r="K49" s="854">
        <f t="shared" ref="K49" si="27">SUM(K47:K48)</f>
        <v>-150851.92203360051</v>
      </c>
      <c r="L49" s="854">
        <f t="shared" ref="L49" si="28">SUM(L47:L48)</f>
        <v>-147172.60686204932</v>
      </c>
      <c r="M49" s="854">
        <f t="shared" ref="M49" si="29">SUM(M47:M48)</f>
        <v>-143493.29169049812</v>
      </c>
      <c r="N49" s="854">
        <f t="shared" ref="N49" si="30">SUM(N47:N48)</f>
        <v>-139813.97651894693</v>
      </c>
      <c r="O49" s="854">
        <f t="shared" ref="O49" si="31">SUM(O47:O48)</f>
        <v>-136134.66134739574</v>
      </c>
      <c r="P49" s="854">
        <f t="shared" ref="P49:Q49" si="32">SUM(P47:P48)</f>
        <v>-132455.34617584455</v>
      </c>
      <c r="Q49" s="854">
        <f t="shared" si="32"/>
        <v>-154531.2372051517</v>
      </c>
    </row>
    <row r="50" spans="1:17">
      <c r="E50" s="855"/>
      <c r="F50" s="855"/>
      <c r="G50" s="855"/>
      <c r="H50" s="855"/>
      <c r="I50" s="855"/>
      <c r="J50" s="855"/>
      <c r="K50" s="855"/>
      <c r="L50" s="855"/>
      <c r="M50" s="855"/>
      <c r="N50" s="855"/>
      <c r="O50" s="855"/>
      <c r="P50" s="855"/>
    </row>
    <row r="51" spans="1:17">
      <c r="E51" s="855"/>
      <c r="F51" s="855"/>
      <c r="G51" s="855"/>
      <c r="H51" s="855"/>
      <c r="I51" s="855"/>
      <c r="J51" s="855"/>
      <c r="K51" s="855"/>
      <c r="L51" s="855"/>
      <c r="M51" s="855"/>
      <c r="N51" s="855"/>
      <c r="O51" s="855"/>
      <c r="P51" s="855"/>
    </row>
    <row r="52" spans="1:17">
      <c r="A52" s="1266" t="s">
        <v>1569</v>
      </c>
      <c r="B52" s="1267"/>
      <c r="C52" s="1267"/>
      <c r="D52" s="1267"/>
      <c r="E52" s="1267"/>
      <c r="F52" s="1267"/>
      <c r="G52" s="1267"/>
      <c r="H52" s="1267"/>
      <c r="I52" s="1267"/>
      <c r="J52" s="1267"/>
      <c r="K52" s="1267"/>
      <c r="L52" s="1267"/>
      <c r="M52" s="1267"/>
      <c r="N52" s="1267"/>
      <c r="O52" s="1267"/>
      <c r="P52" s="1267"/>
      <c r="Q52" s="1268"/>
    </row>
    <row r="53" spans="1:17">
      <c r="B53" s="1200"/>
      <c r="C53" s="1200"/>
      <c r="D53" s="1200"/>
      <c r="E53" s="1200"/>
      <c r="F53" s="1200"/>
      <c r="G53" s="1200"/>
      <c r="H53" s="1200"/>
      <c r="I53" s="1200"/>
      <c r="J53" s="1200"/>
      <c r="K53" s="1200"/>
      <c r="L53" s="1200"/>
      <c r="M53" s="1200"/>
      <c r="N53" s="1200"/>
      <c r="O53" s="1200"/>
      <c r="P53" s="1200"/>
      <c r="Q53" s="1200"/>
    </row>
    <row r="54" spans="1:17">
      <c r="B54" s="746"/>
      <c r="C54" s="1201" t="s">
        <v>198</v>
      </c>
      <c r="D54" s="1201" t="s">
        <v>199</v>
      </c>
      <c r="E54" s="1202" t="s">
        <v>200</v>
      </c>
      <c r="F54" s="1201" t="s">
        <v>201</v>
      </c>
      <c r="G54" s="1201" t="s">
        <v>203</v>
      </c>
      <c r="H54" s="1201" t="s">
        <v>202</v>
      </c>
      <c r="I54" s="1201" t="s">
        <v>204</v>
      </c>
      <c r="J54" s="1201" t="s">
        <v>205</v>
      </c>
      <c r="K54" s="1201" t="s">
        <v>206</v>
      </c>
      <c r="L54" s="1201" t="s">
        <v>244</v>
      </c>
      <c r="M54" s="1201" t="s">
        <v>248</v>
      </c>
      <c r="N54" s="1201" t="s">
        <v>453</v>
      </c>
      <c r="O54" s="17" t="s">
        <v>779</v>
      </c>
      <c r="P54" s="17" t="s">
        <v>780</v>
      </c>
      <c r="Q54" s="17" t="s">
        <v>781</v>
      </c>
    </row>
    <row r="55" spans="1:17">
      <c r="A55" s="1203"/>
      <c r="B55" s="1117" t="s">
        <v>1176</v>
      </c>
      <c r="C55" s="1203"/>
      <c r="D55" s="1203"/>
      <c r="E55" s="1203"/>
      <c r="F55" s="1203"/>
      <c r="G55" s="1203"/>
      <c r="H55" s="1203"/>
      <c r="I55" s="1203"/>
      <c r="J55" s="1203"/>
      <c r="K55" s="1203"/>
      <c r="L55" s="1203"/>
      <c r="M55" s="1203"/>
      <c r="N55" s="1203"/>
      <c r="O55" s="1203"/>
      <c r="P55" s="1203"/>
      <c r="Q55" s="1203"/>
    </row>
    <row r="56" spans="1:17" ht="61.5">
      <c r="A56" s="1203"/>
      <c r="B56" s="1203"/>
      <c r="C56" s="826" t="s">
        <v>1911</v>
      </c>
      <c r="D56" s="1204"/>
      <c r="E56" s="1204" t="s">
        <v>84</v>
      </c>
      <c r="F56" s="1204" t="s">
        <v>83</v>
      </c>
      <c r="G56" s="1204" t="s">
        <v>171</v>
      </c>
      <c r="H56" s="1204" t="s">
        <v>74</v>
      </c>
      <c r="I56" s="1204" t="s">
        <v>73</v>
      </c>
      <c r="J56" s="1204" t="s">
        <v>93</v>
      </c>
      <c r="K56" s="1204" t="s">
        <v>81</v>
      </c>
      <c r="L56" s="1204" t="s">
        <v>172</v>
      </c>
      <c r="M56" s="1204" t="s">
        <v>79</v>
      </c>
      <c r="N56" s="1204" t="s">
        <v>85</v>
      </c>
      <c r="O56" s="1204" t="s">
        <v>78</v>
      </c>
      <c r="P56" s="1204" t="s">
        <v>196</v>
      </c>
      <c r="Q56" s="17" t="s">
        <v>13</v>
      </c>
    </row>
    <row r="57" spans="1:17">
      <c r="A57" s="745">
        <v>27</v>
      </c>
      <c r="B57" s="1117" t="s">
        <v>1134</v>
      </c>
      <c r="C57" s="1117"/>
      <c r="D57" s="1203"/>
      <c r="E57" s="746"/>
      <c r="F57" s="746"/>
      <c r="G57" s="746"/>
      <c r="H57" s="746"/>
      <c r="I57" s="746"/>
      <c r="J57" s="746"/>
      <c r="K57" s="746"/>
      <c r="L57" s="746"/>
      <c r="M57" s="746"/>
      <c r="N57" s="746"/>
      <c r="O57" s="746"/>
      <c r="P57" s="746"/>
      <c r="Q57" s="817"/>
    </row>
    <row r="58" spans="1:17">
      <c r="A58" s="745">
        <v>28</v>
      </c>
      <c r="B58" s="823" t="s">
        <v>17</v>
      </c>
      <c r="C58" s="745">
        <v>411.1</v>
      </c>
      <c r="D58" s="746"/>
      <c r="E58" s="1076">
        <v>116820.27888813576</v>
      </c>
      <c r="F58" s="1076">
        <v>116820.27888813576</v>
      </c>
      <c r="G58" s="1076">
        <v>116820.27888813576</v>
      </c>
      <c r="H58" s="1076">
        <v>116820.27888813576</v>
      </c>
      <c r="I58" s="1076">
        <v>116820.27888813576</v>
      </c>
      <c r="J58" s="1076">
        <v>116820.27888813576</v>
      </c>
      <c r="K58" s="1076">
        <v>116820.27888813576</v>
      </c>
      <c r="L58" s="1076">
        <v>116820.27888813576</v>
      </c>
      <c r="M58" s="1076">
        <v>116820.27888813576</v>
      </c>
      <c r="N58" s="1076">
        <v>116820.27888813576</v>
      </c>
      <c r="O58" s="1076">
        <v>116820.27888813576</v>
      </c>
      <c r="P58" s="1076">
        <v>116820.27888813576</v>
      </c>
      <c r="Q58" s="817">
        <f>SUM(E58:P58)</f>
        <v>1401843.3466576289</v>
      </c>
    </row>
    <row r="59" spans="1:17">
      <c r="B59" s="746"/>
      <c r="C59" s="746"/>
      <c r="D59" s="746"/>
      <c r="E59" s="746"/>
      <c r="F59" s="746"/>
      <c r="G59" s="746"/>
      <c r="H59" s="746"/>
      <c r="I59" s="746"/>
      <c r="J59" s="746"/>
      <c r="K59" s="746"/>
      <c r="L59" s="746"/>
      <c r="M59" s="746"/>
      <c r="N59" s="746"/>
      <c r="O59" s="746"/>
      <c r="P59" s="746"/>
      <c r="Q59" s="850"/>
    </row>
    <row r="60" spans="1:17">
      <c r="A60" s="745">
        <v>29</v>
      </c>
      <c r="B60" s="823" t="s">
        <v>1129</v>
      </c>
      <c r="C60" s="745">
        <v>411.1</v>
      </c>
      <c r="D60" s="1203"/>
      <c r="E60" s="1076">
        <v>38513.916666666672</v>
      </c>
      <c r="F60" s="1076">
        <v>38513.916666666672</v>
      </c>
      <c r="G60" s="1076">
        <v>38513.916666666672</v>
      </c>
      <c r="H60" s="1076">
        <v>38513.916666666672</v>
      </c>
      <c r="I60" s="1076">
        <v>38513.916666666672</v>
      </c>
      <c r="J60" s="1076">
        <v>38513.916666666672</v>
      </c>
      <c r="K60" s="1076">
        <v>38513.916666666672</v>
      </c>
      <c r="L60" s="1076">
        <v>38513.916666666672</v>
      </c>
      <c r="M60" s="1076">
        <v>38513.916666666672</v>
      </c>
      <c r="N60" s="1076">
        <v>38513.916666666672</v>
      </c>
      <c r="O60" s="1076">
        <v>38513.916666666672</v>
      </c>
      <c r="P60" s="1076">
        <v>38513.916666666555</v>
      </c>
      <c r="Q60" s="817">
        <f>SUM(E60:P60)</f>
        <v>462167.00000000006</v>
      </c>
    </row>
    <row r="61" spans="1:17">
      <c r="A61" s="745">
        <v>30</v>
      </c>
      <c r="B61" s="823" t="s">
        <v>1280</v>
      </c>
      <c r="C61" s="823"/>
      <c r="D61" s="1203"/>
      <c r="E61" s="1078">
        <f>E14</f>
        <v>0.12544749445449754</v>
      </c>
      <c r="F61" s="817"/>
      <c r="G61" s="817"/>
      <c r="H61" s="817"/>
      <c r="I61" s="817"/>
      <c r="J61" s="817"/>
      <c r="K61" s="817"/>
      <c r="L61" s="817"/>
      <c r="M61" s="817"/>
      <c r="N61" s="817"/>
      <c r="O61" s="817"/>
      <c r="P61" s="817"/>
      <c r="Q61" s="817"/>
    </row>
    <row r="62" spans="1:17">
      <c r="A62" s="745">
        <v>31</v>
      </c>
      <c r="B62" s="823" t="s">
        <v>1131</v>
      </c>
      <c r="C62" s="745">
        <v>411.1</v>
      </c>
      <c r="D62" s="1203"/>
      <c r="E62" s="850">
        <f>E60*$E$61</f>
        <v>4831.4743474626475</v>
      </c>
      <c r="F62" s="850">
        <f t="shared" ref="F62:P62" si="33">F60*$E$61</f>
        <v>4831.4743474626475</v>
      </c>
      <c r="G62" s="850">
        <f t="shared" si="33"/>
        <v>4831.4743474626475</v>
      </c>
      <c r="H62" s="850">
        <f t="shared" si="33"/>
        <v>4831.4743474626475</v>
      </c>
      <c r="I62" s="850">
        <f t="shared" si="33"/>
        <v>4831.4743474626475</v>
      </c>
      <c r="J62" s="850">
        <f t="shared" si="33"/>
        <v>4831.4743474626475</v>
      </c>
      <c r="K62" s="850">
        <f t="shared" si="33"/>
        <v>4831.4743474626475</v>
      </c>
      <c r="L62" s="850">
        <f t="shared" si="33"/>
        <v>4831.4743474626475</v>
      </c>
      <c r="M62" s="850">
        <f t="shared" si="33"/>
        <v>4831.4743474626475</v>
      </c>
      <c r="N62" s="850">
        <f t="shared" si="33"/>
        <v>4831.4743474626475</v>
      </c>
      <c r="O62" s="850">
        <f t="shared" si="33"/>
        <v>4831.4743474626475</v>
      </c>
      <c r="P62" s="850">
        <f t="shared" si="33"/>
        <v>4831.474347462633</v>
      </c>
      <c r="Q62" s="817">
        <f>SUM(E62:P62)</f>
        <v>57977.692169551745</v>
      </c>
    </row>
    <row r="63" spans="1:17">
      <c r="A63" s="1203"/>
      <c r="B63" s="746"/>
      <c r="C63" s="746"/>
      <c r="D63" s="746"/>
      <c r="E63" s="746"/>
      <c r="F63" s="746"/>
      <c r="G63" s="746"/>
      <c r="H63" s="746"/>
      <c r="I63" s="746"/>
      <c r="J63" s="746"/>
      <c r="K63" s="746"/>
      <c r="L63" s="746"/>
      <c r="M63" s="746"/>
      <c r="N63" s="746"/>
      <c r="O63" s="746"/>
      <c r="P63" s="746"/>
      <c r="Q63" s="850"/>
    </row>
    <row r="64" spans="1:17">
      <c r="A64" s="745">
        <v>32</v>
      </c>
      <c r="B64" s="823" t="s">
        <v>1132</v>
      </c>
      <c r="C64" s="745">
        <v>411.1</v>
      </c>
      <c r="D64" s="1203"/>
      <c r="E64" s="1076">
        <v>97383.416666666672</v>
      </c>
      <c r="F64" s="1076">
        <v>97383.416666666672</v>
      </c>
      <c r="G64" s="1076">
        <v>97383.416666666672</v>
      </c>
      <c r="H64" s="1076">
        <v>97383.416666666672</v>
      </c>
      <c r="I64" s="1076">
        <v>97383.416666666672</v>
      </c>
      <c r="J64" s="1076">
        <v>97383.416666666672</v>
      </c>
      <c r="K64" s="1076">
        <v>97383.416666666672</v>
      </c>
      <c r="L64" s="1076">
        <v>97383.416666666672</v>
      </c>
      <c r="M64" s="1076">
        <v>97383.416666666672</v>
      </c>
      <c r="N64" s="1076">
        <v>97383.416666666672</v>
      </c>
      <c r="O64" s="1076">
        <v>97383.416666666672</v>
      </c>
      <c r="P64" s="1076">
        <v>97383.416666666672</v>
      </c>
      <c r="Q64" s="817">
        <f>SUM(E64:P64)</f>
        <v>1168601</v>
      </c>
    </row>
    <row r="65" spans="1:17">
      <c r="A65" s="745">
        <v>33</v>
      </c>
      <c r="B65" s="823" t="s">
        <v>1162</v>
      </c>
      <c r="C65" s="823"/>
      <c r="D65" s="1203"/>
      <c r="E65" s="1078">
        <f>E18</f>
        <v>9.6820376219981213E-2</v>
      </c>
      <c r="F65" s="817"/>
      <c r="G65" s="817"/>
      <c r="H65" s="817"/>
      <c r="I65" s="817"/>
      <c r="J65" s="817"/>
      <c r="K65" s="817"/>
      <c r="L65" s="817"/>
      <c r="M65" s="817"/>
      <c r="N65" s="817"/>
      <c r="O65" s="817"/>
      <c r="P65" s="817"/>
      <c r="Q65" s="817"/>
    </row>
    <row r="66" spans="1:17">
      <c r="A66" s="745">
        <v>34</v>
      </c>
      <c r="B66" s="823" t="s">
        <v>1131</v>
      </c>
      <c r="C66" s="745">
        <v>411.1</v>
      </c>
      <c r="D66" s="1203"/>
      <c r="E66" s="850">
        <f>E64*$E$65</f>
        <v>9428.6990392538555</v>
      </c>
      <c r="F66" s="850">
        <f t="shared" ref="F66:P66" si="34">F64*$E$65</f>
        <v>9428.6990392538555</v>
      </c>
      <c r="G66" s="850">
        <f t="shared" si="34"/>
        <v>9428.6990392538555</v>
      </c>
      <c r="H66" s="850">
        <f t="shared" si="34"/>
        <v>9428.6990392538555</v>
      </c>
      <c r="I66" s="850">
        <f t="shared" si="34"/>
        <v>9428.6990392538555</v>
      </c>
      <c r="J66" s="850">
        <f t="shared" si="34"/>
        <v>9428.6990392538555</v>
      </c>
      <c r="K66" s="850">
        <f t="shared" si="34"/>
        <v>9428.6990392538555</v>
      </c>
      <c r="L66" s="850">
        <f t="shared" si="34"/>
        <v>9428.6990392538555</v>
      </c>
      <c r="M66" s="850">
        <f t="shared" si="34"/>
        <v>9428.6990392538555</v>
      </c>
      <c r="N66" s="850">
        <f t="shared" si="34"/>
        <v>9428.6990392538555</v>
      </c>
      <c r="O66" s="850">
        <f t="shared" si="34"/>
        <v>9428.6990392538555</v>
      </c>
      <c r="P66" s="850">
        <f t="shared" si="34"/>
        <v>9428.6990392538555</v>
      </c>
      <c r="Q66" s="817">
        <f>SUM(E66:P66)</f>
        <v>113144.38847104627</v>
      </c>
    </row>
    <row r="67" spans="1:17">
      <c r="B67" s="823"/>
      <c r="C67" s="823"/>
      <c r="D67" s="746"/>
      <c r="E67" s="850"/>
      <c r="F67" s="850"/>
      <c r="G67" s="850"/>
      <c r="H67" s="850"/>
      <c r="I67" s="850"/>
      <c r="J67" s="850"/>
      <c r="K67" s="850"/>
      <c r="L67" s="850"/>
      <c r="M67" s="850"/>
      <c r="N67" s="850"/>
      <c r="O67" s="850"/>
      <c r="P67" s="850"/>
      <c r="Q67" s="850"/>
    </row>
    <row r="68" spans="1:17">
      <c r="A68" s="745">
        <v>35</v>
      </c>
      <c r="B68" s="1205" t="s">
        <v>1133</v>
      </c>
      <c r="C68" s="745">
        <v>411.1</v>
      </c>
      <c r="D68" s="1203"/>
      <c r="E68" s="850">
        <f>E58+E62+E66</f>
        <v>131080.45227485226</v>
      </c>
      <c r="F68" s="850">
        <f t="shared" ref="F68:P68" si="35">F58+F62+F66</f>
        <v>131080.45227485226</v>
      </c>
      <c r="G68" s="850">
        <f t="shared" si="35"/>
        <v>131080.45227485226</v>
      </c>
      <c r="H68" s="850">
        <f t="shared" si="35"/>
        <v>131080.45227485226</v>
      </c>
      <c r="I68" s="850">
        <f t="shared" si="35"/>
        <v>131080.45227485226</v>
      </c>
      <c r="J68" s="850">
        <f t="shared" si="35"/>
        <v>131080.45227485226</v>
      </c>
      <c r="K68" s="850">
        <f t="shared" si="35"/>
        <v>131080.45227485226</v>
      </c>
      <c r="L68" s="850">
        <f t="shared" si="35"/>
        <v>131080.45227485226</v>
      </c>
      <c r="M68" s="850">
        <f t="shared" si="35"/>
        <v>131080.45227485226</v>
      </c>
      <c r="N68" s="850">
        <f t="shared" si="35"/>
        <v>131080.45227485226</v>
      </c>
      <c r="O68" s="850">
        <f t="shared" si="35"/>
        <v>131080.45227485226</v>
      </c>
      <c r="P68" s="850">
        <f t="shared" si="35"/>
        <v>131080.45227485223</v>
      </c>
      <c r="Q68" s="817">
        <f>SUM(E68:P68)</f>
        <v>1572965.4272982266</v>
      </c>
    </row>
    <row r="69" spans="1:17">
      <c r="B69" s="746"/>
      <c r="C69" s="746"/>
      <c r="D69" s="746"/>
      <c r="E69" s="746"/>
      <c r="F69" s="746"/>
      <c r="G69" s="746"/>
      <c r="H69" s="746"/>
      <c r="I69" s="746"/>
      <c r="J69" s="746"/>
      <c r="K69" s="746"/>
      <c r="L69" s="746"/>
      <c r="M69" s="746"/>
      <c r="N69" s="746"/>
      <c r="O69" s="746"/>
      <c r="P69" s="746"/>
      <c r="Q69" s="850"/>
    </row>
    <row r="70" spans="1:17">
      <c r="A70" s="745">
        <v>36</v>
      </c>
      <c r="B70" s="1117" t="s">
        <v>1907</v>
      </c>
      <c r="C70" s="745">
        <v>411.1</v>
      </c>
      <c r="D70" s="1203"/>
      <c r="E70" s="1076">
        <v>201948.00000000003</v>
      </c>
      <c r="F70" s="1076">
        <v>201948.00000000003</v>
      </c>
      <c r="G70" s="1076">
        <v>201948.00000000003</v>
      </c>
      <c r="H70" s="1076">
        <v>201948.00000000003</v>
      </c>
      <c r="I70" s="1076">
        <v>201948.00000000003</v>
      </c>
      <c r="J70" s="1076">
        <v>201948.00000000003</v>
      </c>
      <c r="K70" s="1076">
        <v>201948.00000000003</v>
      </c>
      <c r="L70" s="1076">
        <v>201948.00000000003</v>
      </c>
      <c r="M70" s="1076">
        <v>201948.00000000003</v>
      </c>
      <c r="N70" s="1076">
        <v>201948.00000000003</v>
      </c>
      <c r="O70" s="1076">
        <v>201948.00000000003</v>
      </c>
      <c r="P70" s="1076">
        <v>201948.00000000044</v>
      </c>
      <c r="Q70" s="817">
        <f>SUM(E70:P70)</f>
        <v>2423376.0000000009</v>
      </c>
    </row>
    <row r="71" spans="1:17">
      <c r="B71" s="746"/>
      <c r="C71" s="746"/>
      <c r="D71" s="746"/>
      <c r="E71" s="746"/>
      <c r="F71" s="746"/>
      <c r="G71" s="746"/>
      <c r="H71" s="746"/>
      <c r="I71" s="746"/>
      <c r="J71" s="746"/>
      <c r="K71" s="746"/>
      <c r="L71" s="746"/>
      <c r="M71" s="746"/>
      <c r="N71" s="746"/>
      <c r="O71" s="746"/>
      <c r="P71" s="746"/>
      <c r="Q71" s="850"/>
    </row>
    <row r="72" spans="1:17">
      <c r="A72" s="745">
        <v>37</v>
      </c>
      <c r="B72" s="1117" t="s">
        <v>1908</v>
      </c>
      <c r="C72" s="745">
        <v>411.1</v>
      </c>
      <c r="D72" s="1203"/>
      <c r="E72" s="1076">
        <v>0</v>
      </c>
      <c r="F72" s="1076">
        <v>0</v>
      </c>
      <c r="G72" s="1076">
        <v>0</v>
      </c>
      <c r="H72" s="1076">
        <v>0</v>
      </c>
      <c r="I72" s="1076">
        <v>0</v>
      </c>
      <c r="J72" s="1076">
        <v>0</v>
      </c>
      <c r="K72" s="1076">
        <v>0</v>
      </c>
      <c r="L72" s="1076">
        <v>0</v>
      </c>
      <c r="M72" s="1076">
        <v>0</v>
      </c>
      <c r="N72" s="1076">
        <v>0</v>
      </c>
      <c r="O72" s="1076">
        <v>0</v>
      </c>
      <c r="P72" s="1076">
        <v>0</v>
      </c>
      <c r="Q72" s="817">
        <f t="shared" ref="Q72:Q74" si="36">SUM(E72:P72)</f>
        <v>0</v>
      </c>
    </row>
    <row r="73" spans="1:17">
      <c r="A73" s="745">
        <v>38</v>
      </c>
      <c r="B73" s="1117" t="s">
        <v>1909</v>
      </c>
      <c r="C73" s="745">
        <v>410.1</v>
      </c>
      <c r="D73" s="1203"/>
      <c r="E73" s="1076">
        <v>0</v>
      </c>
      <c r="F73" s="1076">
        <v>0</v>
      </c>
      <c r="G73" s="1076">
        <v>0</v>
      </c>
      <c r="H73" s="1076">
        <v>0</v>
      </c>
      <c r="I73" s="1076">
        <v>0</v>
      </c>
      <c r="J73" s="1076">
        <v>0</v>
      </c>
      <c r="K73" s="1076">
        <v>0</v>
      </c>
      <c r="L73" s="1076">
        <v>0</v>
      </c>
      <c r="M73" s="1076">
        <v>0</v>
      </c>
      <c r="N73" s="1076">
        <v>0</v>
      </c>
      <c r="O73" s="1076">
        <v>0</v>
      </c>
      <c r="P73" s="1076">
        <v>0</v>
      </c>
      <c r="Q73" s="817">
        <f t="shared" si="36"/>
        <v>0</v>
      </c>
    </row>
    <row r="74" spans="1:17">
      <c r="A74" s="745">
        <v>39</v>
      </c>
      <c r="B74" s="1117" t="s">
        <v>1910</v>
      </c>
      <c r="C74" s="745">
        <v>411.1</v>
      </c>
      <c r="D74" s="1203"/>
      <c r="E74" s="817">
        <f t="shared" ref="E74:P74" si="37">SUM(E72:E73)</f>
        <v>0</v>
      </c>
      <c r="F74" s="817">
        <f t="shared" si="37"/>
        <v>0</v>
      </c>
      <c r="G74" s="817">
        <f t="shared" si="37"/>
        <v>0</v>
      </c>
      <c r="H74" s="817">
        <f t="shared" si="37"/>
        <v>0</v>
      </c>
      <c r="I74" s="817">
        <f t="shared" si="37"/>
        <v>0</v>
      </c>
      <c r="J74" s="817">
        <f t="shared" si="37"/>
        <v>0</v>
      </c>
      <c r="K74" s="817">
        <f t="shared" si="37"/>
        <v>0</v>
      </c>
      <c r="L74" s="817">
        <f t="shared" si="37"/>
        <v>0</v>
      </c>
      <c r="M74" s="817">
        <f t="shared" si="37"/>
        <v>0</v>
      </c>
      <c r="N74" s="817">
        <f t="shared" si="37"/>
        <v>0</v>
      </c>
      <c r="O74" s="817">
        <f t="shared" si="37"/>
        <v>0</v>
      </c>
      <c r="P74" s="817">
        <f t="shared" si="37"/>
        <v>0</v>
      </c>
      <c r="Q74" s="817">
        <f t="shared" si="36"/>
        <v>0</v>
      </c>
    </row>
    <row r="75" spans="1:17">
      <c r="A75" s="1203"/>
      <c r="B75" s="1203"/>
      <c r="C75" s="1203"/>
      <c r="D75" s="1203"/>
      <c r="E75" s="746"/>
      <c r="F75" s="746"/>
      <c r="G75" s="746"/>
      <c r="H75" s="746"/>
      <c r="I75" s="746"/>
      <c r="J75" s="746"/>
      <c r="K75" s="746"/>
      <c r="L75" s="746"/>
      <c r="M75" s="746"/>
      <c r="N75" s="746"/>
      <c r="O75" s="746"/>
      <c r="P75" s="746"/>
      <c r="Q75" s="1203"/>
    </row>
    <row r="76" spans="1:17">
      <c r="A76" s="1203"/>
      <c r="B76" s="1203"/>
      <c r="C76" s="1203"/>
      <c r="D76" s="1203"/>
      <c r="E76" s="746"/>
      <c r="F76" s="746"/>
      <c r="G76" s="746"/>
      <c r="H76" s="746"/>
      <c r="I76" s="746"/>
      <c r="J76" s="746"/>
      <c r="K76" s="746"/>
      <c r="L76" s="746"/>
      <c r="M76" s="746"/>
      <c r="N76" s="746"/>
      <c r="O76" s="746"/>
      <c r="P76" s="746"/>
      <c r="Q76" s="1203"/>
    </row>
    <row r="77" spans="1:17">
      <c r="A77" s="1203"/>
      <c r="B77" s="1117" t="s">
        <v>1801</v>
      </c>
      <c r="C77" s="1203"/>
      <c r="D77" s="1203"/>
      <c r="E77" s="746"/>
      <c r="F77" s="746"/>
      <c r="G77" s="746"/>
      <c r="H77" s="746"/>
      <c r="I77" s="746"/>
      <c r="J77" s="746"/>
      <c r="K77" s="746"/>
      <c r="L77" s="746"/>
      <c r="M77" s="746"/>
      <c r="N77" s="746"/>
      <c r="O77" s="746"/>
      <c r="P77" s="746"/>
      <c r="Q77" s="1203"/>
    </row>
    <row r="78" spans="1:17" ht="30.75">
      <c r="A78" s="1203"/>
      <c r="B78" s="1203"/>
      <c r="C78" s="1203"/>
      <c r="D78" s="1204" t="s">
        <v>195</v>
      </c>
      <c r="E78" s="1204" t="s">
        <v>84</v>
      </c>
      <c r="F78" s="1204" t="s">
        <v>83</v>
      </c>
      <c r="G78" s="1204" t="s">
        <v>171</v>
      </c>
      <c r="H78" s="1204" t="s">
        <v>74</v>
      </c>
      <c r="I78" s="1204" t="s">
        <v>73</v>
      </c>
      <c r="J78" s="1204" t="s">
        <v>93</v>
      </c>
      <c r="K78" s="1204" t="s">
        <v>81</v>
      </c>
      <c r="L78" s="1204" t="s">
        <v>172</v>
      </c>
      <c r="M78" s="1204" t="s">
        <v>79</v>
      </c>
      <c r="N78" s="1204" t="s">
        <v>85</v>
      </c>
      <c r="O78" s="1204" t="s">
        <v>78</v>
      </c>
      <c r="P78" s="1204" t="s">
        <v>196</v>
      </c>
      <c r="Q78" s="826" t="s">
        <v>1177</v>
      </c>
    </row>
    <row r="79" spans="1:17">
      <c r="A79" s="745">
        <v>40</v>
      </c>
      <c r="B79" s="1117" t="s">
        <v>1134</v>
      </c>
      <c r="C79" s="1203"/>
      <c r="D79" s="1203"/>
      <c r="E79" s="1203"/>
      <c r="F79" s="1203"/>
      <c r="G79" s="1203"/>
      <c r="H79" s="1203"/>
      <c r="I79" s="1203"/>
      <c r="J79" s="1203"/>
      <c r="K79" s="1203"/>
      <c r="L79" s="1203"/>
      <c r="M79" s="1203"/>
      <c r="N79" s="1203"/>
      <c r="O79" s="1203"/>
      <c r="P79" s="1203"/>
      <c r="Q79" s="1203"/>
    </row>
    <row r="80" spans="1:17">
      <c r="A80" s="745">
        <v>41</v>
      </c>
      <c r="B80" s="823" t="s">
        <v>17</v>
      </c>
      <c r="C80" s="1203"/>
      <c r="D80" s="1076">
        <v>72258002.386650741</v>
      </c>
      <c r="E80" s="238">
        <f>D80-E58</f>
        <v>72141182.107762605</v>
      </c>
      <c r="F80" s="238">
        <f t="shared" ref="F80:P80" si="38">E80-F58</f>
        <v>72024361.828874469</v>
      </c>
      <c r="G80" s="238">
        <f t="shared" si="38"/>
        <v>71907541.549986333</v>
      </c>
      <c r="H80" s="238">
        <f t="shared" si="38"/>
        <v>71790721.271098197</v>
      </c>
      <c r="I80" s="238">
        <f t="shared" si="38"/>
        <v>71673900.99221006</v>
      </c>
      <c r="J80" s="238">
        <f t="shared" si="38"/>
        <v>71557080.713321924</v>
      </c>
      <c r="K80" s="238">
        <f t="shared" si="38"/>
        <v>71440260.434433788</v>
      </c>
      <c r="L80" s="238">
        <f t="shared" si="38"/>
        <v>71323440.155545652</v>
      </c>
      <c r="M80" s="238">
        <f t="shared" si="38"/>
        <v>71206619.876657516</v>
      </c>
      <c r="N80" s="238">
        <f t="shared" si="38"/>
        <v>71089799.59776938</v>
      </c>
      <c r="O80" s="238">
        <f t="shared" si="38"/>
        <v>70972979.318881243</v>
      </c>
      <c r="P80" s="238">
        <f t="shared" si="38"/>
        <v>70856159.039993107</v>
      </c>
      <c r="Q80" s="853">
        <f>AVERAGE(D80,P80)</f>
        <v>71557080.713321924</v>
      </c>
    </row>
    <row r="81" spans="1:17">
      <c r="B81" s="746"/>
      <c r="C81" s="1203"/>
      <c r="D81" s="850"/>
      <c r="E81" s="238"/>
      <c r="F81" s="238"/>
      <c r="G81" s="238"/>
      <c r="H81" s="238"/>
      <c r="I81" s="238"/>
      <c r="J81" s="238"/>
      <c r="K81" s="238"/>
      <c r="L81" s="238"/>
      <c r="M81" s="238"/>
      <c r="N81" s="238"/>
      <c r="O81" s="238"/>
      <c r="P81" s="238"/>
      <c r="Q81" s="854"/>
    </row>
    <row r="82" spans="1:17">
      <c r="A82" s="745">
        <v>42</v>
      </c>
      <c r="B82" s="823" t="s">
        <v>1129</v>
      </c>
      <c r="C82" s="1203"/>
      <c r="D82" s="1076">
        <v>462167.00000000006</v>
      </c>
      <c r="E82" s="238">
        <f>D82-E60</f>
        <v>423653.08333333337</v>
      </c>
      <c r="F82" s="238">
        <f t="shared" ref="F82:P82" si="39">E82-F60</f>
        <v>385139.16666666669</v>
      </c>
      <c r="G82" s="238">
        <f t="shared" si="39"/>
        <v>346625.25</v>
      </c>
      <c r="H82" s="238">
        <f t="shared" si="39"/>
        <v>308111.33333333331</v>
      </c>
      <c r="I82" s="238">
        <f t="shared" si="39"/>
        <v>269597.41666666663</v>
      </c>
      <c r="J82" s="238">
        <f t="shared" si="39"/>
        <v>231083.49999999994</v>
      </c>
      <c r="K82" s="238">
        <f t="shared" si="39"/>
        <v>192569.58333333326</v>
      </c>
      <c r="L82" s="238">
        <f t="shared" si="39"/>
        <v>154055.66666666657</v>
      </c>
      <c r="M82" s="238">
        <f t="shared" si="39"/>
        <v>115541.7499999999</v>
      </c>
      <c r="N82" s="238">
        <f t="shared" si="39"/>
        <v>77027.833333333227</v>
      </c>
      <c r="O82" s="238">
        <f t="shared" si="39"/>
        <v>38513.916666666555</v>
      </c>
      <c r="P82" s="238">
        <f t="shared" si="39"/>
        <v>0</v>
      </c>
      <c r="Q82" s="853">
        <f>AVERAGE(D82,P82)</f>
        <v>231083.50000000003</v>
      </c>
    </row>
    <row r="83" spans="1:17">
      <c r="A83" s="745">
        <v>43</v>
      </c>
      <c r="B83" s="823" t="s">
        <v>1130</v>
      </c>
      <c r="C83" s="1203"/>
      <c r="D83" s="1078">
        <f>E14</f>
        <v>0.12544749445449754</v>
      </c>
      <c r="E83" s="238"/>
      <c r="F83" s="238"/>
      <c r="G83" s="238"/>
      <c r="H83" s="238"/>
      <c r="I83" s="238"/>
      <c r="J83" s="238"/>
      <c r="K83" s="238"/>
      <c r="L83" s="238"/>
      <c r="M83" s="238"/>
      <c r="N83" s="238"/>
      <c r="O83" s="238"/>
      <c r="P83" s="238"/>
      <c r="Q83" s="853"/>
    </row>
    <row r="84" spans="1:17">
      <c r="A84" s="745">
        <v>44</v>
      </c>
      <c r="B84" s="823" t="s">
        <v>1131</v>
      </c>
      <c r="C84" s="1203"/>
      <c r="D84" s="850">
        <f>D82*$D$83</f>
        <v>57977.692169551774</v>
      </c>
      <c r="E84" s="853">
        <f t="shared" ref="E84:P84" si="40">E82*$D$83</f>
        <v>53146.217822089122</v>
      </c>
      <c r="F84" s="853">
        <f t="shared" si="40"/>
        <v>48314.743474626477</v>
      </c>
      <c r="G84" s="853">
        <f t="shared" si="40"/>
        <v>43483.269127163825</v>
      </c>
      <c r="H84" s="853">
        <f t="shared" si="40"/>
        <v>38651.794779701173</v>
      </c>
      <c r="I84" s="853">
        <f t="shared" si="40"/>
        <v>33820.320432238528</v>
      </c>
      <c r="J84" s="853">
        <f t="shared" si="40"/>
        <v>28988.846084775876</v>
      </c>
      <c r="K84" s="853">
        <f t="shared" si="40"/>
        <v>24157.371737313228</v>
      </c>
      <c r="L84" s="853">
        <f t="shared" si="40"/>
        <v>19325.897389850576</v>
      </c>
      <c r="M84" s="853">
        <f t="shared" si="40"/>
        <v>14494.423042387929</v>
      </c>
      <c r="N84" s="853">
        <f t="shared" si="40"/>
        <v>9662.9486949252805</v>
      </c>
      <c r="O84" s="853">
        <f t="shared" si="40"/>
        <v>4831.474347462633</v>
      </c>
      <c r="P84" s="853">
        <f t="shared" si="40"/>
        <v>0</v>
      </c>
      <c r="Q84" s="853">
        <f>AVERAGE(D84,P84)</f>
        <v>28988.846084775887</v>
      </c>
    </row>
    <row r="85" spans="1:17">
      <c r="A85" s="1203"/>
      <c r="B85" s="746"/>
      <c r="C85" s="1203"/>
      <c r="D85" s="850"/>
      <c r="E85" s="238"/>
      <c r="F85" s="238"/>
      <c r="G85" s="238"/>
      <c r="H85" s="238"/>
      <c r="I85" s="238"/>
      <c r="J85" s="238"/>
      <c r="K85" s="238"/>
      <c r="L85" s="238"/>
      <c r="M85" s="238"/>
      <c r="N85" s="238"/>
      <c r="O85" s="238"/>
      <c r="P85" s="238"/>
      <c r="Q85" s="854"/>
    </row>
    <row r="86" spans="1:17">
      <c r="A86" s="745">
        <v>45</v>
      </c>
      <c r="B86" s="823" t="s">
        <v>1132</v>
      </c>
      <c r="C86" s="1203"/>
      <c r="D86" s="1076">
        <v>8280235</v>
      </c>
      <c r="E86" s="238">
        <f>D86-E64</f>
        <v>8182851.583333333</v>
      </c>
      <c r="F86" s="238">
        <f t="shared" ref="F86:P86" si="41">E86-F64</f>
        <v>8085468.166666666</v>
      </c>
      <c r="G86" s="238">
        <f t="shared" si="41"/>
        <v>7988084.7499999991</v>
      </c>
      <c r="H86" s="238">
        <f t="shared" si="41"/>
        <v>7890701.3333333321</v>
      </c>
      <c r="I86" s="238">
        <f t="shared" si="41"/>
        <v>7793317.9166666651</v>
      </c>
      <c r="J86" s="238">
        <f t="shared" si="41"/>
        <v>7695934.4999999981</v>
      </c>
      <c r="K86" s="238">
        <f t="shared" si="41"/>
        <v>7598551.0833333312</v>
      </c>
      <c r="L86" s="238">
        <f t="shared" si="41"/>
        <v>7501167.6666666642</v>
      </c>
      <c r="M86" s="238">
        <f t="shared" si="41"/>
        <v>7403784.2499999972</v>
      </c>
      <c r="N86" s="238">
        <f t="shared" si="41"/>
        <v>7306400.8333333302</v>
      </c>
      <c r="O86" s="238">
        <f t="shared" si="41"/>
        <v>7209017.4166666633</v>
      </c>
      <c r="P86" s="238">
        <f t="shared" si="41"/>
        <v>7111633.9999999963</v>
      </c>
      <c r="Q86" s="853">
        <f>AVERAGE(D86,P86)</f>
        <v>7695934.4999999981</v>
      </c>
    </row>
    <row r="87" spans="1:17">
      <c r="A87" s="745">
        <v>46</v>
      </c>
      <c r="B87" s="823" t="s">
        <v>1130</v>
      </c>
      <c r="C87" s="1203"/>
      <c r="D87" s="1078">
        <f>E18</f>
        <v>9.6820376219981213E-2</v>
      </c>
      <c r="E87" s="238"/>
      <c r="F87" s="238"/>
      <c r="G87" s="238"/>
      <c r="H87" s="238"/>
      <c r="I87" s="238"/>
      <c r="J87" s="238"/>
      <c r="K87" s="238"/>
      <c r="L87" s="238"/>
      <c r="M87" s="238"/>
      <c r="N87" s="238"/>
      <c r="O87" s="238"/>
      <c r="P87" s="238"/>
      <c r="Q87" s="853"/>
    </row>
    <row r="88" spans="1:17">
      <c r="A88" s="745">
        <v>47</v>
      </c>
      <c r="B88" s="823" t="s">
        <v>1131</v>
      </c>
      <c r="C88" s="1203"/>
      <c r="D88" s="850">
        <f>D86*$D$87</f>
        <v>801695.4678898562</v>
      </c>
      <c r="E88" s="853">
        <f t="shared" ref="E88:P88" si="42">E86*$D$87</f>
        <v>792266.76885060221</v>
      </c>
      <c r="F88" s="853">
        <f t="shared" si="42"/>
        <v>782838.06981134834</v>
      </c>
      <c r="G88" s="853">
        <f t="shared" si="42"/>
        <v>773409.37077209447</v>
      </c>
      <c r="H88" s="853">
        <f t="shared" si="42"/>
        <v>763980.67173284059</v>
      </c>
      <c r="I88" s="853">
        <f t="shared" si="42"/>
        <v>754551.97269358672</v>
      </c>
      <c r="J88" s="853">
        <f t="shared" si="42"/>
        <v>745123.27365433285</v>
      </c>
      <c r="K88" s="853">
        <f t="shared" si="42"/>
        <v>735694.57461507898</v>
      </c>
      <c r="L88" s="853">
        <f t="shared" si="42"/>
        <v>726265.87557582511</v>
      </c>
      <c r="M88" s="853">
        <f t="shared" si="42"/>
        <v>716837.17653657112</v>
      </c>
      <c r="N88" s="853">
        <f t="shared" si="42"/>
        <v>707408.47749731725</v>
      </c>
      <c r="O88" s="853">
        <f t="shared" si="42"/>
        <v>697979.77845806337</v>
      </c>
      <c r="P88" s="853">
        <f t="shared" si="42"/>
        <v>688551.0794188095</v>
      </c>
      <c r="Q88" s="853">
        <f>AVERAGE(D88,P88)</f>
        <v>745123.27365433285</v>
      </c>
    </row>
    <row r="89" spans="1:17">
      <c r="B89" s="1117"/>
      <c r="C89" s="1203"/>
      <c r="D89" s="850"/>
      <c r="E89" s="238"/>
      <c r="F89" s="238"/>
      <c r="G89" s="238"/>
      <c r="H89" s="238"/>
      <c r="I89" s="238"/>
      <c r="J89" s="238"/>
      <c r="K89" s="238"/>
      <c r="L89" s="238"/>
      <c r="M89" s="238"/>
      <c r="N89" s="238"/>
      <c r="O89" s="238"/>
      <c r="P89" s="238"/>
      <c r="Q89" s="854"/>
    </row>
    <row r="90" spans="1:17">
      <c r="A90" s="745">
        <v>48</v>
      </c>
      <c r="B90" s="1205" t="s">
        <v>1133</v>
      </c>
      <c r="C90" s="1203"/>
      <c r="D90" s="850">
        <f>D80+D84+D88</f>
        <v>73117675.546710148</v>
      </c>
      <c r="E90" s="853">
        <f t="shared" ref="E90:P90" si="43">E80+E84+E88</f>
        <v>72986595.094435304</v>
      </c>
      <c r="F90" s="853">
        <f t="shared" si="43"/>
        <v>72855514.642160445</v>
      </c>
      <c r="G90" s="853">
        <f t="shared" si="43"/>
        <v>72724434.189885587</v>
      </c>
      <c r="H90" s="853">
        <f t="shared" si="43"/>
        <v>72593353.737610742</v>
      </c>
      <c r="I90" s="853">
        <f t="shared" si="43"/>
        <v>72462273.285335898</v>
      </c>
      <c r="J90" s="853">
        <f t="shared" si="43"/>
        <v>72331192.833061025</v>
      </c>
      <c r="K90" s="853">
        <f t="shared" si="43"/>
        <v>72200112.38078618</v>
      </c>
      <c r="L90" s="853">
        <f t="shared" si="43"/>
        <v>72069031.928511322</v>
      </c>
      <c r="M90" s="853">
        <f t="shared" si="43"/>
        <v>71937951.476236477</v>
      </c>
      <c r="N90" s="853">
        <f t="shared" si="43"/>
        <v>71806871.023961633</v>
      </c>
      <c r="O90" s="853">
        <f t="shared" si="43"/>
        <v>71675790.57168676</v>
      </c>
      <c r="P90" s="853">
        <f t="shared" si="43"/>
        <v>71544710.119411916</v>
      </c>
      <c r="Q90" s="853">
        <f>AVERAGE(D90,P90)</f>
        <v>72331192.833061039</v>
      </c>
    </row>
    <row r="91" spans="1:17">
      <c r="B91" s="746"/>
      <c r="C91" s="746"/>
      <c r="D91" s="1118"/>
      <c r="E91" s="1206"/>
      <c r="F91" s="1206"/>
      <c r="G91" s="1206"/>
      <c r="H91" s="1206"/>
      <c r="I91" s="1206"/>
      <c r="J91" s="1206"/>
      <c r="K91" s="1206"/>
      <c r="L91" s="1206"/>
      <c r="M91" s="1206"/>
      <c r="N91" s="1206"/>
      <c r="O91" s="1206"/>
      <c r="P91" s="1206"/>
      <c r="Q91" s="1206"/>
    </row>
    <row r="92" spans="1:17">
      <c r="A92" s="745">
        <v>49</v>
      </c>
      <c r="B92" s="1117" t="s">
        <v>1907</v>
      </c>
      <c r="C92" s="1203"/>
      <c r="D92" s="1076">
        <v>2423376.0000000005</v>
      </c>
      <c r="E92" s="238">
        <f>D92-E70</f>
        <v>2221428.0000000005</v>
      </c>
      <c r="F92" s="238">
        <f t="shared" ref="F92:P92" si="44">E92-F70</f>
        <v>2019480.0000000005</v>
      </c>
      <c r="G92" s="238">
        <f t="shared" si="44"/>
        <v>1817532.0000000005</v>
      </c>
      <c r="H92" s="238">
        <f t="shared" si="44"/>
        <v>1615584.0000000005</v>
      </c>
      <c r="I92" s="238">
        <f t="shared" si="44"/>
        <v>1413636.0000000005</v>
      </c>
      <c r="J92" s="238">
        <f t="shared" si="44"/>
        <v>1211688.0000000005</v>
      </c>
      <c r="K92" s="238">
        <f t="shared" si="44"/>
        <v>1009740.0000000005</v>
      </c>
      <c r="L92" s="238">
        <f t="shared" si="44"/>
        <v>807792.00000000047</v>
      </c>
      <c r="M92" s="238">
        <f t="shared" si="44"/>
        <v>605844.00000000047</v>
      </c>
      <c r="N92" s="238">
        <f t="shared" si="44"/>
        <v>403896.00000000047</v>
      </c>
      <c r="O92" s="238">
        <f t="shared" si="44"/>
        <v>201948.00000000044</v>
      </c>
      <c r="P92" s="238">
        <f t="shared" si="44"/>
        <v>0</v>
      </c>
      <c r="Q92" s="853">
        <f>AVERAGE(D92,P92)</f>
        <v>1211688.0000000002</v>
      </c>
    </row>
    <row r="93" spans="1:17">
      <c r="B93" s="746"/>
      <c r="C93" s="746"/>
      <c r="D93" s="1118"/>
      <c r="E93" s="1206"/>
      <c r="F93" s="1206"/>
      <c r="G93" s="1206"/>
      <c r="H93" s="1206"/>
      <c r="I93" s="1206"/>
      <c r="J93" s="1206"/>
      <c r="K93" s="1206"/>
      <c r="L93" s="1206"/>
      <c r="M93" s="1206"/>
      <c r="N93" s="1206"/>
      <c r="O93" s="1206"/>
      <c r="P93" s="1206"/>
      <c r="Q93" s="1206"/>
    </row>
    <row r="94" spans="1:17">
      <c r="A94" s="745">
        <v>50</v>
      </c>
      <c r="B94" s="1117" t="s">
        <v>1908</v>
      </c>
      <c r="C94" s="1203"/>
      <c r="D94" s="1076">
        <v>0</v>
      </c>
      <c r="E94" s="238">
        <f>D94-E72</f>
        <v>0</v>
      </c>
      <c r="F94" s="238">
        <f t="shared" ref="F94:P95" si="45">E94-F72</f>
        <v>0</v>
      </c>
      <c r="G94" s="238">
        <f t="shared" si="45"/>
        <v>0</v>
      </c>
      <c r="H94" s="238">
        <f t="shared" si="45"/>
        <v>0</v>
      </c>
      <c r="I94" s="238">
        <f t="shared" si="45"/>
        <v>0</v>
      </c>
      <c r="J94" s="238">
        <f t="shared" si="45"/>
        <v>0</v>
      </c>
      <c r="K94" s="238">
        <f t="shared" si="45"/>
        <v>0</v>
      </c>
      <c r="L94" s="238">
        <f t="shared" si="45"/>
        <v>0</v>
      </c>
      <c r="M94" s="238">
        <f t="shared" si="45"/>
        <v>0</v>
      </c>
      <c r="N94" s="238">
        <f t="shared" si="45"/>
        <v>0</v>
      </c>
      <c r="O94" s="238">
        <f t="shared" si="45"/>
        <v>0</v>
      </c>
      <c r="P94" s="238">
        <f t="shared" si="45"/>
        <v>0</v>
      </c>
      <c r="Q94" s="853">
        <f>AVERAGE(D94,P94)</f>
        <v>0</v>
      </c>
    </row>
    <row r="95" spans="1:17">
      <c r="A95" s="745">
        <v>51</v>
      </c>
      <c r="B95" s="1117" t="s">
        <v>1909</v>
      </c>
      <c r="C95" s="1203"/>
      <c r="D95" s="1076">
        <v>0</v>
      </c>
      <c r="E95" s="238">
        <f>D95-E73</f>
        <v>0</v>
      </c>
      <c r="F95" s="238">
        <f t="shared" si="45"/>
        <v>0</v>
      </c>
      <c r="G95" s="238">
        <f t="shared" si="45"/>
        <v>0</v>
      </c>
      <c r="H95" s="238">
        <f t="shared" si="45"/>
        <v>0</v>
      </c>
      <c r="I95" s="238">
        <f t="shared" si="45"/>
        <v>0</v>
      </c>
      <c r="J95" s="238">
        <f t="shared" si="45"/>
        <v>0</v>
      </c>
      <c r="K95" s="238">
        <f t="shared" si="45"/>
        <v>0</v>
      </c>
      <c r="L95" s="238">
        <f t="shared" si="45"/>
        <v>0</v>
      </c>
      <c r="M95" s="238">
        <f t="shared" si="45"/>
        <v>0</v>
      </c>
      <c r="N95" s="238">
        <f t="shared" si="45"/>
        <v>0</v>
      </c>
      <c r="O95" s="238">
        <f t="shared" si="45"/>
        <v>0</v>
      </c>
      <c r="P95" s="238">
        <f t="shared" si="45"/>
        <v>0</v>
      </c>
      <c r="Q95" s="853">
        <f>AVERAGE(D95,P95)</f>
        <v>0</v>
      </c>
    </row>
    <row r="96" spans="1:17">
      <c r="A96" s="745">
        <v>52</v>
      </c>
      <c r="B96" s="1117" t="s">
        <v>1910</v>
      </c>
      <c r="C96" s="1203"/>
      <c r="D96" s="817">
        <f t="shared" ref="D96" si="46">SUM(D94:D95)</f>
        <v>0</v>
      </c>
      <c r="E96" s="854">
        <f t="shared" ref="E96:Q96" si="47">SUM(E94:E95)</f>
        <v>0</v>
      </c>
      <c r="F96" s="854">
        <f t="shared" si="47"/>
        <v>0</v>
      </c>
      <c r="G96" s="854">
        <f t="shared" si="47"/>
        <v>0</v>
      </c>
      <c r="H96" s="854">
        <f t="shared" si="47"/>
        <v>0</v>
      </c>
      <c r="I96" s="854">
        <f t="shared" si="47"/>
        <v>0</v>
      </c>
      <c r="J96" s="854">
        <f t="shared" si="47"/>
        <v>0</v>
      </c>
      <c r="K96" s="854">
        <f t="shared" si="47"/>
        <v>0</v>
      </c>
      <c r="L96" s="854">
        <f t="shared" si="47"/>
        <v>0</v>
      </c>
      <c r="M96" s="854">
        <f t="shared" si="47"/>
        <v>0</v>
      </c>
      <c r="N96" s="854">
        <f t="shared" si="47"/>
        <v>0</v>
      </c>
      <c r="O96" s="854">
        <f t="shared" si="47"/>
        <v>0</v>
      </c>
      <c r="P96" s="854">
        <f t="shared" si="47"/>
        <v>0</v>
      </c>
      <c r="Q96" s="854">
        <f t="shared" si="47"/>
        <v>0</v>
      </c>
    </row>
    <row r="97" spans="1:17">
      <c r="A97" s="1203"/>
      <c r="B97" s="1203"/>
      <c r="C97" s="1203"/>
      <c r="D97" s="1203"/>
      <c r="E97" s="1118"/>
      <c r="F97" s="1118"/>
      <c r="G97" s="1118"/>
      <c r="H97" s="1118"/>
      <c r="I97" s="1118"/>
      <c r="J97" s="1118"/>
      <c r="K97" s="1118"/>
      <c r="L97" s="1118"/>
      <c r="M97" s="1118"/>
      <c r="N97" s="1118"/>
      <c r="O97" s="1118"/>
      <c r="P97" s="1118"/>
      <c r="Q97" s="1203"/>
    </row>
    <row r="98" spans="1:17">
      <c r="A98" s="1203"/>
      <c r="B98" s="1203"/>
      <c r="C98" s="1203"/>
      <c r="D98" s="1203"/>
      <c r="E98" s="1118"/>
      <c r="F98" s="1118"/>
      <c r="G98" s="1118"/>
      <c r="H98" s="1118"/>
      <c r="I98" s="1118"/>
      <c r="J98" s="1118"/>
      <c r="K98" s="1118"/>
      <c r="L98" s="1118"/>
      <c r="M98" s="1118"/>
      <c r="N98" s="1118"/>
      <c r="O98" s="1118"/>
      <c r="P98" s="1118"/>
      <c r="Q98" s="1203"/>
    </row>
    <row r="99" spans="1:17">
      <c r="A99" s="1266" t="s">
        <v>1912</v>
      </c>
      <c r="B99" s="1267"/>
      <c r="C99" s="1267"/>
      <c r="D99" s="1267"/>
      <c r="E99" s="1267"/>
      <c r="F99" s="1267"/>
      <c r="G99" s="1267"/>
      <c r="H99" s="1267"/>
      <c r="I99" s="1267"/>
      <c r="J99" s="1267"/>
      <c r="K99" s="1267"/>
      <c r="L99" s="1267"/>
      <c r="M99" s="1267"/>
      <c r="N99" s="1267"/>
      <c r="O99" s="1267"/>
      <c r="P99" s="1267"/>
      <c r="Q99" s="1268"/>
    </row>
    <row r="100" spans="1:17">
      <c r="B100" s="1200"/>
      <c r="C100" s="1200"/>
      <c r="D100" s="1200"/>
      <c r="E100" s="1200"/>
      <c r="F100" s="1200"/>
      <c r="G100" s="1200"/>
      <c r="H100" s="1200"/>
      <c r="I100" s="1200"/>
      <c r="J100" s="1200"/>
      <c r="K100" s="1200"/>
      <c r="L100" s="1200"/>
      <c r="M100" s="1200"/>
      <c r="N100" s="1200"/>
      <c r="O100" s="1200"/>
      <c r="P100" s="1200"/>
      <c r="Q100" s="1200"/>
    </row>
    <row r="101" spans="1:17">
      <c r="B101" s="746"/>
      <c r="C101" s="1201" t="s">
        <v>198</v>
      </c>
      <c r="D101" s="1201" t="s">
        <v>199</v>
      </c>
      <c r="E101" s="1202" t="s">
        <v>200</v>
      </c>
      <c r="F101" s="1201" t="s">
        <v>201</v>
      </c>
      <c r="G101" s="1201" t="s">
        <v>203</v>
      </c>
      <c r="H101" s="1201" t="s">
        <v>202</v>
      </c>
      <c r="I101" s="1201" t="s">
        <v>204</v>
      </c>
      <c r="J101" s="1201" t="s">
        <v>205</v>
      </c>
      <c r="K101" s="1201" t="s">
        <v>206</v>
      </c>
      <c r="L101" s="1201" t="s">
        <v>244</v>
      </c>
      <c r="M101" s="1201" t="s">
        <v>248</v>
      </c>
      <c r="N101" s="1201" t="s">
        <v>453</v>
      </c>
      <c r="O101" s="17" t="s">
        <v>779</v>
      </c>
      <c r="P101" s="17" t="s">
        <v>780</v>
      </c>
      <c r="Q101" s="17" t="s">
        <v>781</v>
      </c>
    </row>
    <row r="102" spans="1:17">
      <c r="A102" s="1203"/>
      <c r="B102" s="1117" t="s">
        <v>1176</v>
      </c>
      <c r="C102" s="1203"/>
      <c r="D102" s="1203"/>
      <c r="E102" s="1203"/>
      <c r="F102" s="1203"/>
      <c r="G102" s="1203"/>
      <c r="H102" s="1203"/>
      <c r="I102" s="1203"/>
      <c r="J102" s="1203"/>
      <c r="K102" s="1203"/>
      <c r="L102" s="1203"/>
      <c r="M102" s="1203"/>
      <c r="N102" s="1203"/>
      <c r="O102" s="1203"/>
      <c r="P102" s="1203"/>
      <c r="Q102" s="1203"/>
    </row>
    <row r="103" spans="1:17" ht="61.5">
      <c r="A103" s="1203"/>
      <c r="B103" s="1203"/>
      <c r="C103" s="826" t="s">
        <v>1911</v>
      </c>
      <c r="D103" s="1204"/>
      <c r="E103" s="1204" t="s">
        <v>84</v>
      </c>
      <c r="F103" s="1204" t="s">
        <v>83</v>
      </c>
      <c r="G103" s="1204" t="s">
        <v>171</v>
      </c>
      <c r="H103" s="1204" t="s">
        <v>74</v>
      </c>
      <c r="I103" s="1204" t="s">
        <v>73</v>
      </c>
      <c r="J103" s="1204" t="s">
        <v>93</v>
      </c>
      <c r="K103" s="1204" t="s">
        <v>81</v>
      </c>
      <c r="L103" s="1204" t="s">
        <v>172</v>
      </c>
      <c r="M103" s="1204" t="s">
        <v>79</v>
      </c>
      <c r="N103" s="1204" t="s">
        <v>85</v>
      </c>
      <c r="O103" s="1204" t="s">
        <v>78</v>
      </c>
      <c r="P103" s="1204" t="s">
        <v>196</v>
      </c>
      <c r="Q103" s="17" t="s">
        <v>13</v>
      </c>
    </row>
    <row r="104" spans="1:17">
      <c r="A104" s="745">
        <v>27</v>
      </c>
      <c r="B104" s="1117" t="s">
        <v>1134</v>
      </c>
      <c r="C104" s="1117"/>
      <c r="D104" s="1203"/>
      <c r="E104" s="746"/>
      <c r="F104" s="746"/>
      <c r="G104" s="746"/>
      <c r="H104" s="746"/>
      <c r="I104" s="746"/>
      <c r="J104" s="746"/>
      <c r="K104" s="746"/>
      <c r="L104" s="746"/>
      <c r="M104" s="746"/>
      <c r="N104" s="746"/>
      <c r="O104" s="746"/>
      <c r="P104" s="746"/>
      <c r="Q104" s="817"/>
    </row>
    <row r="105" spans="1:17">
      <c r="A105" s="745">
        <v>28</v>
      </c>
      <c r="B105" s="823" t="s">
        <v>17</v>
      </c>
      <c r="C105" s="745">
        <v>411.1</v>
      </c>
      <c r="D105" s="746"/>
      <c r="E105" s="1076">
        <v>0</v>
      </c>
      <c r="F105" s="1076">
        <v>0</v>
      </c>
      <c r="G105" s="1076">
        <v>0</v>
      </c>
      <c r="H105" s="1076">
        <v>0</v>
      </c>
      <c r="I105" s="1076">
        <v>0</v>
      </c>
      <c r="J105" s="1076">
        <v>0</v>
      </c>
      <c r="K105" s="1076">
        <v>0</v>
      </c>
      <c r="L105" s="1076">
        <v>0</v>
      </c>
      <c r="M105" s="1076">
        <v>0</v>
      </c>
      <c r="N105" s="1076">
        <v>0</v>
      </c>
      <c r="O105" s="1076">
        <v>0</v>
      </c>
      <c r="P105" s="1076">
        <v>0</v>
      </c>
      <c r="Q105" s="817">
        <f>SUM(E105:P105)</f>
        <v>0</v>
      </c>
    </row>
    <row r="106" spans="1:17">
      <c r="B106" s="746"/>
      <c r="C106" s="746"/>
      <c r="D106" s="746"/>
      <c r="E106" s="746"/>
      <c r="F106" s="746"/>
      <c r="G106" s="746"/>
      <c r="H106" s="746"/>
      <c r="I106" s="746"/>
      <c r="J106" s="746"/>
      <c r="K106" s="746"/>
      <c r="L106" s="746"/>
      <c r="M106" s="746"/>
      <c r="N106" s="746"/>
      <c r="O106" s="746"/>
      <c r="P106" s="746"/>
      <c r="Q106" s="850"/>
    </row>
    <row r="107" spans="1:17">
      <c r="A107" s="745">
        <v>29</v>
      </c>
      <c r="B107" s="823" t="s">
        <v>1129</v>
      </c>
      <c r="C107" s="745">
        <v>411.1</v>
      </c>
      <c r="D107" s="1203"/>
      <c r="E107" s="1076">
        <v>0</v>
      </c>
      <c r="F107" s="1076">
        <v>0</v>
      </c>
      <c r="G107" s="1076">
        <v>0</v>
      </c>
      <c r="H107" s="1076">
        <v>0</v>
      </c>
      <c r="I107" s="1076">
        <v>0</v>
      </c>
      <c r="J107" s="1076">
        <v>0</v>
      </c>
      <c r="K107" s="1076">
        <v>0</v>
      </c>
      <c r="L107" s="1076">
        <v>0</v>
      </c>
      <c r="M107" s="1076">
        <v>0</v>
      </c>
      <c r="N107" s="1076">
        <v>0</v>
      </c>
      <c r="O107" s="1076">
        <v>0</v>
      </c>
      <c r="P107" s="1076">
        <v>0</v>
      </c>
      <c r="Q107" s="817">
        <f>SUM(E107:P107)</f>
        <v>0</v>
      </c>
    </row>
    <row r="108" spans="1:17">
      <c r="A108" s="745">
        <v>30</v>
      </c>
      <c r="B108" s="823" t="s">
        <v>1280</v>
      </c>
      <c r="C108" s="823"/>
      <c r="D108" s="1203"/>
      <c r="E108" s="1078">
        <f>E14</f>
        <v>0.12544749445449754</v>
      </c>
      <c r="F108" s="817"/>
      <c r="G108" s="817"/>
      <c r="H108" s="817"/>
      <c r="I108" s="817"/>
      <c r="J108" s="817"/>
      <c r="K108" s="817"/>
      <c r="L108" s="817"/>
      <c r="M108" s="817"/>
      <c r="N108" s="817"/>
      <c r="O108" s="817"/>
      <c r="P108" s="817"/>
      <c r="Q108" s="817"/>
    </row>
    <row r="109" spans="1:17">
      <c r="A109" s="745">
        <v>31</v>
      </c>
      <c r="B109" s="823" t="s">
        <v>1131</v>
      </c>
      <c r="C109" s="745">
        <v>411.1</v>
      </c>
      <c r="D109" s="1203"/>
      <c r="E109" s="850">
        <f>E107*$E$108</f>
        <v>0</v>
      </c>
      <c r="F109" s="850">
        <f t="shared" ref="F109:P109" si="48">F107*$E$108</f>
        <v>0</v>
      </c>
      <c r="G109" s="850">
        <f t="shared" si="48"/>
        <v>0</v>
      </c>
      <c r="H109" s="850">
        <f t="shared" si="48"/>
        <v>0</v>
      </c>
      <c r="I109" s="850">
        <f t="shared" si="48"/>
        <v>0</v>
      </c>
      <c r="J109" s="850">
        <f t="shared" si="48"/>
        <v>0</v>
      </c>
      <c r="K109" s="850">
        <f t="shared" si="48"/>
        <v>0</v>
      </c>
      <c r="L109" s="850">
        <f t="shared" si="48"/>
        <v>0</v>
      </c>
      <c r="M109" s="850">
        <f t="shared" si="48"/>
        <v>0</v>
      </c>
      <c r="N109" s="850">
        <f t="shared" si="48"/>
        <v>0</v>
      </c>
      <c r="O109" s="850">
        <f t="shared" si="48"/>
        <v>0</v>
      </c>
      <c r="P109" s="850">
        <f t="shared" si="48"/>
        <v>0</v>
      </c>
      <c r="Q109" s="817">
        <f>SUM(E109:P109)</f>
        <v>0</v>
      </c>
    </row>
    <row r="110" spans="1:17">
      <c r="A110" s="1203"/>
      <c r="B110" s="746"/>
      <c r="C110" s="746"/>
      <c r="D110" s="746"/>
      <c r="E110" s="746"/>
      <c r="F110" s="746"/>
      <c r="G110" s="746"/>
      <c r="H110" s="746"/>
      <c r="I110" s="746"/>
      <c r="J110" s="746"/>
      <c r="K110" s="746"/>
      <c r="L110" s="746"/>
      <c r="M110" s="746"/>
      <c r="N110" s="746"/>
      <c r="O110" s="746"/>
      <c r="P110" s="746"/>
      <c r="Q110" s="850"/>
    </row>
    <row r="111" spans="1:17">
      <c r="A111" s="745">
        <v>32</v>
      </c>
      <c r="B111" s="823" t="s">
        <v>1132</v>
      </c>
      <c r="C111" s="745">
        <v>411.1</v>
      </c>
      <c r="D111" s="1203"/>
      <c r="E111" s="1076">
        <v>0</v>
      </c>
      <c r="F111" s="1076">
        <v>0</v>
      </c>
      <c r="G111" s="1076">
        <v>0</v>
      </c>
      <c r="H111" s="1076">
        <v>0</v>
      </c>
      <c r="I111" s="1076">
        <v>0</v>
      </c>
      <c r="J111" s="1076">
        <v>0</v>
      </c>
      <c r="K111" s="1076">
        <v>0</v>
      </c>
      <c r="L111" s="1076">
        <v>0</v>
      </c>
      <c r="M111" s="1076">
        <v>0</v>
      </c>
      <c r="N111" s="1076">
        <v>0</v>
      </c>
      <c r="O111" s="1076">
        <v>0</v>
      </c>
      <c r="P111" s="1076">
        <v>0</v>
      </c>
      <c r="Q111" s="817">
        <f>SUM(E111:P111)</f>
        <v>0</v>
      </c>
    </row>
    <row r="112" spans="1:17">
      <c r="A112" s="745">
        <v>33</v>
      </c>
      <c r="B112" s="823" t="s">
        <v>1162</v>
      </c>
      <c r="C112" s="823"/>
      <c r="D112" s="1203"/>
      <c r="E112" s="1078">
        <f>E18</f>
        <v>9.6820376219981213E-2</v>
      </c>
      <c r="F112" s="817"/>
      <c r="G112" s="817"/>
      <c r="H112" s="817"/>
      <c r="I112" s="817"/>
      <c r="J112" s="817"/>
      <c r="K112" s="817"/>
      <c r="L112" s="817"/>
      <c r="M112" s="817"/>
      <c r="N112" s="817"/>
      <c r="O112" s="817"/>
      <c r="P112" s="817"/>
      <c r="Q112" s="817"/>
    </row>
    <row r="113" spans="1:17">
      <c r="A113" s="745">
        <v>34</v>
      </c>
      <c r="B113" s="823" t="s">
        <v>1131</v>
      </c>
      <c r="C113" s="745">
        <v>411.1</v>
      </c>
      <c r="D113" s="1203"/>
      <c r="E113" s="850">
        <f>E111*$E$112</f>
        <v>0</v>
      </c>
      <c r="F113" s="850">
        <f t="shared" ref="F113:P113" si="49">F111*$E$112</f>
        <v>0</v>
      </c>
      <c r="G113" s="850">
        <f t="shared" si="49"/>
        <v>0</v>
      </c>
      <c r="H113" s="850">
        <f t="shared" si="49"/>
        <v>0</v>
      </c>
      <c r="I113" s="850">
        <f t="shared" si="49"/>
        <v>0</v>
      </c>
      <c r="J113" s="850">
        <f t="shared" si="49"/>
        <v>0</v>
      </c>
      <c r="K113" s="850">
        <f t="shared" si="49"/>
        <v>0</v>
      </c>
      <c r="L113" s="850">
        <f t="shared" si="49"/>
        <v>0</v>
      </c>
      <c r="M113" s="850">
        <f t="shared" si="49"/>
        <v>0</v>
      </c>
      <c r="N113" s="850">
        <f t="shared" si="49"/>
        <v>0</v>
      </c>
      <c r="O113" s="850">
        <f t="shared" si="49"/>
        <v>0</v>
      </c>
      <c r="P113" s="850">
        <f t="shared" si="49"/>
        <v>0</v>
      </c>
      <c r="Q113" s="817">
        <f>SUM(E113:P113)</f>
        <v>0</v>
      </c>
    </row>
    <row r="114" spans="1:17">
      <c r="B114" s="823"/>
      <c r="C114" s="823"/>
      <c r="D114" s="746"/>
      <c r="E114" s="850"/>
      <c r="F114" s="850"/>
      <c r="G114" s="850"/>
      <c r="H114" s="850"/>
      <c r="I114" s="850"/>
      <c r="J114" s="850"/>
      <c r="K114" s="850"/>
      <c r="L114" s="850"/>
      <c r="M114" s="850"/>
      <c r="N114" s="850"/>
      <c r="O114" s="850"/>
      <c r="P114" s="850"/>
      <c r="Q114" s="850"/>
    </row>
    <row r="115" spans="1:17">
      <c r="A115" s="745">
        <v>35</v>
      </c>
      <c r="B115" s="1205" t="s">
        <v>1133</v>
      </c>
      <c r="C115" s="745">
        <v>411.1</v>
      </c>
      <c r="D115" s="1203"/>
      <c r="E115" s="850">
        <f>E105+E109+E113</f>
        <v>0</v>
      </c>
      <c r="F115" s="850">
        <f t="shared" ref="F115:P115" si="50">F105+F109+F113</f>
        <v>0</v>
      </c>
      <c r="G115" s="850">
        <f t="shared" si="50"/>
        <v>0</v>
      </c>
      <c r="H115" s="850">
        <f t="shared" si="50"/>
        <v>0</v>
      </c>
      <c r="I115" s="850">
        <f t="shared" si="50"/>
        <v>0</v>
      </c>
      <c r="J115" s="850">
        <f t="shared" si="50"/>
        <v>0</v>
      </c>
      <c r="K115" s="850">
        <f t="shared" si="50"/>
        <v>0</v>
      </c>
      <c r="L115" s="850">
        <f t="shared" si="50"/>
        <v>0</v>
      </c>
      <c r="M115" s="850">
        <f t="shared" si="50"/>
        <v>0</v>
      </c>
      <c r="N115" s="850">
        <f t="shared" si="50"/>
        <v>0</v>
      </c>
      <c r="O115" s="850">
        <f t="shared" si="50"/>
        <v>0</v>
      </c>
      <c r="P115" s="850">
        <f t="shared" si="50"/>
        <v>0</v>
      </c>
      <c r="Q115" s="817">
        <f>SUM(E115:P115)</f>
        <v>0</v>
      </c>
    </row>
    <row r="116" spans="1:17">
      <c r="B116" s="746"/>
      <c r="C116" s="746"/>
      <c r="D116" s="746"/>
      <c r="E116" s="746"/>
      <c r="F116" s="746"/>
      <c r="G116" s="746"/>
      <c r="H116" s="746"/>
      <c r="I116" s="746"/>
      <c r="J116" s="746"/>
      <c r="K116" s="746"/>
      <c r="L116" s="746"/>
      <c r="M116" s="746"/>
      <c r="N116" s="746"/>
      <c r="O116" s="746"/>
      <c r="P116" s="746"/>
      <c r="Q116" s="850"/>
    </row>
    <row r="117" spans="1:17">
      <c r="A117" s="745">
        <v>36</v>
      </c>
      <c r="B117" s="1117" t="s">
        <v>1913</v>
      </c>
      <c r="C117" s="745">
        <v>411.1</v>
      </c>
      <c r="D117" s="1203"/>
      <c r="E117" s="1076">
        <v>361252.57463739696</v>
      </c>
      <c r="F117" s="1076">
        <v>361252.57463739696</v>
      </c>
      <c r="G117" s="1076">
        <v>361252.57463739696</v>
      </c>
      <c r="H117" s="1076">
        <v>361252.57463739696</v>
      </c>
      <c r="I117" s="1076">
        <v>361252.57463739696</v>
      </c>
      <c r="J117" s="1076">
        <v>361252.57463739696</v>
      </c>
      <c r="K117" s="1076">
        <v>361252.57463739696</v>
      </c>
      <c r="L117" s="1076">
        <v>361252.57463739696</v>
      </c>
      <c r="M117" s="1076">
        <v>361252.57463739696</v>
      </c>
      <c r="N117" s="1076">
        <v>361252.57463739696</v>
      </c>
      <c r="O117" s="1076">
        <v>361252.57463739696</v>
      </c>
      <c r="P117" s="1076">
        <v>361252.57463739696</v>
      </c>
      <c r="Q117" s="817">
        <f>SUM(E117:P117)</f>
        <v>4335030.8956487644</v>
      </c>
    </row>
    <row r="118" spans="1:17">
      <c r="B118" s="746"/>
      <c r="C118" s="746"/>
      <c r="D118" s="746"/>
      <c r="E118" s="746"/>
      <c r="F118" s="746"/>
      <c r="G118" s="746"/>
      <c r="H118" s="746"/>
      <c r="I118" s="746"/>
      <c r="J118" s="746"/>
      <c r="K118" s="746"/>
      <c r="L118" s="746"/>
      <c r="M118" s="746"/>
      <c r="N118" s="746"/>
      <c r="O118" s="746"/>
      <c r="P118" s="746"/>
      <c r="Q118" s="850"/>
    </row>
    <row r="119" spans="1:17">
      <c r="A119" s="745">
        <v>37</v>
      </c>
      <c r="B119" s="1117" t="s">
        <v>1914</v>
      </c>
      <c r="C119" s="745">
        <v>411.1</v>
      </c>
      <c r="D119" s="1203"/>
      <c r="E119" s="1076">
        <v>23595.020999215547</v>
      </c>
      <c r="F119" s="1076">
        <v>23595.020999215547</v>
      </c>
      <c r="G119" s="1076">
        <v>23595.020999215547</v>
      </c>
      <c r="H119" s="1076">
        <v>23595.020999215547</v>
      </c>
      <c r="I119" s="1076">
        <v>23595.020999215547</v>
      </c>
      <c r="J119" s="1076">
        <v>23595.020999215547</v>
      </c>
      <c r="K119" s="1076">
        <v>23595.020999215547</v>
      </c>
      <c r="L119" s="1076">
        <v>23595.020999215547</v>
      </c>
      <c r="M119" s="1076">
        <v>23595.020999215547</v>
      </c>
      <c r="N119" s="1076">
        <v>23595.020999215547</v>
      </c>
      <c r="O119" s="1076">
        <v>23595.020999215547</v>
      </c>
      <c r="P119" s="1076">
        <v>23595.020999215547</v>
      </c>
      <c r="Q119" s="817">
        <f t="shared" ref="Q119:Q121" si="51">SUM(E119:P119)</f>
        <v>283140.25199058658</v>
      </c>
    </row>
    <row r="120" spans="1:17">
      <c r="A120" s="745">
        <v>38</v>
      </c>
      <c r="B120" s="1117" t="s">
        <v>1915</v>
      </c>
      <c r="C120" s="745">
        <v>410.1</v>
      </c>
      <c r="D120" s="1203"/>
      <c r="E120" s="1076">
        <v>-27274.336170766775</v>
      </c>
      <c r="F120" s="1076">
        <v>-27274.336170766775</v>
      </c>
      <c r="G120" s="1076">
        <v>-27274.336170766775</v>
      </c>
      <c r="H120" s="1076">
        <v>-27274.336170766775</v>
      </c>
      <c r="I120" s="1076">
        <v>-27274.336170766775</v>
      </c>
      <c r="J120" s="1076">
        <v>-27274.336170766775</v>
      </c>
      <c r="K120" s="1076">
        <v>-27274.336170766775</v>
      </c>
      <c r="L120" s="1076">
        <v>-27274.336170766775</v>
      </c>
      <c r="M120" s="1076">
        <v>-27274.336170766775</v>
      </c>
      <c r="N120" s="1076">
        <v>-27274.336170766775</v>
      </c>
      <c r="O120" s="1076">
        <v>-27274.336170766775</v>
      </c>
      <c r="P120" s="1076">
        <v>-27274.336170766775</v>
      </c>
      <c r="Q120" s="817">
        <f t="shared" si="51"/>
        <v>-327292.03404920129</v>
      </c>
    </row>
    <row r="121" spans="1:17">
      <c r="A121" s="745">
        <v>39</v>
      </c>
      <c r="B121" s="1117" t="s">
        <v>1916</v>
      </c>
      <c r="C121" s="745">
        <v>411.1</v>
      </c>
      <c r="D121" s="1203"/>
      <c r="E121" s="817">
        <f t="shared" ref="E121:P121" si="52">SUM(E119:E120)</f>
        <v>-3679.3151715512286</v>
      </c>
      <c r="F121" s="817">
        <f t="shared" si="52"/>
        <v>-3679.3151715512286</v>
      </c>
      <c r="G121" s="817">
        <f t="shared" si="52"/>
        <v>-3679.3151715512286</v>
      </c>
      <c r="H121" s="817">
        <f t="shared" si="52"/>
        <v>-3679.3151715512286</v>
      </c>
      <c r="I121" s="817">
        <f t="shared" si="52"/>
        <v>-3679.3151715512286</v>
      </c>
      <c r="J121" s="817">
        <f t="shared" si="52"/>
        <v>-3679.3151715512286</v>
      </c>
      <c r="K121" s="817">
        <f t="shared" si="52"/>
        <v>-3679.3151715512286</v>
      </c>
      <c r="L121" s="817">
        <f t="shared" si="52"/>
        <v>-3679.3151715512286</v>
      </c>
      <c r="M121" s="817">
        <f t="shared" si="52"/>
        <v>-3679.3151715512286</v>
      </c>
      <c r="N121" s="817">
        <f t="shared" si="52"/>
        <v>-3679.3151715512286</v>
      </c>
      <c r="O121" s="817">
        <f t="shared" si="52"/>
        <v>-3679.3151715512286</v>
      </c>
      <c r="P121" s="817">
        <f t="shared" si="52"/>
        <v>-3679.3151715512286</v>
      </c>
      <c r="Q121" s="817">
        <f t="shared" si="51"/>
        <v>-44151.782058614743</v>
      </c>
    </row>
    <row r="122" spans="1:17">
      <c r="A122" s="1203"/>
      <c r="B122" s="1203"/>
      <c r="C122" s="1203"/>
      <c r="D122" s="1203"/>
      <c r="E122" s="746"/>
      <c r="F122" s="746"/>
      <c r="G122" s="746"/>
      <c r="H122" s="746"/>
      <c r="I122" s="746"/>
      <c r="J122" s="746"/>
      <c r="K122" s="746"/>
      <c r="L122" s="746"/>
      <c r="M122" s="746"/>
      <c r="N122" s="746"/>
      <c r="O122" s="746"/>
      <c r="P122" s="746"/>
      <c r="Q122" s="1203"/>
    </row>
    <row r="123" spans="1:17">
      <c r="A123" s="1203"/>
      <c r="B123" s="1203"/>
      <c r="C123" s="1203"/>
      <c r="D123" s="1203"/>
      <c r="E123" s="746"/>
      <c r="F123" s="746"/>
      <c r="G123" s="746"/>
      <c r="H123" s="746"/>
      <c r="I123" s="746"/>
      <c r="J123" s="746"/>
      <c r="K123" s="746"/>
      <c r="L123" s="746"/>
      <c r="M123" s="746"/>
      <c r="N123" s="746"/>
      <c r="O123" s="746"/>
      <c r="P123" s="746"/>
      <c r="Q123" s="1203"/>
    </row>
    <row r="124" spans="1:17">
      <c r="A124" s="1203"/>
      <c r="B124" s="1117" t="s">
        <v>1801</v>
      </c>
      <c r="C124" s="1203"/>
      <c r="D124" s="1203"/>
      <c r="E124" s="746"/>
      <c r="F124" s="746"/>
      <c r="G124" s="746"/>
      <c r="H124" s="746"/>
      <c r="I124" s="746"/>
      <c r="J124" s="746"/>
      <c r="K124" s="746"/>
      <c r="L124" s="746"/>
      <c r="M124" s="746"/>
      <c r="N124" s="746"/>
      <c r="O124" s="746"/>
      <c r="P124" s="746"/>
      <c r="Q124" s="1203"/>
    </row>
    <row r="125" spans="1:17" ht="30.75">
      <c r="A125" s="1203"/>
      <c r="B125" s="1203"/>
      <c r="C125" s="1203"/>
      <c r="D125" s="1204" t="s">
        <v>195</v>
      </c>
      <c r="E125" s="1204" t="s">
        <v>84</v>
      </c>
      <c r="F125" s="1204" t="s">
        <v>83</v>
      </c>
      <c r="G125" s="1204" t="s">
        <v>171</v>
      </c>
      <c r="H125" s="1204" t="s">
        <v>74</v>
      </c>
      <c r="I125" s="1204" t="s">
        <v>73</v>
      </c>
      <c r="J125" s="1204" t="s">
        <v>93</v>
      </c>
      <c r="K125" s="1204" t="s">
        <v>81</v>
      </c>
      <c r="L125" s="1204" t="s">
        <v>172</v>
      </c>
      <c r="M125" s="1204" t="s">
        <v>79</v>
      </c>
      <c r="N125" s="1204" t="s">
        <v>85</v>
      </c>
      <c r="O125" s="1204" t="s">
        <v>78</v>
      </c>
      <c r="P125" s="1204" t="s">
        <v>196</v>
      </c>
      <c r="Q125" s="826" t="s">
        <v>1177</v>
      </c>
    </row>
    <row r="126" spans="1:17">
      <c r="A126" s="745">
        <v>40</v>
      </c>
      <c r="B126" s="1117" t="s">
        <v>1134</v>
      </c>
      <c r="C126" s="1203"/>
      <c r="D126" s="1203"/>
      <c r="E126" s="1203"/>
      <c r="F126" s="1203"/>
      <c r="G126" s="1203"/>
      <c r="H126" s="1203"/>
      <c r="I126" s="1203"/>
      <c r="J126" s="1203"/>
      <c r="K126" s="1203"/>
      <c r="L126" s="1203"/>
      <c r="M126" s="1203"/>
      <c r="N126" s="1203"/>
      <c r="O126" s="1203"/>
      <c r="P126" s="1203"/>
      <c r="Q126" s="1203"/>
    </row>
    <row r="127" spans="1:17">
      <c r="A127" s="745">
        <v>41</v>
      </c>
      <c r="B127" s="823" t="s">
        <v>17</v>
      </c>
      <c r="C127" s="1203"/>
      <c r="D127" s="1076">
        <v>0</v>
      </c>
      <c r="E127" s="238">
        <f>D127-E105</f>
        <v>0</v>
      </c>
      <c r="F127" s="238">
        <f t="shared" ref="F127:P127" si="53">E127-F105</f>
        <v>0</v>
      </c>
      <c r="G127" s="238">
        <f t="shared" si="53"/>
        <v>0</v>
      </c>
      <c r="H127" s="238">
        <f t="shared" si="53"/>
        <v>0</v>
      </c>
      <c r="I127" s="238">
        <f t="shared" si="53"/>
        <v>0</v>
      </c>
      <c r="J127" s="238">
        <f t="shared" si="53"/>
        <v>0</v>
      </c>
      <c r="K127" s="238">
        <f t="shared" si="53"/>
        <v>0</v>
      </c>
      <c r="L127" s="238">
        <f t="shared" si="53"/>
        <v>0</v>
      </c>
      <c r="M127" s="238">
        <f t="shared" si="53"/>
        <v>0</v>
      </c>
      <c r="N127" s="238">
        <f t="shared" si="53"/>
        <v>0</v>
      </c>
      <c r="O127" s="238">
        <f t="shared" si="53"/>
        <v>0</v>
      </c>
      <c r="P127" s="238">
        <f t="shared" si="53"/>
        <v>0</v>
      </c>
      <c r="Q127" s="853">
        <f>AVERAGE(D127,P127)</f>
        <v>0</v>
      </c>
    </row>
    <row r="128" spans="1:17">
      <c r="B128" s="746"/>
      <c r="C128" s="1203"/>
      <c r="D128" s="850"/>
      <c r="E128" s="238"/>
      <c r="F128" s="238"/>
      <c r="G128" s="238"/>
      <c r="H128" s="238"/>
      <c r="I128" s="238"/>
      <c r="J128" s="238"/>
      <c r="K128" s="238"/>
      <c r="L128" s="238"/>
      <c r="M128" s="238"/>
      <c r="N128" s="238"/>
      <c r="O128" s="238"/>
      <c r="P128" s="238"/>
      <c r="Q128" s="854"/>
    </row>
    <row r="129" spans="1:17">
      <c r="A129" s="745">
        <v>42</v>
      </c>
      <c r="B129" s="823" t="s">
        <v>1129</v>
      </c>
      <c r="C129" s="1203"/>
      <c r="D129" s="1076">
        <v>0</v>
      </c>
      <c r="E129" s="238">
        <f>D129-E107</f>
        <v>0</v>
      </c>
      <c r="F129" s="238">
        <f t="shared" ref="F129:P129" si="54">E129-F107</f>
        <v>0</v>
      </c>
      <c r="G129" s="238">
        <f t="shared" si="54"/>
        <v>0</v>
      </c>
      <c r="H129" s="238">
        <f t="shared" si="54"/>
        <v>0</v>
      </c>
      <c r="I129" s="238">
        <f t="shared" si="54"/>
        <v>0</v>
      </c>
      <c r="J129" s="238">
        <f t="shared" si="54"/>
        <v>0</v>
      </c>
      <c r="K129" s="238">
        <f t="shared" si="54"/>
        <v>0</v>
      </c>
      <c r="L129" s="238">
        <f t="shared" si="54"/>
        <v>0</v>
      </c>
      <c r="M129" s="238">
        <f t="shared" si="54"/>
        <v>0</v>
      </c>
      <c r="N129" s="238">
        <f t="shared" si="54"/>
        <v>0</v>
      </c>
      <c r="O129" s="238">
        <f t="shared" si="54"/>
        <v>0</v>
      </c>
      <c r="P129" s="238">
        <f t="shared" si="54"/>
        <v>0</v>
      </c>
      <c r="Q129" s="853">
        <f>AVERAGE(D129,P129)</f>
        <v>0</v>
      </c>
    </row>
    <row r="130" spans="1:17">
      <c r="A130" s="745">
        <v>43</v>
      </c>
      <c r="B130" s="823" t="s">
        <v>1130</v>
      </c>
      <c r="C130" s="1203"/>
      <c r="D130" s="1078">
        <f>E14</f>
        <v>0.12544749445449754</v>
      </c>
      <c r="E130" s="238"/>
      <c r="F130" s="238"/>
      <c r="G130" s="238"/>
      <c r="H130" s="238"/>
      <c r="I130" s="238"/>
      <c r="J130" s="238"/>
      <c r="K130" s="238"/>
      <c r="L130" s="238"/>
      <c r="M130" s="238"/>
      <c r="N130" s="238"/>
      <c r="O130" s="238"/>
      <c r="P130" s="238"/>
      <c r="Q130" s="853"/>
    </row>
    <row r="131" spans="1:17">
      <c r="A131" s="745">
        <v>44</v>
      </c>
      <c r="B131" s="823" t="s">
        <v>1131</v>
      </c>
      <c r="C131" s="1203"/>
      <c r="D131" s="850">
        <f>D129*$D$130</f>
        <v>0</v>
      </c>
      <c r="E131" s="853">
        <f>E129*$D$130</f>
        <v>0</v>
      </c>
      <c r="F131" s="853">
        <f t="shared" ref="F131:P131" si="55">F129*$D$130</f>
        <v>0</v>
      </c>
      <c r="G131" s="853">
        <f t="shared" si="55"/>
        <v>0</v>
      </c>
      <c r="H131" s="853">
        <f t="shared" si="55"/>
        <v>0</v>
      </c>
      <c r="I131" s="853">
        <f t="shared" si="55"/>
        <v>0</v>
      </c>
      <c r="J131" s="853">
        <f t="shared" si="55"/>
        <v>0</v>
      </c>
      <c r="K131" s="853">
        <f t="shared" si="55"/>
        <v>0</v>
      </c>
      <c r="L131" s="853">
        <f t="shared" si="55"/>
        <v>0</v>
      </c>
      <c r="M131" s="853">
        <f t="shared" si="55"/>
        <v>0</v>
      </c>
      <c r="N131" s="853">
        <f t="shared" si="55"/>
        <v>0</v>
      </c>
      <c r="O131" s="853">
        <f t="shared" si="55"/>
        <v>0</v>
      </c>
      <c r="P131" s="853">
        <f t="shared" si="55"/>
        <v>0</v>
      </c>
      <c r="Q131" s="853">
        <f>AVERAGE(D131,P131)</f>
        <v>0</v>
      </c>
    </row>
    <row r="132" spans="1:17">
      <c r="A132" s="1203"/>
      <c r="B132" s="746"/>
      <c r="C132" s="1203"/>
      <c r="D132" s="850"/>
      <c r="E132" s="238"/>
      <c r="F132" s="238"/>
      <c r="G132" s="238"/>
      <c r="H132" s="238"/>
      <c r="I132" s="238"/>
      <c r="J132" s="238"/>
      <c r="K132" s="238"/>
      <c r="L132" s="238"/>
      <c r="M132" s="238"/>
      <c r="N132" s="238"/>
      <c r="O132" s="238"/>
      <c r="P132" s="238"/>
      <c r="Q132" s="854"/>
    </row>
    <row r="133" spans="1:17">
      <c r="A133" s="745">
        <v>45</v>
      </c>
      <c r="B133" s="823" t="s">
        <v>1132</v>
      </c>
      <c r="C133" s="1203"/>
      <c r="D133" s="1076">
        <v>0</v>
      </c>
      <c r="E133" s="238">
        <f>D133-E111</f>
        <v>0</v>
      </c>
      <c r="F133" s="238">
        <f t="shared" ref="F133:P133" si="56">E133-F111</f>
        <v>0</v>
      </c>
      <c r="G133" s="238">
        <f t="shared" si="56"/>
        <v>0</v>
      </c>
      <c r="H133" s="238">
        <f t="shared" si="56"/>
        <v>0</v>
      </c>
      <c r="I133" s="238">
        <f t="shared" si="56"/>
        <v>0</v>
      </c>
      <c r="J133" s="238">
        <f t="shared" si="56"/>
        <v>0</v>
      </c>
      <c r="K133" s="238">
        <f t="shared" si="56"/>
        <v>0</v>
      </c>
      <c r="L133" s="238">
        <f t="shared" si="56"/>
        <v>0</v>
      </c>
      <c r="M133" s="238">
        <f t="shared" si="56"/>
        <v>0</v>
      </c>
      <c r="N133" s="238">
        <f t="shared" si="56"/>
        <v>0</v>
      </c>
      <c r="O133" s="238">
        <f t="shared" si="56"/>
        <v>0</v>
      </c>
      <c r="P133" s="238">
        <f t="shared" si="56"/>
        <v>0</v>
      </c>
      <c r="Q133" s="853">
        <f>AVERAGE(D133,P133)</f>
        <v>0</v>
      </c>
    </row>
    <row r="134" spans="1:17">
      <c r="A134" s="745">
        <v>46</v>
      </c>
      <c r="B134" s="823" t="s">
        <v>1130</v>
      </c>
      <c r="C134" s="1203"/>
      <c r="D134" s="1078">
        <f>E18</f>
        <v>9.6820376219981213E-2</v>
      </c>
      <c r="E134" s="238"/>
      <c r="F134" s="238"/>
      <c r="G134" s="238"/>
      <c r="H134" s="238"/>
      <c r="I134" s="238"/>
      <c r="J134" s="238"/>
      <c r="K134" s="238"/>
      <c r="L134" s="238"/>
      <c r="M134" s="238"/>
      <c r="N134" s="238"/>
      <c r="O134" s="238"/>
      <c r="P134" s="238"/>
      <c r="Q134" s="853"/>
    </row>
    <row r="135" spans="1:17">
      <c r="A135" s="745">
        <v>47</v>
      </c>
      <c r="B135" s="823" t="s">
        <v>1131</v>
      </c>
      <c r="C135" s="1203"/>
      <c r="D135" s="850">
        <f>D133*$D$134</f>
        <v>0</v>
      </c>
      <c r="E135" s="853">
        <f>E133*$D$134</f>
        <v>0</v>
      </c>
      <c r="F135" s="853">
        <f t="shared" ref="F135:P135" si="57">F133*$D$134</f>
        <v>0</v>
      </c>
      <c r="G135" s="853">
        <f t="shared" si="57"/>
        <v>0</v>
      </c>
      <c r="H135" s="853">
        <f t="shared" si="57"/>
        <v>0</v>
      </c>
      <c r="I135" s="853">
        <f t="shared" si="57"/>
        <v>0</v>
      </c>
      <c r="J135" s="853">
        <f t="shared" si="57"/>
        <v>0</v>
      </c>
      <c r="K135" s="853">
        <f t="shared" si="57"/>
        <v>0</v>
      </c>
      <c r="L135" s="853">
        <f t="shared" si="57"/>
        <v>0</v>
      </c>
      <c r="M135" s="853">
        <f t="shared" si="57"/>
        <v>0</v>
      </c>
      <c r="N135" s="853">
        <f t="shared" si="57"/>
        <v>0</v>
      </c>
      <c r="O135" s="853">
        <f t="shared" si="57"/>
        <v>0</v>
      </c>
      <c r="P135" s="853">
        <f t="shared" si="57"/>
        <v>0</v>
      </c>
      <c r="Q135" s="853">
        <f>AVERAGE(D135,P135)</f>
        <v>0</v>
      </c>
    </row>
    <row r="136" spans="1:17">
      <c r="B136" s="1117"/>
      <c r="C136" s="1203"/>
      <c r="D136" s="850"/>
      <c r="E136" s="238"/>
      <c r="F136" s="238"/>
      <c r="G136" s="238"/>
      <c r="H136" s="238"/>
      <c r="I136" s="238"/>
      <c r="J136" s="238"/>
      <c r="K136" s="238"/>
      <c r="L136" s="238"/>
      <c r="M136" s="238"/>
      <c r="N136" s="238"/>
      <c r="O136" s="238"/>
      <c r="P136" s="238"/>
      <c r="Q136" s="854"/>
    </row>
    <row r="137" spans="1:17">
      <c r="A137" s="745">
        <v>48</v>
      </c>
      <c r="B137" s="1205" t="s">
        <v>1133</v>
      </c>
      <c r="C137" s="1203"/>
      <c r="D137" s="850">
        <f>D127+D131+D135</f>
        <v>0</v>
      </c>
      <c r="E137" s="853">
        <f t="shared" ref="E137:P137" si="58">E127+E131+E135</f>
        <v>0</v>
      </c>
      <c r="F137" s="853">
        <f t="shared" si="58"/>
        <v>0</v>
      </c>
      <c r="G137" s="853">
        <f t="shared" si="58"/>
        <v>0</v>
      </c>
      <c r="H137" s="853">
        <f t="shared" si="58"/>
        <v>0</v>
      </c>
      <c r="I137" s="853">
        <f t="shared" si="58"/>
        <v>0</v>
      </c>
      <c r="J137" s="853">
        <f t="shared" si="58"/>
        <v>0</v>
      </c>
      <c r="K137" s="853">
        <f t="shared" si="58"/>
        <v>0</v>
      </c>
      <c r="L137" s="853">
        <f t="shared" si="58"/>
        <v>0</v>
      </c>
      <c r="M137" s="853">
        <f t="shared" si="58"/>
        <v>0</v>
      </c>
      <c r="N137" s="853">
        <f t="shared" si="58"/>
        <v>0</v>
      </c>
      <c r="O137" s="853">
        <f t="shared" si="58"/>
        <v>0</v>
      </c>
      <c r="P137" s="853">
        <f t="shared" si="58"/>
        <v>0</v>
      </c>
      <c r="Q137" s="853">
        <f>AVERAGE(D137,P137)</f>
        <v>0</v>
      </c>
    </row>
    <row r="138" spans="1:17">
      <c r="B138" s="746"/>
      <c r="C138" s="746"/>
      <c r="D138" s="1118"/>
      <c r="E138" s="1206"/>
      <c r="F138" s="1206"/>
      <c r="G138" s="1206"/>
      <c r="H138" s="1206"/>
      <c r="I138" s="1206"/>
      <c r="J138" s="1206"/>
      <c r="K138" s="1206"/>
      <c r="L138" s="1206"/>
      <c r="M138" s="1206"/>
      <c r="N138" s="1206"/>
      <c r="O138" s="1206"/>
      <c r="P138" s="1206"/>
      <c r="Q138" s="1206"/>
    </row>
    <row r="139" spans="1:17">
      <c r="A139" s="745">
        <v>49</v>
      </c>
      <c r="B139" s="1117" t="s">
        <v>1913</v>
      </c>
      <c r="C139" s="1203"/>
      <c r="D139" s="1076">
        <v>26010185.373892579</v>
      </c>
      <c r="E139" s="238">
        <f>D139-E117</f>
        <v>25648932.799255181</v>
      </c>
      <c r="F139" s="238">
        <f t="shared" ref="F139:P139" si="59">E139-F117</f>
        <v>25287680.224617783</v>
      </c>
      <c r="G139" s="238">
        <f t="shared" si="59"/>
        <v>24926427.649980385</v>
      </c>
      <c r="H139" s="238">
        <f t="shared" si="59"/>
        <v>24565175.075342987</v>
      </c>
      <c r="I139" s="238">
        <f t="shared" si="59"/>
        <v>24203922.500705589</v>
      </c>
      <c r="J139" s="238">
        <f t="shared" si="59"/>
        <v>23842669.92606819</v>
      </c>
      <c r="K139" s="238">
        <f t="shared" si="59"/>
        <v>23481417.351430792</v>
      </c>
      <c r="L139" s="238">
        <f t="shared" si="59"/>
        <v>23120164.776793394</v>
      </c>
      <c r="M139" s="238">
        <f t="shared" si="59"/>
        <v>22758912.202155996</v>
      </c>
      <c r="N139" s="238">
        <f t="shared" si="59"/>
        <v>22397659.627518598</v>
      </c>
      <c r="O139" s="238">
        <f t="shared" si="59"/>
        <v>22036407.0528812</v>
      </c>
      <c r="P139" s="238">
        <f t="shared" si="59"/>
        <v>21675154.478243802</v>
      </c>
      <c r="Q139" s="853">
        <f>AVERAGE(D139,P139)</f>
        <v>23842669.92606819</v>
      </c>
    </row>
    <row r="140" spans="1:17">
      <c r="B140" s="746"/>
      <c r="C140" s="746"/>
      <c r="D140" s="1118"/>
      <c r="E140" s="1206"/>
      <c r="F140" s="1206"/>
      <c r="G140" s="1206"/>
      <c r="H140" s="1206"/>
      <c r="I140" s="1206"/>
      <c r="J140" s="1206"/>
      <c r="K140" s="1206"/>
      <c r="L140" s="1206"/>
      <c r="M140" s="1206"/>
      <c r="N140" s="1206"/>
      <c r="O140" s="1206"/>
      <c r="P140" s="1206"/>
      <c r="Q140" s="1206"/>
    </row>
    <row r="141" spans="1:17">
      <c r="A141" s="745">
        <v>50</v>
      </c>
      <c r="B141" s="1117" t="s">
        <v>1914</v>
      </c>
      <c r="C141" s="1203"/>
      <c r="D141" s="1076">
        <v>1132561.0079623463</v>
      </c>
      <c r="E141" s="238">
        <f>D141-E119</f>
        <v>1108965.9869631308</v>
      </c>
      <c r="F141" s="238">
        <f t="shared" ref="F141:P142" si="60">E141-F119</f>
        <v>1085370.9659639152</v>
      </c>
      <c r="G141" s="238">
        <f t="shared" si="60"/>
        <v>1061775.9449646997</v>
      </c>
      <c r="H141" s="238">
        <f t="shared" si="60"/>
        <v>1038180.9239654841</v>
      </c>
      <c r="I141" s="238">
        <f t="shared" si="60"/>
        <v>1014585.9029662686</v>
      </c>
      <c r="J141" s="238">
        <f t="shared" si="60"/>
        <v>990990.88196705305</v>
      </c>
      <c r="K141" s="238">
        <f t="shared" si="60"/>
        <v>967395.86096783751</v>
      </c>
      <c r="L141" s="238">
        <f t="shared" si="60"/>
        <v>943800.83996862196</v>
      </c>
      <c r="M141" s="238">
        <f t="shared" si="60"/>
        <v>920205.81896940642</v>
      </c>
      <c r="N141" s="238">
        <f t="shared" si="60"/>
        <v>896610.79797019088</v>
      </c>
      <c r="O141" s="238">
        <f t="shared" si="60"/>
        <v>873015.77697097533</v>
      </c>
      <c r="P141" s="238">
        <f t="shared" si="60"/>
        <v>849420.75597175979</v>
      </c>
      <c r="Q141" s="853">
        <f>AVERAGE(D141,P141)</f>
        <v>990990.88196705305</v>
      </c>
    </row>
    <row r="142" spans="1:17">
      <c r="A142" s="745">
        <v>51</v>
      </c>
      <c r="B142" s="1117" t="s">
        <v>1915</v>
      </c>
      <c r="C142" s="1203"/>
      <c r="D142" s="1076">
        <v>-1309168.1361968052</v>
      </c>
      <c r="E142" s="238">
        <f>D142-E120</f>
        <v>-1281893.8000260384</v>
      </c>
      <c r="F142" s="238">
        <f t="shared" si="60"/>
        <v>-1254619.4638552717</v>
      </c>
      <c r="G142" s="238">
        <f t="shared" si="60"/>
        <v>-1227345.127684505</v>
      </c>
      <c r="H142" s="238">
        <f t="shared" si="60"/>
        <v>-1200070.7915137382</v>
      </c>
      <c r="I142" s="238">
        <f t="shared" si="60"/>
        <v>-1172796.4553429715</v>
      </c>
      <c r="J142" s="238">
        <f t="shared" si="60"/>
        <v>-1145522.1191722048</v>
      </c>
      <c r="K142" s="238">
        <f t="shared" si="60"/>
        <v>-1118247.783001438</v>
      </c>
      <c r="L142" s="238">
        <f t="shared" si="60"/>
        <v>-1090973.4468306713</v>
      </c>
      <c r="M142" s="238">
        <f t="shared" si="60"/>
        <v>-1063699.1106599045</v>
      </c>
      <c r="N142" s="238">
        <f t="shared" si="60"/>
        <v>-1036424.7744891378</v>
      </c>
      <c r="O142" s="238">
        <f t="shared" si="60"/>
        <v>-1009150.4383183711</v>
      </c>
      <c r="P142" s="238">
        <f t="shared" si="60"/>
        <v>-981876.10214760434</v>
      </c>
      <c r="Q142" s="853">
        <f>AVERAGE(D142,P142)</f>
        <v>-1145522.1191722048</v>
      </c>
    </row>
    <row r="143" spans="1:17">
      <c r="A143" s="745">
        <v>52</v>
      </c>
      <c r="B143" s="1117" t="s">
        <v>1916</v>
      </c>
      <c r="C143" s="1203"/>
      <c r="D143" s="817">
        <f t="shared" ref="D143" si="61">SUM(D141:D142)</f>
        <v>-176607.12823445885</v>
      </c>
      <c r="E143" s="854">
        <f t="shared" ref="E143:Q143" si="62">SUM(E141:E142)</f>
        <v>-172927.81306290766</v>
      </c>
      <c r="F143" s="854">
        <f t="shared" si="62"/>
        <v>-169248.49789135647</v>
      </c>
      <c r="G143" s="854">
        <f t="shared" si="62"/>
        <v>-165569.18271980528</v>
      </c>
      <c r="H143" s="854">
        <f t="shared" si="62"/>
        <v>-161889.86754825409</v>
      </c>
      <c r="I143" s="854">
        <f t="shared" si="62"/>
        <v>-158210.55237670289</v>
      </c>
      <c r="J143" s="854">
        <f t="shared" si="62"/>
        <v>-154531.2372051517</v>
      </c>
      <c r="K143" s="854">
        <f t="shared" si="62"/>
        <v>-150851.92203360051</v>
      </c>
      <c r="L143" s="854">
        <f t="shared" si="62"/>
        <v>-147172.60686204932</v>
      </c>
      <c r="M143" s="854">
        <f t="shared" si="62"/>
        <v>-143493.29169049812</v>
      </c>
      <c r="N143" s="854">
        <f t="shared" si="62"/>
        <v>-139813.97651894693</v>
      </c>
      <c r="O143" s="854">
        <f t="shared" si="62"/>
        <v>-136134.66134739574</v>
      </c>
      <c r="P143" s="854">
        <f t="shared" si="62"/>
        <v>-132455.34617584455</v>
      </c>
      <c r="Q143" s="854">
        <f t="shared" si="62"/>
        <v>-154531.2372051517</v>
      </c>
    </row>
    <row r="144" spans="1:17">
      <c r="A144" s="1203"/>
      <c r="B144" s="1203"/>
      <c r="C144" s="1203"/>
      <c r="D144" s="1203"/>
      <c r="E144" s="1118"/>
      <c r="F144" s="1118"/>
      <c r="G144" s="1118"/>
      <c r="H144" s="1118"/>
      <c r="I144" s="1118"/>
      <c r="J144" s="1118"/>
      <c r="K144" s="1118"/>
      <c r="L144" s="1118"/>
      <c r="M144" s="1118"/>
      <c r="N144" s="1118"/>
      <c r="O144" s="1118"/>
      <c r="P144" s="1118"/>
      <c r="Q144" s="1203"/>
    </row>
    <row r="145" spans="1:17">
      <c r="A145" s="1203"/>
      <c r="B145" s="1203"/>
      <c r="C145" s="1203"/>
      <c r="D145" s="1203"/>
      <c r="E145" s="1118"/>
      <c r="F145" s="1118"/>
      <c r="G145" s="1118"/>
      <c r="H145" s="1118"/>
      <c r="I145" s="1118"/>
      <c r="J145" s="1118"/>
      <c r="K145" s="1118"/>
      <c r="L145" s="1118"/>
      <c r="M145" s="1118"/>
      <c r="N145" s="1118"/>
      <c r="O145" s="1118"/>
      <c r="P145" s="1118"/>
      <c r="Q145" s="1203"/>
    </row>
    <row r="146" spans="1:17" s="746" customFormat="1" ht="18" customHeight="1">
      <c r="A146" s="1270" t="s">
        <v>1782</v>
      </c>
      <c r="B146" s="1271"/>
      <c r="C146" s="1271"/>
      <c r="D146" s="1271"/>
      <c r="E146" s="1271"/>
      <c r="F146" s="1271"/>
      <c r="G146" s="1271"/>
      <c r="H146" s="1271"/>
      <c r="I146" s="1271"/>
      <c r="J146" s="1271"/>
      <c r="K146" s="1271"/>
      <c r="L146" s="1271"/>
      <c r="M146" s="1271"/>
      <c r="N146" s="1271"/>
      <c r="O146" s="1271"/>
      <c r="P146" s="1271"/>
      <c r="Q146" s="1272"/>
    </row>
    <row r="147" spans="1:17" s="746" customFormat="1">
      <c r="A147" s="745"/>
      <c r="E147" s="1118"/>
      <c r="F147" s="1118"/>
      <c r="G147" s="1118"/>
      <c r="H147" s="1118"/>
      <c r="I147" s="1118"/>
      <c r="J147" s="1118"/>
      <c r="K147" s="1118"/>
      <c r="L147" s="1118"/>
      <c r="M147" s="1118"/>
      <c r="N147" s="1118"/>
      <c r="O147" s="1118"/>
      <c r="P147" s="1118"/>
    </row>
    <row r="148" spans="1:17" s="746" customFormat="1">
      <c r="A148" s="745"/>
      <c r="C148" s="1119" t="s">
        <v>198</v>
      </c>
      <c r="D148" s="1119" t="s">
        <v>199</v>
      </c>
      <c r="E148" s="1120" t="s">
        <v>200</v>
      </c>
      <c r="F148" s="1119" t="s">
        <v>201</v>
      </c>
      <c r="G148" s="1119" t="s">
        <v>203</v>
      </c>
      <c r="H148" s="1119" t="s">
        <v>202</v>
      </c>
      <c r="I148" s="1119" t="s">
        <v>204</v>
      </c>
      <c r="J148" s="1119" t="s">
        <v>205</v>
      </c>
      <c r="K148" s="1119" t="s">
        <v>206</v>
      </c>
      <c r="L148" s="1119" t="s">
        <v>244</v>
      </c>
      <c r="M148" s="1119" t="s">
        <v>248</v>
      </c>
      <c r="N148" s="1119" t="s">
        <v>453</v>
      </c>
      <c r="O148" s="17" t="s">
        <v>779</v>
      </c>
      <c r="P148" s="17" t="s">
        <v>780</v>
      </c>
      <c r="Q148" s="17" t="s">
        <v>781</v>
      </c>
    </row>
    <row r="149" spans="1:17" s="746" customFormat="1" ht="61.5">
      <c r="A149" s="745"/>
      <c r="B149" s="1121" t="s">
        <v>1783</v>
      </c>
      <c r="C149" s="1122" t="s">
        <v>1781</v>
      </c>
      <c r="D149" s="1123" t="s">
        <v>1784</v>
      </c>
      <c r="E149" s="1124" t="s">
        <v>84</v>
      </c>
      <c r="F149" s="1124" t="s">
        <v>83</v>
      </c>
      <c r="G149" s="1124" t="s">
        <v>171</v>
      </c>
      <c r="H149" s="1124" t="s">
        <v>74</v>
      </c>
      <c r="I149" s="1124" t="s">
        <v>73</v>
      </c>
      <c r="J149" s="1124" t="s">
        <v>93</v>
      </c>
      <c r="K149" s="1124" t="s">
        <v>81</v>
      </c>
      <c r="L149" s="1124" t="s">
        <v>172</v>
      </c>
      <c r="M149" s="1124" t="s">
        <v>79</v>
      </c>
      <c r="N149" s="1124" t="s">
        <v>85</v>
      </c>
      <c r="O149" s="1124" t="s">
        <v>78</v>
      </c>
      <c r="P149" s="1124" t="s">
        <v>196</v>
      </c>
      <c r="Q149" s="1123" t="s">
        <v>1785</v>
      </c>
    </row>
    <row r="150" spans="1:17" s="746" customFormat="1" ht="4.9000000000000004" customHeight="1">
      <c r="A150" s="745"/>
      <c r="E150" s="1118"/>
      <c r="F150" s="1118"/>
      <c r="G150" s="1118"/>
      <c r="H150" s="1118"/>
      <c r="I150" s="1118"/>
      <c r="J150" s="1118"/>
      <c r="K150" s="1118"/>
      <c r="L150" s="1118"/>
      <c r="M150" s="1118"/>
      <c r="N150" s="1118"/>
      <c r="O150" s="1118"/>
      <c r="P150" s="1118"/>
    </row>
    <row r="151" spans="1:17" s="746" customFormat="1">
      <c r="A151" s="745">
        <f>A49+1</f>
        <v>27</v>
      </c>
      <c r="B151" s="820" t="s">
        <v>1786</v>
      </c>
      <c r="C151" s="745">
        <v>411.1</v>
      </c>
      <c r="D151" s="1076">
        <f>-D43</f>
        <v>-73117675.546710148</v>
      </c>
      <c r="E151" s="1076">
        <f>E21</f>
        <v>131080.45227485226</v>
      </c>
      <c r="F151" s="1076">
        <f t="shared" ref="F151:P151" si="63">F21</f>
        <v>131080.45227485226</v>
      </c>
      <c r="G151" s="1076">
        <f t="shared" si="63"/>
        <v>131080.45227485226</v>
      </c>
      <c r="H151" s="1076">
        <f t="shared" si="63"/>
        <v>131080.45227485226</v>
      </c>
      <c r="I151" s="1076">
        <f t="shared" si="63"/>
        <v>131080.45227485226</v>
      </c>
      <c r="J151" s="1076">
        <f t="shared" si="63"/>
        <v>131080.45227485226</v>
      </c>
      <c r="K151" s="1076">
        <f t="shared" si="63"/>
        <v>131080.45227485226</v>
      </c>
      <c r="L151" s="1076">
        <f t="shared" si="63"/>
        <v>131080.45227485226</v>
      </c>
      <c r="M151" s="1076">
        <f t="shared" si="63"/>
        <v>131080.45227485226</v>
      </c>
      <c r="N151" s="1076">
        <f t="shared" si="63"/>
        <v>131080.45227485226</v>
      </c>
      <c r="O151" s="1076">
        <f t="shared" si="63"/>
        <v>131080.45227485226</v>
      </c>
      <c r="P151" s="1076">
        <f t="shared" si="63"/>
        <v>131080.45227485223</v>
      </c>
      <c r="Q151" s="1076">
        <f>SUM(D151:P151)</f>
        <v>-71544710.119411841</v>
      </c>
    </row>
    <row r="152" spans="1:17" s="746" customFormat="1">
      <c r="A152" s="745">
        <f>A151+1</f>
        <v>28</v>
      </c>
      <c r="B152" s="820" t="s">
        <v>1656</v>
      </c>
      <c r="C152" s="745">
        <v>411.1</v>
      </c>
      <c r="D152" s="844">
        <f>-D45</f>
        <v>-28433561.373892579</v>
      </c>
      <c r="E152" s="844">
        <f>E23</f>
        <v>563200.57463739696</v>
      </c>
      <c r="F152" s="844">
        <f t="shared" ref="F152:P152" si="64">F23</f>
        <v>563200.57463739696</v>
      </c>
      <c r="G152" s="844">
        <f t="shared" si="64"/>
        <v>563200.57463739696</v>
      </c>
      <c r="H152" s="844">
        <f t="shared" si="64"/>
        <v>563200.57463739696</v>
      </c>
      <c r="I152" s="844">
        <f t="shared" si="64"/>
        <v>563200.57463739696</v>
      </c>
      <c r="J152" s="844">
        <f t="shared" si="64"/>
        <v>563200.57463739696</v>
      </c>
      <c r="K152" s="844">
        <f t="shared" si="64"/>
        <v>563200.57463739696</v>
      </c>
      <c r="L152" s="844">
        <f t="shared" si="64"/>
        <v>563200.57463739696</v>
      </c>
      <c r="M152" s="844">
        <f t="shared" si="64"/>
        <v>563200.57463739696</v>
      </c>
      <c r="N152" s="844">
        <f t="shared" si="64"/>
        <v>563200.57463739696</v>
      </c>
      <c r="O152" s="844">
        <f t="shared" si="64"/>
        <v>563200.57463739696</v>
      </c>
      <c r="P152" s="844">
        <f t="shared" si="64"/>
        <v>563200.57463739743</v>
      </c>
      <c r="Q152" s="844">
        <f>SUM(D152:P152)</f>
        <v>-21675154.478243802</v>
      </c>
    </row>
    <row r="153" spans="1:17" s="746" customFormat="1">
      <c r="A153" s="745">
        <f>A152+1</f>
        <v>29</v>
      </c>
      <c r="B153" s="820" t="s">
        <v>1787</v>
      </c>
      <c r="C153" s="745">
        <v>411.1</v>
      </c>
      <c r="D153" s="844">
        <f>-D47</f>
        <v>-1132561.0079623463</v>
      </c>
      <c r="E153" s="844">
        <f t="shared" ref="E153:P153" si="65">E25</f>
        <v>23595.020999215547</v>
      </c>
      <c r="F153" s="844">
        <f t="shared" si="65"/>
        <v>23595.020999215547</v>
      </c>
      <c r="G153" s="844">
        <f t="shared" si="65"/>
        <v>23595.020999215547</v>
      </c>
      <c r="H153" s="844">
        <f t="shared" si="65"/>
        <v>23595.020999215547</v>
      </c>
      <c r="I153" s="844">
        <f t="shared" si="65"/>
        <v>23595.020999215547</v>
      </c>
      <c r="J153" s="844">
        <f t="shared" si="65"/>
        <v>23595.020999215547</v>
      </c>
      <c r="K153" s="844">
        <f t="shared" si="65"/>
        <v>23595.020999215547</v>
      </c>
      <c r="L153" s="844">
        <f t="shared" si="65"/>
        <v>23595.020999215547</v>
      </c>
      <c r="M153" s="844">
        <f t="shared" si="65"/>
        <v>23595.020999215547</v>
      </c>
      <c r="N153" s="844">
        <f t="shared" si="65"/>
        <v>23595.020999215547</v>
      </c>
      <c r="O153" s="844">
        <f t="shared" si="65"/>
        <v>23595.020999215547</v>
      </c>
      <c r="P153" s="844">
        <f t="shared" si="65"/>
        <v>23595.020999215547</v>
      </c>
      <c r="Q153" s="844">
        <f>SUM(D153:P153)</f>
        <v>-849420.75597175979</v>
      </c>
    </row>
    <row r="154" spans="1:17" s="746" customFormat="1">
      <c r="A154" s="745">
        <f>A153+1</f>
        <v>30</v>
      </c>
      <c r="B154" s="820" t="s">
        <v>1788</v>
      </c>
      <c r="C154" s="745">
        <v>410.1</v>
      </c>
      <c r="D154" s="844">
        <f>-D48</f>
        <v>1309168.1361968052</v>
      </c>
      <c r="E154" s="844">
        <f t="shared" ref="E154:P154" si="66">E26</f>
        <v>-27274.336170766775</v>
      </c>
      <c r="F154" s="844">
        <f t="shared" si="66"/>
        <v>-27274.336170766775</v>
      </c>
      <c r="G154" s="844">
        <f t="shared" si="66"/>
        <v>-27274.336170766775</v>
      </c>
      <c r="H154" s="844">
        <f t="shared" si="66"/>
        <v>-27274.336170766775</v>
      </c>
      <c r="I154" s="844">
        <f t="shared" si="66"/>
        <v>-27274.336170766775</v>
      </c>
      <c r="J154" s="844">
        <f t="shared" si="66"/>
        <v>-27274.336170766775</v>
      </c>
      <c r="K154" s="844">
        <f t="shared" si="66"/>
        <v>-27274.336170766775</v>
      </c>
      <c r="L154" s="844">
        <f t="shared" si="66"/>
        <v>-27274.336170766775</v>
      </c>
      <c r="M154" s="844">
        <f t="shared" si="66"/>
        <v>-27274.336170766775</v>
      </c>
      <c r="N154" s="844">
        <f t="shared" si="66"/>
        <v>-27274.336170766775</v>
      </c>
      <c r="O154" s="844">
        <f t="shared" si="66"/>
        <v>-27274.336170766775</v>
      </c>
      <c r="P154" s="844">
        <f t="shared" si="66"/>
        <v>-27274.336170766775</v>
      </c>
      <c r="Q154" s="844">
        <f>SUM(D154:P154)</f>
        <v>981876.10214760434</v>
      </c>
    </row>
    <row r="155" spans="1:17" s="746" customFormat="1" ht="4.9000000000000004" customHeight="1">
      <c r="A155" s="745"/>
    </row>
    <row r="156" spans="1:17" s="746" customFormat="1">
      <c r="A156" s="1125">
        <f>A154+1</f>
        <v>31</v>
      </c>
      <c r="B156" s="1117" t="s">
        <v>1789</v>
      </c>
      <c r="D156" s="1126">
        <f>SUM(D150:D155)</f>
        <v>-101374629.79236826</v>
      </c>
      <c r="E156" s="1126">
        <f t="shared" ref="E156:Q156" si="67">SUM(E150:E155)</f>
        <v>690601.71174069797</v>
      </c>
      <c r="F156" s="1126">
        <f t="shared" si="67"/>
        <v>690601.71174069797</v>
      </c>
      <c r="G156" s="1126">
        <f t="shared" si="67"/>
        <v>690601.71174069797</v>
      </c>
      <c r="H156" s="1126">
        <f t="shared" si="67"/>
        <v>690601.71174069797</v>
      </c>
      <c r="I156" s="1126">
        <f t="shared" si="67"/>
        <v>690601.71174069797</v>
      </c>
      <c r="J156" s="1126">
        <f t="shared" si="67"/>
        <v>690601.71174069797</v>
      </c>
      <c r="K156" s="1126">
        <f t="shared" si="67"/>
        <v>690601.71174069797</v>
      </c>
      <c r="L156" s="1126">
        <f t="shared" si="67"/>
        <v>690601.71174069797</v>
      </c>
      <c r="M156" s="1126">
        <f t="shared" si="67"/>
        <v>690601.71174069797</v>
      </c>
      <c r="N156" s="1126">
        <f t="shared" si="67"/>
        <v>690601.71174069797</v>
      </c>
      <c r="O156" s="1126">
        <f t="shared" si="67"/>
        <v>690601.71174069797</v>
      </c>
      <c r="P156" s="1126">
        <f t="shared" si="67"/>
        <v>690601.71174069843</v>
      </c>
      <c r="Q156" s="1126">
        <f t="shared" si="67"/>
        <v>-93087409.25147979</v>
      </c>
    </row>
    <row r="157" spans="1:17" s="746" customFormat="1" ht="4.9000000000000004" customHeight="1">
      <c r="A157" s="745"/>
      <c r="E157" s="1118"/>
      <c r="F157" s="1118"/>
      <c r="G157" s="1118"/>
      <c r="H157" s="1118"/>
      <c r="I157" s="1118"/>
      <c r="J157" s="1118"/>
      <c r="K157" s="1118"/>
      <c r="L157" s="1118"/>
      <c r="M157" s="1118"/>
      <c r="N157" s="1118"/>
      <c r="O157" s="1118"/>
      <c r="P157" s="1118"/>
    </row>
    <row r="158" spans="1:17" s="746" customFormat="1">
      <c r="A158" s="745">
        <f>A156+1</f>
        <v>32</v>
      </c>
      <c r="B158" s="820" t="s">
        <v>1790</v>
      </c>
      <c r="D158" s="1127">
        <f>1*1/(1-(0.21+0.0499*0.79))</f>
        <v>1.3323047940323405</v>
      </c>
      <c r="E158" s="1127">
        <f t="shared" ref="E158:Q158" si="68">1*1/(1-(0.21+0.0499*0.79))</f>
        <v>1.3323047940323405</v>
      </c>
      <c r="F158" s="1127">
        <f t="shared" si="68"/>
        <v>1.3323047940323405</v>
      </c>
      <c r="G158" s="1127">
        <f t="shared" si="68"/>
        <v>1.3323047940323405</v>
      </c>
      <c r="H158" s="1127">
        <f t="shared" si="68"/>
        <v>1.3323047940323405</v>
      </c>
      <c r="I158" s="1127">
        <f t="shared" si="68"/>
        <v>1.3323047940323405</v>
      </c>
      <c r="J158" s="1127">
        <f t="shared" si="68"/>
        <v>1.3323047940323405</v>
      </c>
      <c r="K158" s="1127">
        <f t="shared" si="68"/>
        <v>1.3323047940323405</v>
      </c>
      <c r="L158" s="1127">
        <f t="shared" si="68"/>
        <v>1.3323047940323405</v>
      </c>
      <c r="M158" s="1127">
        <f t="shared" si="68"/>
        <v>1.3323047940323405</v>
      </c>
      <c r="N158" s="1127">
        <f t="shared" si="68"/>
        <v>1.3323047940323405</v>
      </c>
      <c r="O158" s="1127">
        <f t="shared" si="68"/>
        <v>1.3323047940323405</v>
      </c>
      <c r="P158" s="1127">
        <f t="shared" si="68"/>
        <v>1.3323047940323405</v>
      </c>
      <c r="Q158" s="1127">
        <f t="shared" si="68"/>
        <v>1.3323047940323405</v>
      </c>
    </row>
    <row r="159" spans="1:17" s="746" customFormat="1" ht="4.9000000000000004" customHeight="1">
      <c r="A159" s="745"/>
    </row>
    <row r="160" spans="1:17" s="746" customFormat="1" ht="15.75" thickBot="1">
      <c r="A160" s="1125">
        <f>A158+1</f>
        <v>33</v>
      </c>
      <c r="B160" s="1117" t="s">
        <v>1791</v>
      </c>
      <c r="C160" s="1117"/>
      <c r="D160" s="1128">
        <f>D156*D158</f>
        <v>-135061905.26562595</v>
      </c>
      <c r="E160" s="1128">
        <f t="shared" ref="E160:Q160" si="69">E156*E158</f>
        <v>920091.97131907241</v>
      </c>
      <c r="F160" s="1128">
        <f t="shared" si="69"/>
        <v>920091.97131907241</v>
      </c>
      <c r="G160" s="1128">
        <f t="shared" si="69"/>
        <v>920091.97131907241</v>
      </c>
      <c r="H160" s="1128">
        <f t="shared" si="69"/>
        <v>920091.97131907241</v>
      </c>
      <c r="I160" s="1128">
        <f t="shared" si="69"/>
        <v>920091.97131907241</v>
      </c>
      <c r="J160" s="1128">
        <f t="shared" si="69"/>
        <v>920091.97131907241</v>
      </c>
      <c r="K160" s="1128">
        <f t="shared" si="69"/>
        <v>920091.97131907241</v>
      </c>
      <c r="L160" s="1128">
        <f t="shared" si="69"/>
        <v>920091.97131907241</v>
      </c>
      <c r="M160" s="1128">
        <f t="shared" si="69"/>
        <v>920091.97131907241</v>
      </c>
      <c r="N160" s="1128">
        <f t="shared" si="69"/>
        <v>920091.97131907241</v>
      </c>
      <c r="O160" s="1128">
        <f t="shared" si="69"/>
        <v>920091.97131907241</v>
      </c>
      <c r="P160" s="1128">
        <f t="shared" si="69"/>
        <v>920091.971319073</v>
      </c>
      <c r="Q160" s="1128">
        <f t="shared" si="69"/>
        <v>-124020801.60979697</v>
      </c>
    </row>
    <row r="161" spans="1:17" s="746" customFormat="1" ht="15.75" thickTop="1">
      <c r="A161" s="745"/>
      <c r="E161" s="1129"/>
      <c r="F161" s="689"/>
      <c r="G161" s="689"/>
      <c r="H161" s="1118"/>
      <c r="I161" s="1118"/>
      <c r="J161" s="1118"/>
      <c r="K161" s="1118"/>
      <c r="L161" s="1118"/>
      <c r="M161" s="1118"/>
      <c r="N161" s="1118"/>
      <c r="O161" s="1118"/>
      <c r="P161" s="1118"/>
    </row>
    <row r="162" spans="1:17" s="746" customFormat="1">
      <c r="A162" s="745"/>
      <c r="E162" s="1118"/>
      <c r="F162" s="1118"/>
      <c r="G162" s="1118"/>
      <c r="H162" s="1118"/>
      <c r="I162" s="1118"/>
      <c r="J162" s="1118"/>
      <c r="K162" s="1118"/>
      <c r="L162" s="1118"/>
      <c r="M162" s="1118"/>
      <c r="N162" s="1118"/>
      <c r="O162" s="1118"/>
      <c r="P162" s="1118"/>
    </row>
    <row r="163" spans="1:17" s="746" customFormat="1" ht="17.25">
      <c r="A163" s="1270" t="s">
        <v>1792</v>
      </c>
      <c r="B163" s="1271"/>
      <c r="C163" s="1271"/>
      <c r="D163" s="1271"/>
      <c r="E163" s="1271"/>
      <c r="F163" s="1271"/>
      <c r="G163" s="1271"/>
      <c r="H163" s="1271"/>
      <c r="I163" s="1271"/>
      <c r="J163" s="1271"/>
      <c r="K163" s="1271"/>
      <c r="L163" s="1271"/>
      <c r="M163" s="1271"/>
      <c r="N163" s="1271"/>
      <c r="O163" s="1271"/>
      <c r="P163" s="1271"/>
      <c r="Q163" s="1272"/>
    </row>
    <row r="164" spans="1:17" s="746" customFormat="1">
      <c r="A164" s="745"/>
      <c r="E164" s="1118"/>
      <c r="F164" s="1118"/>
      <c r="G164" s="1118"/>
      <c r="H164" s="1118"/>
      <c r="I164" s="1118"/>
      <c r="J164" s="1118"/>
      <c r="K164" s="1118"/>
      <c r="L164" s="1118"/>
      <c r="M164" s="1118"/>
      <c r="N164" s="1118"/>
      <c r="O164" s="1118"/>
      <c r="P164" s="1118"/>
    </row>
    <row r="165" spans="1:17" s="746" customFormat="1">
      <c r="A165" s="745"/>
      <c r="C165" s="1119" t="s">
        <v>198</v>
      </c>
      <c r="D165" s="1119" t="s">
        <v>199</v>
      </c>
      <c r="E165" s="1120" t="s">
        <v>200</v>
      </c>
      <c r="F165" s="1119" t="s">
        <v>201</v>
      </c>
      <c r="G165" s="1119" t="s">
        <v>203</v>
      </c>
      <c r="H165" s="1119" t="s">
        <v>202</v>
      </c>
      <c r="I165" s="1119" t="s">
        <v>204</v>
      </c>
      <c r="J165" s="1119" t="s">
        <v>205</v>
      </c>
      <c r="K165" s="1119" t="s">
        <v>206</v>
      </c>
      <c r="L165" s="1119" t="s">
        <v>244</v>
      </c>
      <c r="M165" s="1119" t="s">
        <v>248</v>
      </c>
      <c r="N165" s="1119" t="s">
        <v>453</v>
      </c>
      <c r="O165" s="17" t="s">
        <v>779</v>
      </c>
      <c r="P165" s="17" t="s">
        <v>780</v>
      </c>
      <c r="Q165" s="17" t="s">
        <v>781</v>
      </c>
    </row>
    <row r="166" spans="1:17" s="746" customFormat="1" ht="30.75">
      <c r="A166" s="745"/>
      <c r="B166" s="1121" t="s">
        <v>1793</v>
      </c>
      <c r="C166" s="1130"/>
      <c r="D166" s="1122" t="s">
        <v>1794</v>
      </c>
      <c r="E166" s="1124" t="s">
        <v>84</v>
      </c>
      <c r="F166" s="1124" t="s">
        <v>83</v>
      </c>
      <c r="G166" s="1124" t="s">
        <v>171</v>
      </c>
      <c r="H166" s="1124" t="s">
        <v>74</v>
      </c>
      <c r="I166" s="1124" t="s">
        <v>73</v>
      </c>
      <c r="J166" s="1124" t="s">
        <v>93</v>
      </c>
      <c r="K166" s="1124" t="s">
        <v>81</v>
      </c>
      <c r="L166" s="1124" t="s">
        <v>172</v>
      </c>
      <c r="M166" s="1124" t="s">
        <v>79</v>
      </c>
      <c r="N166" s="1124" t="s">
        <v>85</v>
      </c>
      <c r="O166" s="1124" t="s">
        <v>78</v>
      </c>
      <c r="P166" s="1124" t="s">
        <v>196</v>
      </c>
      <c r="Q166" s="1122" t="s">
        <v>1795</v>
      </c>
    </row>
    <row r="167" spans="1:17" s="746" customFormat="1" ht="4.9000000000000004" customHeight="1">
      <c r="A167" s="745"/>
      <c r="E167" s="1118"/>
      <c r="F167" s="1118"/>
      <c r="G167" s="1118"/>
      <c r="H167" s="1118"/>
      <c r="I167" s="1118"/>
      <c r="J167" s="1118"/>
      <c r="K167" s="1118"/>
      <c r="L167" s="1118"/>
      <c r="M167" s="1118"/>
      <c r="N167" s="1118"/>
      <c r="O167" s="1118"/>
      <c r="P167" s="1118"/>
    </row>
    <row r="168" spans="1:17" s="746" customFormat="1">
      <c r="A168" s="745">
        <f>A160+1</f>
        <v>34</v>
      </c>
      <c r="B168" s="1131" t="s">
        <v>1796</v>
      </c>
      <c r="C168" s="1131"/>
      <c r="D168" s="1076">
        <f>D154*D158</f>
        <v>1744210.9840493875</v>
      </c>
      <c r="E168" s="1076">
        <f t="shared" ref="E168:P168" si="70">E154*E158</f>
        <v>-36337.728834362242</v>
      </c>
      <c r="F168" s="1076">
        <f t="shared" si="70"/>
        <v>-36337.728834362242</v>
      </c>
      <c r="G168" s="1076">
        <f t="shared" si="70"/>
        <v>-36337.728834362242</v>
      </c>
      <c r="H168" s="1076">
        <f t="shared" si="70"/>
        <v>-36337.728834362242</v>
      </c>
      <c r="I168" s="1076">
        <f t="shared" si="70"/>
        <v>-36337.728834362242</v>
      </c>
      <c r="J168" s="1076">
        <f t="shared" si="70"/>
        <v>-36337.728834362242</v>
      </c>
      <c r="K168" s="1076">
        <f t="shared" si="70"/>
        <v>-36337.728834362242</v>
      </c>
      <c r="L168" s="1076">
        <f t="shared" si="70"/>
        <v>-36337.728834362242</v>
      </c>
      <c r="M168" s="1076">
        <f t="shared" si="70"/>
        <v>-36337.728834362242</v>
      </c>
      <c r="N168" s="1076">
        <f t="shared" si="70"/>
        <v>-36337.728834362242</v>
      </c>
      <c r="O168" s="1076">
        <f t="shared" si="70"/>
        <v>-36337.728834362242</v>
      </c>
      <c r="P168" s="1076">
        <f t="shared" si="70"/>
        <v>-36337.728834362242</v>
      </c>
      <c r="Q168" s="1076">
        <f>SUM(D168:P168)</f>
        <v>1308158.2380370407</v>
      </c>
    </row>
    <row r="169" spans="1:17" s="746" customFormat="1">
      <c r="A169" s="745">
        <f>A168+1</f>
        <v>35</v>
      </c>
      <c r="B169" s="1131" t="s">
        <v>1797</v>
      </c>
      <c r="C169" s="1131"/>
      <c r="D169" s="844">
        <f>SUM(D151:D153)*D158</f>
        <v>-136806116.24967536</v>
      </c>
      <c r="E169" s="844">
        <f t="shared" ref="E169:P169" si="71">SUM(E151:E153)*E158</f>
        <v>956429.70015343453</v>
      </c>
      <c r="F169" s="844">
        <f t="shared" si="71"/>
        <v>956429.70015343453</v>
      </c>
      <c r="G169" s="844">
        <f t="shared" si="71"/>
        <v>956429.70015343453</v>
      </c>
      <c r="H169" s="844">
        <f t="shared" si="71"/>
        <v>956429.70015343453</v>
      </c>
      <c r="I169" s="844">
        <f t="shared" si="71"/>
        <v>956429.70015343453</v>
      </c>
      <c r="J169" s="844">
        <f t="shared" si="71"/>
        <v>956429.70015343453</v>
      </c>
      <c r="K169" s="844">
        <f t="shared" si="71"/>
        <v>956429.70015343453</v>
      </c>
      <c r="L169" s="844">
        <f t="shared" si="71"/>
        <v>956429.70015343453</v>
      </c>
      <c r="M169" s="844">
        <f t="shared" si="71"/>
        <v>956429.70015343453</v>
      </c>
      <c r="N169" s="844">
        <f t="shared" si="71"/>
        <v>956429.70015343453</v>
      </c>
      <c r="O169" s="844">
        <f t="shared" si="71"/>
        <v>956429.70015343453</v>
      </c>
      <c r="P169" s="844">
        <f t="shared" si="71"/>
        <v>956429.70015343523</v>
      </c>
      <c r="Q169" s="844">
        <f>SUM(D169:P169)</f>
        <v>-125328959.84783408</v>
      </c>
    </row>
    <row r="170" spans="1:17" s="746" customFormat="1" ht="4.9000000000000004" customHeight="1">
      <c r="A170" s="745"/>
      <c r="B170" s="1131"/>
      <c r="C170" s="1131"/>
      <c r="D170" s="1132"/>
      <c r="E170" s="1132"/>
      <c r="F170" s="1132"/>
      <c r="G170" s="1132"/>
      <c r="H170" s="1132"/>
      <c r="I170" s="1132"/>
      <c r="J170" s="1132"/>
      <c r="K170" s="1132"/>
      <c r="L170" s="1132"/>
      <c r="M170" s="1132"/>
      <c r="N170" s="1132"/>
      <c r="O170" s="1132"/>
      <c r="P170" s="1132"/>
      <c r="Q170" s="1132"/>
    </row>
    <row r="171" spans="1:17" s="746" customFormat="1">
      <c r="A171" s="1125">
        <f>A169+1</f>
        <v>36</v>
      </c>
      <c r="B171" s="1117" t="s">
        <v>1798</v>
      </c>
      <c r="C171" s="1133"/>
      <c r="D171" s="1134">
        <f>SUM(D167:D170)</f>
        <v>-135061905.26562598</v>
      </c>
      <c r="E171" s="1134">
        <f t="shared" ref="E171:Q171" si="72">SUM(E167:E170)</f>
        <v>920091.9713190723</v>
      </c>
      <c r="F171" s="1134">
        <f t="shared" si="72"/>
        <v>920091.9713190723</v>
      </c>
      <c r="G171" s="1134">
        <f t="shared" si="72"/>
        <v>920091.9713190723</v>
      </c>
      <c r="H171" s="1134">
        <f t="shared" si="72"/>
        <v>920091.9713190723</v>
      </c>
      <c r="I171" s="1134">
        <f t="shared" si="72"/>
        <v>920091.9713190723</v>
      </c>
      <c r="J171" s="1134">
        <f t="shared" si="72"/>
        <v>920091.9713190723</v>
      </c>
      <c r="K171" s="1134">
        <f t="shared" si="72"/>
        <v>920091.9713190723</v>
      </c>
      <c r="L171" s="1134">
        <f t="shared" si="72"/>
        <v>920091.9713190723</v>
      </c>
      <c r="M171" s="1134">
        <f t="shared" si="72"/>
        <v>920091.9713190723</v>
      </c>
      <c r="N171" s="1134">
        <f t="shared" si="72"/>
        <v>920091.9713190723</v>
      </c>
      <c r="O171" s="1134">
        <f t="shared" si="72"/>
        <v>920091.9713190723</v>
      </c>
      <c r="P171" s="1134">
        <f t="shared" si="72"/>
        <v>920091.971319073</v>
      </c>
      <c r="Q171" s="1134">
        <f t="shared" si="72"/>
        <v>-124020801.60979705</v>
      </c>
    </row>
    <row r="172" spans="1:17">
      <c r="E172" s="855"/>
      <c r="F172" s="855"/>
      <c r="G172" s="855"/>
      <c r="H172" s="855"/>
      <c r="I172" s="855"/>
      <c r="J172" s="855"/>
      <c r="K172" s="855"/>
      <c r="L172" s="855"/>
      <c r="M172" s="855"/>
      <c r="N172" s="855"/>
      <c r="O172" s="855"/>
      <c r="P172" s="855"/>
    </row>
    <row r="173" spans="1:17">
      <c r="E173" s="855"/>
      <c r="F173" s="855"/>
      <c r="G173" s="855"/>
      <c r="H173" s="855"/>
      <c r="I173" s="855"/>
      <c r="J173" s="855"/>
      <c r="K173" s="855"/>
      <c r="L173" s="855"/>
      <c r="M173" s="855"/>
      <c r="N173" s="855"/>
      <c r="O173" s="855"/>
      <c r="P173" s="855"/>
    </row>
    <row r="174" spans="1:17">
      <c r="E174" s="855"/>
      <c r="F174" s="855"/>
      <c r="G174" s="855"/>
      <c r="H174" s="855"/>
      <c r="I174" s="855"/>
      <c r="J174" s="855"/>
      <c r="K174" s="855"/>
      <c r="L174" s="855"/>
      <c r="M174" s="855"/>
      <c r="N174" s="855"/>
      <c r="O174" s="855"/>
      <c r="P174" s="855"/>
    </row>
    <row r="175" spans="1:17" ht="15.75" thickBot="1">
      <c r="A175" s="857" t="s">
        <v>182</v>
      </c>
    </row>
    <row r="176" spans="1:17" ht="45" customHeight="1">
      <c r="A176" s="744" t="s">
        <v>58</v>
      </c>
      <c r="B176" s="1269" t="s">
        <v>1799</v>
      </c>
      <c r="C176" s="1269"/>
      <c r="D176" s="1269"/>
      <c r="E176" s="1269"/>
      <c r="F176" s="1269"/>
      <c r="G176" s="1269"/>
      <c r="H176" s="1269"/>
      <c r="I176" s="1269"/>
      <c r="J176" s="1269"/>
      <c r="K176" s="1269"/>
      <c r="L176" s="1269"/>
      <c r="M176" s="1269"/>
      <c r="N176" s="1269"/>
      <c r="O176" s="1269"/>
      <c r="P176" s="1269"/>
      <c r="Q176" s="1269"/>
    </row>
    <row r="177" spans="1:17">
      <c r="A177" s="16" t="s">
        <v>59</v>
      </c>
      <c r="B177" s="16" t="s">
        <v>1175</v>
      </c>
    </row>
    <row r="178" spans="1:17">
      <c r="A178" s="858"/>
      <c r="B178" s="859" t="s">
        <v>1111</v>
      </c>
      <c r="C178" s="744" t="s">
        <v>1109</v>
      </c>
      <c r="D178" s="744"/>
      <c r="G178" s="860"/>
    </row>
    <row r="179" spans="1:17">
      <c r="A179" s="858"/>
      <c r="B179" s="1199" t="s">
        <v>1902</v>
      </c>
      <c r="C179" s="744" t="s">
        <v>1108</v>
      </c>
      <c r="D179" s="744"/>
      <c r="E179" s="860"/>
    </row>
    <row r="180" spans="1:17">
      <c r="A180" s="858"/>
      <c r="B180" s="1199" t="s">
        <v>1903</v>
      </c>
      <c r="C180" s="744" t="s">
        <v>1110</v>
      </c>
      <c r="D180" s="744"/>
    </row>
    <row r="181" spans="1:17">
      <c r="A181" s="16"/>
      <c r="B181" s="16" t="s">
        <v>1905</v>
      </c>
    </row>
    <row r="182" spans="1:17">
      <c r="A182" s="538" t="s">
        <v>60</v>
      </c>
      <c r="B182" s="538" t="s">
        <v>1174</v>
      </c>
      <c r="C182" s="538"/>
      <c r="D182" s="538"/>
      <c r="E182" s="538"/>
      <c r="F182" s="538"/>
      <c r="G182" s="538"/>
      <c r="H182" s="538"/>
      <c r="I182" s="538"/>
      <c r="J182" s="538"/>
      <c r="K182" s="538"/>
      <c r="L182" s="538"/>
      <c r="M182" s="538"/>
    </row>
    <row r="183" spans="1:17">
      <c r="A183" s="1198" t="s">
        <v>61</v>
      </c>
      <c r="B183" s="1265" t="s">
        <v>1900</v>
      </c>
      <c r="C183" s="1265"/>
      <c r="D183" s="1265"/>
      <c r="E183" s="1265"/>
      <c r="F183" s="1265"/>
      <c r="G183" s="1265"/>
      <c r="H183" s="1265"/>
      <c r="I183" s="1265"/>
      <c r="J183" s="1265"/>
      <c r="K183" s="1265"/>
      <c r="L183" s="1265"/>
      <c r="M183" s="1265"/>
      <c r="N183" s="1265"/>
      <c r="O183" s="1265"/>
      <c r="P183" s="1265"/>
      <c r="Q183" s="1265"/>
    </row>
    <row r="184" spans="1:17">
      <c r="B184" s="1265"/>
      <c r="C184" s="1265"/>
      <c r="D184" s="1265"/>
      <c r="E184" s="1265"/>
      <c r="F184" s="1265"/>
      <c r="G184" s="1265"/>
      <c r="H184" s="1265"/>
      <c r="I184" s="1265"/>
      <c r="J184" s="1265"/>
      <c r="K184" s="1265"/>
      <c r="L184" s="1265"/>
      <c r="M184" s="1265"/>
      <c r="N184" s="1265"/>
      <c r="O184" s="1265"/>
      <c r="P184" s="1265"/>
      <c r="Q184" s="1265"/>
    </row>
    <row r="185" spans="1:17">
      <c r="B185" s="1265"/>
      <c r="C185" s="1265"/>
      <c r="D185" s="1265"/>
      <c r="E185" s="1265"/>
      <c r="F185" s="1265"/>
      <c r="G185" s="1265"/>
      <c r="H185" s="1265"/>
      <c r="I185" s="1265"/>
      <c r="J185" s="1265"/>
      <c r="K185" s="1265"/>
      <c r="L185" s="1265"/>
      <c r="M185" s="1265"/>
      <c r="N185" s="1265"/>
      <c r="O185" s="1265"/>
      <c r="P185" s="1265"/>
      <c r="Q185" s="1265"/>
    </row>
    <row r="186" spans="1:17">
      <c r="B186" s="746" t="s">
        <v>1901</v>
      </c>
      <c r="C186" s="746"/>
      <c r="D186" s="746"/>
      <c r="E186" s="746"/>
      <c r="F186" s="746"/>
      <c r="G186" s="746"/>
      <c r="H186" s="746"/>
      <c r="I186" s="746"/>
      <c r="J186" s="746"/>
      <c r="K186" s="746"/>
      <c r="L186" s="746"/>
      <c r="M186" s="746"/>
      <c r="N186" s="746"/>
      <c r="O186" s="746"/>
      <c r="P186" s="746"/>
      <c r="Q186" s="746"/>
    </row>
    <row r="187" spans="1:17">
      <c r="B187" s="1199" t="s">
        <v>1111</v>
      </c>
      <c r="C187" s="746" t="s">
        <v>1109</v>
      </c>
      <c r="D187" s="746"/>
      <c r="E187" s="746"/>
      <c r="F187" s="746"/>
      <c r="G187" s="746"/>
      <c r="H187" s="746"/>
      <c r="I187" s="746"/>
      <c r="J187" s="746"/>
      <c r="K187" s="746"/>
      <c r="L187" s="746"/>
      <c r="M187" s="746"/>
      <c r="N187" s="746"/>
      <c r="O187" s="746"/>
      <c r="P187" s="746"/>
      <c r="Q187" s="746"/>
    </row>
    <row r="188" spans="1:17">
      <c r="B188" s="1199" t="s">
        <v>1902</v>
      </c>
      <c r="C188" s="746" t="s">
        <v>1108</v>
      </c>
      <c r="D188" s="746"/>
      <c r="E188" s="746"/>
      <c r="F188" s="746"/>
      <c r="G188" s="746"/>
      <c r="H188" s="746"/>
      <c r="I188" s="746"/>
      <c r="J188" s="746"/>
      <c r="K188" s="746"/>
      <c r="L188" s="746"/>
      <c r="M188" s="746"/>
      <c r="N188" s="746"/>
      <c r="O188" s="746"/>
      <c r="P188" s="746"/>
      <c r="Q188" s="746"/>
    </row>
    <row r="189" spans="1:17">
      <c r="B189" s="1199" t="s">
        <v>1903</v>
      </c>
      <c r="C189" s="746" t="s">
        <v>1110</v>
      </c>
      <c r="D189" s="746"/>
      <c r="E189" s="746"/>
      <c r="F189" s="746"/>
      <c r="G189" s="746"/>
      <c r="H189" s="746"/>
      <c r="I189" s="746"/>
      <c r="J189" s="746"/>
      <c r="K189" s="746"/>
      <c r="L189" s="746"/>
      <c r="M189" s="746"/>
      <c r="N189" s="746"/>
      <c r="O189" s="746"/>
      <c r="P189" s="746"/>
      <c r="Q189" s="746"/>
    </row>
    <row r="190" spans="1:17">
      <c r="B190" s="746" t="s">
        <v>1904</v>
      </c>
      <c r="C190" s="746"/>
      <c r="D190" s="746"/>
      <c r="E190" s="746"/>
      <c r="F190" s="746"/>
      <c r="G190" s="746"/>
      <c r="H190" s="746"/>
      <c r="I190" s="746"/>
      <c r="J190" s="746"/>
      <c r="K190" s="746"/>
      <c r="L190" s="746"/>
      <c r="M190" s="746"/>
      <c r="N190" s="746"/>
      <c r="O190" s="746"/>
      <c r="P190" s="746"/>
      <c r="Q190" s="746"/>
    </row>
  </sheetData>
  <sheetProtection algorithmName="SHA-512" hashValue="jvDjRSHJfxbQ1fzArLvs26rTvqH854xg3WpxoOMLBoIUZsvJaZZnhW7ib9ZMTf7vqNUxShreYLFX02ztGYqIdQ==" saltValue="8FxQCWCeNRia7oIvMTMX4A==" spinCount="100000" sheet="1" objects="1" scenarios="1"/>
  <mergeCells count="10">
    <mergeCell ref="B1:Q1"/>
    <mergeCell ref="B2:Q2"/>
    <mergeCell ref="B176:Q176"/>
    <mergeCell ref="A146:Q146"/>
    <mergeCell ref="A163:Q163"/>
    <mergeCell ref="B183:Q185"/>
    <mergeCell ref="A5:Q5"/>
    <mergeCell ref="A52:Q52"/>
    <mergeCell ref="A99:Q99"/>
    <mergeCell ref="B3:Q3"/>
  </mergeCells>
  <pageMargins left="0.7" right="0.7" top="0.75" bottom="0.75" header="0.3" footer="0.3"/>
  <pageSetup scale="48" orientation="landscape" r:id="rId1"/>
  <ignoredErrors>
    <ignoredError sqref="E19:P22 E14 F18:P18 E24:P24 E27:P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65"/>
  <sheetViews>
    <sheetView view="pageBreakPreview" topLeftCell="B1" zoomScale="90" zoomScaleNormal="80" zoomScaleSheetLayoutView="90" workbookViewId="0">
      <selection activeCell="C5" sqref="C5"/>
    </sheetView>
  </sheetViews>
  <sheetFormatPr defaultColWidth="8.88671875" defaultRowHeight="13.15"/>
  <cols>
    <col min="1" max="1" width="5.88671875" style="21" customWidth="1"/>
    <col min="2" max="2" width="63.109375" style="21" customWidth="1"/>
    <col min="3" max="3" width="47.44140625" style="21" bestFit="1" customWidth="1"/>
    <col min="4" max="4" width="16.33203125" style="21" customWidth="1"/>
    <col min="5" max="5" width="13.5546875" style="21" customWidth="1"/>
    <col min="6" max="6" width="8.33203125" style="21" customWidth="1"/>
    <col min="7" max="7" width="16.88671875" style="21" customWidth="1"/>
    <col min="8" max="8" width="4.88671875" style="21" customWidth="1"/>
    <col min="9" max="9" width="18.6640625" style="21" customWidth="1"/>
    <col min="10" max="10" width="2.6640625" style="21" customWidth="1"/>
    <col min="11" max="11" width="13.109375" style="21" customWidth="1"/>
    <col min="12" max="16384" width="8.88671875" style="21"/>
  </cols>
  <sheetData>
    <row r="1" spans="1:11">
      <c r="A1" s="18"/>
      <c r="B1" s="18"/>
      <c r="C1" s="19"/>
      <c r="D1" s="18"/>
      <c r="E1" s="18"/>
      <c r="F1" s="18"/>
      <c r="G1" s="18"/>
      <c r="H1" s="18"/>
      <c r="I1" s="18"/>
      <c r="J1" s="18"/>
      <c r="K1" s="20" t="s">
        <v>102</v>
      </c>
    </row>
    <row r="2" spans="1:11">
      <c r="A2" s="18"/>
      <c r="B2" s="18" t="s">
        <v>891</v>
      </c>
      <c r="C2" s="18"/>
      <c r="D2" s="18"/>
      <c r="E2" s="18"/>
      <c r="F2" s="18"/>
      <c r="G2" s="18"/>
      <c r="H2" s="18"/>
      <c r="I2" s="18"/>
      <c r="J2" s="18"/>
      <c r="K2" s="18"/>
    </row>
    <row r="3" spans="1:11">
      <c r="A3" s="3"/>
      <c r="B3" s="22" t="s">
        <v>1</v>
      </c>
      <c r="C3" s="23"/>
      <c r="D3" s="24" t="s">
        <v>72</v>
      </c>
      <c r="E3" s="22"/>
      <c r="F3" s="22"/>
      <c r="G3" s="22"/>
      <c r="H3" s="25"/>
      <c r="I3" s="18"/>
      <c r="J3" s="25"/>
      <c r="K3" s="26" t="s">
        <v>1862</v>
      </c>
    </row>
    <row r="4" spans="1:11">
      <c r="A4" s="3"/>
      <c r="C4" s="4"/>
      <c r="D4" s="27" t="s">
        <v>98</v>
      </c>
      <c r="E4" s="4"/>
      <c r="F4" s="4"/>
      <c r="G4" s="4"/>
      <c r="H4" s="25"/>
      <c r="I4" s="25"/>
      <c r="J4" s="25"/>
      <c r="K4" s="25"/>
    </row>
    <row r="5" spans="1:11" ht="15">
      <c r="A5" s="3"/>
      <c r="B5" s="28"/>
      <c r="C5" s="25"/>
      <c r="D5" s="29" t="s">
        <v>681</v>
      </c>
      <c r="E5" s="25"/>
      <c r="F5" s="25"/>
      <c r="G5" s="25"/>
      <c r="H5" s="25"/>
      <c r="I5" s="25"/>
      <c r="J5" s="25"/>
      <c r="K5" s="25"/>
    </row>
    <row r="6" spans="1:11">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"&amp;A173&amp;")"</f>
        <v>(page 3, line 48)</v>
      </c>
      <c r="D11" s="37"/>
      <c r="E11" s="25"/>
      <c r="F11" s="25"/>
      <c r="G11" s="25"/>
      <c r="H11" s="25"/>
      <c r="I11" s="32">
        <f>+I173</f>
        <v>259570820.93319678</v>
      </c>
      <c r="J11" s="25"/>
      <c r="K11" s="38"/>
    </row>
    <row r="12" spans="1:11">
      <c r="A12" s="24" t="s">
        <v>1164</v>
      </c>
      <c r="B12" s="21" t="s">
        <v>1165</v>
      </c>
      <c r="C12" s="25" t="s">
        <v>1166</v>
      </c>
      <c r="D12" s="25"/>
      <c r="E12" s="25"/>
      <c r="F12" s="25"/>
      <c r="G12" s="25"/>
      <c r="H12" s="25"/>
      <c r="I12" s="39">
        <f>-'1-Project Rev Req'!S64</f>
        <v>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12257441.357022554</v>
      </c>
      <c r="E14" s="4"/>
      <c r="F14" s="4" t="s">
        <v>15</v>
      </c>
      <c r="G14" s="42">
        <f>I192</f>
        <v>1</v>
      </c>
      <c r="H14" s="43"/>
      <c r="I14" s="39">
        <f>+'5A - Revenue Credits'!D24</f>
        <v>12257441.357022554</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1170</v>
      </c>
      <c r="D16" s="47" t="s">
        <v>2</v>
      </c>
      <c r="E16" s="4"/>
      <c r="F16" s="4"/>
      <c r="G16" s="4"/>
      <c r="H16" s="4"/>
      <c r="I16" s="48">
        <f>+I11-I14-I12</f>
        <v>247313379.57617423</v>
      </c>
      <c r="J16" s="25"/>
      <c r="K16" s="49"/>
    </row>
    <row r="17" spans="1:11" ht="13.5" thickTop="1">
      <c r="A17" s="24"/>
      <c r="B17" s="3"/>
      <c r="C17" s="25"/>
      <c r="D17" s="47"/>
      <c r="E17" s="4"/>
      <c r="F17" s="4"/>
      <c r="G17" s="4"/>
      <c r="H17" s="4"/>
      <c r="I17" s="39"/>
      <c r="J17" s="25"/>
      <c r="K17" s="25"/>
    </row>
    <row r="18" spans="1:11">
      <c r="A18" s="24">
        <f>+A16+1</f>
        <v>4</v>
      </c>
      <c r="B18" s="3" t="s">
        <v>439</v>
      </c>
      <c r="C18" s="50" t="s">
        <v>983</v>
      </c>
      <c r="D18" s="51"/>
      <c r="E18" s="52"/>
      <c r="F18" s="52"/>
      <c r="G18" s="52"/>
      <c r="H18" s="52"/>
      <c r="I18" s="53">
        <f>+'1-Project Rev Req'!Q95-'1-Project Rev Req'!Q66++'1-Project Rev Req'!S95-'1-Project Rev Req'!S66</f>
        <v>29991107.418823242</v>
      </c>
      <c r="J18" s="54"/>
      <c r="K18" s="54"/>
    </row>
    <row r="19" spans="1:11">
      <c r="A19" s="24">
        <f>+A18+1</f>
        <v>5</v>
      </c>
      <c r="B19" s="55" t="s">
        <v>441</v>
      </c>
      <c r="C19" s="50" t="s">
        <v>984</v>
      </c>
      <c r="D19" s="51"/>
      <c r="E19" s="52"/>
      <c r="F19" s="52"/>
      <c r="G19" s="52"/>
      <c r="H19" s="52"/>
      <c r="I19" s="53">
        <f>+'1-Project Rev Req'!R95-'1-Project Rev Req'!R66</f>
        <v>-951576.27347139549</v>
      </c>
      <c r="J19" s="54"/>
      <c r="K19" s="54"/>
    </row>
    <row r="20" spans="1:11">
      <c r="A20" s="24">
        <f>+A19+1</f>
        <v>6</v>
      </c>
      <c r="B20" s="3" t="s">
        <v>442</v>
      </c>
      <c r="C20" s="50" t="s">
        <v>985</v>
      </c>
      <c r="D20" s="51"/>
      <c r="E20" s="52"/>
      <c r="F20" s="52"/>
      <c r="G20" s="52"/>
      <c r="H20" s="52"/>
      <c r="I20" s="56">
        <f>+I18+I19</f>
        <v>29039531.145351846</v>
      </c>
      <c r="J20" s="54"/>
      <c r="K20" s="54"/>
    </row>
    <row r="21" spans="1:11">
      <c r="A21" s="57"/>
      <c r="C21" s="58"/>
      <c r="D21" s="59"/>
      <c r="E21" s="50"/>
      <c r="F21" s="60"/>
      <c r="G21" s="61"/>
      <c r="H21" s="50"/>
      <c r="I21" s="53"/>
      <c r="J21" s="62"/>
      <c r="K21" s="54"/>
    </row>
    <row r="22" spans="1:11">
      <c r="A22" s="57">
        <f>+A20+1</f>
        <v>7</v>
      </c>
      <c r="B22" s="3" t="s">
        <v>440</v>
      </c>
      <c r="C22" s="50" t="s">
        <v>1043</v>
      </c>
      <c r="D22" s="63"/>
      <c r="E22" s="63"/>
      <c r="F22" s="63"/>
      <c r="G22" s="63"/>
      <c r="H22" s="63"/>
      <c r="I22" s="53">
        <f>+'1-Project Rev Req'!Q66++'1-Project Rev Req'!S66-I14</f>
        <v>217322272.15735102</v>
      </c>
      <c r="J22" s="62"/>
      <c r="K22" s="64"/>
    </row>
    <row r="23" spans="1:11">
      <c r="A23" s="57">
        <f>+A22+1</f>
        <v>8</v>
      </c>
      <c r="B23" s="55" t="s">
        <v>444</v>
      </c>
      <c r="C23" s="50" t="s">
        <v>756</v>
      </c>
      <c r="D23" s="63"/>
      <c r="E23" s="65"/>
      <c r="F23" s="65"/>
      <c r="G23" s="65"/>
      <c r="H23" s="65"/>
      <c r="I23" s="66">
        <f>+'1-Project Rev Req'!R66</f>
        <v>4448021.6024977081</v>
      </c>
      <c r="J23" s="62"/>
      <c r="K23" s="54"/>
    </row>
    <row r="24" spans="1:11">
      <c r="A24" s="57">
        <f>+A23+1</f>
        <v>9</v>
      </c>
      <c r="B24" s="3" t="s">
        <v>443</v>
      </c>
      <c r="C24" s="50" t="s">
        <v>1054</v>
      </c>
      <c r="D24" s="54"/>
      <c r="E24" s="54"/>
      <c r="F24" s="67"/>
      <c r="G24" s="54"/>
      <c r="H24" s="54"/>
      <c r="I24" s="56">
        <f>+I22+I23</f>
        <v>221770293.75984871</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1045</v>
      </c>
      <c r="C28" s="54" t="s">
        <v>1046</v>
      </c>
      <c r="D28" s="70"/>
      <c r="E28" s="70"/>
      <c r="F28" s="70"/>
      <c r="G28" s="70"/>
      <c r="H28" s="70"/>
      <c r="I28" s="871">
        <v>8651.5</v>
      </c>
      <c r="J28" s="70"/>
      <c r="K28" s="54"/>
    </row>
    <row r="29" spans="1:11">
      <c r="A29" s="24"/>
      <c r="B29" s="22"/>
      <c r="C29" s="25"/>
      <c r="D29" s="71"/>
      <c r="E29" s="71"/>
      <c r="F29" s="71"/>
      <c r="G29" s="71"/>
      <c r="H29" s="71"/>
      <c r="I29" s="71"/>
      <c r="J29" s="71"/>
      <c r="K29" s="25"/>
    </row>
    <row r="30" spans="1:11">
      <c r="A30" s="24">
        <v>12</v>
      </c>
      <c r="B30" s="22" t="s">
        <v>1047</v>
      </c>
      <c r="C30" s="25" t="s">
        <v>1048</v>
      </c>
      <c r="D30" s="71"/>
      <c r="E30" s="71"/>
      <c r="F30" s="71"/>
      <c r="G30" s="71"/>
      <c r="H30" s="71"/>
      <c r="I30" s="72">
        <f>+I24/I28</f>
        <v>25633.739092625408</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12/31/2025</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212"/>
      <c r="B40" s="1212"/>
      <c r="C40" s="1212"/>
      <c r="D40" s="1212"/>
      <c r="E40" s="1212"/>
      <c r="F40" s="1212"/>
      <c r="G40" s="1212"/>
      <c r="H40" s="1212"/>
      <c r="I40" s="1212"/>
      <c r="J40" s="1212"/>
      <c r="K40" s="1212"/>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2">
        <v>0</v>
      </c>
      <c r="E46" s="4"/>
      <c r="F46" s="4" t="s">
        <v>22</v>
      </c>
      <c r="G46" s="81" t="s">
        <v>2</v>
      </c>
      <c r="H46" s="4"/>
      <c r="I46" s="39">
        <v>0</v>
      </c>
      <c r="J46" s="4"/>
      <c r="K46" s="4"/>
    </row>
    <row r="47" spans="1:11">
      <c r="A47" s="24">
        <f>+A46+1</f>
        <v>2</v>
      </c>
      <c r="B47" s="22" t="s">
        <v>23</v>
      </c>
      <c r="C47" s="43" t="s">
        <v>266</v>
      </c>
      <c r="D47" s="39">
        <f>'4- Rate Base'!C24</f>
        <v>2103854685.3006194</v>
      </c>
      <c r="E47" s="4"/>
      <c r="F47" s="4" t="s">
        <v>15</v>
      </c>
      <c r="G47" s="42">
        <f>I192</f>
        <v>1</v>
      </c>
      <c r="H47" s="43"/>
      <c r="I47" s="39">
        <f>+G47*D47</f>
        <v>2103854685.3006194</v>
      </c>
      <c r="J47" s="4"/>
      <c r="K47" s="4"/>
    </row>
    <row r="48" spans="1:11">
      <c r="A48" s="24">
        <f>+A47+1</f>
        <v>3</v>
      </c>
      <c r="B48" s="22" t="s">
        <v>265</v>
      </c>
      <c r="C48" s="43" t="s">
        <v>268</v>
      </c>
      <c r="D48" s="872">
        <v>10254693049.661263</v>
      </c>
      <c r="E48" s="4"/>
      <c r="F48" s="4" t="s">
        <v>22</v>
      </c>
      <c r="G48" s="42">
        <v>0</v>
      </c>
      <c r="H48" s="43"/>
      <c r="I48" s="39">
        <f>+G48*D48</f>
        <v>0</v>
      </c>
      <c r="J48" s="4"/>
      <c r="K48" s="4"/>
    </row>
    <row r="49" spans="1:11">
      <c r="A49" s="24" t="s">
        <v>387</v>
      </c>
      <c r="B49" s="22" t="s">
        <v>1759</v>
      </c>
      <c r="C49" s="43" t="s">
        <v>1761</v>
      </c>
      <c r="D49" s="872"/>
      <c r="E49" s="4"/>
      <c r="F49" s="4" t="s">
        <v>22</v>
      </c>
      <c r="G49" s="42">
        <v>0</v>
      </c>
      <c r="H49" s="43"/>
      <c r="I49" s="39">
        <f>+G49*D49</f>
        <v>0</v>
      </c>
      <c r="J49" s="4"/>
      <c r="K49" s="4"/>
    </row>
    <row r="50" spans="1:11">
      <c r="A50" s="24">
        <f>+A48+1</f>
        <v>4</v>
      </c>
      <c r="B50" s="22" t="s">
        <v>714</v>
      </c>
      <c r="C50" s="43" t="s">
        <v>267</v>
      </c>
      <c r="D50" s="39">
        <f>'4- Rate Base'!D24</f>
        <v>349941458.80299449</v>
      </c>
      <c r="E50" s="4"/>
      <c r="F50" s="4" t="s">
        <v>24</v>
      </c>
      <c r="G50" s="42">
        <f>I206</f>
        <v>0.12544749445449754</v>
      </c>
      <c r="H50" s="43"/>
      <c r="I50" s="39">
        <f>+G50*D50</f>
        <v>43899279.212587431</v>
      </c>
      <c r="J50" s="4"/>
      <c r="K50" s="4"/>
    </row>
    <row r="51" spans="1:11">
      <c r="A51" s="24">
        <f t="shared" ref="A51:A52" si="0">+A50+1</f>
        <v>5</v>
      </c>
      <c r="B51" s="22" t="s">
        <v>715</v>
      </c>
      <c r="C51" s="43" t="s">
        <v>986</v>
      </c>
      <c r="D51" s="39">
        <f>+'4D - Intangible Pnt'!T27</f>
        <v>249105119.05476877</v>
      </c>
      <c r="E51" s="4"/>
      <c r="F51" s="4" t="s">
        <v>76</v>
      </c>
      <c r="G51" s="42"/>
      <c r="H51" s="43"/>
      <c r="I51" s="53">
        <f>'4D - Intangible Pnt'!T29</f>
        <v>33183202.256664619</v>
      </c>
      <c r="J51" s="4"/>
      <c r="K51" s="4"/>
    </row>
    <row r="52" spans="1:11">
      <c r="A52" s="24">
        <f t="shared" si="0"/>
        <v>6</v>
      </c>
      <c r="B52" s="22" t="s">
        <v>1040</v>
      </c>
      <c r="C52" s="43" t="s">
        <v>987</v>
      </c>
      <c r="D52" s="53">
        <f>'4- Rate Base'!E24</f>
        <v>882889639.18295431</v>
      </c>
      <c r="E52" s="4"/>
      <c r="F52" s="4" t="str">
        <f>F50</f>
        <v>W/S</v>
      </c>
      <c r="G52" s="42">
        <f>G50</f>
        <v>0.12544749445449754</v>
      </c>
      <c r="H52" s="43"/>
      <c r="I52" s="53">
        <f>+G52*D52</f>
        <v>110756293.115337</v>
      </c>
      <c r="J52" s="4"/>
      <c r="K52" s="4"/>
    </row>
    <row r="53" spans="1:11" ht="13.5" thickBot="1">
      <c r="A53" s="24">
        <f t="shared" ref="A53:A54" si="1">+A52+1</f>
        <v>7</v>
      </c>
      <c r="B53" s="22" t="s">
        <v>1042</v>
      </c>
      <c r="C53" s="4" t="s">
        <v>988</v>
      </c>
      <c r="D53" s="46">
        <f>-'4E COA'!H34</f>
        <v>-1156818.635272</v>
      </c>
      <c r="E53" s="4"/>
      <c r="F53" s="4" t="str">
        <f>F52</f>
        <v>W/S</v>
      </c>
      <c r="G53" s="42">
        <f>G52</f>
        <v>0.12544749445449754</v>
      </c>
      <c r="H53" s="43"/>
      <c r="I53" s="46">
        <f>D53*G53</f>
        <v>-145119.99933314364</v>
      </c>
      <c r="J53" s="4"/>
      <c r="K53" s="4"/>
    </row>
    <row r="54" spans="1:11">
      <c r="A54" s="24">
        <f t="shared" si="1"/>
        <v>8</v>
      </c>
      <c r="B54" s="22" t="s">
        <v>219</v>
      </c>
      <c r="C54" s="4" t="s">
        <v>989</v>
      </c>
      <c r="D54" s="39">
        <f>SUM(D46:D53)</f>
        <v>13839327133.367329</v>
      </c>
      <c r="E54" s="4"/>
      <c r="F54" s="4" t="s">
        <v>25</v>
      </c>
      <c r="G54" s="82">
        <f>IF(I54&gt;0,I54/D54,0)</f>
        <v>0.16558235222006093</v>
      </c>
      <c r="H54" s="43"/>
      <c r="I54" s="39">
        <f>SUM(I46:I53)</f>
        <v>2291548339.8858752</v>
      </c>
      <c r="J54" s="4"/>
      <c r="K54" s="83"/>
    </row>
    <row r="55" spans="1:11">
      <c r="A55" s="24"/>
      <c r="B55" s="22"/>
      <c r="C55" s="4"/>
      <c r="D55" s="39"/>
      <c r="E55" s="4"/>
      <c r="F55" s="4"/>
      <c r="G55" s="82"/>
      <c r="H55" s="4"/>
      <c r="I55" s="39"/>
      <c r="J55" s="4"/>
      <c r="K55" s="83"/>
    </row>
    <row r="56" spans="1:11">
      <c r="A56" s="24">
        <f>+A54+1</f>
        <v>9</v>
      </c>
      <c r="B56" s="22" t="s">
        <v>362</v>
      </c>
      <c r="C56" s="4"/>
      <c r="D56" s="39"/>
      <c r="E56" s="4"/>
      <c r="F56" s="4"/>
      <c r="G56" s="42"/>
      <c r="H56" s="4"/>
      <c r="I56" s="39"/>
      <c r="J56" s="4"/>
      <c r="K56" s="4"/>
    </row>
    <row r="57" spans="1:11">
      <c r="A57" s="24">
        <f>+A56+1</f>
        <v>10</v>
      </c>
      <c r="B57" s="22" t="s">
        <v>264</v>
      </c>
      <c r="C57" s="4" t="s">
        <v>269</v>
      </c>
      <c r="D57" s="872">
        <v>0</v>
      </c>
      <c r="E57" s="4"/>
      <c r="F57" s="4" t="s">
        <v>22</v>
      </c>
      <c r="G57" s="42" t="s">
        <v>2</v>
      </c>
      <c r="H57" s="4"/>
      <c r="I57" s="39">
        <v>0</v>
      </c>
      <c r="J57" s="4"/>
      <c r="K57" s="4"/>
    </row>
    <row r="58" spans="1:11">
      <c r="A58" s="24">
        <f>+A57+1</f>
        <v>11</v>
      </c>
      <c r="B58" s="22" t="s">
        <v>23</v>
      </c>
      <c r="C58" s="4" t="s">
        <v>1429</v>
      </c>
      <c r="D58" s="39">
        <f>'8 - Depreciation Rates'!G127</f>
        <v>622950771.10209715</v>
      </c>
      <c r="E58" s="4"/>
      <c r="F58" s="4" t="s">
        <v>15</v>
      </c>
      <c r="G58" s="42">
        <f>+G47</f>
        <v>1</v>
      </c>
      <c r="H58" s="43"/>
      <c r="I58" s="39">
        <f>+G58*D58</f>
        <v>622950771.10209715</v>
      </c>
      <c r="J58" s="4"/>
      <c r="K58" s="4"/>
    </row>
    <row r="59" spans="1:11">
      <c r="A59" s="24">
        <f>+A58+1</f>
        <v>12</v>
      </c>
      <c r="B59" s="22" t="s">
        <v>265</v>
      </c>
      <c r="C59" s="4" t="s">
        <v>270</v>
      </c>
      <c r="D59" s="872">
        <v>1970929035.1059749</v>
      </c>
      <c r="E59" s="4"/>
      <c r="F59" s="4" t="s">
        <v>22</v>
      </c>
      <c r="G59" s="42">
        <f>+G48</f>
        <v>0</v>
      </c>
      <c r="H59" s="43"/>
      <c r="I59" s="39">
        <f>+G59*D59</f>
        <v>0</v>
      </c>
      <c r="J59" s="4"/>
      <c r="K59" s="4"/>
    </row>
    <row r="60" spans="1:11">
      <c r="A60" s="24" t="s">
        <v>1760</v>
      </c>
      <c r="B60" s="22" t="s">
        <v>1759</v>
      </c>
      <c r="C60" s="4" t="s">
        <v>1762</v>
      </c>
      <c r="D60" s="872"/>
      <c r="E60" s="4"/>
      <c r="F60" s="4" t="s">
        <v>22</v>
      </c>
      <c r="G60" s="42">
        <v>0</v>
      </c>
      <c r="H60" s="43"/>
      <c r="I60" s="39">
        <f>+G60*D60</f>
        <v>0</v>
      </c>
      <c r="J60" s="4"/>
      <c r="K60" s="4"/>
    </row>
    <row r="61" spans="1:11">
      <c r="A61" s="24">
        <f>+A59+1</f>
        <v>13</v>
      </c>
      <c r="B61" s="22" t="s">
        <v>714</v>
      </c>
      <c r="C61" s="4" t="s">
        <v>1430</v>
      </c>
      <c r="D61" s="39">
        <f>'8 - Depreciation Rates'!G128</f>
        <v>152494966.39322314</v>
      </c>
      <c r="E61" s="4"/>
      <c r="F61" s="4" t="s">
        <v>24</v>
      </c>
      <c r="G61" s="42">
        <f>+G50</f>
        <v>0.12544749445449754</v>
      </c>
      <c r="H61" s="43"/>
      <c r="I61" s="39">
        <f>+G61*D61</f>
        <v>19130111.450952649</v>
      </c>
      <c r="J61" s="4"/>
      <c r="K61" s="4"/>
    </row>
    <row r="62" spans="1:11">
      <c r="A62" s="24">
        <f t="shared" ref="A62:A63" si="2">+A61+1</f>
        <v>14</v>
      </c>
      <c r="B62" s="22" t="s">
        <v>715</v>
      </c>
      <c r="C62" s="4" t="s">
        <v>1431</v>
      </c>
      <c r="D62" s="39">
        <f>'8 - Depreciation Rates'!G133</f>
        <v>88144755.907553881</v>
      </c>
      <c r="E62" s="4"/>
      <c r="F62" s="4" t="s">
        <v>76</v>
      </c>
      <c r="G62" s="42"/>
      <c r="H62" s="43"/>
      <c r="I62" s="53">
        <f>'8 - Depreciation Rates'!I133</f>
        <v>23551660.405073263</v>
      </c>
      <c r="J62" s="4"/>
      <c r="K62" s="4"/>
    </row>
    <row r="63" spans="1:11">
      <c r="A63" s="24">
        <f t="shared" si="2"/>
        <v>15</v>
      </c>
      <c r="B63" s="22" t="s">
        <v>1040</v>
      </c>
      <c r="C63" s="4" t="s">
        <v>1432</v>
      </c>
      <c r="D63" s="53">
        <f>'8 - Depreciation Rates'!G129</f>
        <v>331424168.19385219</v>
      </c>
      <c r="E63" s="4"/>
      <c r="F63" s="4" t="str">
        <f>F53</f>
        <v>W/S</v>
      </c>
      <c r="G63" s="42">
        <f>+G52</f>
        <v>0.12544749445449754</v>
      </c>
      <c r="H63" s="43"/>
      <c r="I63" s="53">
        <f>+G63*D63</f>
        <v>41576331.501584731</v>
      </c>
      <c r="J63" s="4"/>
      <c r="K63" s="4"/>
    </row>
    <row r="64" spans="1:11" ht="13.5" thickBot="1">
      <c r="A64" s="24">
        <f t="shared" ref="A64:A65" si="3">+A63+1</f>
        <v>16</v>
      </c>
      <c r="B64" s="22" t="s">
        <v>1042</v>
      </c>
      <c r="C64" s="4" t="s">
        <v>990</v>
      </c>
      <c r="D64" s="46">
        <f>-'4E COA'!H51</f>
        <v>-625055.89121415257</v>
      </c>
      <c r="E64" s="4"/>
      <c r="F64" s="4" t="str">
        <f>F63</f>
        <v>W/S</v>
      </c>
      <c r="G64" s="42">
        <f>G63</f>
        <v>0.12544749445449754</v>
      </c>
      <c r="H64" s="43"/>
      <c r="I64" s="46">
        <f>+G64*D64</f>
        <v>-78411.695446838421</v>
      </c>
      <c r="J64" s="4"/>
      <c r="K64" s="4"/>
    </row>
    <row r="65" spans="1:11">
      <c r="A65" s="24">
        <f t="shared" si="3"/>
        <v>17</v>
      </c>
      <c r="B65" s="22" t="s">
        <v>220</v>
      </c>
      <c r="C65" s="4" t="s">
        <v>991</v>
      </c>
      <c r="D65" s="39">
        <f>SUM(D57:D64)</f>
        <v>3165318640.8114872</v>
      </c>
      <c r="E65" s="4"/>
      <c r="F65" s="4"/>
      <c r="G65" s="82"/>
      <c r="H65" s="43"/>
      <c r="I65" s="39">
        <f>SUM(I57:I64)</f>
        <v>707130462.76426101</v>
      </c>
      <c r="J65" s="4"/>
      <c r="K65" s="4"/>
    </row>
    <row r="66" spans="1:11">
      <c r="A66" s="24"/>
      <c r="B66" s="3"/>
      <c r="C66" s="4" t="s">
        <v>2</v>
      </c>
      <c r="D66" s="39"/>
      <c r="E66" s="4"/>
      <c r="F66" s="4"/>
      <c r="G66" s="82"/>
      <c r="H66" s="4"/>
      <c r="I66" s="39"/>
      <c r="J66" s="4"/>
      <c r="K66" s="83"/>
    </row>
    <row r="67" spans="1:11">
      <c r="A67" s="24">
        <f>+A65+1</f>
        <v>18</v>
      </c>
      <c r="B67" s="22" t="s">
        <v>26</v>
      </c>
      <c r="C67" s="4"/>
      <c r="D67" s="39"/>
      <c r="E67" s="4"/>
      <c r="F67" s="4"/>
      <c r="G67" s="42"/>
      <c r="H67" s="4"/>
      <c r="I67" s="39"/>
      <c r="J67" s="4"/>
      <c r="K67" s="4"/>
    </row>
    <row r="68" spans="1:11">
      <c r="A68" s="24">
        <f>+A67+1</f>
        <v>19</v>
      </c>
      <c r="B68" s="22" t="s">
        <v>264</v>
      </c>
      <c r="C68" s="4" t="str">
        <f t="shared" ref="C68:C75" si="4">"(line "&amp;A46&amp;" minus line "&amp;A57&amp;")"</f>
        <v>(line 1 minus line 10)</v>
      </c>
      <c r="D68" s="39">
        <f t="shared" ref="D68:D75" si="5">D46-D57</f>
        <v>0</v>
      </c>
      <c r="E68" s="43"/>
      <c r="F68" s="43"/>
      <c r="G68" s="82"/>
      <c r="H68" s="43"/>
      <c r="I68" s="39">
        <f t="shared" ref="I68:I75" si="6">I46-I57</f>
        <v>0</v>
      </c>
      <c r="J68" s="4"/>
      <c r="K68" s="83"/>
    </row>
    <row r="69" spans="1:11">
      <c r="A69" s="24">
        <f>+A68+1</f>
        <v>20</v>
      </c>
      <c r="B69" s="22" t="s">
        <v>23</v>
      </c>
      <c r="C69" s="4" t="str">
        <f t="shared" si="4"/>
        <v>(line 2 minus line 11)</v>
      </c>
      <c r="D69" s="39">
        <f t="shared" si="5"/>
        <v>1480903914.1985221</v>
      </c>
      <c r="E69" s="43"/>
      <c r="F69" s="43"/>
      <c r="G69" s="42"/>
      <c r="H69" s="43"/>
      <c r="I69" s="39">
        <f t="shared" si="6"/>
        <v>1480903914.1985221</v>
      </c>
      <c r="J69" s="4"/>
      <c r="K69" s="83"/>
    </row>
    <row r="70" spans="1:11">
      <c r="A70" s="24">
        <f>+A69+1</f>
        <v>21</v>
      </c>
      <c r="B70" s="22" t="s">
        <v>265</v>
      </c>
      <c r="C70" s="4" t="str">
        <f t="shared" si="4"/>
        <v>(line 3 minus line 12)</v>
      </c>
      <c r="D70" s="39">
        <f t="shared" si="5"/>
        <v>8283764014.5552874</v>
      </c>
      <c r="E70" s="43"/>
      <c r="F70" s="43"/>
      <c r="G70" s="82"/>
      <c r="H70" s="43"/>
      <c r="I70" s="39">
        <f t="shared" si="6"/>
        <v>0</v>
      </c>
      <c r="J70" s="4"/>
      <c r="K70" s="83"/>
    </row>
    <row r="71" spans="1:11">
      <c r="A71" s="24" t="s">
        <v>671</v>
      </c>
      <c r="B71" s="22" t="s">
        <v>1759</v>
      </c>
      <c r="C71" s="4" t="str">
        <f t="shared" si="4"/>
        <v>(line 3a minus line 12a)</v>
      </c>
      <c r="D71" s="39">
        <f t="shared" si="5"/>
        <v>0</v>
      </c>
      <c r="E71" s="43"/>
      <c r="F71" s="43"/>
      <c r="G71" s="82"/>
      <c r="H71" s="43"/>
      <c r="I71" s="39">
        <f t="shared" si="6"/>
        <v>0</v>
      </c>
      <c r="J71" s="4"/>
      <c r="K71" s="83"/>
    </row>
    <row r="72" spans="1:11">
      <c r="A72" s="24">
        <f>+A70+1</f>
        <v>22</v>
      </c>
      <c r="B72" s="22" t="s">
        <v>714</v>
      </c>
      <c r="C72" s="4" t="str">
        <f t="shared" si="4"/>
        <v>(line 4 minus line 13)</v>
      </c>
      <c r="D72" s="39">
        <f t="shared" si="5"/>
        <v>197446492.40977135</v>
      </c>
      <c r="E72" s="43"/>
      <c r="F72" s="43"/>
      <c r="G72" s="82"/>
      <c r="H72" s="43"/>
      <c r="I72" s="39">
        <f t="shared" si="6"/>
        <v>24769167.761634782</v>
      </c>
      <c r="J72" s="4"/>
      <c r="K72" s="83"/>
    </row>
    <row r="73" spans="1:11">
      <c r="A73" s="24">
        <f t="shared" ref="A73:A74" si="7">+A72+1</f>
        <v>23</v>
      </c>
      <c r="B73" s="22" t="s">
        <v>715</v>
      </c>
      <c r="C73" s="4" t="str">
        <f t="shared" si="4"/>
        <v>(line 5 minus line 14)</v>
      </c>
      <c r="D73" s="39">
        <f t="shared" si="5"/>
        <v>160960363.14721489</v>
      </c>
      <c r="E73" s="43"/>
      <c r="F73" s="43"/>
      <c r="G73" s="82"/>
      <c r="H73" s="43"/>
      <c r="I73" s="39">
        <f t="shared" si="6"/>
        <v>9631541.8515913561</v>
      </c>
      <c r="J73" s="4"/>
      <c r="K73" s="83"/>
    </row>
    <row r="74" spans="1:11">
      <c r="A74" s="24">
        <f t="shared" si="7"/>
        <v>24</v>
      </c>
      <c r="B74" s="22" t="s">
        <v>1040</v>
      </c>
      <c r="C74" s="4" t="str">
        <f t="shared" si="4"/>
        <v>(line 6 minus line 15)</v>
      </c>
      <c r="D74" s="53">
        <f t="shared" si="5"/>
        <v>551465470.98910213</v>
      </c>
      <c r="E74" s="4"/>
      <c r="F74" s="43"/>
      <c r="G74" s="82"/>
      <c r="H74" s="43"/>
      <c r="I74" s="53">
        <f t="shared" si="6"/>
        <v>69179961.613752276</v>
      </c>
      <c r="J74" s="4"/>
      <c r="K74" s="83"/>
    </row>
    <row r="75" spans="1:11" ht="13.5" thickBot="1">
      <c r="A75" s="24">
        <f t="shared" ref="A75:A76" si="8">+A74+1</f>
        <v>25</v>
      </c>
      <c r="B75" s="22" t="s">
        <v>1042</v>
      </c>
      <c r="C75" s="4" t="str">
        <f t="shared" si="4"/>
        <v>(line 7 minus line 16)</v>
      </c>
      <c r="D75" s="46">
        <f t="shared" si="5"/>
        <v>-531762.74405784742</v>
      </c>
      <c r="E75" s="4"/>
      <c r="F75" s="43"/>
      <c r="G75" s="82"/>
      <c r="H75" s="43"/>
      <c r="I75" s="46">
        <f t="shared" si="6"/>
        <v>-66708.303886305221</v>
      </c>
      <c r="J75" s="4"/>
      <c r="K75" s="83"/>
    </row>
    <row r="76" spans="1:11">
      <c r="A76" s="24">
        <f t="shared" si="8"/>
        <v>26</v>
      </c>
      <c r="B76" s="22" t="s">
        <v>222</v>
      </c>
      <c r="C76" s="4" t="s">
        <v>992</v>
      </c>
      <c r="D76" s="39">
        <f>SUM(D68:D75)</f>
        <v>10674008492.555838</v>
      </c>
      <c r="E76" s="4"/>
      <c r="F76" s="4" t="s">
        <v>27</v>
      </c>
      <c r="G76" s="82">
        <f>IF(I76&gt;0,I76/D76,0)</f>
        <v>0.14843700735544696</v>
      </c>
      <c r="H76" s="43"/>
      <c r="I76" s="39">
        <f>SUM(I68:I75)</f>
        <v>1584417877.1216142</v>
      </c>
      <c r="J76" s="4"/>
      <c r="K76" s="4"/>
    </row>
    <row r="77" spans="1:11">
      <c r="A77" s="24"/>
      <c r="B77" s="3"/>
      <c r="C77" s="4"/>
      <c r="D77" s="39"/>
      <c r="E77" s="4"/>
      <c r="F77" s="3"/>
      <c r="G77" s="42"/>
      <c r="H77" s="4"/>
      <c r="I77" s="39"/>
      <c r="J77" s="4"/>
      <c r="K77" s="83"/>
    </row>
    <row r="78" spans="1:11">
      <c r="A78" s="24">
        <f>+A76+1</f>
        <v>27</v>
      </c>
      <c r="B78" s="22" t="s">
        <v>363</v>
      </c>
      <c r="C78" s="4"/>
      <c r="D78" s="39"/>
      <c r="E78" s="4"/>
      <c r="F78" s="4"/>
      <c r="G78" s="42"/>
      <c r="H78" s="4"/>
      <c r="I78" s="39"/>
      <c r="J78" s="4"/>
      <c r="K78" s="4"/>
    </row>
    <row r="79" spans="1:11">
      <c r="A79" s="24">
        <f>+A78+1</f>
        <v>28</v>
      </c>
      <c r="B79" s="22" t="s">
        <v>87</v>
      </c>
      <c r="C79" s="4" t="s">
        <v>993</v>
      </c>
      <c r="D79" s="39" t="str">
        <f>+'4- Rate Base'!E44</f>
        <v>Zero</v>
      </c>
      <c r="E79" s="4"/>
      <c r="F79" s="4" t="s">
        <v>22</v>
      </c>
      <c r="G79" s="84" t="s">
        <v>106</v>
      </c>
      <c r="H79" s="43"/>
      <c r="I79" s="39">
        <v>0</v>
      </c>
      <c r="J79" s="4"/>
      <c r="K79" s="83"/>
    </row>
    <row r="80" spans="1:11">
      <c r="A80" s="24">
        <f>+A79+1</f>
        <v>29</v>
      </c>
      <c r="B80" s="22" t="s">
        <v>88</v>
      </c>
      <c r="C80" s="4" t="s">
        <v>1055</v>
      </c>
      <c r="D80" s="53">
        <f>'4- Rate Base'!F44</f>
        <v>-235466204.30760503</v>
      </c>
      <c r="E80" s="4"/>
      <c r="F80" s="4" t="s">
        <v>15</v>
      </c>
      <c r="G80" s="42">
        <f>G87</f>
        <v>1</v>
      </c>
      <c r="H80" s="43"/>
      <c r="I80" s="39">
        <f>D80*G80</f>
        <v>-235466204.30760503</v>
      </c>
      <c r="J80" s="4"/>
      <c r="K80" s="83"/>
    </row>
    <row r="81" spans="1:11">
      <c r="A81" s="24">
        <f>+A80+1</f>
        <v>30</v>
      </c>
      <c r="B81" s="22" t="s">
        <v>89</v>
      </c>
      <c r="C81" s="4" t="s">
        <v>1056</v>
      </c>
      <c r="D81" s="53">
        <f>'4- Rate Base'!G44</f>
        <v>-13208053.19425128</v>
      </c>
      <c r="E81" s="4"/>
      <c r="F81" s="4" t="s">
        <v>15</v>
      </c>
      <c r="G81" s="42">
        <f>+G80</f>
        <v>1</v>
      </c>
      <c r="H81" s="43"/>
      <c r="I81" s="39">
        <f>D81*G81</f>
        <v>-13208053.19425128</v>
      </c>
      <c r="J81" s="4"/>
      <c r="K81" s="83"/>
    </row>
    <row r="82" spans="1:11">
      <c r="A82" s="24">
        <f>+A81+1</f>
        <v>31</v>
      </c>
      <c r="B82" s="22" t="s">
        <v>94</v>
      </c>
      <c r="C82" s="4" t="s">
        <v>1057</v>
      </c>
      <c r="D82" s="53">
        <f>'4- Rate Base'!H44</f>
        <v>26943899.768768713</v>
      </c>
      <c r="E82" s="4"/>
      <c r="F82" s="4" t="s">
        <v>15</v>
      </c>
      <c r="G82" s="42">
        <f>+G81</f>
        <v>1</v>
      </c>
      <c r="H82" s="43"/>
      <c r="I82" s="39">
        <f>D82*G82</f>
        <v>26943899.768768713</v>
      </c>
      <c r="J82" s="4"/>
      <c r="K82" s="83"/>
    </row>
    <row r="83" spans="1:11">
      <c r="A83" s="24" t="s">
        <v>1294</v>
      </c>
      <c r="B83" s="22" t="s">
        <v>1297</v>
      </c>
      <c r="C83" s="4" t="s">
        <v>1776</v>
      </c>
      <c r="D83" s="53">
        <f>-'9 - EDIT'!Q43</f>
        <v>-72331192.833061039</v>
      </c>
      <c r="E83" s="4"/>
      <c r="F83" s="4" t="s">
        <v>15</v>
      </c>
      <c r="G83" s="42">
        <f t="shared" ref="G83:G85" si="9">+G82</f>
        <v>1</v>
      </c>
      <c r="H83" s="43"/>
      <c r="I83" s="39">
        <f>D83*G83</f>
        <v>-72331192.833061039</v>
      </c>
      <c r="J83" s="4"/>
      <c r="K83" s="83"/>
    </row>
    <row r="84" spans="1:11">
      <c r="A84" s="24" t="s">
        <v>1295</v>
      </c>
      <c r="B84" s="22" t="s">
        <v>1298</v>
      </c>
      <c r="C84" s="4" t="s">
        <v>1777</v>
      </c>
      <c r="D84" s="53">
        <f>-'9 - EDIT'!Q45</f>
        <v>-25054357.92606819</v>
      </c>
      <c r="E84" s="4"/>
      <c r="F84" s="4" t="s">
        <v>15</v>
      </c>
      <c r="G84" s="42">
        <f t="shared" si="9"/>
        <v>1</v>
      </c>
      <c r="H84" s="43"/>
      <c r="I84" s="39">
        <f>D84*G84</f>
        <v>-25054357.92606819</v>
      </c>
      <c r="J84" s="4"/>
      <c r="K84" s="83"/>
    </row>
    <row r="85" spans="1:11">
      <c r="A85" s="24" t="s">
        <v>1296</v>
      </c>
      <c r="B85" s="22" t="s">
        <v>1299</v>
      </c>
      <c r="C85" s="4" t="s">
        <v>1778</v>
      </c>
      <c r="D85" s="53">
        <f>-'9 - EDIT'!Q49</f>
        <v>154531.2372051517</v>
      </c>
      <c r="E85" s="4"/>
      <c r="F85" s="4" t="s">
        <v>15</v>
      </c>
      <c r="G85" s="42">
        <f t="shared" si="9"/>
        <v>1</v>
      </c>
      <c r="H85" s="43"/>
      <c r="I85" s="39">
        <f t="shared" ref="I85" si="10">D85*G85</f>
        <v>154531.2372051517</v>
      </c>
      <c r="J85" s="4"/>
      <c r="K85" s="83"/>
    </row>
    <row r="86" spans="1:11">
      <c r="A86" s="24">
        <f>+A82+1</f>
        <v>32</v>
      </c>
      <c r="B86" s="3" t="s">
        <v>90</v>
      </c>
      <c r="C86" s="4" t="s">
        <v>366</v>
      </c>
      <c r="D86" s="53">
        <f>'4- Rate Base'!I44</f>
        <v>0</v>
      </c>
      <c r="E86" s="4"/>
      <c r="F86" s="4" t="s">
        <v>15</v>
      </c>
      <c r="G86" s="42">
        <f>+G81</f>
        <v>1</v>
      </c>
      <c r="H86" s="43"/>
      <c r="I86" s="53">
        <f>D86*G86</f>
        <v>0</v>
      </c>
      <c r="J86" s="4"/>
      <c r="K86" s="83"/>
    </row>
    <row r="87" spans="1:11">
      <c r="A87" s="24">
        <f t="shared" ref="A87:A94" si="11">+A86+1</f>
        <v>33</v>
      </c>
      <c r="B87" s="3" t="s">
        <v>360</v>
      </c>
      <c r="C87" s="3" t="s">
        <v>438</v>
      </c>
      <c r="D87" s="53">
        <f>'4- Rate Base'!I71</f>
        <v>-9905593.0884658061</v>
      </c>
      <c r="E87" s="4"/>
      <c r="F87" s="4" t="s">
        <v>76</v>
      </c>
      <c r="G87" s="42">
        <f>G88</f>
        <v>1</v>
      </c>
      <c r="H87" s="43"/>
      <c r="I87" s="53">
        <f t="shared" ref="I87:I93" si="12">+G87*D87</f>
        <v>-9905593.0884658061</v>
      </c>
      <c r="J87" s="4"/>
      <c r="K87" s="83"/>
    </row>
    <row r="88" spans="1:11">
      <c r="A88" s="24">
        <f t="shared" si="11"/>
        <v>34</v>
      </c>
      <c r="B88" s="85" t="s">
        <v>86</v>
      </c>
      <c r="C88" s="86" t="s">
        <v>709</v>
      </c>
      <c r="D88" s="53">
        <f>'4- Rate Base'!F24</f>
        <v>0</v>
      </c>
      <c r="E88" s="65"/>
      <c r="F88" s="65" t="str">
        <f>+F90</f>
        <v>DA</v>
      </c>
      <c r="G88" s="87">
        <v>1</v>
      </c>
      <c r="H88" s="65"/>
      <c r="I88" s="53">
        <f t="shared" si="12"/>
        <v>0</v>
      </c>
      <c r="K88" s="83"/>
    </row>
    <row r="89" spans="1:11">
      <c r="A89" s="24">
        <f t="shared" si="11"/>
        <v>35</v>
      </c>
      <c r="B89" s="85" t="s">
        <v>791</v>
      </c>
      <c r="C89" s="86" t="s">
        <v>994</v>
      </c>
      <c r="D89" s="53">
        <f>+'4- Rate Base'!J44</f>
        <v>44247154.332437649</v>
      </c>
      <c r="E89" s="65"/>
      <c r="F89" s="65" t="str">
        <f>+F91</f>
        <v>DA</v>
      </c>
      <c r="G89" s="87">
        <v>1</v>
      </c>
      <c r="H89" s="65"/>
      <c r="I89" s="53">
        <f t="shared" si="12"/>
        <v>44247154.332437649</v>
      </c>
      <c r="K89" s="83"/>
    </row>
    <row r="90" spans="1:11">
      <c r="A90" s="24">
        <f t="shared" si="11"/>
        <v>36</v>
      </c>
      <c r="B90" s="63" t="s">
        <v>100</v>
      </c>
      <c r="C90" s="86" t="s">
        <v>995</v>
      </c>
      <c r="D90" s="53">
        <f>+'4- Rate Base'!C44</f>
        <v>0</v>
      </c>
      <c r="E90" s="65"/>
      <c r="F90" s="65" t="str">
        <f>+F91</f>
        <v>DA</v>
      </c>
      <c r="G90" s="87">
        <v>1</v>
      </c>
      <c r="H90" s="65"/>
      <c r="I90" s="53">
        <f t="shared" si="12"/>
        <v>0</v>
      </c>
      <c r="K90" s="83"/>
    </row>
    <row r="91" spans="1:11">
      <c r="A91" s="24">
        <f t="shared" si="11"/>
        <v>37</v>
      </c>
      <c r="B91" s="63" t="s">
        <v>101</v>
      </c>
      <c r="C91" s="86" t="s">
        <v>996</v>
      </c>
      <c r="D91" s="53">
        <f>+'4- Rate Base'!D44</f>
        <v>0</v>
      </c>
      <c r="E91" s="65"/>
      <c r="F91" s="65" t="s">
        <v>76</v>
      </c>
      <c r="G91" s="87">
        <v>1</v>
      </c>
      <c r="H91" s="65"/>
      <c r="I91" s="53">
        <f t="shared" si="12"/>
        <v>0</v>
      </c>
      <c r="K91" s="83"/>
    </row>
    <row r="92" spans="1:11">
      <c r="A92" s="24">
        <f t="shared" si="11"/>
        <v>38</v>
      </c>
      <c r="B92" s="88" t="s">
        <v>656</v>
      </c>
      <c r="C92" s="88" t="s">
        <v>655</v>
      </c>
      <c r="D92" s="873">
        <v>0</v>
      </c>
      <c r="E92" s="65"/>
      <c r="F92" s="65" t="str">
        <f>+F93</f>
        <v>DA</v>
      </c>
      <c r="G92" s="87">
        <v>1</v>
      </c>
      <c r="H92" s="65"/>
      <c r="I92" s="53">
        <f t="shared" si="12"/>
        <v>0</v>
      </c>
      <c r="K92" s="83"/>
    </row>
    <row r="93" spans="1:11" ht="13.5" thickBot="1">
      <c r="A93" s="24">
        <f t="shared" si="11"/>
        <v>39</v>
      </c>
      <c r="B93" s="89" t="s">
        <v>658</v>
      </c>
      <c r="C93" s="88" t="s">
        <v>655</v>
      </c>
      <c r="D93" s="874">
        <v>0</v>
      </c>
      <c r="E93" s="65"/>
      <c r="F93" s="65" t="s">
        <v>76</v>
      </c>
      <c r="G93" s="87">
        <v>1</v>
      </c>
      <c r="H93" s="65"/>
      <c r="I93" s="46">
        <f t="shared" si="12"/>
        <v>0</v>
      </c>
      <c r="K93" s="83"/>
    </row>
    <row r="94" spans="1:11">
      <c r="A94" s="24">
        <f t="shared" si="11"/>
        <v>40</v>
      </c>
      <c r="B94" s="22" t="s">
        <v>221</v>
      </c>
      <c r="C94" s="4" t="s">
        <v>997</v>
      </c>
      <c r="D94" s="39">
        <f>SUM(D79:D93)</f>
        <v>-284619816.01103985</v>
      </c>
      <c r="E94" s="4"/>
      <c r="F94" s="4"/>
      <c r="G94" s="42"/>
      <c r="H94" s="43"/>
      <c r="I94" s="39">
        <f>SUM(I79:I93)</f>
        <v>-284619816.01103985</v>
      </c>
      <c r="J94" s="4"/>
      <c r="K94" s="4"/>
    </row>
    <row r="95" spans="1:11">
      <c r="A95" s="24"/>
      <c r="B95" s="3"/>
      <c r="C95" s="4"/>
      <c r="D95" s="39"/>
      <c r="E95" s="4"/>
      <c r="F95" s="4"/>
      <c r="G95" s="82"/>
      <c r="H95" s="4"/>
      <c r="I95" s="39"/>
      <c r="J95" s="4"/>
      <c r="K95" s="83"/>
    </row>
    <row r="96" spans="1:11">
      <c r="A96" s="24">
        <f>+A94+1</f>
        <v>41</v>
      </c>
      <c r="B96" s="22" t="s">
        <v>367</v>
      </c>
      <c r="C96" s="90" t="s">
        <v>282</v>
      </c>
      <c r="D96" s="39">
        <f>+'4- Rate Base'!G24</f>
        <v>14782515.666769229</v>
      </c>
      <c r="E96" s="4"/>
      <c r="F96" s="4" t="s">
        <v>15</v>
      </c>
      <c r="G96" s="42">
        <f>+G58</f>
        <v>1</v>
      </c>
      <c r="H96" s="43"/>
      <c r="I96" s="39">
        <f>+G96*D96</f>
        <v>14782515.666769229</v>
      </c>
      <c r="J96" s="4"/>
      <c r="K96" s="4"/>
    </row>
    <row r="97" spans="1:11">
      <c r="A97" s="24"/>
      <c r="B97" s="22"/>
      <c r="C97" s="4"/>
      <c r="D97" s="39"/>
      <c r="E97" s="4"/>
      <c r="F97" s="4"/>
      <c r="G97" s="42"/>
      <c r="H97" s="43"/>
      <c r="I97" s="39"/>
      <c r="J97" s="4"/>
      <c r="K97" s="4"/>
    </row>
    <row r="98" spans="1:11">
      <c r="A98" s="24">
        <f>+A96+1</f>
        <v>42</v>
      </c>
      <c r="B98" s="22" t="s">
        <v>224</v>
      </c>
      <c r="C98" s="4" t="s">
        <v>104</v>
      </c>
      <c r="D98" s="39"/>
      <c r="E98" s="4"/>
      <c r="F98" s="4"/>
      <c r="G98" s="42"/>
      <c r="H98" s="43"/>
      <c r="I98" s="39"/>
      <c r="J98" s="4"/>
      <c r="K98" s="4"/>
    </row>
    <row r="99" spans="1:11">
      <c r="A99" s="24">
        <f>+A98+1</f>
        <v>43</v>
      </c>
      <c r="B99" s="22" t="s">
        <v>107</v>
      </c>
      <c r="C99" s="3" t="s">
        <v>998</v>
      </c>
      <c r="D99" s="39">
        <f>(D128-D123)/8</f>
        <v>34864452.018631279</v>
      </c>
      <c r="E99" s="4"/>
      <c r="F99" s="4"/>
      <c r="G99" s="42"/>
      <c r="H99" s="43"/>
      <c r="I99" s="39">
        <f>(I128-I123)/8</f>
        <v>11350389.417423984</v>
      </c>
      <c r="J99" s="25"/>
      <c r="K99" s="83"/>
    </row>
    <row r="100" spans="1:11">
      <c r="A100" s="24">
        <f>+A99+1</f>
        <v>44</v>
      </c>
      <c r="B100" s="22" t="s">
        <v>169</v>
      </c>
      <c r="C100" s="90" t="s">
        <v>774</v>
      </c>
      <c r="D100" s="39">
        <f>+'4- Rate Base'!H24</f>
        <v>19524439.937522862</v>
      </c>
      <c r="E100" s="4"/>
      <c r="F100" s="4" t="s">
        <v>15</v>
      </c>
      <c r="G100" s="42">
        <f>+G117</f>
        <v>1</v>
      </c>
      <c r="H100" s="43"/>
      <c r="I100" s="39">
        <f>+G100*D100</f>
        <v>19524439.937522862</v>
      </c>
      <c r="J100" s="4" t="s">
        <v>2</v>
      </c>
      <c r="K100" s="83"/>
    </row>
    <row r="101" spans="1:11" ht="13.5" thickBot="1">
      <c r="A101" s="24">
        <f>+A100+1</f>
        <v>45</v>
      </c>
      <c r="B101" s="22" t="s">
        <v>91</v>
      </c>
      <c r="C101" s="43" t="s">
        <v>271</v>
      </c>
      <c r="D101" s="46">
        <f>+'4- Rate Base'!I24</f>
        <v>2562472.7047076868</v>
      </c>
      <c r="E101" s="4"/>
      <c r="F101" s="4" t="s">
        <v>76</v>
      </c>
      <c r="G101" s="42">
        <v>1</v>
      </c>
      <c r="H101" s="43"/>
      <c r="I101" s="46">
        <f>+G101*D101</f>
        <v>2562472.7047076868</v>
      </c>
      <c r="J101" s="4"/>
      <c r="K101" s="83"/>
    </row>
    <row r="102" spans="1:11">
      <c r="A102" s="24">
        <f>+A101+1</f>
        <v>46</v>
      </c>
      <c r="B102" s="22" t="s">
        <v>223</v>
      </c>
      <c r="C102" s="25" t="s">
        <v>758</v>
      </c>
      <c r="D102" s="39">
        <f>SUM(D99:D101)</f>
        <v>56951364.660861827</v>
      </c>
      <c r="E102" s="25"/>
      <c r="F102" s="25"/>
      <c r="G102" s="91"/>
      <c r="H102" s="91"/>
      <c r="I102" s="39">
        <f>SUM(I99:I101)</f>
        <v>33437302.05965453</v>
      </c>
      <c r="J102" s="25"/>
      <c r="K102" s="25"/>
    </row>
    <row r="103" spans="1:11" ht="13.5" thickBot="1">
      <c r="A103" s="24"/>
      <c r="B103" s="3"/>
      <c r="C103" s="4"/>
      <c r="D103" s="46"/>
      <c r="E103" s="4"/>
      <c r="F103" s="4"/>
      <c r="G103" s="4"/>
      <c r="H103" s="4"/>
      <c r="I103" s="46"/>
      <c r="J103" s="4"/>
      <c r="K103" s="4"/>
    </row>
    <row r="104" spans="1:11" ht="13.5" thickBot="1">
      <c r="A104" s="24">
        <f>+A102+1</f>
        <v>47</v>
      </c>
      <c r="B104" s="22" t="s">
        <v>225</v>
      </c>
      <c r="C104" s="4" t="s">
        <v>759</v>
      </c>
      <c r="D104" s="92">
        <f>+D102+D96+D94+D76</f>
        <v>10461122556.872429</v>
      </c>
      <c r="E104" s="43"/>
      <c r="F104" s="43"/>
      <c r="G104" s="93"/>
      <c r="H104" s="43"/>
      <c r="I104" s="92">
        <f>+I102+I96+I94+I76</f>
        <v>1348017878.836998</v>
      </c>
      <c r="J104" s="4"/>
      <c r="K104" s="83"/>
    </row>
    <row r="105" spans="1:11" ht="15.75" thickTop="1">
      <c r="A105" s="24"/>
      <c r="B105" s="94"/>
      <c r="C105" s="95"/>
      <c r="D105" s="96"/>
      <c r="E105" s="95"/>
      <c r="F105" s="97"/>
      <c r="G105" s="98"/>
      <c r="H105" s="99"/>
      <c r="I105" s="100"/>
      <c r="J105" s="4"/>
      <c r="K105" s="83"/>
    </row>
    <row r="106" spans="1:11" ht="15.4" hidden="1">
      <c r="A106" s="24"/>
      <c r="B106" s="95"/>
      <c r="D106" s="95"/>
      <c r="E106" s="101"/>
      <c r="G106" s="95"/>
      <c r="I106" s="100"/>
      <c r="J106" s="4"/>
      <c r="K106" s="83"/>
    </row>
    <row r="107" spans="1:11" ht="15.4">
      <c r="A107" s="24"/>
      <c r="B107" s="95"/>
      <c r="D107" s="98"/>
      <c r="E107" s="101"/>
      <c r="F107" s="62"/>
      <c r="G107" s="98"/>
      <c r="I107" s="4"/>
      <c r="J107" s="4"/>
      <c r="K107" s="102" t="s">
        <v>108</v>
      </c>
    </row>
    <row r="108" spans="1:11" ht="15.4">
      <c r="A108" s="24"/>
      <c r="B108" s="95"/>
      <c r="C108" s="95"/>
      <c r="D108" s="95"/>
      <c r="E108" s="103"/>
      <c r="F108" s="97"/>
      <c r="G108" s="95"/>
      <c r="H108" s="95"/>
      <c r="I108" s="4"/>
      <c r="J108" s="4"/>
      <c r="K108" s="102"/>
    </row>
    <row r="109" spans="1:11">
      <c r="A109" s="24"/>
      <c r="B109" s="22" t="s">
        <v>1</v>
      </c>
      <c r="C109" s="4"/>
      <c r="D109" s="27" t="s">
        <v>72</v>
      </c>
      <c r="E109" s="4"/>
      <c r="F109" s="4"/>
      <c r="G109" s="4"/>
      <c r="H109" s="4"/>
      <c r="I109" s="18"/>
      <c r="J109" s="4"/>
      <c r="K109" s="102" t="str">
        <f>K3</f>
        <v>For  the 12 months ended 12/31/2025</v>
      </c>
    </row>
    <row r="110" spans="1:11">
      <c r="A110" s="24"/>
      <c r="B110" s="22"/>
      <c r="C110" s="4"/>
      <c r="D110" s="27" t="s">
        <v>98</v>
      </c>
      <c r="E110" s="4"/>
      <c r="F110" s="4"/>
      <c r="G110" s="4"/>
      <c r="H110" s="4"/>
      <c r="I110" s="4"/>
      <c r="J110" s="4"/>
      <c r="K110" s="4"/>
    </row>
    <row r="111" spans="1:11">
      <c r="A111" s="24"/>
      <c r="B111" s="3"/>
      <c r="C111" s="4"/>
      <c r="D111" s="27" t="str">
        <f>+D39</f>
        <v>PECO Energy Company</v>
      </c>
      <c r="E111" s="4"/>
      <c r="F111" s="4"/>
      <c r="G111" s="4"/>
      <c r="H111" s="4"/>
      <c r="I111" s="4"/>
      <c r="J111" s="4"/>
      <c r="K111" s="4"/>
    </row>
    <row r="112" spans="1:11">
      <c r="A112" s="1213"/>
      <c r="B112" s="1213"/>
      <c r="C112" s="1213"/>
      <c r="D112" s="1213"/>
      <c r="E112" s="1213"/>
      <c r="F112" s="1213"/>
      <c r="G112" s="1213"/>
      <c r="H112" s="1213"/>
      <c r="I112" s="1213"/>
      <c r="J112" s="1213"/>
      <c r="K112" s="1213"/>
    </row>
    <row r="113" spans="1:11">
      <c r="A113" s="24"/>
      <c r="B113" s="24" t="s">
        <v>3</v>
      </c>
      <c r="C113" s="24" t="s">
        <v>4</v>
      </c>
      <c r="D113" s="24" t="s">
        <v>5</v>
      </c>
      <c r="E113" s="4" t="s">
        <v>2</v>
      </c>
      <c r="F113" s="4"/>
      <c r="G113" s="31" t="s">
        <v>6</v>
      </c>
      <c r="H113" s="4"/>
      <c r="I113" s="31" t="s">
        <v>7</v>
      </c>
      <c r="J113" s="4"/>
      <c r="K113" s="4"/>
    </row>
    <row r="114" spans="1:11">
      <c r="A114" s="24" t="s">
        <v>8</v>
      </c>
      <c r="B114" s="22"/>
      <c r="C114" s="76"/>
      <c r="D114" s="4"/>
      <c r="E114" s="4"/>
      <c r="F114" s="4"/>
      <c r="G114" s="24"/>
      <c r="H114" s="4"/>
      <c r="I114" s="77" t="s">
        <v>17</v>
      </c>
      <c r="J114" s="4"/>
      <c r="K114" s="77"/>
    </row>
    <row r="115" spans="1:11" ht="13.5" thickBot="1">
      <c r="A115" s="35" t="s">
        <v>10</v>
      </c>
      <c r="B115" s="22"/>
      <c r="C115" s="78" t="s">
        <v>207</v>
      </c>
      <c r="D115" s="77" t="s">
        <v>19</v>
      </c>
      <c r="E115" s="79"/>
      <c r="F115" s="77" t="s">
        <v>20</v>
      </c>
      <c r="G115" s="3"/>
      <c r="H115" s="79"/>
      <c r="I115" s="24" t="s">
        <v>21</v>
      </c>
      <c r="J115" s="4"/>
      <c r="K115" s="77"/>
    </row>
    <row r="116" spans="1:11">
      <c r="A116" s="24"/>
      <c r="B116" s="22" t="s">
        <v>0</v>
      </c>
      <c r="C116" s="4"/>
      <c r="D116" s="4"/>
      <c r="E116" s="4"/>
      <c r="F116" s="4"/>
      <c r="G116" s="4"/>
      <c r="H116" s="4"/>
      <c r="I116" s="4"/>
      <c r="J116" s="4"/>
      <c r="K116" s="4"/>
    </row>
    <row r="117" spans="1:11">
      <c r="A117" s="24">
        <v>1</v>
      </c>
      <c r="B117" s="22" t="s">
        <v>29</v>
      </c>
      <c r="C117" s="4" t="s">
        <v>999</v>
      </c>
      <c r="D117" s="39">
        <f>'5-P3 Support'!C12</f>
        <v>273868049</v>
      </c>
      <c r="E117" s="4"/>
      <c r="F117" s="4" t="s">
        <v>15</v>
      </c>
      <c r="G117" s="42">
        <f>+I192</f>
        <v>1</v>
      </c>
      <c r="H117" s="43"/>
      <c r="I117" s="39">
        <f>+G117*D117</f>
        <v>273868049</v>
      </c>
      <c r="J117" s="25"/>
      <c r="K117" s="4"/>
    </row>
    <row r="118" spans="1:11">
      <c r="A118" s="57">
        <f>+A117+1</f>
        <v>2</v>
      </c>
      <c r="B118" s="55" t="s">
        <v>1220</v>
      </c>
      <c r="C118" s="4" t="s">
        <v>1000</v>
      </c>
      <c r="D118" s="39">
        <f>-'5-P3 Support'!D12</f>
        <v>-16163936</v>
      </c>
      <c r="E118" s="86"/>
      <c r="F118" s="86" t="str">
        <f>+F117</f>
        <v>TP</v>
      </c>
      <c r="G118" s="42">
        <f>+G117</f>
        <v>1</v>
      </c>
      <c r="H118" s="86"/>
      <c r="I118" s="39">
        <f>+G118*D118</f>
        <v>-16163936</v>
      </c>
      <c r="K118" s="4"/>
    </row>
    <row r="119" spans="1:11">
      <c r="A119" s="57">
        <f t="shared" ref="A119:A167" si="13">+A118+1</f>
        <v>3</v>
      </c>
      <c r="B119" s="22" t="s">
        <v>1221</v>
      </c>
      <c r="C119" s="4" t="s">
        <v>1001</v>
      </c>
      <c r="D119" s="39">
        <f>-'5-P3 Support'!E12</f>
        <v>0</v>
      </c>
      <c r="E119" s="4"/>
      <c r="F119" s="4" t="str">
        <f>+F118</f>
        <v>TP</v>
      </c>
      <c r="G119" s="42">
        <f>+G118</f>
        <v>1</v>
      </c>
      <c r="H119" s="43"/>
      <c r="I119" s="39">
        <f>+G119*D119</f>
        <v>0</v>
      </c>
      <c r="J119" s="25"/>
      <c r="K119" s="4"/>
    </row>
    <row r="120" spans="1:11">
      <c r="A120" s="57">
        <f t="shared" si="13"/>
        <v>4</v>
      </c>
      <c r="B120" s="22" t="s">
        <v>1222</v>
      </c>
      <c r="C120" s="22" t="s">
        <v>1002</v>
      </c>
      <c r="D120" s="39">
        <f>-'5-P3 Support'!F12</f>
        <v>-208534075</v>
      </c>
      <c r="E120" s="4"/>
      <c r="F120" s="22" t="str">
        <f>+F119</f>
        <v>TP</v>
      </c>
      <c r="G120" s="42">
        <v>1</v>
      </c>
      <c r="H120" s="43"/>
      <c r="I120" s="39">
        <f>+D120*G120</f>
        <v>-208534075</v>
      </c>
      <c r="J120" s="25"/>
      <c r="K120" s="4"/>
    </row>
    <row r="121" spans="1:11">
      <c r="A121" s="57">
        <f t="shared" si="13"/>
        <v>5</v>
      </c>
      <c r="B121" s="22" t="s">
        <v>30</v>
      </c>
      <c r="C121" s="104" t="s">
        <v>1058</v>
      </c>
      <c r="D121" s="39">
        <f>+'5B - A&amp;G'!E27</f>
        <v>213515711</v>
      </c>
      <c r="E121" s="4"/>
      <c r="F121" s="4" t="s">
        <v>76</v>
      </c>
      <c r="G121" s="42"/>
      <c r="H121" s="43"/>
      <c r="I121" s="39">
        <f>+'5B - A&amp;G'!J31</f>
        <v>25460870.441936996</v>
      </c>
      <c r="J121" s="4"/>
      <c r="K121" s="4" t="s">
        <v>2</v>
      </c>
    </row>
    <row r="122" spans="1:11">
      <c r="A122" s="57">
        <f>+A121+1</f>
        <v>6</v>
      </c>
      <c r="B122" s="55" t="s">
        <v>716</v>
      </c>
      <c r="C122" s="86"/>
      <c r="D122" s="53"/>
      <c r="E122" s="86"/>
      <c r="F122" s="86"/>
      <c r="G122" s="42"/>
      <c r="H122" s="86"/>
      <c r="I122" s="53"/>
      <c r="K122" s="4"/>
    </row>
    <row r="123" spans="1:11">
      <c r="A123" s="57">
        <f t="shared" si="13"/>
        <v>7</v>
      </c>
      <c r="B123" s="55" t="s">
        <v>97</v>
      </c>
      <c r="C123" s="86" t="s">
        <v>1003</v>
      </c>
      <c r="D123" s="53">
        <f>'5-P3 Support'!G12</f>
        <v>0</v>
      </c>
      <c r="E123" s="65"/>
      <c r="F123" s="65" t="s">
        <v>76</v>
      </c>
      <c r="G123" s="87">
        <v>1</v>
      </c>
      <c r="H123" s="65"/>
      <c r="I123" s="53">
        <f>+G123*D123</f>
        <v>0</v>
      </c>
      <c r="K123" s="4"/>
    </row>
    <row r="124" spans="1:11">
      <c r="A124" s="57">
        <f t="shared" si="13"/>
        <v>8</v>
      </c>
      <c r="B124" s="55" t="s">
        <v>322</v>
      </c>
      <c r="C124" s="4" t="s">
        <v>1004</v>
      </c>
      <c r="D124" s="53">
        <f>'5-P3 Support'!H12</f>
        <v>16163936</v>
      </c>
      <c r="E124" s="65"/>
      <c r="F124" s="65" t="s">
        <v>15</v>
      </c>
      <c r="G124" s="87">
        <f>+G117</f>
        <v>1</v>
      </c>
      <c r="H124" s="65"/>
      <c r="I124" s="53">
        <f>+G124*D124</f>
        <v>16163936</v>
      </c>
      <c r="K124" s="4"/>
    </row>
    <row r="125" spans="1:11">
      <c r="A125" s="57">
        <f>+A124+1</f>
        <v>9</v>
      </c>
      <c r="B125" s="55" t="s">
        <v>96</v>
      </c>
      <c r="C125" s="86" t="s">
        <v>760</v>
      </c>
      <c r="D125" s="53">
        <f>+D123+D124</f>
        <v>16163936</v>
      </c>
      <c r="E125" s="65"/>
      <c r="F125" s="65"/>
      <c r="G125" s="87"/>
      <c r="H125" s="65"/>
      <c r="I125" s="53">
        <f>+I123+I124</f>
        <v>16163936</v>
      </c>
      <c r="K125" s="4"/>
    </row>
    <row r="126" spans="1:11">
      <c r="A126" s="57">
        <f>+A125+1</f>
        <v>10</v>
      </c>
      <c r="B126" s="55" t="s">
        <v>717</v>
      </c>
      <c r="C126" s="86" t="s">
        <v>1009</v>
      </c>
      <c r="D126" s="53">
        <f>+'7 - PBOP'!F12</f>
        <v>241524.74905027245</v>
      </c>
      <c r="E126" s="65"/>
      <c r="F126" s="52" t="s">
        <v>24</v>
      </c>
      <c r="G126" s="87">
        <f>$I$206</f>
        <v>0.12544749445449754</v>
      </c>
      <c r="H126" s="100"/>
      <c r="I126" s="53">
        <f>+G126*D126</f>
        <v>30298.674617107965</v>
      </c>
      <c r="K126" s="4"/>
    </row>
    <row r="127" spans="1:11" ht="13.5" thickBot="1">
      <c r="A127" s="57">
        <f>+A126+1</f>
        <v>11</v>
      </c>
      <c r="B127" s="55" t="s">
        <v>1223</v>
      </c>
      <c r="C127" s="4" t="s">
        <v>1099</v>
      </c>
      <c r="D127" s="46">
        <f>-'4E COA'!H17</f>
        <v>-175593.59999999995</v>
      </c>
      <c r="E127" s="65"/>
      <c r="F127" s="52" t="s">
        <v>24</v>
      </c>
      <c r="G127" s="87">
        <f>$I$206</f>
        <v>0.12544749445449754</v>
      </c>
      <c r="H127" s="100"/>
      <c r="I127" s="46">
        <f>D127*G127</f>
        <v>-22027.777162245253</v>
      </c>
      <c r="K127" s="4"/>
    </row>
    <row r="128" spans="1:11">
      <c r="A128" s="57">
        <f>A127+1</f>
        <v>12</v>
      </c>
      <c r="B128" s="105" t="s">
        <v>226</v>
      </c>
      <c r="C128" s="106" t="s">
        <v>1224</v>
      </c>
      <c r="D128" s="39">
        <f>SUM(D117:D121)+D125+D126+D127</f>
        <v>278915616.14905024</v>
      </c>
      <c r="E128" s="39"/>
      <c r="F128" s="39"/>
      <c r="G128" s="42"/>
      <c r="H128" s="39"/>
      <c r="I128" s="39">
        <f>SUM(I117:I121)+I125+I126+I127</f>
        <v>90803115.339391872</v>
      </c>
      <c r="J128" s="4"/>
      <c r="K128" s="4"/>
    </row>
    <row r="129" spans="1:11">
      <c r="A129" s="57"/>
      <c r="B129" s="3"/>
      <c r="C129" s="4"/>
      <c r="D129" s="39"/>
      <c r="E129" s="39"/>
      <c r="F129" s="39"/>
      <c r="G129" s="42"/>
      <c r="H129" s="39"/>
      <c r="I129" s="39"/>
      <c r="J129" s="4"/>
      <c r="K129" s="4"/>
    </row>
    <row r="130" spans="1:11">
      <c r="A130" s="57">
        <f>+A128+1</f>
        <v>13</v>
      </c>
      <c r="B130" s="22" t="s">
        <v>314</v>
      </c>
      <c r="C130" s="90"/>
      <c r="D130" s="39"/>
      <c r="E130" s="39"/>
      <c r="F130" s="39"/>
      <c r="G130" s="42"/>
      <c r="H130" s="39"/>
      <c r="I130" s="39"/>
      <c r="J130" s="4"/>
      <c r="K130" s="4"/>
    </row>
    <row r="131" spans="1:11">
      <c r="A131" s="57">
        <f t="shared" si="13"/>
        <v>14</v>
      </c>
      <c r="B131" s="22" t="s">
        <v>29</v>
      </c>
      <c r="C131" s="90" t="s">
        <v>1005</v>
      </c>
      <c r="D131" s="39">
        <f>'5-P3 Support'!I12</f>
        <v>31999118.321264997</v>
      </c>
      <c r="E131" s="39"/>
      <c r="F131" s="39" t="s">
        <v>15</v>
      </c>
      <c r="G131" s="42">
        <f>+G96</f>
        <v>1</v>
      </c>
      <c r="H131" s="39"/>
      <c r="I131" s="39">
        <f>+G131*D131</f>
        <v>31999118.321264997</v>
      </c>
      <c r="J131" s="4"/>
      <c r="K131" s="83"/>
    </row>
    <row r="132" spans="1:11">
      <c r="A132" s="57">
        <f t="shared" si="13"/>
        <v>15</v>
      </c>
      <c r="B132" s="107" t="s">
        <v>714</v>
      </c>
      <c r="C132" s="90" t="s">
        <v>1006</v>
      </c>
      <c r="D132" s="39">
        <f>'5-P3 Support'!C21</f>
        <v>23113085.930592999</v>
      </c>
      <c r="E132" s="39"/>
      <c r="F132" s="39" t="s">
        <v>24</v>
      </c>
      <c r="G132" s="87">
        <f>$I$206</f>
        <v>0.12544749445449754</v>
      </c>
      <c r="H132" s="39"/>
      <c r="I132" s="39">
        <f>+G132*D132</f>
        <v>2899478.7191043906</v>
      </c>
      <c r="J132" s="4"/>
      <c r="K132" s="83"/>
    </row>
    <row r="133" spans="1:11">
      <c r="A133" s="57">
        <f t="shared" si="13"/>
        <v>16</v>
      </c>
      <c r="B133" s="107" t="s">
        <v>1396</v>
      </c>
      <c r="C133" s="43" t="s">
        <v>1398</v>
      </c>
      <c r="D133" s="39">
        <f>'5-P3 Support'!K12</f>
        <v>4731984.5683439998</v>
      </c>
      <c r="E133" s="39"/>
      <c r="F133" s="39" t="s">
        <v>15</v>
      </c>
      <c r="G133" s="42">
        <f>G131</f>
        <v>1</v>
      </c>
      <c r="H133" s="39"/>
      <c r="I133" s="39">
        <f>D133*G133</f>
        <v>4731984.5683439998</v>
      </c>
      <c r="J133" s="4"/>
      <c r="K133" s="83"/>
    </row>
    <row r="134" spans="1:11">
      <c r="A134" s="57" t="s">
        <v>792</v>
      </c>
      <c r="B134" s="107" t="s">
        <v>1397</v>
      </c>
      <c r="C134" s="43" t="s">
        <v>1399</v>
      </c>
      <c r="D134" s="39">
        <f>'5-P3 Support'!L12</f>
        <v>6079371.0042590005</v>
      </c>
      <c r="E134" s="39"/>
      <c r="F134" s="39" t="s">
        <v>24</v>
      </c>
      <c r="G134" s="42">
        <f>G132</f>
        <v>0.12544749445449754</v>
      </c>
      <c r="H134" s="39"/>
      <c r="I134" s="39">
        <f>D134*G134</f>
        <v>762641.86034361413</v>
      </c>
      <c r="J134" s="4"/>
      <c r="K134" s="83"/>
    </row>
    <row r="135" spans="1:11">
      <c r="A135" s="57" t="s">
        <v>793</v>
      </c>
      <c r="B135" s="107" t="s">
        <v>1436</v>
      </c>
      <c r="C135" s="43" t="s">
        <v>1437</v>
      </c>
      <c r="D135" s="39">
        <f>'5-P3 Support'!M12</f>
        <v>17441889.458158135</v>
      </c>
      <c r="E135" s="39"/>
      <c r="F135" s="39" t="s">
        <v>22</v>
      </c>
      <c r="G135" s="84" t="s">
        <v>106</v>
      </c>
      <c r="H135" s="39"/>
      <c r="I135" s="39">
        <v>0</v>
      </c>
      <c r="J135" s="4"/>
      <c r="K135" s="83"/>
    </row>
    <row r="136" spans="1:11">
      <c r="A136" s="57">
        <f>+A133+1</f>
        <v>17</v>
      </c>
      <c r="B136" s="22" t="s">
        <v>883</v>
      </c>
      <c r="C136" s="90" t="s">
        <v>1007</v>
      </c>
      <c r="D136" s="53">
        <f>'5-P3 Support'!J12</f>
        <v>47394143.269334003</v>
      </c>
      <c r="E136" s="53"/>
      <c r="F136" s="39" t="s">
        <v>24</v>
      </c>
      <c r="G136" s="87">
        <f>$I$206</f>
        <v>0.12544749445449754</v>
      </c>
      <c r="H136" s="53"/>
      <c r="I136" s="53">
        <f>+G136*D136</f>
        <v>5945476.5249554394</v>
      </c>
      <c r="J136" s="4"/>
      <c r="K136" s="83"/>
    </row>
    <row r="137" spans="1:11">
      <c r="A137" s="57">
        <f t="shared" si="13"/>
        <v>18</v>
      </c>
      <c r="B137" s="22" t="s">
        <v>1035</v>
      </c>
      <c r="C137" s="4" t="s">
        <v>1010</v>
      </c>
      <c r="D137" s="53">
        <f>-'4E COA'!H86</f>
        <v>-295180.62599195639</v>
      </c>
      <c r="E137" s="53"/>
      <c r="F137" s="39" t="s">
        <v>24</v>
      </c>
      <c r="G137" s="87">
        <f>G63</f>
        <v>0.12544749445449754</v>
      </c>
      <c r="H137" s="53"/>
      <c r="I137" s="53">
        <f>D137*G137</f>
        <v>-37029.669942201064</v>
      </c>
      <c r="J137" s="4"/>
      <c r="K137" s="83"/>
    </row>
    <row r="138" spans="1:11" ht="13.5" thickBot="1">
      <c r="A138" s="57">
        <f t="shared" si="13"/>
        <v>19</v>
      </c>
      <c r="B138" s="55" t="s">
        <v>92</v>
      </c>
      <c r="C138" s="4" t="s">
        <v>1008</v>
      </c>
      <c r="D138" s="46">
        <f>'5-P3 Support'!D21</f>
        <v>0</v>
      </c>
      <c r="E138" s="39"/>
      <c r="F138" s="39" t="s">
        <v>76</v>
      </c>
      <c r="G138" s="42">
        <v>1</v>
      </c>
      <c r="H138" s="39"/>
      <c r="I138" s="46">
        <f>+G138*D138</f>
        <v>0</v>
      </c>
      <c r="J138" s="4"/>
      <c r="K138" s="83"/>
    </row>
    <row r="139" spans="1:11">
      <c r="A139" s="57">
        <f t="shared" si="13"/>
        <v>20</v>
      </c>
      <c r="B139" s="22" t="s">
        <v>216</v>
      </c>
      <c r="C139" s="4" t="str">
        <f>"(Sum of Lines "&amp;A131&amp;" through "&amp;A138&amp;")"</f>
        <v>(Sum of Lines 14 through 19)</v>
      </c>
      <c r="D139" s="39">
        <f>SUM(D131:D138)</f>
        <v>130464411.92596117</v>
      </c>
      <c r="E139" s="39"/>
      <c r="F139" s="39"/>
      <c r="G139" s="42"/>
      <c r="H139" s="39"/>
      <c r="I139" s="39">
        <f>SUM(I131:I138)</f>
        <v>46301670.324070238</v>
      </c>
      <c r="J139" s="4"/>
      <c r="K139" s="4"/>
    </row>
    <row r="140" spans="1:11">
      <c r="A140" s="57"/>
      <c r="B140" s="22"/>
      <c r="C140" s="4"/>
      <c r="D140" s="39"/>
      <c r="E140" s="39"/>
      <c r="F140" s="39"/>
      <c r="G140" s="42"/>
      <c r="H140" s="39"/>
      <c r="I140" s="39"/>
      <c r="J140" s="4"/>
      <c r="K140" s="4"/>
    </row>
    <row r="141" spans="1:11">
      <c r="A141" s="57">
        <f>+A139+1</f>
        <v>21</v>
      </c>
      <c r="B141" s="22" t="s">
        <v>217</v>
      </c>
      <c r="C141" s="3" t="s">
        <v>164</v>
      </c>
      <c r="D141" s="39"/>
      <c r="E141" s="39"/>
      <c r="F141" s="39"/>
      <c r="G141" s="42"/>
      <c r="H141" s="39"/>
      <c r="I141" s="39"/>
      <c r="J141" s="4"/>
      <c r="K141" s="4"/>
    </row>
    <row r="142" spans="1:11">
      <c r="A142" s="57">
        <f t="shared" si="13"/>
        <v>22</v>
      </c>
      <c r="B142" s="22" t="s">
        <v>31</v>
      </c>
      <c r="C142" s="3"/>
      <c r="D142" s="39"/>
      <c r="E142" s="39"/>
      <c r="F142" s="39"/>
      <c r="G142" s="42"/>
      <c r="H142" s="39"/>
      <c r="I142" s="39"/>
      <c r="J142" s="4"/>
      <c r="K142" s="83"/>
    </row>
    <row r="143" spans="1:11">
      <c r="A143" s="57">
        <f t="shared" si="13"/>
        <v>23</v>
      </c>
      <c r="B143" s="22" t="s">
        <v>32</v>
      </c>
      <c r="C143" s="4" t="s">
        <v>1011</v>
      </c>
      <c r="D143" s="39">
        <f>'5-P3 Support'!E21</f>
        <v>13829706</v>
      </c>
      <c r="E143" s="39"/>
      <c r="F143" s="39" t="s">
        <v>24</v>
      </c>
      <c r="G143" s="42">
        <f>+G132</f>
        <v>0.12544749445449754</v>
      </c>
      <c r="H143" s="39"/>
      <c r="I143" s="39">
        <f>+G143*D143</f>
        <v>1734901.9667423314</v>
      </c>
      <c r="J143" s="4"/>
      <c r="K143" s="83"/>
    </row>
    <row r="144" spans="1:11">
      <c r="A144" s="57">
        <f t="shared" si="13"/>
        <v>24</v>
      </c>
      <c r="B144" s="108" t="str">
        <f>'5-P3 Support'!F15</f>
        <v>Labor Related Taxes to be Excluded</v>
      </c>
      <c r="C144" s="4" t="s">
        <v>1012</v>
      </c>
      <c r="D144" s="39">
        <f>'5-P3 Support'!F21</f>
        <v>0</v>
      </c>
      <c r="E144" s="39"/>
      <c r="F144" s="39" t="s">
        <v>24</v>
      </c>
      <c r="G144" s="42">
        <f>+G143</f>
        <v>0.12544749445449754</v>
      </c>
      <c r="H144" s="39"/>
      <c r="I144" s="39">
        <f>+G144*D144</f>
        <v>0</v>
      </c>
      <c r="J144" s="4"/>
      <c r="K144" s="83"/>
    </row>
    <row r="145" spans="1:11">
      <c r="A145" s="57">
        <f t="shared" si="13"/>
        <v>25</v>
      </c>
      <c r="B145" s="22" t="s">
        <v>33</v>
      </c>
      <c r="C145" s="4" t="s">
        <v>2</v>
      </c>
      <c r="D145" s="39"/>
      <c r="E145" s="39"/>
      <c r="F145" s="39"/>
      <c r="G145" s="42"/>
      <c r="H145" s="39"/>
      <c r="I145" s="39"/>
      <c r="J145" s="4"/>
      <c r="K145" s="83"/>
    </row>
    <row r="146" spans="1:11">
      <c r="A146" s="57">
        <f t="shared" si="13"/>
        <v>26</v>
      </c>
      <c r="B146" s="22" t="s">
        <v>34</v>
      </c>
      <c r="C146" s="4" t="s">
        <v>1059</v>
      </c>
      <c r="D146" s="39">
        <f>'5-P3 Support'!G21</f>
        <v>14665809</v>
      </c>
      <c r="E146" s="39"/>
      <c r="F146" s="39" t="s">
        <v>28</v>
      </c>
      <c r="G146" s="42">
        <f>+G54</f>
        <v>0.16558235222006093</v>
      </c>
      <c r="H146" s="39"/>
      <c r="I146" s="39">
        <f>+G146*D146</f>
        <v>2428399.1514301398</v>
      </c>
      <c r="J146" s="4"/>
      <c r="K146" s="83"/>
    </row>
    <row r="147" spans="1:11">
      <c r="A147" s="57">
        <f t="shared" si="13"/>
        <v>27</v>
      </c>
      <c r="B147" s="22" t="s">
        <v>1360</v>
      </c>
      <c r="C147" s="4" t="s">
        <v>1013</v>
      </c>
      <c r="D147" s="39">
        <f>'5-P3 Support'!H21</f>
        <v>178621287</v>
      </c>
      <c r="E147" s="39"/>
      <c r="F147" s="39" t="s">
        <v>22</v>
      </c>
      <c r="G147" s="84" t="s">
        <v>106</v>
      </c>
      <c r="H147" s="39"/>
      <c r="I147" s="39">
        <v>0</v>
      </c>
      <c r="J147" s="4"/>
      <c r="K147" s="83"/>
    </row>
    <row r="148" spans="1:11">
      <c r="A148" s="57">
        <f t="shared" si="13"/>
        <v>28</v>
      </c>
      <c r="B148" s="22" t="s">
        <v>35</v>
      </c>
      <c r="C148" s="4" t="s">
        <v>1014</v>
      </c>
      <c r="D148" s="39">
        <f>'5-P3 Support'!I21</f>
        <v>2741123</v>
      </c>
      <c r="E148" s="39"/>
      <c r="F148" s="39" t="s">
        <v>28</v>
      </c>
      <c r="G148" s="42">
        <f>+G146</f>
        <v>0.16558235222006093</v>
      </c>
      <c r="H148" s="39"/>
      <c r="I148" s="39">
        <f>+G148*D148</f>
        <v>453881.59406451008</v>
      </c>
      <c r="J148" s="4"/>
      <c r="K148" s="83"/>
    </row>
    <row r="149" spans="1:11" ht="13.5" thickBot="1">
      <c r="A149" s="57">
        <f t="shared" si="13"/>
        <v>29</v>
      </c>
      <c r="B149" s="22" t="s">
        <v>1340</v>
      </c>
      <c r="C149" s="4" t="s">
        <v>1015</v>
      </c>
      <c r="D149" s="46">
        <f>'5-P3 Support'!J21</f>
        <v>0</v>
      </c>
      <c r="E149" s="39"/>
      <c r="F149" s="39" t="s">
        <v>28</v>
      </c>
      <c r="G149" s="42">
        <f>+G146</f>
        <v>0.16558235222006093</v>
      </c>
      <c r="H149" s="39"/>
      <c r="I149" s="46">
        <f>+G149*D149</f>
        <v>0</v>
      </c>
      <c r="J149" s="4"/>
      <c r="K149" s="83"/>
    </row>
    <row r="150" spans="1:11">
      <c r="A150" s="57">
        <f t="shared" si="13"/>
        <v>30</v>
      </c>
      <c r="B150" s="22" t="s">
        <v>218</v>
      </c>
      <c r="C150" s="4" t="str">
        <f>"(Sum of Lines "&amp;A143&amp;" through "&amp;A149&amp;")"</f>
        <v>(Sum of Lines 23 through 29)</v>
      </c>
      <c r="D150" s="39">
        <f>SUM(D143:D149)</f>
        <v>209857925</v>
      </c>
      <c r="E150" s="39"/>
      <c r="F150" s="39"/>
      <c r="G150" s="42"/>
      <c r="H150" s="39"/>
      <c r="I150" s="39">
        <f>SUM(I143:I149)</f>
        <v>4617182.7122369818</v>
      </c>
      <c r="J150" s="4"/>
      <c r="K150" s="83"/>
    </row>
    <row r="151" spans="1:11">
      <c r="A151" s="57"/>
      <c r="B151" s="22"/>
      <c r="C151" s="4"/>
      <c r="D151" s="39"/>
      <c r="E151" s="39"/>
      <c r="F151" s="39"/>
      <c r="G151" s="42"/>
      <c r="H151" s="39"/>
      <c r="I151" s="39"/>
      <c r="J151" s="4"/>
      <c r="K151" s="83"/>
    </row>
    <row r="152" spans="1:11">
      <c r="A152" s="57">
        <f>A150+1</f>
        <v>31</v>
      </c>
      <c r="B152" s="109" t="s">
        <v>657</v>
      </c>
      <c r="C152" s="88" t="s">
        <v>655</v>
      </c>
      <c r="D152" s="873">
        <v>0</v>
      </c>
      <c r="E152" s="65"/>
      <c r="F152" s="65" t="str">
        <f>+F89</f>
        <v>DA</v>
      </c>
      <c r="G152" s="87">
        <v>1</v>
      </c>
      <c r="H152" s="65"/>
      <c r="I152" s="53">
        <f>+G152*D152</f>
        <v>0</v>
      </c>
      <c r="J152" s="4"/>
      <c r="K152" s="83"/>
    </row>
    <row r="153" spans="1:11">
      <c r="A153" s="57"/>
      <c r="B153" s="109"/>
      <c r="C153" s="4"/>
      <c r="D153" s="4"/>
      <c r="E153" s="4"/>
      <c r="F153" s="4"/>
      <c r="G153" s="42"/>
      <c r="H153" s="4"/>
      <c r="I153" s="4"/>
      <c r="J153" s="4"/>
    </row>
    <row r="154" spans="1:11">
      <c r="A154" s="57">
        <f>A152+1</f>
        <v>32</v>
      </c>
      <c r="B154" s="22" t="s">
        <v>36</v>
      </c>
      <c r="C154" s="4" t="str">
        <f>"(Note "&amp;A$240&amp;")"</f>
        <v>(Note G)</v>
      </c>
      <c r="D154" s="4"/>
      <c r="E154" s="4"/>
      <c r="F154" s="3"/>
      <c r="G154" s="82"/>
      <c r="H154" s="4"/>
      <c r="I154" s="3"/>
      <c r="J154" s="4"/>
    </row>
    <row r="155" spans="1:11">
      <c r="A155" s="57">
        <f t="shared" si="13"/>
        <v>33</v>
      </c>
      <c r="B155" s="110" t="s">
        <v>421</v>
      </c>
      <c r="C155" s="4" t="s">
        <v>762</v>
      </c>
      <c r="D155" s="111">
        <f>IF(D241&gt;0,1-(((1-D242)*(1-D241))/(1-D242*D241*D243)),0)</f>
        <v>0.27312099999999995</v>
      </c>
      <c r="E155" s="4"/>
      <c r="F155" s="3"/>
      <c r="G155" s="82"/>
      <c r="H155" s="4"/>
      <c r="I155" s="3"/>
      <c r="J155" s="4"/>
    </row>
    <row r="156" spans="1:11">
      <c r="A156" s="57">
        <f t="shared" si="13"/>
        <v>34</v>
      </c>
      <c r="B156" s="3" t="s">
        <v>37</v>
      </c>
      <c r="C156" s="4" t="s">
        <v>1037</v>
      </c>
      <c r="D156" s="111">
        <f>IF(I212&gt;0,(D155/(1-D155))*(1-I212/I215),0)</f>
        <v>0.28004500808789801</v>
      </c>
      <c r="E156" s="4"/>
      <c r="F156" s="3"/>
      <c r="G156" s="82"/>
      <c r="H156" s="4"/>
      <c r="I156" s="3"/>
      <c r="J156" s="4"/>
      <c r="K156" s="3"/>
    </row>
    <row r="157" spans="1:11">
      <c r="A157" s="57">
        <f t="shared" si="13"/>
        <v>35</v>
      </c>
      <c r="B157" s="22" t="s">
        <v>240</v>
      </c>
      <c r="C157" s="4" t="s">
        <v>241</v>
      </c>
      <c r="D157" s="4"/>
      <c r="E157" s="4"/>
      <c r="F157" s="3"/>
      <c r="G157" s="82"/>
      <c r="H157" s="4"/>
      <c r="I157" s="3"/>
      <c r="J157" s="4"/>
      <c r="K157" s="3"/>
    </row>
    <row r="158" spans="1:11">
      <c r="A158" s="57">
        <f t="shared" si="13"/>
        <v>36</v>
      </c>
      <c r="B158" s="22"/>
      <c r="D158" s="4"/>
      <c r="E158" s="4"/>
      <c r="F158" s="3"/>
      <c r="G158" s="82"/>
      <c r="H158" s="4"/>
      <c r="I158" s="3"/>
      <c r="J158" s="4"/>
      <c r="K158" s="3"/>
    </row>
    <row r="159" spans="1:11">
      <c r="A159" s="57">
        <f>+A158+1</f>
        <v>37</v>
      </c>
      <c r="B159" s="110" t="str">
        <f>"      1 / (1 - T)  =  (T from line "&amp;A155&amp;")"</f>
        <v xml:space="preserve">      1 / (1 - T)  =  (T from line 33)</v>
      </c>
      <c r="C159" s="4"/>
      <c r="D159" s="111">
        <f>IF(D124=0,0,1/(1-D155))</f>
        <v>1.3757447938377638</v>
      </c>
      <c r="E159" s="4"/>
      <c r="F159" s="3"/>
      <c r="G159" s="82"/>
      <c r="H159" s="4"/>
      <c r="I159" s="39"/>
      <c r="J159" s="4"/>
      <c r="K159" s="3"/>
    </row>
    <row r="160" spans="1:11">
      <c r="A160" s="57">
        <f t="shared" si="13"/>
        <v>38</v>
      </c>
      <c r="B160" s="22" t="s">
        <v>1226</v>
      </c>
      <c r="C160" s="4" t="s">
        <v>1227</v>
      </c>
      <c r="D160" s="39">
        <f>-'5-P3 Support'!K21</f>
        <v>-2271.533656401617</v>
      </c>
      <c r="E160" s="4"/>
      <c r="F160" s="3"/>
      <c r="G160" s="82"/>
      <c r="H160" s="4"/>
      <c r="I160" s="39"/>
      <c r="J160" s="4"/>
      <c r="K160" s="3"/>
    </row>
    <row r="161" spans="1:11">
      <c r="A161" s="57">
        <f t="shared" si="13"/>
        <v>39</v>
      </c>
      <c r="B161" s="22" t="s">
        <v>1228</v>
      </c>
      <c r="C161" s="4" t="s">
        <v>1229</v>
      </c>
      <c r="D161" s="39">
        <f>-'5-P3 Support'!L21</f>
        <v>-8287220.5408883775</v>
      </c>
      <c r="E161" s="4"/>
      <c r="F161" s="3"/>
      <c r="G161" s="87"/>
      <c r="H161" s="4"/>
      <c r="I161" s="39"/>
      <c r="J161" s="4"/>
      <c r="K161" s="3"/>
    </row>
    <row r="162" spans="1:11">
      <c r="A162" s="57">
        <f t="shared" si="13"/>
        <v>40</v>
      </c>
      <c r="B162" s="22" t="s">
        <v>281</v>
      </c>
      <c r="C162" s="4" t="s">
        <v>1016</v>
      </c>
      <c r="D162" s="39">
        <f>'5-P3 Support'!M21</f>
        <v>261839.198692178</v>
      </c>
      <c r="E162" s="4"/>
      <c r="F162" s="3"/>
      <c r="G162" s="82"/>
      <c r="H162" s="4"/>
      <c r="I162" s="39"/>
      <c r="J162" s="4"/>
      <c r="K162" s="3"/>
    </row>
    <row r="163" spans="1:11">
      <c r="A163" s="57">
        <f t="shared" si="13"/>
        <v>41</v>
      </c>
      <c r="B163" s="110" t="s">
        <v>236</v>
      </c>
      <c r="C163" s="112" t="str">
        <f>"(Line "&amp;A156&amp;" times Line "&amp;A170&amp;")"</f>
        <v>(Line 34 times Line 47)</v>
      </c>
      <c r="D163" s="113">
        <f>+D156*D170</f>
        <v>220800588.5627656</v>
      </c>
      <c r="E163" s="43"/>
      <c r="F163" s="43" t="s">
        <v>22</v>
      </c>
      <c r="G163" s="42"/>
      <c r="H163" s="43"/>
      <c r="I163" s="113">
        <f>+D156*I170</f>
        <v>28452313.738051321</v>
      </c>
      <c r="J163" s="4"/>
      <c r="K163" s="45" t="s">
        <v>2</v>
      </c>
    </row>
    <row r="164" spans="1:11">
      <c r="A164" s="57">
        <f t="shared" si="13"/>
        <v>42</v>
      </c>
      <c r="B164" s="3" t="s">
        <v>237</v>
      </c>
      <c r="C164" s="112" t="str">
        <f>"(Line "&amp;A159&amp;" times Line "&amp;A160&amp;")"</f>
        <v>(Line 37 times Line 38)</v>
      </c>
      <c r="D164" s="113">
        <f>+D$159*D160</f>
        <v>-3125.0506018217843</v>
      </c>
      <c r="E164" s="43"/>
      <c r="F164" s="114" t="s">
        <v>15</v>
      </c>
      <c r="G164" s="42">
        <v>1</v>
      </c>
      <c r="H164" s="43"/>
      <c r="I164" s="113">
        <f>+G164*D164</f>
        <v>-3125.0506018217843</v>
      </c>
      <c r="J164" s="4"/>
      <c r="K164" s="45"/>
    </row>
    <row r="165" spans="1:11">
      <c r="A165" s="57">
        <f t="shared" si="13"/>
        <v>43</v>
      </c>
      <c r="B165" s="3" t="s">
        <v>238</v>
      </c>
      <c r="C165" s="112" t="str">
        <f>"(Line "&amp;A159&amp;" times Line "&amp;A161&amp;")"</f>
        <v>(Line 37 times Line 39)</v>
      </c>
      <c r="D165" s="113">
        <f>+D$159*D161</f>
        <v>-11401100.514512563</v>
      </c>
      <c r="E165" s="43"/>
      <c r="F165" s="114" t="s">
        <v>15</v>
      </c>
      <c r="G165" s="42">
        <v>1</v>
      </c>
      <c r="H165" s="43"/>
      <c r="I165" s="113">
        <f>+G165*D165</f>
        <v>-11401100.514512563</v>
      </c>
      <c r="J165" s="4"/>
      <c r="K165" s="45"/>
    </row>
    <row r="166" spans="1:11" ht="13.5" thickBot="1">
      <c r="A166" s="57">
        <f t="shared" si="13"/>
        <v>44</v>
      </c>
      <c r="B166" s="3" t="s">
        <v>109</v>
      </c>
      <c r="C166" s="112" t="str">
        <f>"(Line "&amp;A159&amp;" times Line "&amp;A162&amp;")"</f>
        <v>(Line 37 times Line 40)</v>
      </c>
      <c r="D166" s="113">
        <f>+D$159*D162</f>
        <v>360223.91442341573</v>
      </c>
      <c r="E166" s="43"/>
      <c r="F166" s="114" t="s">
        <v>15</v>
      </c>
      <c r="G166" s="42">
        <v>1</v>
      </c>
      <c r="H166" s="43"/>
      <c r="I166" s="115">
        <f>+G166*D166</f>
        <v>360223.91442341573</v>
      </c>
      <c r="J166" s="4"/>
      <c r="K166" s="45"/>
    </row>
    <row r="167" spans="1:11">
      <c r="A167" s="57">
        <f t="shared" si="13"/>
        <v>45</v>
      </c>
      <c r="B167" s="110" t="s">
        <v>239</v>
      </c>
      <c r="C167" s="3" t="str">
        <f>"(Sum of Lines "&amp;A163&amp;" through "&amp;A166&amp;")"</f>
        <v>(Sum of Lines 41 through 44)</v>
      </c>
      <c r="D167" s="113">
        <f>SUM(D163:D166)</f>
        <v>209756586.91207463</v>
      </c>
      <c r="E167" s="43"/>
      <c r="F167" s="43" t="s">
        <v>2</v>
      </c>
      <c r="G167" s="116" t="s">
        <v>2</v>
      </c>
      <c r="H167" s="43"/>
      <c r="I167" s="113">
        <f>SUM(I163:I166)</f>
        <v>17408312.087360356</v>
      </c>
      <c r="J167" s="4"/>
      <c r="K167" s="4"/>
    </row>
    <row r="168" spans="1:11">
      <c r="A168" s="57"/>
      <c r="B168" s="3"/>
      <c r="C168" s="117"/>
      <c r="D168" s="39"/>
      <c r="E168" s="4"/>
      <c r="F168" s="4"/>
      <c r="G168" s="118"/>
      <c r="H168" s="4"/>
      <c r="I168" s="39"/>
      <c r="J168" s="4"/>
      <c r="K168" s="4"/>
    </row>
    <row r="169" spans="1:11">
      <c r="A169" s="57">
        <f>+A167+1</f>
        <v>46</v>
      </c>
      <c r="B169" s="22" t="s">
        <v>39</v>
      </c>
      <c r="J169" s="4"/>
      <c r="K169" s="3"/>
    </row>
    <row r="170" spans="1:11">
      <c r="A170" s="57">
        <f>A169+1</f>
        <v>47</v>
      </c>
      <c r="B170" s="110" t="s">
        <v>291</v>
      </c>
      <c r="C170" s="110" t="s">
        <v>1036</v>
      </c>
      <c r="D170" s="39">
        <f>+$I215*D104</f>
        <v>788446793.14356029</v>
      </c>
      <c r="E170" s="43"/>
      <c r="F170" s="43" t="s">
        <v>22</v>
      </c>
      <c r="G170" s="119"/>
      <c r="H170" s="43"/>
      <c r="I170" s="39">
        <f>+$I215*I104</f>
        <v>101599074.84985758</v>
      </c>
      <c r="K170" s="83"/>
    </row>
    <row r="171" spans="1:11">
      <c r="A171" s="57"/>
      <c r="B171" s="110"/>
      <c r="C171" s="110"/>
      <c r="D171" s="39"/>
      <c r="E171" s="43"/>
      <c r="F171" s="43"/>
      <c r="G171" s="119"/>
      <c r="H171" s="43"/>
      <c r="I171" s="39"/>
      <c r="K171" s="83"/>
    </row>
    <row r="172" spans="1:11">
      <c r="A172" s="57" t="s">
        <v>1123</v>
      </c>
      <c r="B172" s="22" t="s">
        <v>1230</v>
      </c>
      <c r="C172" s="3" t="s">
        <v>1231</v>
      </c>
      <c r="D172" s="53">
        <f>-'10 - Pension Asset Discount'!I20</f>
        <v>-1158534.3797202848</v>
      </c>
      <c r="E172" s="43"/>
      <c r="F172" s="43" t="s">
        <v>76</v>
      </c>
      <c r="G172" s="42">
        <v>1</v>
      </c>
      <c r="H172" s="43"/>
      <c r="I172" s="53">
        <f>D172*G172</f>
        <v>-1158534.3797202848</v>
      </c>
      <c r="J172" s="4"/>
      <c r="K172" s="83"/>
    </row>
    <row r="173" spans="1:11" ht="13.5" thickBot="1">
      <c r="A173" s="57">
        <f>A170+1</f>
        <v>48</v>
      </c>
      <c r="B173" s="22" t="s">
        <v>1232</v>
      </c>
      <c r="C173" s="1108" t="str">
        <f>"(Sum of Lines "&amp;A128&amp;", "&amp;A139&amp;", "&amp;A150&amp;", "&amp;A152&amp;", "&amp;A167&amp;", "&amp;A170&amp;"), (Note "&amp;A$265&amp;")"</f>
        <v>(Sum of Lines 12, 20, 30, 31, 45, 47), (Note ZZ)</v>
      </c>
      <c r="D173" s="120">
        <f>+D170+D167+D150+D139+D128+D152+D172</f>
        <v>1616282798.7509263</v>
      </c>
      <c r="E173" s="43"/>
      <c r="F173" s="43"/>
      <c r="G173" s="100"/>
      <c r="H173" s="43"/>
      <c r="I173" s="120">
        <f>+I170+I167+I150+I139+I128+I152+I172</f>
        <v>259570820.93319678</v>
      </c>
      <c r="J173" s="25"/>
      <c r="K173" s="25"/>
    </row>
    <row r="174" spans="1:11" ht="1.35" customHeight="1" thickTop="1">
      <c r="A174" s="57"/>
      <c r="B174" s="22"/>
      <c r="C174" s="4"/>
      <c r="D174" s="100"/>
      <c r="E174" s="43"/>
      <c r="F174" s="43"/>
      <c r="G174" s="100"/>
      <c r="H174" s="43"/>
      <c r="I174" s="53"/>
      <c r="J174" s="25"/>
      <c r="K174" s="25"/>
    </row>
    <row r="175" spans="1:11">
      <c r="A175" s="57"/>
      <c r="B175" s="121"/>
      <c r="C175" s="43"/>
      <c r="D175" s="100"/>
      <c r="E175" s="100"/>
      <c r="F175" s="100"/>
      <c r="G175" s="100"/>
      <c r="H175" s="100"/>
      <c r="I175" s="100"/>
      <c r="J175" s="25"/>
      <c r="K175" s="25"/>
    </row>
    <row r="176" spans="1:11">
      <c r="A176" s="24"/>
      <c r="B176" s="3"/>
      <c r="C176" s="3"/>
      <c r="D176" s="3"/>
      <c r="E176" s="3"/>
      <c r="F176" s="3"/>
      <c r="G176" s="3"/>
      <c r="H176" s="3"/>
      <c r="I176" s="3"/>
      <c r="J176" s="4"/>
      <c r="K176" s="102" t="s">
        <v>110</v>
      </c>
    </row>
    <row r="177" spans="1:11">
      <c r="A177" s="24"/>
      <c r="B177" s="3"/>
      <c r="C177" s="3"/>
      <c r="D177" s="3"/>
      <c r="E177" s="3"/>
      <c r="F177" s="3"/>
      <c r="G177" s="3"/>
      <c r="H177" s="3"/>
      <c r="I177" s="3"/>
      <c r="J177" s="4"/>
      <c r="K177" s="4"/>
    </row>
    <row r="178" spans="1:11">
      <c r="A178" s="24"/>
      <c r="B178" s="22" t="s">
        <v>1</v>
      </c>
      <c r="C178" s="3"/>
      <c r="D178" s="122" t="s">
        <v>72</v>
      </c>
      <c r="E178" s="3"/>
      <c r="F178" s="3"/>
      <c r="G178" s="3"/>
      <c r="H178" s="3"/>
      <c r="I178" s="18"/>
      <c r="J178" s="4"/>
      <c r="K178" s="123" t="str">
        <f>K3</f>
        <v>For  the 12 months ended 12/31/2025</v>
      </c>
    </row>
    <row r="179" spans="1:11">
      <c r="A179" s="24"/>
      <c r="B179" s="22"/>
      <c r="C179" s="3"/>
      <c r="D179" s="122" t="s">
        <v>98</v>
      </c>
      <c r="E179" s="3"/>
      <c r="F179" s="3"/>
      <c r="G179" s="3"/>
      <c r="H179" s="3"/>
      <c r="I179" s="3"/>
      <c r="J179" s="4"/>
      <c r="K179" s="4"/>
    </row>
    <row r="180" spans="1:11">
      <c r="A180" s="24"/>
      <c r="B180" s="3"/>
      <c r="C180" s="3"/>
      <c r="D180" s="122" t="str">
        <f>+D111</f>
        <v>PECO Energy Company</v>
      </c>
      <c r="E180" s="3"/>
      <c r="F180" s="3"/>
      <c r="G180" s="3"/>
      <c r="H180" s="3"/>
      <c r="I180" s="3"/>
      <c r="J180" s="4"/>
      <c r="K180" s="4"/>
    </row>
    <row r="181" spans="1:11">
      <c r="A181" s="1213"/>
      <c r="B181" s="1213"/>
      <c r="C181" s="1213"/>
      <c r="D181" s="1213"/>
      <c r="E181" s="1213"/>
      <c r="F181" s="1213"/>
      <c r="G181" s="1213"/>
      <c r="H181" s="1213"/>
      <c r="I181" s="1213"/>
      <c r="J181" s="1213"/>
      <c r="K181" s="1213"/>
    </row>
    <row r="182" spans="1:11" s="126" customFormat="1">
      <c r="A182" s="124"/>
      <c r="B182" s="24" t="s">
        <v>3</v>
      </c>
      <c r="C182" s="24" t="s">
        <v>4</v>
      </c>
      <c r="D182" s="24" t="s">
        <v>5</v>
      </c>
      <c r="E182" s="4" t="s">
        <v>2</v>
      </c>
      <c r="F182" s="4"/>
      <c r="G182" s="31" t="s">
        <v>6</v>
      </c>
      <c r="H182" s="4"/>
      <c r="I182" s="31" t="s">
        <v>7</v>
      </c>
      <c r="J182" s="125"/>
      <c r="K182" s="125"/>
    </row>
    <row r="183" spans="1:11">
      <c r="A183" s="24"/>
      <c r="B183" s="3"/>
      <c r="C183" s="22"/>
      <c r="D183" s="22"/>
      <c r="E183" s="22"/>
      <c r="F183" s="22"/>
      <c r="G183" s="22"/>
      <c r="H183" s="22"/>
      <c r="I183" s="22"/>
      <c r="J183" s="22"/>
      <c r="K183" s="22"/>
    </row>
    <row r="184" spans="1:11">
      <c r="A184" s="24"/>
      <c r="B184" s="3"/>
      <c r="C184" s="80" t="s">
        <v>40</v>
      </c>
      <c r="D184" s="3"/>
      <c r="E184" s="25"/>
      <c r="F184" s="25"/>
      <c r="G184" s="25"/>
      <c r="H184" s="25"/>
      <c r="I184" s="25"/>
      <c r="J184" s="4"/>
      <c r="K184" s="4"/>
    </row>
    <row r="185" spans="1:11">
      <c r="A185" s="24" t="s">
        <v>8</v>
      </c>
      <c r="B185" s="80"/>
      <c r="C185" s="25"/>
      <c r="D185" s="25"/>
      <c r="E185" s="25"/>
      <c r="F185" s="25"/>
      <c r="G185" s="25"/>
      <c r="H185" s="25"/>
      <c r="I185" s="25"/>
      <c r="J185" s="4"/>
      <c r="K185" s="4"/>
    </row>
    <row r="186" spans="1:11" ht="13.5" thickBot="1">
      <c r="A186" s="35" t="s">
        <v>10</v>
      </c>
      <c r="B186" s="22" t="s">
        <v>41</v>
      </c>
      <c r="C186" s="25"/>
      <c r="D186" s="25"/>
      <c r="E186" s="25"/>
      <c r="F186" s="25"/>
      <c r="G186" s="25"/>
      <c r="H186" s="3"/>
      <c r="I186" s="3"/>
      <c r="J186" s="4"/>
      <c r="K186" s="4"/>
    </row>
    <row r="187" spans="1:11">
      <c r="A187" s="24">
        <v>1</v>
      </c>
      <c r="B187" s="25" t="s">
        <v>230</v>
      </c>
      <c r="C187" s="25" t="s">
        <v>299</v>
      </c>
      <c r="D187" s="4"/>
      <c r="E187" s="4"/>
      <c r="F187" s="4"/>
      <c r="G187" s="4"/>
      <c r="H187" s="4"/>
      <c r="I187" s="39">
        <f>D47</f>
        <v>2103854685.3006194</v>
      </c>
      <c r="J187" s="4"/>
      <c r="K187" s="4"/>
    </row>
    <row r="188" spans="1:11">
      <c r="A188" s="24">
        <f>+A187+1</f>
        <v>2</v>
      </c>
      <c r="B188" s="25" t="s">
        <v>710</v>
      </c>
      <c r="C188" s="3" t="s">
        <v>228</v>
      </c>
      <c r="D188" s="3"/>
      <c r="E188" s="3"/>
      <c r="F188" s="3"/>
      <c r="G188" s="3"/>
      <c r="H188" s="3"/>
      <c r="I188" s="872">
        <v>0</v>
      </c>
      <c r="J188" s="4"/>
      <c r="K188" s="4"/>
    </row>
    <row r="189" spans="1:11" ht="13.5" thickBot="1">
      <c r="A189" s="24">
        <f>+A188+1</f>
        <v>3</v>
      </c>
      <c r="B189" s="127" t="s">
        <v>231</v>
      </c>
      <c r="C189" s="127" t="s">
        <v>229</v>
      </c>
      <c r="D189" s="18"/>
      <c r="E189" s="4"/>
      <c r="F189" s="4"/>
      <c r="G189" s="27"/>
      <c r="H189" s="4"/>
      <c r="I189" s="875">
        <v>0</v>
      </c>
      <c r="J189" s="4"/>
      <c r="K189" s="4"/>
    </row>
    <row r="190" spans="1:11">
      <c r="A190" s="24">
        <f t="shared" ref="A190" si="14">+A189+1</f>
        <v>4</v>
      </c>
      <c r="B190" s="25" t="s">
        <v>711</v>
      </c>
      <c r="C190" s="25" t="s">
        <v>232</v>
      </c>
      <c r="D190" s="4"/>
      <c r="E190" s="4"/>
      <c r="F190" s="4"/>
      <c r="G190" s="27"/>
      <c r="H190" s="4"/>
      <c r="I190" s="39">
        <f>I187-I188-I189</f>
        <v>2103854685.3006194</v>
      </c>
      <c r="J190" s="4"/>
      <c r="K190" s="4"/>
    </row>
    <row r="191" spans="1:11">
      <c r="A191" s="24"/>
      <c r="B191" s="3"/>
      <c r="C191" s="25"/>
      <c r="D191" s="4"/>
      <c r="E191" s="4"/>
      <c r="F191" s="4"/>
      <c r="G191" s="27"/>
      <c r="H191" s="4"/>
      <c r="I191" s="39"/>
      <c r="J191" s="4"/>
      <c r="K191" s="4"/>
    </row>
    <row r="192" spans="1:11">
      <c r="A192" s="24">
        <f>+A190+1</f>
        <v>5</v>
      </c>
      <c r="B192" s="25" t="s">
        <v>712</v>
      </c>
      <c r="C192" s="34" t="s">
        <v>233</v>
      </c>
      <c r="D192" s="30"/>
      <c r="E192" s="30"/>
      <c r="F192" s="30"/>
      <c r="G192" s="31"/>
      <c r="H192" s="4" t="s">
        <v>42</v>
      </c>
      <c r="I192" s="84">
        <f>IF(I187&gt;0,I190/I187,0)</f>
        <v>1</v>
      </c>
      <c r="J192" s="4"/>
      <c r="K192" s="4"/>
    </row>
    <row r="193" spans="1:11">
      <c r="A193" s="24"/>
      <c r="B193" s="3"/>
      <c r="C193" s="3"/>
      <c r="D193" s="3"/>
      <c r="E193" s="3"/>
      <c r="F193" s="3"/>
      <c r="G193" s="3"/>
      <c r="H193" s="3"/>
      <c r="I193" s="3"/>
      <c r="J193" s="3"/>
      <c r="K193" s="3"/>
    </row>
    <row r="194" spans="1:11">
      <c r="A194" s="24">
        <f>+A192+1</f>
        <v>6</v>
      </c>
      <c r="B194" s="22" t="s">
        <v>111</v>
      </c>
      <c r="C194" s="4"/>
      <c r="D194" s="4"/>
      <c r="E194" s="4"/>
      <c r="F194" s="4"/>
      <c r="G194" s="4"/>
      <c r="H194" s="4"/>
      <c r="I194" s="4"/>
      <c r="J194" s="4"/>
      <c r="K194" s="4"/>
    </row>
    <row r="195" spans="1:11" ht="13.5" thickBot="1">
      <c r="A195" s="24"/>
      <c r="B195" s="22"/>
      <c r="C195" s="128" t="s">
        <v>43</v>
      </c>
      <c r="D195" s="129" t="s">
        <v>44</v>
      </c>
      <c r="E195" s="129" t="s">
        <v>15</v>
      </c>
      <c r="F195" s="4"/>
      <c r="G195" s="129" t="s">
        <v>45</v>
      </c>
      <c r="H195" s="4"/>
      <c r="I195" s="4"/>
      <c r="J195" s="4"/>
      <c r="K195" s="4"/>
    </row>
    <row r="196" spans="1:11">
      <c r="A196" s="24">
        <f>+A194+1</f>
        <v>7</v>
      </c>
      <c r="B196" s="825" t="s">
        <v>1712</v>
      </c>
      <c r="C196" s="4" t="s">
        <v>46</v>
      </c>
      <c r="D196" s="872">
        <v>0</v>
      </c>
      <c r="E196" s="130">
        <v>0</v>
      </c>
      <c r="F196" s="131"/>
      <c r="G196" s="39">
        <f t="shared" ref="G196:G197" si="15">D196*E196</f>
        <v>0</v>
      </c>
      <c r="H196" s="43"/>
      <c r="I196" s="43"/>
      <c r="J196" s="4"/>
      <c r="K196" s="4"/>
    </row>
    <row r="197" spans="1:11">
      <c r="A197" s="24" t="s">
        <v>1708</v>
      </c>
      <c r="B197" s="825" t="s">
        <v>1709</v>
      </c>
      <c r="C197" s="4" t="s">
        <v>1717</v>
      </c>
      <c r="D197" s="872">
        <v>234362</v>
      </c>
      <c r="E197" s="130">
        <v>0</v>
      </c>
      <c r="F197" s="131"/>
      <c r="G197" s="39">
        <f t="shared" si="15"/>
        <v>0</v>
      </c>
      <c r="H197" s="43"/>
      <c r="I197" s="43"/>
      <c r="J197" s="4"/>
      <c r="K197" s="4"/>
    </row>
    <row r="198" spans="1:11">
      <c r="A198" s="24">
        <f>+A196+1</f>
        <v>8</v>
      </c>
      <c r="B198" s="825" t="s">
        <v>1710</v>
      </c>
      <c r="C198" s="4" t="s">
        <v>272</v>
      </c>
      <c r="D198" s="872">
        <v>9512134</v>
      </c>
      <c r="E198" s="130">
        <f>+I192</f>
        <v>1</v>
      </c>
      <c r="F198" s="131"/>
      <c r="G198" s="39">
        <f>D198*E198</f>
        <v>9512134</v>
      </c>
      <c r="H198" s="43"/>
      <c r="I198" s="43"/>
      <c r="J198" s="4"/>
      <c r="K198" s="4"/>
    </row>
    <row r="199" spans="1:11">
      <c r="A199" s="24" t="s">
        <v>1711</v>
      </c>
      <c r="B199" s="825" t="s">
        <v>1713</v>
      </c>
      <c r="C199" s="4" t="s">
        <v>1717</v>
      </c>
      <c r="D199" s="872">
        <v>12084936</v>
      </c>
      <c r="E199" s="130">
        <v>1</v>
      </c>
      <c r="F199" s="131"/>
      <c r="G199" s="39">
        <f t="shared" ref="G199:G205" si="16">D199*E199</f>
        <v>12084936</v>
      </c>
      <c r="H199" s="43"/>
      <c r="I199" s="43"/>
      <c r="J199" s="4"/>
      <c r="K199" s="4"/>
    </row>
    <row r="200" spans="1:11">
      <c r="A200" s="24">
        <f>+A198+1</f>
        <v>9</v>
      </c>
      <c r="B200" s="825" t="s">
        <v>1723</v>
      </c>
      <c r="C200" s="4" t="s">
        <v>95</v>
      </c>
      <c r="D200" s="872">
        <v>100377257</v>
      </c>
      <c r="E200" s="130">
        <v>0</v>
      </c>
      <c r="F200" s="131"/>
      <c r="G200" s="39">
        <f t="shared" si="16"/>
        <v>0</v>
      </c>
      <c r="H200" s="43"/>
      <c r="J200" s="4"/>
      <c r="K200" s="4"/>
    </row>
    <row r="201" spans="1:11">
      <c r="A201" s="24" t="s">
        <v>1714</v>
      </c>
      <c r="B201" s="825" t="s">
        <v>1715</v>
      </c>
      <c r="C201" s="4" t="s">
        <v>1717</v>
      </c>
      <c r="D201" s="872">
        <v>6568929</v>
      </c>
      <c r="E201" s="130">
        <v>0</v>
      </c>
      <c r="F201" s="131"/>
      <c r="G201" s="39">
        <f t="shared" si="16"/>
        <v>0</v>
      </c>
      <c r="H201" s="43"/>
      <c r="J201" s="4"/>
      <c r="K201" s="4"/>
    </row>
    <row r="202" spans="1:11">
      <c r="A202" s="24" t="s">
        <v>1330</v>
      </c>
      <c r="B202" s="825" t="s">
        <v>1764</v>
      </c>
      <c r="C202" s="1108" t="s">
        <v>1765</v>
      </c>
      <c r="D202" s="872">
        <v>0</v>
      </c>
      <c r="E202" s="130">
        <v>0</v>
      </c>
      <c r="F202" s="131"/>
      <c r="G202" s="39">
        <f>D202*E202</f>
        <v>0</v>
      </c>
      <c r="H202" s="43"/>
      <c r="J202" s="4"/>
      <c r="K202" s="4"/>
    </row>
    <row r="203" spans="1:11">
      <c r="A203" s="24" t="s">
        <v>1763</v>
      </c>
      <c r="B203" s="825" t="s">
        <v>1766</v>
      </c>
      <c r="C203" s="1108" t="s">
        <v>1767</v>
      </c>
      <c r="D203" s="872">
        <v>0</v>
      </c>
      <c r="E203" s="130">
        <v>0</v>
      </c>
      <c r="F203" s="131"/>
      <c r="G203" s="39">
        <f>D203*E203</f>
        <v>0</v>
      </c>
      <c r="H203" s="43"/>
      <c r="J203" s="4"/>
      <c r="K203" s="4"/>
    </row>
    <row r="204" spans="1:11">
      <c r="A204" s="24">
        <f>+A200+1</f>
        <v>10</v>
      </c>
      <c r="B204" s="825" t="s">
        <v>1716</v>
      </c>
      <c r="C204" s="4" t="s">
        <v>273</v>
      </c>
      <c r="D204" s="879">
        <f>36981690+1362428+218857</f>
        <v>38562975</v>
      </c>
      <c r="E204" s="130">
        <v>0</v>
      </c>
      <c r="F204" s="131"/>
      <c r="G204" s="39">
        <f t="shared" si="16"/>
        <v>0</v>
      </c>
      <c r="H204" s="43"/>
      <c r="I204" s="132" t="s">
        <v>47</v>
      </c>
      <c r="J204" s="4"/>
      <c r="K204" s="4"/>
    </row>
    <row r="205" spans="1:11" ht="13.5" thickBot="1">
      <c r="A205" s="24" t="s">
        <v>1352</v>
      </c>
      <c r="B205" s="825" t="s">
        <v>1718</v>
      </c>
      <c r="C205" s="4" t="s">
        <v>1717</v>
      </c>
      <c r="D205" s="875">
        <f>3631882+1187759+0</f>
        <v>4819641</v>
      </c>
      <c r="E205" s="130"/>
      <c r="F205" s="131"/>
      <c r="G205" s="46">
        <f t="shared" si="16"/>
        <v>0</v>
      </c>
      <c r="H205" s="43"/>
      <c r="I205" s="1103" t="s">
        <v>48</v>
      </c>
      <c r="J205" s="4"/>
      <c r="K205" s="4"/>
    </row>
    <row r="206" spans="1:11">
      <c r="A206" s="24">
        <f>+A204+1</f>
        <v>11</v>
      </c>
      <c r="B206" s="22" t="s">
        <v>368</v>
      </c>
      <c r="C206" s="4" t="s">
        <v>234</v>
      </c>
      <c r="D206" s="39">
        <f>SUM(D196:D205)</f>
        <v>172160234</v>
      </c>
      <c r="E206" s="4"/>
      <c r="F206" s="4"/>
      <c r="G206" s="39">
        <f>SUM(G196:G204)</f>
        <v>21597070</v>
      </c>
      <c r="H206" s="133"/>
      <c r="I206" s="42">
        <f>IF(G206&gt;0,G206/D206,0)</f>
        <v>0.12544749445449754</v>
      </c>
      <c r="J206" s="27" t="s">
        <v>49</v>
      </c>
      <c r="K206" s="4" t="s">
        <v>50</v>
      </c>
    </row>
    <row r="207" spans="1:11">
      <c r="A207" s="24"/>
      <c r="B207" s="22" t="s">
        <v>2</v>
      </c>
      <c r="C207" s="4" t="s">
        <v>2</v>
      </c>
      <c r="D207" s="3"/>
      <c r="E207" s="4"/>
      <c r="F207" s="4"/>
      <c r="G207" s="3"/>
      <c r="H207" s="3"/>
      <c r="I207" s="3"/>
      <c r="J207" s="3"/>
      <c r="K207" s="4"/>
    </row>
    <row r="209" spans="1:11" ht="13.5" thickBot="1">
      <c r="A209" s="24">
        <f>A206+1</f>
        <v>12</v>
      </c>
      <c r="B209" s="22" t="s">
        <v>51</v>
      </c>
      <c r="C209" s="4" t="s">
        <v>250</v>
      </c>
      <c r="D209" s="4"/>
      <c r="E209" s="4"/>
      <c r="F209" s="4"/>
      <c r="G209" s="4"/>
      <c r="H209" s="4"/>
      <c r="I209" s="129" t="s">
        <v>44</v>
      </c>
      <c r="J209" s="4"/>
      <c r="K209" s="4"/>
    </row>
    <row r="210" spans="1:11">
      <c r="A210" s="24">
        <f t="shared" ref="A210:A215" si="17">+A209+1</f>
        <v>13</v>
      </c>
      <c r="B210" s="22"/>
      <c r="C210" s="4"/>
      <c r="D210" s="4"/>
      <c r="E210" s="4"/>
      <c r="F210" s="4"/>
      <c r="G210" s="27" t="s">
        <v>52</v>
      </c>
      <c r="H210" s="4"/>
      <c r="I210" s="4"/>
      <c r="J210" s="4"/>
      <c r="K210" s="4"/>
    </row>
    <row r="211" spans="1:11" ht="13.5" thickBot="1">
      <c r="A211" s="24">
        <f t="shared" si="17"/>
        <v>14</v>
      </c>
      <c r="B211" s="22"/>
      <c r="C211" s="4"/>
      <c r="D211" s="35" t="s">
        <v>44</v>
      </c>
      <c r="E211" s="35" t="s">
        <v>53</v>
      </c>
      <c r="F211" s="4"/>
      <c r="G211" s="122" t="str">
        <f>"(Notes "&amp;A248&amp;", "&amp;A254&amp;", &amp; "&amp;A255&amp;")"</f>
        <v>(Notes K, Q, &amp; R)</v>
      </c>
      <c r="H211" s="4"/>
      <c r="I211" s="35" t="s">
        <v>54</v>
      </c>
      <c r="J211" s="4"/>
      <c r="K211" s="4"/>
    </row>
    <row r="212" spans="1:11">
      <c r="A212" s="24">
        <f t="shared" si="17"/>
        <v>15</v>
      </c>
      <c r="B212" s="22" t="s">
        <v>235</v>
      </c>
      <c r="C212" s="3" t="s">
        <v>763</v>
      </c>
      <c r="D212" s="33">
        <f>+'5-P3 Support'!F42</f>
        <v>5561341685.9230766</v>
      </c>
      <c r="E212" s="82">
        <f>+'5-P3 Support'!G42</f>
        <v>0.45726401826321128</v>
      </c>
      <c r="F212" s="41"/>
      <c r="G212" s="84">
        <f>+'5-P3 Support'!I42</f>
        <v>4.1980254408923098E-2</v>
      </c>
      <c r="H212" s="42"/>
      <c r="I212" s="82">
        <f>+'5-P3 Support'!K42</f>
        <v>1.9196059818736066E-2</v>
      </c>
      <c r="J212" s="104" t="s">
        <v>55</v>
      </c>
      <c r="K212" s="3"/>
    </row>
    <row r="213" spans="1:11">
      <c r="A213" s="24">
        <f t="shared" si="17"/>
        <v>16</v>
      </c>
      <c r="B213" s="22" t="s">
        <v>112</v>
      </c>
      <c r="C213" s="3" t="s">
        <v>764</v>
      </c>
      <c r="D213" s="33">
        <f>+'5-P3 Support'!F43</f>
        <v>0</v>
      </c>
      <c r="E213" s="82">
        <f>+'5-P3 Support'!G43</f>
        <v>0</v>
      </c>
      <c r="F213" s="41"/>
      <c r="G213" s="84">
        <f>+'5-P3 Support'!I43</f>
        <v>0</v>
      </c>
      <c r="H213" s="42"/>
      <c r="I213" s="82">
        <f>+'5-P3 Support'!K43</f>
        <v>0</v>
      </c>
      <c r="J213" s="4"/>
      <c r="K213" s="3"/>
    </row>
    <row r="214" spans="1:11" ht="13.5" thickBot="1">
      <c r="A214" s="24">
        <f t="shared" si="17"/>
        <v>17</v>
      </c>
      <c r="B214" s="22" t="s">
        <v>279</v>
      </c>
      <c r="C214" s="3" t="s">
        <v>765</v>
      </c>
      <c r="D214" s="36">
        <f>+'5-P3 Support'!F44</f>
        <v>6600869780.1053848</v>
      </c>
      <c r="E214" s="134">
        <f>+'5-P3 Support'!G44</f>
        <v>0.54273598173678872</v>
      </c>
      <c r="F214" s="135"/>
      <c r="G214" s="84">
        <f>+'5-P3 Support'!I44</f>
        <v>0.10349999999999999</v>
      </c>
      <c r="H214" s="42"/>
      <c r="I214" s="134">
        <f>+'5-P3 Support'!K44</f>
        <v>5.6173174109757633E-2</v>
      </c>
      <c r="J214" s="4"/>
      <c r="K214" s="3"/>
    </row>
    <row r="215" spans="1:11">
      <c r="A215" s="24">
        <f t="shared" si="17"/>
        <v>18</v>
      </c>
      <c r="B215" s="22" t="s">
        <v>227</v>
      </c>
      <c r="C215" s="3" t="s">
        <v>1017</v>
      </c>
      <c r="D215" s="33">
        <f>+'5-P3 Support'!F45</f>
        <v>12162211466.028461</v>
      </c>
      <c r="E215" s="4" t="s">
        <v>2</v>
      </c>
      <c r="F215" s="4"/>
      <c r="G215" s="42"/>
      <c r="H215" s="42"/>
      <c r="I215" s="82">
        <f>+'5-P3 Support'!K45</f>
        <v>7.5369233928493706E-2</v>
      </c>
      <c r="J215" s="104" t="s">
        <v>56</v>
      </c>
      <c r="K215" s="3"/>
    </row>
    <row r="221" spans="1:11">
      <c r="A221" s="24"/>
      <c r="B221" s="23"/>
      <c r="C221" s="24"/>
      <c r="D221" s="4"/>
      <c r="E221" s="4"/>
      <c r="F221" s="4"/>
      <c r="G221" s="4"/>
      <c r="H221" s="25"/>
      <c r="I221" s="5"/>
      <c r="J221" s="4"/>
      <c r="K221" s="4"/>
    </row>
    <row r="222" spans="1:11">
      <c r="A222" s="24"/>
      <c r="B222" s="23"/>
      <c r="C222" s="24"/>
      <c r="D222" s="4"/>
      <c r="E222" s="4"/>
      <c r="F222" s="4"/>
      <c r="G222" s="4"/>
      <c r="H222" s="25"/>
      <c r="I222" s="5"/>
      <c r="J222" s="4"/>
      <c r="K222" s="4"/>
    </row>
    <row r="223" spans="1:11">
      <c r="A223" s="24"/>
      <c r="B223" s="22"/>
      <c r="C223" s="25"/>
      <c r="D223" s="4"/>
      <c r="E223" s="4"/>
      <c r="F223" s="4"/>
      <c r="G223" s="4"/>
      <c r="H223" s="25"/>
      <c r="I223" s="4"/>
      <c r="J223" s="25"/>
      <c r="K223" s="102" t="s">
        <v>113</v>
      </c>
    </row>
    <row r="224" spans="1:11">
      <c r="A224" s="24"/>
      <c r="B224" s="22"/>
      <c r="C224" s="25"/>
      <c r="D224" s="4"/>
      <c r="E224" s="4"/>
      <c r="F224" s="4"/>
      <c r="G224" s="4"/>
      <c r="H224" s="25"/>
      <c r="I224" s="4"/>
      <c r="J224" s="25"/>
      <c r="K224" s="4"/>
    </row>
    <row r="225" spans="1:15">
      <c r="A225" s="24"/>
      <c r="B225" s="23" t="s">
        <v>1</v>
      </c>
      <c r="C225" s="24"/>
      <c r="D225" s="27" t="s">
        <v>72</v>
      </c>
      <c r="E225" s="4"/>
      <c r="F225" s="4"/>
      <c r="G225" s="4"/>
      <c r="H225" s="25"/>
      <c r="I225" s="18"/>
      <c r="J225" s="3"/>
      <c r="K225" s="136" t="str">
        <f>K3</f>
        <v>For  the 12 months ended 12/31/2025</v>
      </c>
    </row>
    <row r="226" spans="1:15">
      <c r="A226" s="24"/>
      <c r="B226" s="23"/>
      <c r="C226" s="24"/>
      <c r="D226" s="27" t="s">
        <v>98</v>
      </c>
      <c r="E226" s="4"/>
      <c r="F226" s="4"/>
      <c r="G226" s="4"/>
      <c r="H226" s="25"/>
      <c r="I226" s="72"/>
      <c r="J226" s="3"/>
      <c r="K226" s="4"/>
    </row>
    <row r="227" spans="1:15">
      <c r="A227" s="24"/>
      <c r="B227" s="23"/>
      <c r="C227" s="24"/>
      <c r="D227" s="27" t="str">
        <f>+D180</f>
        <v>PECO Energy Company</v>
      </c>
      <c r="E227" s="4"/>
      <c r="F227" s="4"/>
      <c r="G227" s="4"/>
      <c r="H227" s="25"/>
      <c r="I227" s="72"/>
      <c r="J227" s="3"/>
      <c r="K227" s="4"/>
    </row>
    <row r="228" spans="1:15">
      <c r="A228" s="1213"/>
      <c r="B228" s="1213"/>
      <c r="C228" s="1213"/>
      <c r="D228" s="1213"/>
      <c r="E228" s="1213"/>
      <c r="F228" s="1213"/>
      <c r="G228" s="1213"/>
      <c r="H228" s="1213"/>
      <c r="I228" s="1213"/>
      <c r="J228" s="1213"/>
      <c r="K228" s="1213"/>
      <c r="O228" s="280"/>
    </row>
    <row r="229" spans="1:15">
      <c r="A229" s="24"/>
      <c r="B229" s="23"/>
      <c r="C229" s="24"/>
      <c r="D229" s="4"/>
      <c r="E229" s="4"/>
      <c r="F229" s="4"/>
      <c r="G229" s="4"/>
      <c r="H229" s="25"/>
      <c r="I229" s="72"/>
      <c r="J229" s="3"/>
      <c r="K229" s="4"/>
    </row>
    <row r="230" spans="1:15">
      <c r="A230" s="24"/>
      <c r="B230" s="22" t="s">
        <v>57</v>
      </c>
      <c r="C230" s="24"/>
      <c r="D230" s="4"/>
      <c r="E230" s="4"/>
      <c r="F230" s="4"/>
      <c r="G230" s="4"/>
      <c r="H230" s="25"/>
      <c r="I230" s="4"/>
      <c r="J230" s="25"/>
      <c r="K230" s="4"/>
    </row>
    <row r="231" spans="1:15">
      <c r="A231" s="24"/>
      <c r="B231" s="22" t="s">
        <v>1172</v>
      </c>
      <c r="C231" s="24"/>
      <c r="D231" s="4"/>
      <c r="E231" s="4"/>
      <c r="F231" s="4"/>
      <c r="G231" s="4"/>
      <c r="H231" s="25"/>
      <c r="I231" s="4"/>
      <c r="J231" s="25"/>
      <c r="K231" s="4"/>
    </row>
    <row r="232" spans="1:15">
      <c r="A232" s="24"/>
      <c r="B232" s="22"/>
      <c r="C232" s="25"/>
      <c r="D232" s="4"/>
      <c r="E232" s="4"/>
      <c r="F232" s="4"/>
      <c r="G232" s="4"/>
      <c r="H232" s="25"/>
      <c r="I232" s="4"/>
      <c r="J232" s="25"/>
      <c r="K232" s="4"/>
    </row>
    <row r="233" spans="1:15" ht="13.5" thickBot="1">
      <c r="A233" s="35" t="s">
        <v>182</v>
      </c>
      <c r="B233" s="1214"/>
      <c r="C233" s="1214"/>
      <c r="D233" s="137"/>
      <c r="E233" s="137"/>
      <c r="F233" s="137"/>
      <c r="G233" s="137"/>
      <c r="H233" s="138"/>
      <c r="I233" s="137"/>
      <c r="J233" s="138"/>
      <c r="K233" s="137"/>
    </row>
    <row r="234" spans="1:15">
      <c r="A234" s="138" t="s">
        <v>183</v>
      </c>
      <c r="B234" s="1208" t="s">
        <v>369</v>
      </c>
      <c r="C234" s="1208"/>
      <c r="D234" s="1208"/>
      <c r="E234" s="1208"/>
      <c r="F234" s="1208"/>
      <c r="G234" s="1208"/>
      <c r="H234" s="1208"/>
      <c r="I234" s="1208"/>
      <c r="J234" s="1208"/>
      <c r="K234" s="1208"/>
    </row>
    <row r="235" spans="1:15" ht="29.25" customHeight="1">
      <c r="A235" s="138" t="s">
        <v>184</v>
      </c>
      <c r="B235" s="1208" t="s">
        <v>355</v>
      </c>
      <c r="C235" s="1208"/>
      <c r="D235" s="1208"/>
      <c r="E235" s="1208"/>
      <c r="F235" s="1208"/>
      <c r="G235" s="1208"/>
      <c r="H235" s="1208"/>
      <c r="I235" s="1208"/>
      <c r="J235" s="1208"/>
      <c r="K235" s="1208"/>
    </row>
    <row r="236" spans="1:15">
      <c r="A236" s="138" t="s">
        <v>60</v>
      </c>
      <c r="B236" s="1209" t="s">
        <v>369</v>
      </c>
      <c r="C236" s="1210"/>
      <c r="D236" s="1210"/>
      <c r="E236" s="1210"/>
      <c r="F236" s="1210"/>
      <c r="G236" s="1210"/>
      <c r="H236" s="1210"/>
      <c r="I236" s="1210"/>
      <c r="J236" s="1210"/>
      <c r="K236" s="1210"/>
    </row>
    <row r="237" spans="1:15" ht="17.45" customHeight="1">
      <c r="A237" s="138" t="s">
        <v>61</v>
      </c>
      <c r="B237" s="1208" t="s">
        <v>1234</v>
      </c>
      <c r="C237" s="1208"/>
      <c r="D237" s="1208"/>
      <c r="E237" s="1208"/>
      <c r="F237" s="1208"/>
      <c r="G237" s="1208"/>
      <c r="H237" s="1208"/>
      <c r="I237" s="1208"/>
      <c r="J237" s="1208"/>
      <c r="K237" s="1208"/>
    </row>
    <row r="238" spans="1:15" ht="74.45" customHeight="1">
      <c r="A238" s="138" t="s">
        <v>62</v>
      </c>
      <c r="B238" s="1208" t="s">
        <v>1287</v>
      </c>
      <c r="C238" s="1208"/>
      <c r="D238" s="1208"/>
      <c r="E238" s="1208"/>
      <c r="F238" s="1208"/>
      <c r="G238" s="1208"/>
      <c r="H238" s="1208"/>
      <c r="I238" s="1208"/>
      <c r="J238" s="1208"/>
      <c r="K238" s="1208"/>
    </row>
    <row r="239" spans="1:15" ht="30" customHeight="1">
      <c r="A239" s="138" t="s">
        <v>63</v>
      </c>
      <c r="B239" s="1208" t="s">
        <v>114</v>
      </c>
      <c r="C239" s="1208"/>
      <c r="D239" s="1208"/>
      <c r="E239" s="1208"/>
      <c r="F239" s="1208"/>
      <c r="G239" s="1208"/>
      <c r="H239" s="1208"/>
      <c r="I239" s="1208"/>
      <c r="J239" s="1208"/>
      <c r="K239" s="1208"/>
    </row>
    <row r="240" spans="1:15" ht="45.75" customHeight="1">
      <c r="A240" s="138" t="s">
        <v>64</v>
      </c>
      <c r="B240" s="1208" t="s">
        <v>430</v>
      </c>
      <c r="C240" s="1208"/>
      <c r="D240" s="1208"/>
      <c r="E240" s="1208"/>
      <c r="F240" s="1208"/>
      <c r="G240" s="1208"/>
      <c r="H240" s="1208"/>
      <c r="I240" s="1208"/>
      <c r="J240" s="1208"/>
      <c r="K240" s="1208"/>
    </row>
    <row r="241" spans="1:11">
      <c r="A241" s="138"/>
      <c r="B241" s="139" t="s">
        <v>68</v>
      </c>
      <c r="C241" s="139" t="s">
        <v>69</v>
      </c>
      <c r="D241" s="1057">
        <v>0.21</v>
      </c>
      <c r="E241" s="139"/>
      <c r="F241" s="139"/>
      <c r="G241" s="139"/>
      <c r="H241" s="139"/>
      <c r="I241" s="139"/>
      <c r="J241" s="139"/>
      <c r="K241" s="139"/>
    </row>
    <row r="242" spans="1:11">
      <c r="A242" s="138"/>
      <c r="B242" s="139"/>
      <c r="C242" s="139" t="s">
        <v>70</v>
      </c>
      <c r="D242" s="1058">
        <v>7.9899999999999999E-2</v>
      </c>
      <c r="E242" s="139" t="s">
        <v>115</v>
      </c>
      <c r="F242" s="139"/>
      <c r="G242" s="139"/>
      <c r="H242" s="139"/>
      <c r="I242" s="139"/>
      <c r="J242" s="139"/>
      <c r="K242" s="139"/>
    </row>
    <row r="243" spans="1:11">
      <c r="A243" s="138"/>
      <c r="B243" s="139"/>
      <c r="C243" s="139" t="s">
        <v>71</v>
      </c>
      <c r="D243" s="140">
        <v>0</v>
      </c>
      <c r="E243" s="139" t="s">
        <v>116</v>
      </c>
      <c r="F243" s="139"/>
      <c r="G243" s="139"/>
      <c r="H243" s="139"/>
      <c r="I243" s="139"/>
      <c r="J243" s="139"/>
      <c r="K243" s="139"/>
    </row>
    <row r="244" spans="1:11">
      <c r="A244" s="138"/>
      <c r="B244" s="139"/>
      <c r="C244" s="139"/>
      <c r="D244" s="141"/>
      <c r="E244" s="139"/>
      <c r="F244" s="139"/>
      <c r="G244" s="139"/>
      <c r="H244" s="139"/>
      <c r="I244" s="139"/>
      <c r="J244" s="139"/>
      <c r="K244" s="139"/>
    </row>
    <row r="245" spans="1:11" ht="19.5" customHeight="1">
      <c r="A245" s="138" t="s">
        <v>65</v>
      </c>
      <c r="B245" s="1208" t="s">
        <v>118</v>
      </c>
      <c r="C245" s="1208"/>
      <c r="D245" s="1208"/>
      <c r="E245" s="1208"/>
      <c r="F245" s="1208"/>
      <c r="G245" s="1208"/>
      <c r="H245" s="1208"/>
      <c r="I245" s="1208"/>
      <c r="J245" s="1208"/>
      <c r="K245" s="1208"/>
    </row>
    <row r="246" spans="1:11" ht="31.5" customHeight="1">
      <c r="A246" s="138" t="s">
        <v>66</v>
      </c>
      <c r="B246" s="1208" t="s">
        <v>119</v>
      </c>
      <c r="C246" s="1208"/>
      <c r="D246" s="1208"/>
      <c r="E246" s="1208"/>
      <c r="F246" s="1208"/>
      <c r="G246" s="1208"/>
      <c r="H246" s="1208"/>
      <c r="I246" s="1208"/>
      <c r="J246" s="1208"/>
      <c r="K246" s="1208"/>
    </row>
    <row r="247" spans="1:11">
      <c r="A247" s="138" t="s">
        <v>67</v>
      </c>
      <c r="B247" s="1209" t="s">
        <v>369</v>
      </c>
      <c r="C247" s="1210"/>
      <c r="D247" s="1210"/>
      <c r="E247" s="1210"/>
      <c r="F247" s="1210"/>
      <c r="G247" s="1210"/>
      <c r="H247" s="1210"/>
      <c r="I247" s="1210"/>
      <c r="J247" s="1210"/>
      <c r="K247" s="1210"/>
    </row>
    <row r="248" spans="1:11" ht="29.1" customHeight="1">
      <c r="A248" s="138" t="s">
        <v>99</v>
      </c>
      <c r="B248" s="1208" t="s">
        <v>1281</v>
      </c>
      <c r="C248" s="1208"/>
      <c r="D248" s="1208"/>
      <c r="E248" s="1208"/>
      <c r="F248" s="1208"/>
      <c r="G248" s="1208"/>
      <c r="H248" s="1208"/>
      <c r="I248" s="1208"/>
      <c r="J248" s="1208"/>
      <c r="K248" s="1208"/>
    </row>
    <row r="249" spans="1:11">
      <c r="A249" s="138" t="s">
        <v>185</v>
      </c>
      <c r="B249" s="1208" t="s">
        <v>369</v>
      </c>
      <c r="C249" s="1208"/>
      <c r="D249" s="1208"/>
      <c r="E249" s="1208"/>
      <c r="F249" s="1208"/>
      <c r="G249" s="1208"/>
      <c r="H249" s="1208"/>
      <c r="I249" s="1208"/>
      <c r="J249" s="1208"/>
      <c r="K249" s="1208"/>
    </row>
    <row r="250" spans="1:11">
      <c r="A250" s="138" t="s">
        <v>117</v>
      </c>
      <c r="B250" s="142" t="s">
        <v>369</v>
      </c>
      <c r="C250" s="143"/>
      <c r="D250" s="143"/>
      <c r="E250" s="143"/>
      <c r="F250" s="143"/>
      <c r="G250" s="143"/>
      <c r="H250" s="143"/>
      <c r="I250" s="143"/>
      <c r="J250" s="143"/>
      <c r="K250" s="143"/>
    </row>
    <row r="251" spans="1:11">
      <c r="A251" s="138" t="s">
        <v>186</v>
      </c>
      <c r="B251" s="1211" t="s">
        <v>1363</v>
      </c>
      <c r="C251" s="1211"/>
      <c r="D251" s="1211"/>
      <c r="E251" s="1211"/>
      <c r="F251" s="1211"/>
      <c r="G251" s="1211"/>
      <c r="H251" s="1211"/>
      <c r="I251" s="1211"/>
      <c r="J251" s="1211"/>
      <c r="K251" s="1211"/>
    </row>
    <row r="252" spans="1:11" ht="28.35" customHeight="1">
      <c r="A252" s="138" t="s">
        <v>120</v>
      </c>
      <c r="B252" s="1211" t="s">
        <v>1361</v>
      </c>
      <c r="C252" s="1211"/>
      <c r="D252" s="1211"/>
      <c r="E252" s="1211"/>
      <c r="F252" s="1211"/>
      <c r="G252" s="1211"/>
      <c r="H252" s="1211"/>
      <c r="I252" s="1211"/>
      <c r="J252" s="1211"/>
      <c r="K252" s="1211"/>
    </row>
    <row r="253" spans="1:11" ht="13.35" customHeight="1">
      <c r="A253" s="138" t="s">
        <v>121</v>
      </c>
      <c r="B253" s="1211" t="s">
        <v>1362</v>
      </c>
      <c r="C253" s="1211"/>
      <c r="D253" s="1211"/>
      <c r="E253" s="1211"/>
      <c r="F253" s="1211"/>
      <c r="G253" s="1211"/>
      <c r="H253" s="1211"/>
      <c r="I253" s="1211"/>
      <c r="J253" s="1211"/>
      <c r="K253" s="1211"/>
    </row>
    <row r="254" spans="1:11">
      <c r="A254" s="138" t="s">
        <v>122</v>
      </c>
      <c r="B254" s="1211" t="s">
        <v>1112</v>
      </c>
      <c r="C254" s="1211"/>
      <c r="D254" s="1211"/>
      <c r="E254" s="1211"/>
      <c r="F254" s="1211"/>
      <c r="G254" s="1211"/>
      <c r="H254" s="1211"/>
      <c r="I254" s="1211"/>
      <c r="J254" s="1211"/>
      <c r="K254" s="1211"/>
    </row>
    <row r="255" spans="1:11">
      <c r="A255" s="138" t="s">
        <v>123</v>
      </c>
      <c r="B255" s="1207" t="s">
        <v>1173</v>
      </c>
      <c r="C255" s="1207"/>
      <c r="D255" s="1207"/>
      <c r="E255" s="1207"/>
      <c r="F255" s="1207"/>
      <c r="G255" s="1207"/>
      <c r="H255" s="1207"/>
      <c r="I255" s="1207"/>
      <c r="J255" s="1207"/>
      <c r="K255" s="1207"/>
    </row>
    <row r="256" spans="1:11">
      <c r="A256" s="138" t="s">
        <v>124</v>
      </c>
      <c r="B256" s="1216" t="s">
        <v>1289</v>
      </c>
      <c r="C256" s="1216"/>
      <c r="D256" s="1216"/>
      <c r="E256" s="1216"/>
      <c r="F256" s="1216"/>
      <c r="G256" s="1216"/>
      <c r="H256" s="1216"/>
      <c r="I256" s="1216"/>
      <c r="J256" s="1216"/>
      <c r="K256" s="1216"/>
    </row>
    <row r="257" spans="1:11" s="126" customFormat="1" ht="26.1" customHeight="1">
      <c r="A257" s="138" t="s">
        <v>125</v>
      </c>
      <c r="B257" s="1215" t="s">
        <v>1282</v>
      </c>
      <c r="C257" s="1215"/>
      <c r="D257" s="1215"/>
      <c r="E257" s="1215"/>
      <c r="F257" s="1215"/>
      <c r="G257" s="1215"/>
      <c r="H257" s="1215"/>
      <c r="I257" s="1215"/>
      <c r="J257" s="1215"/>
      <c r="K257" s="1215"/>
    </row>
    <row r="258" spans="1:11" s="126" customFormat="1">
      <c r="A258" s="138" t="s">
        <v>214</v>
      </c>
      <c r="B258" s="144" t="s">
        <v>298</v>
      </c>
      <c r="C258" s="144"/>
      <c r="D258" s="144"/>
      <c r="E258" s="144"/>
      <c r="F258" s="144"/>
      <c r="G258" s="144"/>
      <c r="H258" s="139"/>
      <c r="I258" s="9"/>
      <c r="J258" s="10"/>
      <c r="K258" s="10"/>
    </row>
    <row r="259" spans="1:11" s="126" customFormat="1">
      <c r="A259" s="138" t="s">
        <v>249</v>
      </c>
      <c r="B259" s="145" t="s">
        <v>1283</v>
      </c>
      <c r="C259" s="145"/>
      <c r="D259" s="145"/>
      <c r="E259" s="145"/>
      <c r="F259" s="145"/>
      <c r="G259" s="145"/>
      <c r="H259" s="145"/>
      <c r="I259" s="145"/>
      <c r="J259" s="145"/>
      <c r="K259" s="145"/>
    </row>
    <row r="260" spans="1:11" ht="45" customHeight="1">
      <c r="A260" s="138" t="s">
        <v>286</v>
      </c>
      <c r="B260" s="1208" t="s">
        <v>1135</v>
      </c>
      <c r="C260" s="1208"/>
      <c r="D260" s="1208"/>
      <c r="E260" s="1208"/>
      <c r="F260" s="1208"/>
      <c r="G260" s="1208"/>
      <c r="H260" s="1208"/>
      <c r="I260" s="1208"/>
      <c r="J260" s="1208"/>
      <c r="K260" s="1208"/>
    </row>
    <row r="261" spans="1:11">
      <c r="A261" s="138" t="s">
        <v>323</v>
      </c>
      <c r="B261" s="21" t="s">
        <v>769</v>
      </c>
    </row>
    <row r="262" spans="1:11">
      <c r="A262" s="138" t="s">
        <v>437</v>
      </c>
      <c r="B262" s="146" t="s">
        <v>772</v>
      </c>
    </row>
    <row r="263" spans="1:11">
      <c r="B263" s="146" t="s">
        <v>436</v>
      </c>
    </row>
    <row r="264" spans="1:11">
      <c r="A264" s="21" t="s">
        <v>1106</v>
      </c>
      <c r="B264" s="146" t="s">
        <v>1139</v>
      </c>
    </row>
    <row r="265" spans="1:11">
      <c r="A265" s="1115" t="s">
        <v>1779</v>
      </c>
      <c r="B265" s="1116" t="s">
        <v>1780</v>
      </c>
    </row>
  </sheetData>
  <sheetProtection algorithmName="SHA-512" hashValue="83qTLVObw6LMgxUmpDrxWvHQv4B5CbLmJnszJ76HghgS7Xu4dZ1WIK1P2GxNJF/9Nvou0rmjbbiRkHxIYLfeLw==" saltValue="ZgNiSWknMCToMK1TE8Uyag=="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60:K260"/>
    <mergeCell ref="B254:K254"/>
    <mergeCell ref="A40:K40"/>
    <mergeCell ref="A112:K112"/>
    <mergeCell ref="A181:K181"/>
    <mergeCell ref="B239:K239"/>
    <mergeCell ref="A228:K228"/>
    <mergeCell ref="B233:C233"/>
    <mergeCell ref="B234:K234"/>
    <mergeCell ref="B235:K235"/>
    <mergeCell ref="B236:K236"/>
    <mergeCell ref="B237:K237"/>
    <mergeCell ref="B238:K238"/>
    <mergeCell ref="B257:K257"/>
    <mergeCell ref="B249:K249"/>
    <mergeCell ref="B256:K256"/>
    <mergeCell ref="B255:K255"/>
    <mergeCell ref="B240:K240"/>
    <mergeCell ref="B245:K245"/>
    <mergeCell ref="B246:K246"/>
    <mergeCell ref="B247:K247"/>
    <mergeCell ref="B248:K248"/>
    <mergeCell ref="B251:K251"/>
    <mergeCell ref="B252:K252"/>
    <mergeCell ref="B253:K253"/>
  </mergeCells>
  <phoneticPr fontId="0" type="noConversion"/>
  <pageMargins left="0.25" right="0.25" top="0.75" bottom="0.75" header="0.3" footer="0.3"/>
  <pageSetup scale="53" fitToHeight="0" orientation="landscape" r:id="rId2"/>
  <rowBreaks count="4" manualBreakCount="4">
    <brk id="33" max="10" man="1"/>
    <brk id="106" max="16383" man="1"/>
    <brk id="174" max="10" man="1"/>
    <brk id="221"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09AC-6920-44A0-BD18-32E42CCE6882}">
  <sheetPr>
    <pageSetUpPr fitToPage="1"/>
  </sheetPr>
  <dimension ref="A1:FF471"/>
  <sheetViews>
    <sheetView zoomScale="80" zoomScaleNormal="80" workbookViewId="0">
      <selection activeCell="Z41" sqref="Z41"/>
    </sheetView>
  </sheetViews>
  <sheetFormatPr defaultColWidth="7.109375" defaultRowHeight="13.15"/>
  <cols>
    <col min="1" max="1" width="4.44140625" style="990" customWidth="1"/>
    <col min="2" max="2" width="7.33203125" style="994" customWidth="1"/>
    <col min="3" max="4" width="32.88671875" style="994" bestFit="1" customWidth="1"/>
    <col min="5" max="5" width="16.5546875" style="994" bestFit="1" customWidth="1"/>
    <col min="6" max="10" width="16.88671875" style="990" customWidth="1"/>
    <col min="11" max="11" width="4.109375" style="990" customWidth="1"/>
    <col min="12" max="16" width="16.88671875" style="990" customWidth="1"/>
    <col min="17" max="17" width="2.109375" style="990" customWidth="1"/>
    <col min="18" max="18" width="16.88671875" style="990" customWidth="1"/>
    <col min="19" max="19" width="2.109375" style="990" customWidth="1"/>
    <col min="20" max="20" width="16.88671875" style="990" customWidth="1"/>
    <col min="21" max="21" width="2.109375" style="990" customWidth="1"/>
    <col min="22" max="22" width="16.88671875" style="990" customWidth="1"/>
    <col min="23" max="23" width="2.109375" style="990" customWidth="1"/>
    <col min="24" max="24" width="16.88671875" style="990" customWidth="1"/>
    <col min="25" max="25" width="2.109375" style="990" customWidth="1"/>
    <col min="26" max="26" width="15" style="994" bestFit="1" customWidth="1"/>
    <col min="27" max="27" width="2.109375" style="990" customWidth="1"/>
    <col min="28" max="28" width="10.6640625" style="994" bestFit="1" customWidth="1"/>
    <col min="29" max="29" width="2.109375" style="990" customWidth="1"/>
    <col min="30" max="30" width="9" style="990" customWidth="1"/>
    <col min="31" max="31" width="2" style="990" customWidth="1"/>
    <col min="32" max="32" width="15.33203125" style="990" bestFit="1" customWidth="1"/>
    <col min="33" max="33" width="2" style="990" customWidth="1"/>
    <col min="34" max="34" width="6.88671875" style="990" bestFit="1" customWidth="1"/>
    <col min="35" max="35" width="2.109375" style="994" customWidth="1"/>
    <col min="36" max="36" width="11.5546875" style="990" bestFit="1" customWidth="1"/>
    <col min="37" max="16384" width="7.109375" style="990"/>
  </cols>
  <sheetData>
    <row r="1" spans="1:162" ht="13.9">
      <c r="A1" s="989" t="s">
        <v>681</v>
      </c>
      <c r="B1" s="989"/>
      <c r="C1" s="990"/>
      <c r="D1" s="990"/>
      <c r="E1" s="990"/>
      <c r="X1" s="989"/>
      <c r="Z1" s="990"/>
      <c r="AB1" s="990"/>
      <c r="AD1" s="991"/>
      <c r="AH1" s="992"/>
      <c r="AI1" s="992"/>
    </row>
    <row r="2" spans="1:162" ht="13.9">
      <c r="A2" s="989" t="s">
        <v>1567</v>
      </c>
      <c r="B2" s="989"/>
      <c r="C2" s="990"/>
      <c r="D2" s="990"/>
      <c r="E2" s="990"/>
      <c r="X2" s="989"/>
      <c r="Z2" s="990"/>
      <c r="AB2" s="990"/>
      <c r="AH2" s="992"/>
      <c r="AI2" s="992"/>
    </row>
    <row r="3" spans="1:162" ht="15.4">
      <c r="A3" s="989" t="s">
        <v>1568</v>
      </c>
      <c r="B3" s="989"/>
      <c r="C3" s="990"/>
      <c r="D3" s="990"/>
      <c r="E3" s="990"/>
      <c r="F3" s="993"/>
      <c r="Z3" s="990"/>
      <c r="AB3" s="990"/>
      <c r="AH3" s="992"/>
      <c r="AI3" s="992"/>
    </row>
    <row r="4" spans="1:162" ht="13.9">
      <c r="B4" s="989"/>
      <c r="F4" s="995"/>
      <c r="AH4" s="992"/>
      <c r="AI4" s="992"/>
    </row>
    <row r="5" spans="1:162" ht="18.75">
      <c r="B5" s="1276" t="s">
        <v>1569</v>
      </c>
      <c r="C5" s="1277"/>
      <c r="D5" s="1277"/>
      <c r="E5" s="1277"/>
      <c r="F5" s="1277"/>
      <c r="G5" s="1277"/>
      <c r="H5" s="1277"/>
      <c r="I5" s="1277"/>
      <c r="J5" s="1277"/>
      <c r="K5" s="1277"/>
      <c r="L5" s="1277"/>
      <c r="M5" s="1277"/>
      <c r="N5" s="1277"/>
      <c r="O5" s="1277"/>
      <c r="P5" s="1277"/>
      <c r="Q5" s="1277"/>
      <c r="R5" s="1277"/>
      <c r="S5" s="1277"/>
      <c r="T5" s="1277"/>
      <c r="U5" s="1277"/>
      <c r="V5" s="1277"/>
      <c r="W5" s="1277"/>
      <c r="X5" s="1277"/>
      <c r="Y5" s="1277"/>
      <c r="Z5" s="1277"/>
      <c r="AA5" s="1277"/>
      <c r="AB5" s="1277"/>
      <c r="AC5" s="1277"/>
      <c r="AD5" s="1277"/>
      <c r="AE5" s="1277"/>
      <c r="AF5" s="1277"/>
      <c r="AG5" s="1277"/>
      <c r="AH5" s="1278"/>
      <c r="AI5" s="992"/>
    </row>
    <row r="6" spans="1:162" ht="13.9">
      <c r="B6" s="989"/>
      <c r="AH6" s="992"/>
      <c r="AI6" s="992"/>
    </row>
    <row r="7" spans="1:162" s="996" customFormat="1" ht="15.4">
      <c r="B7" s="997"/>
      <c r="C7" s="997"/>
      <c r="D7" s="997"/>
      <c r="E7" s="997"/>
      <c r="F7" s="1279" t="s">
        <v>1570</v>
      </c>
      <c r="G7" s="1280"/>
      <c r="H7" s="1280"/>
      <c r="I7" s="1280"/>
      <c r="J7" s="1281"/>
      <c r="L7" s="1279" t="s">
        <v>1571</v>
      </c>
      <c r="M7" s="1280"/>
      <c r="N7" s="1280"/>
      <c r="O7" s="1280"/>
      <c r="P7" s="1281"/>
      <c r="R7" s="1279" t="s">
        <v>1572</v>
      </c>
      <c r="S7" s="1280"/>
      <c r="T7" s="1280"/>
      <c r="U7" s="1280"/>
      <c r="V7" s="1280"/>
      <c r="W7" s="1280"/>
      <c r="X7" s="1280"/>
      <c r="Y7" s="1280"/>
      <c r="Z7" s="1280"/>
      <c r="AA7" s="1280"/>
      <c r="AB7" s="1280"/>
      <c r="AC7" s="1280"/>
      <c r="AD7" s="1280"/>
      <c r="AE7" s="1280"/>
      <c r="AF7" s="1281"/>
      <c r="AG7" s="998"/>
      <c r="AH7" s="999"/>
      <c r="AI7" s="999"/>
    </row>
    <row r="8" spans="1:162" s="1000" customFormat="1" ht="61.5" customHeight="1">
      <c r="B8" s="1001" t="s">
        <v>8</v>
      </c>
      <c r="C8" s="1002" t="s">
        <v>1573</v>
      </c>
      <c r="D8" s="1002" t="s">
        <v>1574</v>
      </c>
      <c r="E8" s="1001" t="s">
        <v>1575</v>
      </c>
      <c r="F8" s="1001" t="s">
        <v>1576</v>
      </c>
      <c r="G8" s="1001" t="s">
        <v>1577</v>
      </c>
      <c r="H8" s="1001" t="s">
        <v>1578</v>
      </c>
      <c r="I8" s="1001" t="s">
        <v>1579</v>
      </c>
      <c r="J8" s="1001" t="s">
        <v>1580</v>
      </c>
      <c r="K8" s="1001"/>
      <c r="L8" s="1001" t="s">
        <v>1576</v>
      </c>
      <c r="M8" s="1001" t="s">
        <v>1581</v>
      </c>
      <c r="N8" s="1001" t="s">
        <v>1578</v>
      </c>
      <c r="O8" s="1001" t="s">
        <v>1579</v>
      </c>
      <c r="P8" s="1001" t="s">
        <v>1580</v>
      </c>
      <c r="Q8" s="1001"/>
      <c r="R8" s="1001" t="s">
        <v>1582</v>
      </c>
      <c r="S8" s="1001"/>
      <c r="T8" s="1001" t="s">
        <v>687</v>
      </c>
      <c r="U8" s="1001"/>
      <c r="V8" s="1001" t="s">
        <v>1583</v>
      </c>
      <c r="W8" s="1001"/>
      <c r="X8" s="1001" t="s">
        <v>1584</v>
      </c>
      <c r="Y8" s="1001"/>
      <c r="Z8" s="1001" t="s">
        <v>1585</v>
      </c>
      <c r="AA8" s="1001"/>
      <c r="AB8" s="1001" t="s">
        <v>1586</v>
      </c>
      <c r="AC8" s="1001"/>
      <c r="AD8" s="1001" t="s">
        <v>1587</v>
      </c>
      <c r="AE8" s="1001"/>
      <c r="AF8" s="1001" t="s">
        <v>1588</v>
      </c>
      <c r="AG8" s="1001"/>
      <c r="AH8" s="1001" t="s">
        <v>1589</v>
      </c>
      <c r="AI8" s="990"/>
      <c r="AJ8" s="990"/>
      <c r="AK8" s="990"/>
      <c r="AL8" s="990"/>
      <c r="AM8" s="990"/>
      <c r="AN8" s="990"/>
      <c r="AO8" s="990"/>
      <c r="AP8" s="990"/>
      <c r="AQ8" s="990"/>
      <c r="AR8" s="990"/>
      <c r="AS8" s="990"/>
      <c r="AT8" s="990"/>
      <c r="AU8" s="990"/>
      <c r="AV8" s="990"/>
      <c r="AW8" s="990"/>
      <c r="AX8" s="990"/>
      <c r="AY8" s="990"/>
      <c r="AZ8" s="990"/>
      <c r="BA8" s="990"/>
      <c r="BB8" s="990"/>
      <c r="BC8" s="990"/>
      <c r="BD8" s="990"/>
      <c r="BE8" s="990"/>
      <c r="BF8" s="990"/>
      <c r="BG8" s="990"/>
      <c r="BH8" s="990"/>
      <c r="BI8" s="990"/>
      <c r="BJ8" s="990"/>
      <c r="BK8" s="990"/>
      <c r="BL8" s="990"/>
      <c r="BM8" s="990"/>
      <c r="BN8" s="990"/>
      <c r="BO8" s="990"/>
      <c r="BP8" s="990"/>
      <c r="BQ8" s="990"/>
      <c r="BR8" s="990"/>
      <c r="BS8" s="990"/>
      <c r="BT8" s="990"/>
      <c r="BU8" s="990"/>
      <c r="BV8" s="990"/>
      <c r="BW8" s="990"/>
      <c r="BX8" s="990"/>
      <c r="BY8" s="990"/>
      <c r="BZ8" s="990"/>
      <c r="CA8" s="990"/>
      <c r="CB8" s="990"/>
      <c r="CC8" s="990"/>
      <c r="CD8" s="990"/>
      <c r="CE8" s="990"/>
      <c r="CF8" s="990"/>
      <c r="CG8" s="990"/>
      <c r="CH8" s="990"/>
      <c r="CI8" s="990"/>
      <c r="CJ8" s="990"/>
      <c r="CK8" s="990"/>
      <c r="CL8" s="990"/>
      <c r="CM8" s="990"/>
      <c r="CN8" s="990"/>
      <c r="CO8" s="990"/>
      <c r="CP8" s="990"/>
      <c r="CQ8" s="990"/>
      <c r="CR8" s="990"/>
      <c r="CS8" s="990"/>
      <c r="CT8" s="990"/>
      <c r="CU8" s="990"/>
      <c r="CV8" s="990"/>
      <c r="CW8" s="990"/>
      <c r="CX8" s="990"/>
      <c r="CY8" s="990"/>
      <c r="CZ8" s="990"/>
      <c r="DA8" s="990"/>
      <c r="DB8" s="990"/>
      <c r="DC8" s="990"/>
      <c r="DD8" s="990"/>
      <c r="DE8" s="990"/>
      <c r="DF8" s="990"/>
      <c r="DG8" s="990"/>
      <c r="DH8" s="990"/>
      <c r="DI8" s="990"/>
      <c r="DJ8" s="990"/>
      <c r="DK8" s="990"/>
      <c r="DL8" s="990"/>
      <c r="DM8" s="990"/>
      <c r="DN8" s="990"/>
      <c r="DO8" s="990"/>
      <c r="DP8" s="990"/>
      <c r="DQ8" s="990"/>
      <c r="DR8" s="990"/>
      <c r="DS8" s="990"/>
      <c r="DT8" s="990"/>
      <c r="DU8" s="990"/>
      <c r="DV8" s="990"/>
      <c r="DW8" s="990"/>
      <c r="DX8" s="990"/>
      <c r="DY8" s="990"/>
      <c r="DZ8" s="990"/>
      <c r="EA8" s="990"/>
      <c r="EB8" s="990"/>
      <c r="EC8" s="990"/>
      <c r="ED8" s="990"/>
      <c r="EE8" s="990"/>
      <c r="EF8" s="990"/>
      <c r="EG8" s="990"/>
      <c r="EH8" s="990"/>
      <c r="EI8" s="990"/>
      <c r="EJ8" s="990"/>
      <c r="EK8" s="990"/>
      <c r="EL8" s="990"/>
      <c r="EM8" s="990"/>
      <c r="EN8" s="990"/>
      <c r="EO8" s="990"/>
      <c r="EP8" s="990"/>
      <c r="EQ8" s="990"/>
      <c r="ER8" s="990"/>
      <c r="ES8" s="990"/>
      <c r="ET8" s="990"/>
      <c r="EU8" s="990"/>
      <c r="EV8" s="990"/>
      <c r="EW8" s="990"/>
      <c r="EX8" s="990"/>
      <c r="EY8" s="990"/>
      <c r="EZ8" s="990"/>
      <c r="FA8" s="990"/>
      <c r="FB8" s="990"/>
      <c r="FC8" s="990"/>
      <c r="FD8" s="990"/>
      <c r="FE8" s="990"/>
      <c r="FF8" s="990"/>
    </row>
    <row r="9" spans="1:162" ht="15" customHeight="1">
      <c r="B9" s="1003"/>
      <c r="C9" s="1004" t="s">
        <v>905</v>
      </c>
      <c r="D9" s="1005" t="s">
        <v>906</v>
      </c>
      <c r="E9" s="1005" t="s">
        <v>907</v>
      </c>
      <c r="F9" s="1005" t="s">
        <v>908</v>
      </c>
      <c r="G9" s="1005" t="s">
        <v>1590</v>
      </c>
      <c r="H9" s="1005" t="s">
        <v>910</v>
      </c>
      <c r="I9" s="1005" t="s">
        <v>1591</v>
      </c>
      <c r="J9" s="1005" t="s">
        <v>1592</v>
      </c>
      <c r="K9" s="1006"/>
      <c r="L9" s="1005" t="s">
        <v>913</v>
      </c>
      <c r="M9" s="1005" t="s">
        <v>1593</v>
      </c>
      <c r="N9" s="1005" t="s">
        <v>1594</v>
      </c>
      <c r="O9" s="1005" t="s">
        <v>1595</v>
      </c>
      <c r="P9" s="1005" t="s">
        <v>1596</v>
      </c>
      <c r="Q9" s="1007"/>
      <c r="R9" s="1005" t="s">
        <v>1597</v>
      </c>
      <c r="S9" s="1005"/>
      <c r="T9" s="1005" t="s">
        <v>1598</v>
      </c>
      <c r="U9" s="1005"/>
      <c r="V9" s="1005" t="s">
        <v>1599</v>
      </c>
      <c r="W9" s="1005"/>
      <c r="X9" s="1005" t="s">
        <v>1600</v>
      </c>
      <c r="Y9" s="1005"/>
      <c r="Z9" s="1005" t="s">
        <v>1601</v>
      </c>
      <c r="AA9" s="1005"/>
      <c r="AB9" s="1005" t="s">
        <v>1602</v>
      </c>
      <c r="AC9" s="1005"/>
      <c r="AD9" s="1005" t="s">
        <v>1603</v>
      </c>
      <c r="AE9" s="1005"/>
      <c r="AF9" s="1005" t="s">
        <v>1604</v>
      </c>
      <c r="AG9" s="1005"/>
      <c r="AH9" s="1005" t="s">
        <v>1605</v>
      </c>
      <c r="AI9" s="990"/>
    </row>
    <row r="10" spans="1:162" s="1008" customFormat="1">
      <c r="B10" s="1005"/>
      <c r="C10" s="1009"/>
      <c r="D10" s="1009"/>
      <c r="E10" s="1005"/>
      <c r="F10" s="1005"/>
      <c r="G10" s="1005"/>
      <c r="H10" s="1005"/>
      <c r="I10" s="1005"/>
      <c r="J10" s="1005"/>
      <c r="K10" s="1005"/>
      <c r="L10" s="1005"/>
      <c r="M10" s="1005"/>
      <c r="N10" s="1005"/>
      <c r="O10" s="1005"/>
      <c r="P10" s="1005"/>
      <c r="Q10" s="1005"/>
      <c r="R10" s="1005"/>
      <c r="S10" s="1005"/>
      <c r="T10" s="1005"/>
      <c r="U10" s="1005"/>
      <c r="V10" s="1005"/>
      <c r="W10" s="1005"/>
      <c r="X10" s="1005"/>
      <c r="Y10" s="1005"/>
      <c r="Z10" s="1005"/>
      <c r="AA10" s="1005"/>
      <c r="AB10" s="1005"/>
      <c r="AC10" s="1005"/>
      <c r="AD10" s="1005"/>
      <c r="AE10" s="1005"/>
      <c r="AF10" s="1005"/>
      <c r="AH10" s="1005"/>
    </row>
    <row r="11" spans="1:162" s="1008" customFormat="1">
      <c r="B11" s="1005"/>
      <c r="C11" s="1010" t="s">
        <v>1606</v>
      </c>
      <c r="D11" s="1009"/>
      <c r="E11" s="1005"/>
      <c r="F11" s="1005"/>
      <c r="G11" s="1005"/>
      <c r="H11" s="1005"/>
      <c r="I11" s="1005"/>
      <c r="J11" s="1005"/>
      <c r="K11" s="1005"/>
      <c r="L11" s="1005"/>
      <c r="M11" s="1005"/>
      <c r="N11" s="1005"/>
      <c r="O11" s="1005"/>
      <c r="P11" s="1005"/>
      <c r="Q11" s="1005"/>
      <c r="R11" s="1005"/>
      <c r="S11" s="1005"/>
      <c r="T11" s="1005"/>
      <c r="U11" s="1005"/>
      <c r="V11" s="1005"/>
      <c r="W11" s="1005"/>
      <c r="X11" s="1005"/>
      <c r="Y11" s="1005"/>
      <c r="Z11" s="1005"/>
      <c r="AA11" s="1005"/>
      <c r="AB11" s="1005"/>
      <c r="AC11" s="1005"/>
      <c r="AD11" s="1005"/>
      <c r="AE11" s="1005"/>
      <c r="AF11" s="1005"/>
      <c r="AH11" s="1005"/>
    </row>
    <row r="12" spans="1:162">
      <c r="B12" s="1011">
        <v>1</v>
      </c>
      <c r="C12" s="1012" t="s">
        <v>1607</v>
      </c>
      <c r="D12" s="1012" t="s">
        <v>1607</v>
      </c>
      <c r="E12" s="1013" t="s">
        <v>1800</v>
      </c>
      <c r="F12" s="1014">
        <v>3426731.25</v>
      </c>
      <c r="G12" s="1015">
        <f t="shared" ref="G12:G53" si="0">F12*0.35</f>
        <v>1199355.9375</v>
      </c>
      <c r="H12" s="1014">
        <v>342330.45187500003</v>
      </c>
      <c r="I12" s="1015">
        <f t="shared" ref="I12:I53" si="1">-H12*0.35</f>
        <v>-119815.65815625001</v>
      </c>
      <c r="J12" s="1015">
        <f>G12+I12+H12</f>
        <v>1421870.7312187501</v>
      </c>
      <c r="K12" s="1016"/>
      <c r="L12" s="1014">
        <v>3426731.25</v>
      </c>
      <c r="M12" s="1015">
        <f t="shared" ref="M12:M53" si="2">L12*0.21</f>
        <v>719613.5625</v>
      </c>
      <c r="N12" s="1014">
        <v>342330.45187500003</v>
      </c>
      <c r="O12" s="1015">
        <f t="shared" ref="O12:O53" si="3">-N12*0.21</f>
        <v>-71889.39489375001</v>
      </c>
      <c r="P12" s="1015">
        <f t="shared" ref="P12:P53" si="4">M12+O12+N12</f>
        <v>990054.61948125006</v>
      </c>
      <c r="R12" s="1015">
        <f t="shared" ref="R12:R53" si="5">J12-P12</f>
        <v>431816.11173750006</v>
      </c>
      <c r="S12" s="1016"/>
      <c r="T12" s="1014">
        <v>0</v>
      </c>
      <c r="U12" s="1016"/>
      <c r="V12" s="1014">
        <v>0</v>
      </c>
      <c r="W12" s="1016"/>
      <c r="X12" s="1015">
        <f t="shared" ref="X12:X53" si="6">R12-T12-V12</f>
        <v>431816.11173750006</v>
      </c>
      <c r="Y12" s="1016"/>
      <c r="Z12" s="1017" t="s">
        <v>1609</v>
      </c>
      <c r="AA12" s="1018"/>
      <c r="AB12" s="1017" t="s">
        <v>1610</v>
      </c>
      <c r="AC12" s="1018"/>
      <c r="AD12" s="1019">
        <v>0</v>
      </c>
      <c r="AE12" s="1018"/>
      <c r="AF12" s="1015">
        <f t="shared" ref="AF12:AF53" si="7">X12*AD12</f>
        <v>0</v>
      </c>
      <c r="AG12" s="1018"/>
      <c r="AH12" s="1011">
        <v>190</v>
      </c>
      <c r="AI12" s="1017"/>
    </row>
    <row r="13" spans="1:162">
      <c r="B13" s="1011">
        <f>B12+1</f>
        <v>2</v>
      </c>
      <c r="C13" s="1012" t="s">
        <v>1611</v>
      </c>
      <c r="D13" s="1012" t="s">
        <v>1611</v>
      </c>
      <c r="E13" s="1013" t="s">
        <v>1800</v>
      </c>
      <c r="F13" s="1020">
        <v>7573861</v>
      </c>
      <c r="G13" s="1021">
        <f t="shared" si="0"/>
        <v>2650851.3499999996</v>
      </c>
      <c r="H13" s="1020">
        <v>756628.71389999997</v>
      </c>
      <c r="I13" s="1021">
        <f t="shared" si="1"/>
        <v>-264820.04986499995</v>
      </c>
      <c r="J13" s="1021">
        <f t="shared" ref="J13:J53" si="8">G13+I13+H13</f>
        <v>3142660.0140349995</v>
      </c>
      <c r="K13" s="1022"/>
      <c r="L13" s="1020">
        <v>7573861</v>
      </c>
      <c r="M13" s="1021">
        <f t="shared" si="2"/>
        <v>1590510.81</v>
      </c>
      <c r="N13" s="1020">
        <v>756628.71389999997</v>
      </c>
      <c r="O13" s="1021">
        <f t="shared" si="3"/>
        <v>-158892.02991899999</v>
      </c>
      <c r="P13" s="1021">
        <f t="shared" si="4"/>
        <v>2188247.493981</v>
      </c>
      <c r="Q13" s="1023"/>
      <c r="R13" s="1021">
        <f t="shared" si="5"/>
        <v>954412.5200539995</v>
      </c>
      <c r="S13" s="1022"/>
      <c r="T13" s="1020">
        <v>0</v>
      </c>
      <c r="U13" s="1022"/>
      <c r="V13" s="1020">
        <v>0</v>
      </c>
      <c r="W13" s="1022"/>
      <c r="X13" s="1021">
        <f t="shared" si="6"/>
        <v>954412.5200539995</v>
      </c>
      <c r="Y13" s="1016"/>
      <c r="Z13" s="1017" t="s">
        <v>1612</v>
      </c>
      <c r="AA13" s="1018"/>
      <c r="AB13" s="1017" t="s">
        <v>1613</v>
      </c>
      <c r="AC13" s="1018"/>
      <c r="AD13" s="1019">
        <v>9.6999647998221458E-2</v>
      </c>
      <c r="AE13" s="1018"/>
      <c r="AF13" s="1021">
        <f t="shared" si="7"/>
        <v>92577.678490333434</v>
      </c>
      <c r="AG13" s="1018"/>
      <c r="AH13" s="1011">
        <v>190</v>
      </c>
      <c r="AI13" s="1008"/>
    </row>
    <row r="14" spans="1:162">
      <c r="B14" s="1011">
        <f t="shared" ref="B14:B54" si="9">B13+1</f>
        <v>3</v>
      </c>
      <c r="C14" s="1012" t="s">
        <v>1614</v>
      </c>
      <c r="D14" s="1012" t="s">
        <v>1614</v>
      </c>
      <c r="E14" s="1013" t="s">
        <v>1800</v>
      </c>
      <c r="F14" s="1020">
        <v>5033720</v>
      </c>
      <c r="G14" s="1021">
        <f t="shared" si="0"/>
        <v>1761802</v>
      </c>
      <c r="H14" s="1020">
        <v>502868.62800000003</v>
      </c>
      <c r="I14" s="1021">
        <f t="shared" si="1"/>
        <v>-176004.01980000001</v>
      </c>
      <c r="J14" s="1021">
        <f t="shared" si="8"/>
        <v>2088666.6082000001</v>
      </c>
      <c r="K14" s="1022"/>
      <c r="L14" s="1020">
        <v>5033720</v>
      </c>
      <c r="M14" s="1021">
        <f>L14*0.21</f>
        <v>1057081.2</v>
      </c>
      <c r="N14" s="1020">
        <v>502868.62800000003</v>
      </c>
      <c r="O14" s="1021">
        <f t="shared" si="3"/>
        <v>-105602.41188</v>
      </c>
      <c r="P14" s="1021">
        <f t="shared" si="4"/>
        <v>1454347.41612</v>
      </c>
      <c r="Q14" s="1023"/>
      <c r="R14" s="1021">
        <f t="shared" si="5"/>
        <v>634319.19208000018</v>
      </c>
      <c r="S14" s="1022"/>
      <c r="T14" s="1020">
        <v>0</v>
      </c>
      <c r="U14" s="1022"/>
      <c r="V14" s="1020">
        <v>0</v>
      </c>
      <c r="W14" s="1022"/>
      <c r="X14" s="1021">
        <f t="shared" si="6"/>
        <v>634319.19208000018</v>
      </c>
      <c r="Y14" s="1016"/>
      <c r="Z14" s="1017" t="s">
        <v>1612</v>
      </c>
      <c r="AA14" s="1018"/>
      <c r="AB14" s="1017" t="s">
        <v>1613</v>
      </c>
      <c r="AC14" s="1018"/>
      <c r="AD14" s="1019">
        <v>9.6999647998221458E-2</v>
      </c>
      <c r="AE14" s="1018"/>
      <c r="AF14" s="1021">
        <f t="shared" si="7"/>
        <v>61528.738350276246</v>
      </c>
      <c r="AG14" s="1018"/>
      <c r="AH14" s="1011">
        <v>190</v>
      </c>
      <c r="AI14" s="1017"/>
    </row>
    <row r="15" spans="1:162">
      <c r="B15" s="1011">
        <f t="shared" si="9"/>
        <v>4</v>
      </c>
      <c r="C15" s="1012" t="s">
        <v>1615</v>
      </c>
      <c r="D15" s="1012" t="s">
        <v>1615</v>
      </c>
      <c r="E15" s="1013" t="s">
        <v>1800</v>
      </c>
      <c r="F15" s="1020">
        <v>0</v>
      </c>
      <c r="G15" s="1021">
        <f t="shared" si="0"/>
        <v>0</v>
      </c>
      <c r="H15" s="1020">
        <v>0</v>
      </c>
      <c r="I15" s="1021">
        <f t="shared" si="1"/>
        <v>0</v>
      </c>
      <c r="J15" s="1021">
        <f t="shared" si="8"/>
        <v>0</v>
      </c>
      <c r="K15" s="1022"/>
      <c r="L15" s="1020">
        <v>0</v>
      </c>
      <c r="M15" s="1021">
        <f t="shared" si="2"/>
        <v>0</v>
      </c>
      <c r="N15" s="1020">
        <v>0</v>
      </c>
      <c r="O15" s="1021">
        <f t="shared" si="3"/>
        <v>0</v>
      </c>
      <c r="P15" s="1021">
        <f t="shared" si="4"/>
        <v>0</v>
      </c>
      <c r="Q15" s="1023"/>
      <c r="R15" s="1021">
        <f t="shared" si="5"/>
        <v>0</v>
      </c>
      <c r="S15" s="1022"/>
      <c r="T15" s="1020">
        <v>0</v>
      </c>
      <c r="U15" s="1022"/>
      <c r="V15" s="1020">
        <v>0</v>
      </c>
      <c r="W15" s="1022"/>
      <c r="X15" s="1021">
        <f t="shared" si="6"/>
        <v>0</v>
      </c>
      <c r="Y15" s="1016"/>
      <c r="Z15" s="1017" t="s">
        <v>952</v>
      </c>
      <c r="AA15" s="1018"/>
      <c r="AB15" s="1017" t="s">
        <v>1610</v>
      </c>
      <c r="AC15" s="1018"/>
      <c r="AD15" s="1019">
        <v>0</v>
      </c>
      <c r="AE15" s="1018"/>
      <c r="AF15" s="1021">
        <f t="shared" si="7"/>
        <v>0</v>
      </c>
      <c r="AG15" s="1018"/>
      <c r="AH15" s="1011">
        <v>190</v>
      </c>
      <c r="AI15" s="1017"/>
    </row>
    <row r="16" spans="1:162">
      <c r="B16" s="1011">
        <f t="shared" si="9"/>
        <v>5</v>
      </c>
      <c r="C16" s="1012" t="s">
        <v>1616</v>
      </c>
      <c r="D16" s="1012" t="s">
        <v>1616</v>
      </c>
      <c r="E16" s="1013" t="s">
        <v>1800</v>
      </c>
      <c r="F16" s="1020">
        <v>55580528.289999999</v>
      </c>
      <c r="G16" s="1021">
        <f t="shared" si="0"/>
        <v>19453184.901499998</v>
      </c>
      <c r="H16" s="1020">
        <v>5552494.7761709997</v>
      </c>
      <c r="I16" s="1021">
        <f t="shared" si="1"/>
        <v>-1943373.1716598498</v>
      </c>
      <c r="J16" s="1021">
        <f t="shared" si="8"/>
        <v>23062306.506011147</v>
      </c>
      <c r="K16" s="1022"/>
      <c r="L16" s="1020">
        <v>55580528.289999999</v>
      </c>
      <c r="M16" s="1021">
        <f t="shared" si="2"/>
        <v>11671910.9409</v>
      </c>
      <c r="N16" s="1020">
        <v>5552494.7761709997</v>
      </c>
      <c r="O16" s="1021">
        <f t="shared" si="3"/>
        <v>-1166023.9029959098</v>
      </c>
      <c r="P16" s="1021">
        <f t="shared" si="4"/>
        <v>16058381.81407509</v>
      </c>
      <c r="Q16" s="1023"/>
      <c r="R16" s="1021">
        <f t="shared" si="5"/>
        <v>7003924.6919360571</v>
      </c>
      <c r="S16" s="1022"/>
      <c r="T16" s="1020">
        <v>7003924.6919360571</v>
      </c>
      <c r="U16" s="1022"/>
      <c r="V16" s="1020">
        <v>0</v>
      </c>
      <c r="W16" s="1022"/>
      <c r="X16" s="1021">
        <f t="shared" si="6"/>
        <v>0</v>
      </c>
      <c r="Y16" s="1016"/>
      <c r="Z16" s="1017" t="s">
        <v>952</v>
      </c>
      <c r="AA16" s="1018"/>
      <c r="AB16" s="1017" t="s">
        <v>1610</v>
      </c>
      <c r="AC16" s="1018"/>
      <c r="AD16" s="1019">
        <v>0</v>
      </c>
      <c r="AE16" s="1018"/>
      <c r="AF16" s="1021">
        <f t="shared" si="7"/>
        <v>0</v>
      </c>
      <c r="AG16" s="1018"/>
      <c r="AH16" s="1011">
        <v>190</v>
      </c>
      <c r="AI16" s="1017"/>
    </row>
    <row r="17" spans="2:35">
      <c r="B17" s="1011">
        <f t="shared" si="9"/>
        <v>6</v>
      </c>
      <c r="C17" s="1012" t="s">
        <v>1617</v>
      </c>
      <c r="D17" s="1012" t="s">
        <v>1617</v>
      </c>
      <c r="E17" s="1013" t="s">
        <v>1800</v>
      </c>
      <c r="F17" s="1020">
        <v>12870331.550000001</v>
      </c>
      <c r="G17" s="1021">
        <f t="shared" si="0"/>
        <v>4504616.0424999995</v>
      </c>
      <c r="H17" s="1020">
        <v>1920306.7260450004</v>
      </c>
      <c r="I17" s="1021">
        <f t="shared" si="1"/>
        <v>-672107.35411575006</v>
      </c>
      <c r="J17" s="1021">
        <f t="shared" si="8"/>
        <v>5752815.4144292492</v>
      </c>
      <c r="K17" s="1022"/>
      <c r="L17" s="1020">
        <v>12870331.550000001</v>
      </c>
      <c r="M17" s="1021">
        <f t="shared" si="2"/>
        <v>2702769.6255000001</v>
      </c>
      <c r="N17" s="1020">
        <v>1920306.7260450004</v>
      </c>
      <c r="O17" s="1021">
        <f t="shared" si="3"/>
        <v>-403264.41246945004</v>
      </c>
      <c r="P17" s="1021">
        <f t="shared" si="4"/>
        <v>4219811.9390755501</v>
      </c>
      <c r="Q17" s="1023"/>
      <c r="R17" s="1021">
        <f t="shared" si="5"/>
        <v>1533003.4753536992</v>
      </c>
      <c r="S17" s="1022"/>
      <c r="T17" s="1020">
        <v>1533003.4753536992</v>
      </c>
      <c r="U17" s="1022"/>
      <c r="V17" s="1020">
        <v>0</v>
      </c>
      <c r="W17" s="1022"/>
      <c r="X17" s="1021">
        <f t="shared" si="6"/>
        <v>0</v>
      </c>
      <c r="Y17" s="1016"/>
      <c r="Z17" s="1017" t="s">
        <v>952</v>
      </c>
      <c r="AA17" s="1018"/>
      <c r="AB17" s="1017" t="s">
        <v>1610</v>
      </c>
      <c r="AC17" s="1018"/>
      <c r="AD17" s="1019">
        <v>0</v>
      </c>
      <c r="AE17" s="1018"/>
      <c r="AF17" s="1021">
        <f t="shared" si="7"/>
        <v>0</v>
      </c>
      <c r="AG17" s="1018"/>
      <c r="AH17" s="1011">
        <v>190</v>
      </c>
      <c r="AI17" s="1017"/>
    </row>
    <row r="18" spans="2:35">
      <c r="B18" s="1011">
        <f t="shared" si="9"/>
        <v>7</v>
      </c>
      <c r="C18" s="1012" t="s">
        <v>1618</v>
      </c>
      <c r="D18" s="1012" t="s">
        <v>1618</v>
      </c>
      <c r="E18" s="1013" t="s">
        <v>1800</v>
      </c>
      <c r="F18" s="1020">
        <v>706840.72</v>
      </c>
      <c r="G18" s="1021">
        <f t="shared" si="0"/>
        <v>247394.25199999998</v>
      </c>
      <c r="H18" s="1020">
        <v>70613.387927999996</v>
      </c>
      <c r="I18" s="1021">
        <f t="shared" si="1"/>
        <v>-24714.685774799997</v>
      </c>
      <c r="J18" s="1021">
        <f t="shared" si="8"/>
        <v>293292.95415319997</v>
      </c>
      <c r="K18" s="1022"/>
      <c r="L18" s="1020">
        <v>706840.72</v>
      </c>
      <c r="M18" s="1021">
        <f t="shared" si="2"/>
        <v>148436.55119999999</v>
      </c>
      <c r="N18" s="1020">
        <v>70613.387927999996</v>
      </c>
      <c r="O18" s="1021">
        <f t="shared" si="3"/>
        <v>-14828.811464879998</v>
      </c>
      <c r="P18" s="1021">
        <f t="shared" si="4"/>
        <v>204221.12766311999</v>
      </c>
      <c r="Q18" s="1023"/>
      <c r="R18" s="1021">
        <f t="shared" si="5"/>
        <v>89071.826490079984</v>
      </c>
      <c r="S18" s="1022"/>
      <c r="T18" s="1020">
        <v>0</v>
      </c>
      <c r="U18" s="1022"/>
      <c r="V18" s="1020">
        <v>0</v>
      </c>
      <c r="W18" s="1022"/>
      <c r="X18" s="1021">
        <f t="shared" si="6"/>
        <v>89071.826490079984</v>
      </c>
      <c r="Y18" s="1016"/>
      <c r="Z18" s="1017" t="s">
        <v>1609</v>
      </c>
      <c r="AA18" s="1018"/>
      <c r="AB18" s="1017" t="s">
        <v>1610</v>
      </c>
      <c r="AC18" s="1018"/>
      <c r="AD18" s="1019">
        <v>0</v>
      </c>
      <c r="AE18" s="1018"/>
      <c r="AF18" s="1021">
        <f t="shared" si="7"/>
        <v>0</v>
      </c>
      <c r="AG18" s="1018"/>
      <c r="AH18" s="1011">
        <v>190</v>
      </c>
      <c r="AI18" s="1017"/>
    </row>
    <row r="19" spans="2:35">
      <c r="B19" s="1011">
        <f t="shared" si="9"/>
        <v>8</v>
      </c>
      <c r="C19" s="1012" t="s">
        <v>1532</v>
      </c>
      <c r="D19" s="1012" t="s">
        <v>1532</v>
      </c>
      <c r="E19" s="1013" t="s">
        <v>1800</v>
      </c>
      <c r="F19" s="1020">
        <v>10603526.76</v>
      </c>
      <c r="G19" s="1021">
        <f t="shared" si="0"/>
        <v>3711234.3659999995</v>
      </c>
      <c r="H19" s="1020">
        <v>1059292.323324</v>
      </c>
      <c r="I19" s="1021">
        <f t="shared" si="1"/>
        <v>-370752.31316339999</v>
      </c>
      <c r="J19" s="1021">
        <f t="shared" si="8"/>
        <v>4399774.3761605993</v>
      </c>
      <c r="K19" s="1022"/>
      <c r="L19" s="1020">
        <v>10603526.76</v>
      </c>
      <c r="M19" s="1021">
        <f t="shared" si="2"/>
        <v>2226740.6195999999</v>
      </c>
      <c r="N19" s="1020">
        <v>1059292.323324</v>
      </c>
      <c r="O19" s="1021">
        <f t="shared" si="3"/>
        <v>-222451.38789804</v>
      </c>
      <c r="P19" s="1021">
        <f t="shared" si="4"/>
        <v>3063581.5550259599</v>
      </c>
      <c r="Q19" s="1023"/>
      <c r="R19" s="1021">
        <f t="shared" si="5"/>
        <v>1336192.8211346394</v>
      </c>
      <c r="S19" s="1022"/>
      <c r="T19" s="1020">
        <v>0</v>
      </c>
      <c r="U19" s="1022"/>
      <c r="V19" s="1020">
        <v>0</v>
      </c>
      <c r="W19" s="1022"/>
      <c r="X19" s="1021">
        <f t="shared" si="6"/>
        <v>1336192.8211346394</v>
      </c>
      <c r="Y19" s="1016"/>
      <c r="Z19" s="1017" t="s">
        <v>1609</v>
      </c>
      <c r="AA19" s="1018"/>
      <c r="AB19" s="1017" t="s">
        <v>1610</v>
      </c>
      <c r="AC19" s="1018"/>
      <c r="AD19" s="1019">
        <v>0</v>
      </c>
      <c r="AE19" s="1018"/>
      <c r="AF19" s="1021">
        <f t="shared" si="7"/>
        <v>0</v>
      </c>
      <c r="AG19" s="1018"/>
      <c r="AH19" s="1011">
        <v>190</v>
      </c>
      <c r="AI19" s="1008"/>
    </row>
    <row r="20" spans="2:35">
      <c r="B20" s="1011">
        <f t="shared" si="9"/>
        <v>9</v>
      </c>
      <c r="C20" s="1012" t="s">
        <v>1619</v>
      </c>
      <c r="D20" s="1012" t="s">
        <v>1619</v>
      </c>
      <c r="E20" s="1013" t="s">
        <v>1800</v>
      </c>
      <c r="F20" s="1020">
        <v>891167.37</v>
      </c>
      <c r="G20" s="1021">
        <f t="shared" si="0"/>
        <v>311908.57949999999</v>
      </c>
      <c r="H20" s="1020">
        <v>89027.620263000004</v>
      </c>
      <c r="I20" s="1021">
        <f t="shared" si="1"/>
        <v>-31159.66709205</v>
      </c>
      <c r="J20" s="1021">
        <f t="shared" si="8"/>
        <v>369776.53267094999</v>
      </c>
      <c r="K20" s="1022"/>
      <c r="L20" s="1020">
        <v>891167.37</v>
      </c>
      <c r="M20" s="1021">
        <f t="shared" si="2"/>
        <v>187145.1477</v>
      </c>
      <c r="N20" s="1020">
        <v>89027.620263000004</v>
      </c>
      <c r="O20" s="1021">
        <f t="shared" si="3"/>
        <v>-18695.800255229999</v>
      </c>
      <c r="P20" s="1021">
        <f t="shared" si="4"/>
        <v>257476.96770777</v>
      </c>
      <c r="Q20" s="1023"/>
      <c r="R20" s="1021">
        <f t="shared" si="5"/>
        <v>112299.56496317999</v>
      </c>
      <c r="S20" s="1022"/>
      <c r="T20" s="1020">
        <v>0</v>
      </c>
      <c r="U20" s="1022"/>
      <c r="V20" s="1020">
        <v>0</v>
      </c>
      <c r="W20" s="1022"/>
      <c r="X20" s="1021">
        <f t="shared" si="6"/>
        <v>112299.56496317999</v>
      </c>
      <c r="Y20" s="1016"/>
      <c r="Z20" s="1017" t="s">
        <v>1609</v>
      </c>
      <c r="AA20" s="1018"/>
      <c r="AB20" s="1017" t="s">
        <v>1610</v>
      </c>
      <c r="AC20" s="1018"/>
      <c r="AD20" s="1019">
        <v>0</v>
      </c>
      <c r="AE20" s="1018"/>
      <c r="AF20" s="1021">
        <f t="shared" si="7"/>
        <v>0</v>
      </c>
      <c r="AG20" s="1018"/>
      <c r="AH20" s="1011">
        <v>190</v>
      </c>
      <c r="AI20" s="1008"/>
    </row>
    <row r="21" spans="2:35">
      <c r="B21" s="1011">
        <f t="shared" si="9"/>
        <v>10</v>
      </c>
      <c r="C21" s="1012" t="s">
        <v>872</v>
      </c>
      <c r="D21" s="1012" t="s">
        <v>872</v>
      </c>
      <c r="E21" s="1013" t="s">
        <v>1800</v>
      </c>
      <c r="F21" s="1020">
        <v>838834</v>
      </c>
      <c r="G21" s="1021">
        <f t="shared" si="0"/>
        <v>293591.89999999997</v>
      </c>
      <c r="H21" s="1020">
        <v>83799.516600000003</v>
      </c>
      <c r="I21" s="1021">
        <f t="shared" si="1"/>
        <v>-29329.830809999999</v>
      </c>
      <c r="J21" s="1021">
        <f t="shared" si="8"/>
        <v>348061.58578999992</v>
      </c>
      <c r="K21" s="1022"/>
      <c r="L21" s="1020">
        <v>838834</v>
      </c>
      <c r="M21" s="1021">
        <f t="shared" si="2"/>
        <v>176155.13999999998</v>
      </c>
      <c r="N21" s="1020">
        <v>83799.516600000003</v>
      </c>
      <c r="O21" s="1021">
        <f t="shared" si="3"/>
        <v>-17597.898485999998</v>
      </c>
      <c r="P21" s="1021">
        <f t="shared" si="4"/>
        <v>242356.758114</v>
      </c>
      <c r="Q21" s="1023"/>
      <c r="R21" s="1021">
        <f t="shared" si="5"/>
        <v>105704.82767599993</v>
      </c>
      <c r="S21" s="1022"/>
      <c r="T21" s="1020">
        <v>0</v>
      </c>
      <c r="U21" s="1022"/>
      <c r="V21" s="1020">
        <v>0</v>
      </c>
      <c r="W21" s="1022"/>
      <c r="X21" s="1021">
        <f t="shared" si="6"/>
        <v>105704.82767599993</v>
      </c>
      <c r="Y21" s="1016"/>
      <c r="Z21" s="1017" t="s">
        <v>1612</v>
      </c>
      <c r="AA21" s="1018"/>
      <c r="AB21" s="1017" t="s">
        <v>1613</v>
      </c>
      <c r="AC21" s="1018"/>
      <c r="AD21" s="1019">
        <v>9.7000208802171542E-2</v>
      </c>
      <c r="AE21" s="1018"/>
      <c r="AF21" s="1021">
        <f t="shared" si="7"/>
        <v>10253.390355969554</v>
      </c>
      <c r="AG21" s="1018"/>
      <c r="AH21" s="1011">
        <v>190</v>
      </c>
      <c r="AI21" s="1008"/>
    </row>
    <row r="22" spans="2:35">
      <c r="B22" s="1011">
        <f t="shared" si="9"/>
        <v>11</v>
      </c>
      <c r="C22" s="1012" t="s">
        <v>1620</v>
      </c>
      <c r="D22" s="1012" t="s">
        <v>1620</v>
      </c>
      <c r="E22" s="1013" t="s">
        <v>1134</v>
      </c>
      <c r="F22" s="1020">
        <v>21797137.285714284</v>
      </c>
      <c r="G22" s="1021">
        <f t="shared" si="0"/>
        <v>7628998.0499999989</v>
      </c>
      <c r="H22" s="1020">
        <v>0</v>
      </c>
      <c r="I22" s="1021">
        <f t="shared" si="1"/>
        <v>0</v>
      </c>
      <c r="J22" s="1021">
        <f t="shared" si="8"/>
        <v>7628998.0499999989</v>
      </c>
      <c r="K22" s="1022"/>
      <c r="L22" s="1020">
        <v>21797137.285714284</v>
      </c>
      <c r="M22" s="1021">
        <f t="shared" si="2"/>
        <v>4577398.8299999991</v>
      </c>
      <c r="N22" s="1020">
        <v>0</v>
      </c>
      <c r="O22" s="1021">
        <f t="shared" si="3"/>
        <v>0</v>
      </c>
      <c r="P22" s="1021">
        <f t="shared" si="4"/>
        <v>4577398.8299999991</v>
      </c>
      <c r="Q22" s="1023"/>
      <c r="R22" s="1021">
        <f t="shared" si="5"/>
        <v>3051599.2199999997</v>
      </c>
      <c r="S22" s="1022"/>
      <c r="T22" s="1020">
        <v>0</v>
      </c>
      <c r="U22" s="1022"/>
      <c r="V22" s="1020">
        <v>0</v>
      </c>
      <c r="W22" s="1022"/>
      <c r="X22" s="1021">
        <f t="shared" si="6"/>
        <v>3051599.2199999997</v>
      </c>
      <c r="Y22" s="1016"/>
      <c r="Z22" s="1017" t="s">
        <v>458</v>
      </c>
      <c r="AA22" s="1018"/>
      <c r="AB22" s="1017" t="s">
        <v>1610</v>
      </c>
      <c r="AC22" s="1018"/>
      <c r="AD22" s="1019">
        <v>0</v>
      </c>
      <c r="AE22" s="1018"/>
      <c r="AF22" s="1021">
        <f t="shared" si="7"/>
        <v>0</v>
      </c>
      <c r="AG22" s="1018"/>
      <c r="AH22" s="1011">
        <v>190</v>
      </c>
      <c r="AI22" s="1008"/>
    </row>
    <row r="23" spans="2:35">
      <c r="B23" s="1011">
        <f t="shared" si="9"/>
        <v>12</v>
      </c>
      <c r="C23" s="1012" t="s">
        <v>875</v>
      </c>
      <c r="D23" s="1012" t="s">
        <v>875</v>
      </c>
      <c r="E23" s="1013" t="s">
        <v>1800</v>
      </c>
      <c r="F23" s="1020">
        <v>24994572.84</v>
      </c>
      <c r="G23" s="1021">
        <f t="shared" si="0"/>
        <v>8748100.493999999</v>
      </c>
      <c r="H23" s="1020">
        <v>2496957.8267160002</v>
      </c>
      <c r="I23" s="1021">
        <f t="shared" si="1"/>
        <v>-873935.23935060005</v>
      </c>
      <c r="J23" s="1021">
        <f t="shared" si="8"/>
        <v>10371123.081365399</v>
      </c>
      <c r="K23" s="1022"/>
      <c r="L23" s="1020">
        <v>24994572.84</v>
      </c>
      <c r="M23" s="1021">
        <f t="shared" si="2"/>
        <v>5248860.2963999994</v>
      </c>
      <c r="N23" s="1020">
        <v>2496957.8267160002</v>
      </c>
      <c r="O23" s="1021">
        <f t="shared" si="3"/>
        <v>-524361.14361035998</v>
      </c>
      <c r="P23" s="1021">
        <f t="shared" si="4"/>
        <v>7221456.9795056395</v>
      </c>
      <c r="Q23" s="1023"/>
      <c r="R23" s="1021">
        <f t="shared" si="5"/>
        <v>3149666.1018597595</v>
      </c>
      <c r="S23" s="1022"/>
      <c r="T23" s="1020">
        <v>3149666.1018597595</v>
      </c>
      <c r="U23" s="1022"/>
      <c r="V23" s="1020">
        <v>0</v>
      </c>
      <c r="W23" s="1022"/>
      <c r="X23" s="1021">
        <f t="shared" si="6"/>
        <v>0</v>
      </c>
      <c r="Y23" s="1016"/>
      <c r="Z23" s="1017" t="s">
        <v>1609</v>
      </c>
      <c r="AA23" s="1018"/>
      <c r="AB23" s="1017" t="s">
        <v>1610</v>
      </c>
      <c r="AC23" s="1018"/>
      <c r="AD23" s="1019">
        <v>0</v>
      </c>
      <c r="AE23" s="1018"/>
      <c r="AF23" s="1021">
        <f t="shared" si="7"/>
        <v>0</v>
      </c>
      <c r="AG23" s="1018"/>
      <c r="AH23" s="1011">
        <v>190</v>
      </c>
      <c r="AI23" s="1017"/>
    </row>
    <row r="24" spans="2:35">
      <c r="B24" s="1011">
        <f t="shared" si="9"/>
        <v>13</v>
      </c>
      <c r="C24" s="1012" t="s">
        <v>1621</v>
      </c>
      <c r="D24" s="1012" t="s">
        <v>1621</v>
      </c>
      <c r="E24" s="1013" t="s">
        <v>1800</v>
      </c>
      <c r="F24" s="1020">
        <v>0</v>
      </c>
      <c r="G24" s="1021">
        <f t="shared" si="0"/>
        <v>0</v>
      </c>
      <c r="H24" s="1020">
        <v>0</v>
      </c>
      <c r="I24" s="1021">
        <f t="shared" si="1"/>
        <v>0</v>
      </c>
      <c r="J24" s="1021">
        <f t="shared" si="8"/>
        <v>0</v>
      </c>
      <c r="K24" s="1022"/>
      <c r="L24" s="1020">
        <v>0</v>
      </c>
      <c r="M24" s="1021">
        <f t="shared" si="2"/>
        <v>0</v>
      </c>
      <c r="N24" s="1020">
        <v>0</v>
      </c>
      <c r="O24" s="1021">
        <f t="shared" si="3"/>
        <v>0</v>
      </c>
      <c r="P24" s="1021">
        <f t="shared" si="4"/>
        <v>0</v>
      </c>
      <c r="Q24" s="1023"/>
      <c r="R24" s="1021">
        <f t="shared" si="5"/>
        <v>0</v>
      </c>
      <c r="S24" s="1022"/>
      <c r="T24" s="1020">
        <v>0</v>
      </c>
      <c r="U24" s="1022"/>
      <c r="V24" s="1020">
        <v>0</v>
      </c>
      <c r="W24" s="1022"/>
      <c r="X24" s="1021">
        <f t="shared" si="6"/>
        <v>0</v>
      </c>
      <c r="Y24" s="1016"/>
      <c r="Z24" s="1017" t="s">
        <v>952</v>
      </c>
      <c r="AA24" s="1018"/>
      <c r="AB24" s="1017" t="s">
        <v>1610</v>
      </c>
      <c r="AC24" s="1018"/>
      <c r="AD24" s="1019">
        <v>0</v>
      </c>
      <c r="AE24" s="1018"/>
      <c r="AF24" s="1021">
        <f t="shared" si="7"/>
        <v>0</v>
      </c>
      <c r="AG24" s="1018"/>
      <c r="AH24" s="1011">
        <v>190</v>
      </c>
      <c r="AI24" s="1017"/>
    </row>
    <row r="25" spans="2:35">
      <c r="B25" s="1011">
        <f t="shared" si="9"/>
        <v>14</v>
      </c>
      <c r="C25" s="1012" t="s">
        <v>1622</v>
      </c>
      <c r="D25" s="1012" t="s">
        <v>1622</v>
      </c>
      <c r="E25" s="1013" t="s">
        <v>1800</v>
      </c>
      <c r="F25" s="1020">
        <v>42658321.25</v>
      </c>
      <c r="G25" s="1021">
        <f t="shared" si="0"/>
        <v>14930412.437499998</v>
      </c>
      <c r="H25" s="1020">
        <v>4261566.2928750003</v>
      </c>
      <c r="I25" s="1021">
        <f t="shared" si="1"/>
        <v>-1491548.20250625</v>
      </c>
      <c r="J25" s="1021">
        <f t="shared" si="8"/>
        <v>17700430.527868748</v>
      </c>
      <c r="K25" s="1022"/>
      <c r="L25" s="1020">
        <v>42658321.25</v>
      </c>
      <c r="M25" s="1021">
        <f t="shared" si="2"/>
        <v>8958247.4625000004</v>
      </c>
      <c r="N25" s="1020">
        <v>4261566.2928750003</v>
      </c>
      <c r="O25" s="1021">
        <f t="shared" si="3"/>
        <v>-894928.92150375003</v>
      </c>
      <c r="P25" s="1021">
        <f t="shared" si="4"/>
        <v>12324884.833871251</v>
      </c>
      <c r="Q25" s="1023"/>
      <c r="R25" s="1021">
        <f t="shared" si="5"/>
        <v>5375545.6939974967</v>
      </c>
      <c r="S25" s="1022"/>
      <c r="T25" s="1020">
        <v>0</v>
      </c>
      <c r="U25" s="1022"/>
      <c r="V25" s="1020">
        <v>0</v>
      </c>
      <c r="W25" s="1022"/>
      <c r="X25" s="1021">
        <f t="shared" si="6"/>
        <v>5375545.6939974967</v>
      </c>
      <c r="Y25" s="1016"/>
      <c r="Z25" s="1017" t="s">
        <v>1612</v>
      </c>
      <c r="AA25" s="1018"/>
      <c r="AB25" s="1017" t="s">
        <v>1613</v>
      </c>
      <c r="AC25" s="1018"/>
      <c r="AD25" s="1019">
        <v>9.7000208802171542E-2</v>
      </c>
      <c r="AE25" s="1018"/>
      <c r="AF25" s="1021">
        <f t="shared" si="7"/>
        <v>521429.05474337132</v>
      </c>
      <c r="AG25" s="1018"/>
      <c r="AH25" s="1011">
        <v>190</v>
      </c>
      <c r="AI25" s="1008"/>
    </row>
    <row r="26" spans="2:35">
      <c r="B26" s="1011">
        <f t="shared" si="9"/>
        <v>15</v>
      </c>
      <c r="C26" s="1012" t="s">
        <v>1623</v>
      </c>
      <c r="D26" s="1012" t="s">
        <v>1623</v>
      </c>
      <c r="E26" s="1013" t="s">
        <v>1800</v>
      </c>
      <c r="F26" s="1020">
        <v>0</v>
      </c>
      <c r="G26" s="1021">
        <f t="shared" si="0"/>
        <v>0</v>
      </c>
      <c r="H26" s="1020">
        <v>0</v>
      </c>
      <c r="I26" s="1021">
        <f t="shared" si="1"/>
        <v>0</v>
      </c>
      <c r="J26" s="1021">
        <f t="shared" si="8"/>
        <v>0</v>
      </c>
      <c r="K26" s="1022"/>
      <c r="L26" s="1020">
        <v>0</v>
      </c>
      <c r="M26" s="1021">
        <f t="shared" si="2"/>
        <v>0</v>
      </c>
      <c r="N26" s="1020">
        <v>0</v>
      </c>
      <c r="O26" s="1021">
        <f t="shared" si="3"/>
        <v>0</v>
      </c>
      <c r="P26" s="1021">
        <f t="shared" si="4"/>
        <v>0</v>
      </c>
      <c r="Q26" s="1023"/>
      <c r="R26" s="1021">
        <f t="shared" si="5"/>
        <v>0</v>
      </c>
      <c r="S26" s="1022"/>
      <c r="T26" s="1020">
        <v>0</v>
      </c>
      <c r="U26" s="1022"/>
      <c r="V26" s="1020">
        <v>0</v>
      </c>
      <c r="W26" s="1022"/>
      <c r="X26" s="1021">
        <f t="shared" si="6"/>
        <v>0</v>
      </c>
      <c r="Y26" s="1016"/>
      <c r="Z26" s="1017" t="s">
        <v>952</v>
      </c>
      <c r="AA26" s="1018"/>
      <c r="AB26" s="1017" t="s">
        <v>1610</v>
      </c>
      <c r="AC26" s="1018"/>
      <c r="AD26" s="1019">
        <v>0</v>
      </c>
      <c r="AE26" s="1018"/>
      <c r="AF26" s="1021">
        <f t="shared" si="7"/>
        <v>0</v>
      </c>
      <c r="AG26" s="1018"/>
      <c r="AH26" s="1011">
        <v>190</v>
      </c>
      <c r="AI26" s="1008"/>
    </row>
    <row r="27" spans="2:35">
      <c r="B27" s="1011">
        <f t="shared" si="9"/>
        <v>16</v>
      </c>
      <c r="C27" s="1012" t="s">
        <v>1624</v>
      </c>
      <c r="D27" s="1012" t="s">
        <v>1624</v>
      </c>
      <c r="E27" s="1013" t="s">
        <v>1800</v>
      </c>
      <c r="F27" s="1020">
        <v>36672820</v>
      </c>
      <c r="G27" s="1021">
        <f t="shared" si="0"/>
        <v>12835487</v>
      </c>
      <c r="H27" s="1020">
        <v>3663614.7179999999</v>
      </c>
      <c r="I27" s="1021">
        <f t="shared" si="1"/>
        <v>-1282265.1512999998</v>
      </c>
      <c r="J27" s="1021">
        <f t="shared" si="8"/>
        <v>15216836.5667</v>
      </c>
      <c r="K27" s="1022"/>
      <c r="L27" s="1020">
        <v>36672820</v>
      </c>
      <c r="M27" s="1021">
        <f t="shared" si="2"/>
        <v>7701292.1999999993</v>
      </c>
      <c r="N27" s="1020">
        <v>3663614.7179999999</v>
      </c>
      <c r="O27" s="1021">
        <f t="shared" si="3"/>
        <v>-769359.09077999997</v>
      </c>
      <c r="P27" s="1021">
        <f t="shared" si="4"/>
        <v>10595547.827219998</v>
      </c>
      <c r="Q27" s="1023"/>
      <c r="R27" s="1021">
        <f t="shared" si="5"/>
        <v>4621288.7394800019</v>
      </c>
      <c r="S27" s="1022"/>
      <c r="T27" s="1020">
        <v>4621288.7394800019</v>
      </c>
      <c r="U27" s="1022"/>
      <c r="V27" s="1020">
        <v>0</v>
      </c>
      <c r="W27" s="1022"/>
      <c r="X27" s="1021">
        <f t="shared" si="6"/>
        <v>0</v>
      </c>
      <c r="Y27" s="1016"/>
      <c r="Z27" s="1017" t="s">
        <v>952</v>
      </c>
      <c r="AA27" s="1018"/>
      <c r="AB27" s="1017" t="s">
        <v>1610</v>
      </c>
      <c r="AC27" s="1018"/>
      <c r="AD27" s="1019">
        <v>0</v>
      </c>
      <c r="AE27" s="1018"/>
      <c r="AF27" s="1021">
        <f t="shared" si="7"/>
        <v>0</v>
      </c>
      <c r="AG27" s="1018"/>
      <c r="AH27" s="1011">
        <v>190</v>
      </c>
      <c r="AI27" s="1008"/>
    </row>
    <row r="28" spans="2:35">
      <c r="B28" s="1011">
        <f t="shared" si="9"/>
        <v>17</v>
      </c>
      <c r="C28" s="1012" t="s">
        <v>1625</v>
      </c>
      <c r="D28" s="1012" t="s">
        <v>1625</v>
      </c>
      <c r="E28" s="1013" t="s">
        <v>1800</v>
      </c>
      <c r="F28" s="1020">
        <v>0.36999999731779099</v>
      </c>
      <c r="G28" s="1021">
        <f t="shared" si="0"/>
        <v>0.12949999906122683</v>
      </c>
      <c r="H28" s="1020">
        <v>3.6962999732047322E-2</v>
      </c>
      <c r="I28" s="1021">
        <f t="shared" si="1"/>
        <v>-1.2937049906216563E-2</v>
      </c>
      <c r="J28" s="1021">
        <f t="shared" si="8"/>
        <v>0.15352594888705759</v>
      </c>
      <c r="K28" s="1022"/>
      <c r="L28" s="1020">
        <v>0.36999999731779099</v>
      </c>
      <c r="M28" s="1021">
        <f t="shared" si="2"/>
        <v>7.7699999436736097E-2</v>
      </c>
      <c r="N28" s="1020">
        <v>3.6962999732047322E-2</v>
      </c>
      <c r="O28" s="1021">
        <f t="shared" si="3"/>
        <v>-7.7622299437299369E-3</v>
      </c>
      <c r="P28" s="1021">
        <f t="shared" si="4"/>
        <v>0.10690076922505348</v>
      </c>
      <c r="Q28" s="1023"/>
      <c r="R28" s="1021">
        <f t="shared" si="5"/>
        <v>4.6625179662004107E-2</v>
      </c>
      <c r="S28" s="1022"/>
      <c r="T28" s="1020">
        <v>0</v>
      </c>
      <c r="U28" s="1022"/>
      <c r="V28" s="1020">
        <v>0</v>
      </c>
      <c r="W28" s="1022"/>
      <c r="X28" s="1021">
        <f t="shared" si="6"/>
        <v>4.6625179662004107E-2</v>
      </c>
      <c r="Y28" s="1016"/>
      <c r="Z28" s="1017" t="s">
        <v>1609</v>
      </c>
      <c r="AA28" s="1018"/>
      <c r="AB28" s="1017" t="s">
        <v>1610</v>
      </c>
      <c r="AC28" s="1018"/>
      <c r="AD28" s="1019">
        <v>0</v>
      </c>
      <c r="AE28" s="1018"/>
      <c r="AF28" s="1021">
        <f t="shared" si="7"/>
        <v>0</v>
      </c>
      <c r="AG28" s="1018"/>
      <c r="AH28" s="1011">
        <v>190</v>
      </c>
      <c r="AI28" s="1008"/>
    </row>
    <row r="29" spans="2:35">
      <c r="B29" s="1011">
        <f t="shared" si="9"/>
        <v>18</v>
      </c>
      <c r="C29" s="1012" t="s">
        <v>1626</v>
      </c>
      <c r="D29" s="1012" t="s">
        <v>1626</v>
      </c>
      <c r="E29" s="1013" t="s">
        <v>1800</v>
      </c>
      <c r="F29" s="1020">
        <v>1733789.27</v>
      </c>
      <c r="G29" s="1021">
        <f t="shared" si="0"/>
        <v>606826.24449999991</v>
      </c>
      <c r="H29" s="1020">
        <v>173205.54807300001</v>
      </c>
      <c r="I29" s="1021">
        <f t="shared" si="1"/>
        <v>-60621.941825549999</v>
      </c>
      <c r="J29" s="1021">
        <f t="shared" si="8"/>
        <v>719409.85074744991</v>
      </c>
      <c r="K29" s="1022"/>
      <c r="L29" s="1020">
        <v>1733789.27</v>
      </c>
      <c r="M29" s="1021">
        <f t="shared" si="2"/>
        <v>364095.74670000002</v>
      </c>
      <c r="N29" s="1020">
        <v>173205.54807300001</v>
      </c>
      <c r="O29" s="1021">
        <f t="shared" si="3"/>
        <v>-36373.165095329998</v>
      </c>
      <c r="P29" s="1021">
        <f t="shared" si="4"/>
        <v>500928.12967767008</v>
      </c>
      <c r="Q29" s="1023"/>
      <c r="R29" s="1021">
        <f t="shared" si="5"/>
        <v>218481.72106977983</v>
      </c>
      <c r="S29" s="1022"/>
      <c r="T29" s="1020">
        <v>0</v>
      </c>
      <c r="U29" s="1022"/>
      <c r="V29" s="1020">
        <v>0</v>
      </c>
      <c r="W29" s="1022"/>
      <c r="X29" s="1021">
        <f t="shared" si="6"/>
        <v>218481.72106977983</v>
      </c>
      <c r="Y29" s="1016"/>
      <c r="Z29" s="1017" t="s">
        <v>1609</v>
      </c>
      <c r="AA29" s="1018"/>
      <c r="AB29" s="1017" t="s">
        <v>1610</v>
      </c>
      <c r="AC29" s="1018"/>
      <c r="AD29" s="1019">
        <v>0</v>
      </c>
      <c r="AE29" s="1018"/>
      <c r="AF29" s="1021">
        <f t="shared" si="7"/>
        <v>0</v>
      </c>
      <c r="AG29" s="1018"/>
      <c r="AH29" s="1011">
        <v>190</v>
      </c>
      <c r="AI29" s="1008"/>
    </row>
    <row r="30" spans="2:35">
      <c r="B30" s="1011">
        <f t="shared" si="9"/>
        <v>19</v>
      </c>
      <c r="C30" s="1012" t="s">
        <v>1627</v>
      </c>
      <c r="D30" s="1012" t="s">
        <v>1627</v>
      </c>
      <c r="E30" s="1013" t="s">
        <v>1800</v>
      </c>
      <c r="F30" s="1020">
        <v>1102751.3699999996</v>
      </c>
      <c r="G30" s="1021">
        <f t="shared" si="0"/>
        <v>385962.97949999984</v>
      </c>
      <c r="H30" s="1020">
        <v>110164.86186299997</v>
      </c>
      <c r="I30" s="1021">
        <f t="shared" si="1"/>
        <v>-38557.701652049989</v>
      </c>
      <c r="J30" s="1021">
        <f t="shared" si="8"/>
        <v>457570.13971094985</v>
      </c>
      <c r="K30" s="1022"/>
      <c r="L30" s="1020">
        <v>1102751.3699999996</v>
      </c>
      <c r="M30" s="1021">
        <f t="shared" si="2"/>
        <v>231577.78769999993</v>
      </c>
      <c r="N30" s="1020">
        <v>110164.86186299997</v>
      </c>
      <c r="O30" s="1021">
        <f t="shared" si="3"/>
        <v>-23134.620991229993</v>
      </c>
      <c r="P30" s="1021">
        <f t="shared" si="4"/>
        <v>318608.02857176994</v>
      </c>
      <c r="Q30" s="1023"/>
      <c r="R30" s="1021">
        <f t="shared" si="5"/>
        <v>138962.11113917991</v>
      </c>
      <c r="S30" s="1022"/>
      <c r="T30" s="1020">
        <v>0</v>
      </c>
      <c r="U30" s="1022"/>
      <c r="V30" s="1020">
        <v>0</v>
      </c>
      <c r="W30" s="1022"/>
      <c r="X30" s="1021">
        <f t="shared" si="6"/>
        <v>138962.11113917991</v>
      </c>
      <c r="Y30" s="1016"/>
      <c r="Z30" s="1017" t="s">
        <v>1609</v>
      </c>
      <c r="AA30" s="1018"/>
      <c r="AB30" s="1017" t="s">
        <v>1610</v>
      </c>
      <c r="AC30" s="1018"/>
      <c r="AD30" s="1019">
        <v>0</v>
      </c>
      <c r="AE30" s="1018"/>
      <c r="AF30" s="1021">
        <f t="shared" si="7"/>
        <v>0</v>
      </c>
      <c r="AG30" s="1018"/>
      <c r="AH30" s="1011">
        <v>190</v>
      </c>
      <c r="AI30" s="1008"/>
    </row>
    <row r="31" spans="2:35">
      <c r="B31" s="1011">
        <f t="shared" si="9"/>
        <v>20</v>
      </c>
      <c r="C31" s="1012" t="s">
        <v>1628</v>
      </c>
      <c r="D31" s="1012" t="s">
        <v>1628</v>
      </c>
      <c r="E31" s="1013" t="s">
        <v>1800</v>
      </c>
      <c r="F31" s="1020">
        <v>0</v>
      </c>
      <c r="G31" s="1021">
        <f t="shared" si="0"/>
        <v>0</v>
      </c>
      <c r="H31" s="1020">
        <v>0</v>
      </c>
      <c r="I31" s="1021">
        <f t="shared" si="1"/>
        <v>0</v>
      </c>
      <c r="J31" s="1021">
        <f t="shared" si="8"/>
        <v>0</v>
      </c>
      <c r="K31" s="1022"/>
      <c r="L31" s="1020">
        <v>0</v>
      </c>
      <c r="M31" s="1021">
        <f t="shared" si="2"/>
        <v>0</v>
      </c>
      <c r="N31" s="1020">
        <v>0</v>
      </c>
      <c r="O31" s="1021">
        <f t="shared" si="3"/>
        <v>0</v>
      </c>
      <c r="P31" s="1021">
        <f t="shared" si="4"/>
        <v>0</v>
      </c>
      <c r="Q31" s="1023"/>
      <c r="R31" s="1021">
        <f t="shared" si="5"/>
        <v>0</v>
      </c>
      <c r="S31" s="1022"/>
      <c r="T31" s="1020">
        <v>0</v>
      </c>
      <c r="U31" s="1022"/>
      <c r="V31" s="1020">
        <v>0</v>
      </c>
      <c r="W31" s="1022"/>
      <c r="X31" s="1021">
        <f t="shared" si="6"/>
        <v>0</v>
      </c>
      <c r="Y31" s="1016"/>
      <c r="Z31" s="1017" t="s">
        <v>458</v>
      </c>
      <c r="AA31" s="1018"/>
      <c r="AB31" s="1017" t="s">
        <v>1610</v>
      </c>
      <c r="AC31" s="1018"/>
      <c r="AD31" s="1019">
        <v>0</v>
      </c>
      <c r="AE31" s="1018"/>
      <c r="AF31" s="1021">
        <f t="shared" si="7"/>
        <v>0</v>
      </c>
      <c r="AG31" s="1018"/>
      <c r="AH31" s="1011">
        <v>190</v>
      </c>
      <c r="AI31" s="1017"/>
    </row>
    <row r="32" spans="2:35">
      <c r="B32" s="1011">
        <f t="shared" si="9"/>
        <v>21</v>
      </c>
      <c r="C32" s="1012" t="s">
        <v>1629</v>
      </c>
      <c r="D32" s="1012" t="s">
        <v>1629</v>
      </c>
      <c r="E32" s="1013" t="s">
        <v>1800</v>
      </c>
      <c r="F32" s="1020">
        <v>0</v>
      </c>
      <c r="G32" s="1021">
        <f t="shared" si="0"/>
        <v>0</v>
      </c>
      <c r="H32" s="1020">
        <v>0</v>
      </c>
      <c r="I32" s="1021">
        <f t="shared" si="1"/>
        <v>0</v>
      </c>
      <c r="J32" s="1021">
        <f t="shared" si="8"/>
        <v>0</v>
      </c>
      <c r="K32" s="1022"/>
      <c r="L32" s="1020">
        <v>0</v>
      </c>
      <c r="M32" s="1021">
        <f t="shared" si="2"/>
        <v>0</v>
      </c>
      <c r="N32" s="1020">
        <v>0</v>
      </c>
      <c r="O32" s="1021">
        <f t="shared" si="3"/>
        <v>0</v>
      </c>
      <c r="P32" s="1021">
        <f t="shared" si="4"/>
        <v>0</v>
      </c>
      <c r="Q32" s="1023"/>
      <c r="R32" s="1021">
        <f t="shared" si="5"/>
        <v>0</v>
      </c>
      <c r="S32" s="1022"/>
      <c r="T32" s="1020">
        <v>0</v>
      </c>
      <c r="U32" s="1022"/>
      <c r="V32" s="1020">
        <v>0</v>
      </c>
      <c r="W32" s="1022"/>
      <c r="X32" s="1021">
        <f t="shared" si="6"/>
        <v>0</v>
      </c>
      <c r="Y32" s="1016"/>
      <c r="Z32" s="1017" t="s">
        <v>1609</v>
      </c>
      <c r="AA32" s="1018"/>
      <c r="AB32" s="1017" t="s">
        <v>1610</v>
      </c>
      <c r="AC32" s="1018"/>
      <c r="AD32" s="1019">
        <v>0</v>
      </c>
      <c r="AE32" s="1018"/>
      <c r="AF32" s="1021">
        <f t="shared" si="7"/>
        <v>0</v>
      </c>
      <c r="AG32" s="1018"/>
      <c r="AH32" s="1011">
        <v>190</v>
      </c>
      <c r="AI32" s="1017"/>
    </row>
    <row r="33" spans="2:37">
      <c r="B33" s="1011">
        <f t="shared" si="9"/>
        <v>22</v>
      </c>
      <c r="C33" s="1012" t="s">
        <v>1630</v>
      </c>
      <c r="D33" s="1012" t="s">
        <v>1630</v>
      </c>
      <c r="E33" s="1013" t="s">
        <v>1800</v>
      </c>
      <c r="F33" s="1020">
        <v>7960953.6300000083</v>
      </c>
      <c r="G33" s="1021">
        <f>F33*0.35</f>
        <v>2786333.7705000029</v>
      </c>
      <c r="H33" s="1020">
        <v>795299.26763700088</v>
      </c>
      <c r="I33" s="1021">
        <f>-H33*0.35</f>
        <v>-278354.74367295031</v>
      </c>
      <c r="J33" s="1021">
        <f>G33+I33+H33</f>
        <v>3303278.2944640536</v>
      </c>
      <c r="K33" s="1022"/>
      <c r="L33" s="1020">
        <v>7960953.6300000083</v>
      </c>
      <c r="M33" s="1021">
        <f>L33*0.21</f>
        <v>1671800.2623000017</v>
      </c>
      <c r="N33" s="1020">
        <v>795299.26763700088</v>
      </c>
      <c r="O33" s="1021">
        <f>-N33*0.21</f>
        <v>-167012.84620377017</v>
      </c>
      <c r="P33" s="1021">
        <f>M33+O33+N33</f>
        <v>2300086.6837332323</v>
      </c>
      <c r="Q33" s="1023"/>
      <c r="R33" s="1021">
        <f>J33-P33</f>
        <v>1003191.6107308213</v>
      </c>
      <c r="S33" s="1022"/>
      <c r="T33" s="1020">
        <v>0</v>
      </c>
      <c r="U33" s="1022"/>
      <c r="V33" s="1020">
        <v>0</v>
      </c>
      <c r="W33" s="1022"/>
      <c r="X33" s="1021">
        <f>R33-T33-V33</f>
        <v>1003191.6107308213</v>
      </c>
      <c r="Y33" s="1016"/>
      <c r="Z33" s="1017" t="s">
        <v>1631</v>
      </c>
      <c r="AA33" s="1018"/>
      <c r="AB33" s="1017" t="s">
        <v>1610</v>
      </c>
      <c r="AC33" s="1018"/>
      <c r="AD33" s="1019">
        <v>0</v>
      </c>
      <c r="AE33" s="1018"/>
      <c r="AF33" s="1021">
        <f>X33*AD33</f>
        <v>0</v>
      </c>
      <c r="AG33" s="1018"/>
      <c r="AH33" s="1011">
        <v>190</v>
      </c>
      <c r="AI33" s="1017"/>
    </row>
    <row r="34" spans="2:37">
      <c r="B34" s="1011">
        <f t="shared" si="9"/>
        <v>23</v>
      </c>
      <c r="C34" s="1012" t="s">
        <v>1632</v>
      </c>
      <c r="D34" s="1012" t="s">
        <v>1632</v>
      </c>
      <c r="E34" s="1013" t="s">
        <v>1800</v>
      </c>
      <c r="F34" s="1020">
        <v>5982000</v>
      </c>
      <c r="G34" s="1021">
        <f>F34*0.35</f>
        <v>2093699.9999999998</v>
      </c>
      <c r="H34" s="1020">
        <v>597601.80000000005</v>
      </c>
      <c r="I34" s="1021">
        <f>-H34*0.35</f>
        <v>-209160.63</v>
      </c>
      <c r="J34" s="1021">
        <f>G34+I34+H34</f>
        <v>2482141.17</v>
      </c>
      <c r="K34" s="1022"/>
      <c r="L34" s="1020">
        <v>5982000</v>
      </c>
      <c r="M34" s="1021">
        <f>L34*0.21</f>
        <v>1256220</v>
      </c>
      <c r="N34" s="1020">
        <v>597601.80000000005</v>
      </c>
      <c r="O34" s="1021">
        <f>-N34*0.21</f>
        <v>-125496.37800000001</v>
      </c>
      <c r="P34" s="1021">
        <f>M34+O34+N34</f>
        <v>1728325.422</v>
      </c>
      <c r="Q34" s="1023"/>
      <c r="R34" s="1021">
        <f>J34-P34</f>
        <v>753815.74799999991</v>
      </c>
      <c r="S34" s="1022"/>
      <c r="T34" s="1020">
        <v>0</v>
      </c>
      <c r="U34" s="1022"/>
      <c r="V34" s="1020">
        <v>0</v>
      </c>
      <c r="W34" s="1022"/>
      <c r="X34" s="1021">
        <f>R34-T34-V34</f>
        <v>753815.74799999991</v>
      </c>
      <c r="Y34" s="1016"/>
      <c r="Z34" s="1017" t="s">
        <v>1631</v>
      </c>
      <c r="AA34" s="1018"/>
      <c r="AB34" s="1017" t="s">
        <v>1610</v>
      </c>
      <c r="AC34" s="1018"/>
      <c r="AD34" s="1019">
        <v>0</v>
      </c>
      <c r="AE34" s="1018"/>
      <c r="AF34" s="1021">
        <f>X34*AD34</f>
        <v>0</v>
      </c>
      <c r="AG34" s="1018"/>
      <c r="AH34" s="1011">
        <v>190</v>
      </c>
      <c r="AI34" s="1017"/>
    </row>
    <row r="35" spans="2:37">
      <c r="B35" s="1011">
        <f t="shared" si="9"/>
        <v>24</v>
      </c>
      <c r="C35" s="1012" t="s">
        <v>1633</v>
      </c>
      <c r="D35" s="1012" t="s">
        <v>1633</v>
      </c>
      <c r="E35" s="1013" t="s">
        <v>1800</v>
      </c>
      <c r="F35" s="1020">
        <v>20258526.099999998</v>
      </c>
      <c r="G35" s="1021">
        <f>F35*0.35</f>
        <v>7090484.1349999988</v>
      </c>
      <c r="H35" s="1020">
        <v>2023826.7573899999</v>
      </c>
      <c r="I35" s="1021">
        <f>-H35*0.35</f>
        <v>-708339.36508649995</v>
      </c>
      <c r="J35" s="1021">
        <f>G35+I35+H35</f>
        <v>8405971.5273034982</v>
      </c>
      <c r="K35" s="1022"/>
      <c r="L35" s="1020">
        <v>20258526.099999998</v>
      </c>
      <c r="M35" s="1021">
        <f>L35*0.21</f>
        <v>4254290.4809999997</v>
      </c>
      <c r="N35" s="1020">
        <v>2023826.7573899999</v>
      </c>
      <c r="O35" s="1021">
        <f>-N35*0.21</f>
        <v>-425003.61905189999</v>
      </c>
      <c r="P35" s="1021">
        <f>M35+O35+N35</f>
        <v>5853113.6193380998</v>
      </c>
      <c r="Q35" s="1023"/>
      <c r="R35" s="1021">
        <f>J35-P35</f>
        <v>2552857.9079653984</v>
      </c>
      <c r="S35" s="1022"/>
      <c r="T35" s="1020">
        <v>0</v>
      </c>
      <c r="U35" s="1022"/>
      <c r="V35" s="1020">
        <v>0</v>
      </c>
      <c r="W35" s="1022"/>
      <c r="X35" s="1021">
        <f>R35-T35-V35</f>
        <v>2552857.9079653984</v>
      </c>
      <c r="Y35" s="1016"/>
      <c r="Z35" s="1017" t="s">
        <v>1609</v>
      </c>
      <c r="AA35" s="1018"/>
      <c r="AB35" s="1017" t="s">
        <v>1610</v>
      </c>
      <c r="AC35" s="1018"/>
      <c r="AD35" s="1019">
        <v>0</v>
      </c>
      <c r="AE35" s="1018"/>
      <c r="AF35" s="1021">
        <f>X35*AD35</f>
        <v>0</v>
      </c>
      <c r="AG35" s="1018"/>
      <c r="AH35" s="1011">
        <v>190</v>
      </c>
      <c r="AI35" s="1008"/>
    </row>
    <row r="36" spans="2:37">
      <c r="B36" s="1011">
        <f t="shared" si="9"/>
        <v>25</v>
      </c>
      <c r="C36" s="1012" t="s">
        <v>1634</v>
      </c>
      <c r="D36" s="1012" t="s">
        <v>1634</v>
      </c>
      <c r="E36" s="1013" t="s">
        <v>1800</v>
      </c>
      <c r="F36" s="1020">
        <v>0</v>
      </c>
      <c r="G36" s="1021">
        <f t="shared" si="0"/>
        <v>0</v>
      </c>
      <c r="H36" s="1020">
        <v>0</v>
      </c>
      <c r="I36" s="1021">
        <f t="shared" si="1"/>
        <v>0</v>
      </c>
      <c r="J36" s="1021">
        <f t="shared" si="8"/>
        <v>0</v>
      </c>
      <c r="K36" s="1022"/>
      <c r="L36" s="1020">
        <v>0</v>
      </c>
      <c r="M36" s="1021">
        <f t="shared" si="2"/>
        <v>0</v>
      </c>
      <c r="N36" s="1020">
        <v>0</v>
      </c>
      <c r="O36" s="1021">
        <f t="shared" si="3"/>
        <v>0</v>
      </c>
      <c r="P36" s="1021">
        <f t="shared" si="4"/>
        <v>0</v>
      </c>
      <c r="Q36" s="1023"/>
      <c r="R36" s="1021">
        <f t="shared" si="5"/>
        <v>0</v>
      </c>
      <c r="S36" s="1022"/>
      <c r="T36" s="1020">
        <v>0</v>
      </c>
      <c r="U36" s="1022"/>
      <c r="V36" s="1020">
        <v>0</v>
      </c>
      <c r="W36" s="1022"/>
      <c r="X36" s="1021">
        <f t="shared" si="6"/>
        <v>0</v>
      </c>
      <c r="Y36" s="1016"/>
      <c r="Z36" s="1017" t="s">
        <v>458</v>
      </c>
      <c r="AA36" s="1018"/>
      <c r="AB36" s="1017" t="s">
        <v>1610</v>
      </c>
      <c r="AC36" s="1018"/>
      <c r="AD36" s="1019">
        <v>0</v>
      </c>
      <c r="AE36" s="1018"/>
      <c r="AF36" s="1021">
        <f t="shared" si="7"/>
        <v>0</v>
      </c>
      <c r="AG36" s="1018"/>
      <c r="AH36" s="1011">
        <v>190</v>
      </c>
      <c r="AI36" s="1017"/>
    </row>
    <row r="37" spans="2:37">
      <c r="B37" s="1011">
        <f t="shared" si="9"/>
        <v>26</v>
      </c>
      <c r="C37" s="1012" t="s">
        <v>1635</v>
      </c>
      <c r="D37" s="1012" t="s">
        <v>1635</v>
      </c>
      <c r="E37" s="1013" t="s">
        <v>1800</v>
      </c>
      <c r="F37" s="1020">
        <v>1072962.44</v>
      </c>
      <c r="G37" s="1021">
        <f t="shared" si="0"/>
        <v>375536.85399999993</v>
      </c>
      <c r="H37" s="1020">
        <v>107188.94775599999</v>
      </c>
      <c r="I37" s="1021">
        <f t="shared" si="1"/>
        <v>-37516.131714599993</v>
      </c>
      <c r="J37" s="1021">
        <f t="shared" si="8"/>
        <v>445209.67004139989</v>
      </c>
      <c r="K37" s="1022"/>
      <c r="L37" s="1020">
        <v>1072962.44</v>
      </c>
      <c r="M37" s="1021">
        <f t="shared" si="2"/>
        <v>225322.11239999998</v>
      </c>
      <c r="N37" s="1020">
        <v>107188.94775599999</v>
      </c>
      <c r="O37" s="1021">
        <f t="shared" si="3"/>
        <v>-22509.679028759998</v>
      </c>
      <c r="P37" s="1021">
        <f t="shared" si="4"/>
        <v>310001.38112723996</v>
      </c>
      <c r="Q37" s="1023"/>
      <c r="R37" s="1021">
        <f t="shared" si="5"/>
        <v>135208.28891415993</v>
      </c>
      <c r="S37" s="1022"/>
      <c r="T37" s="1020">
        <v>0</v>
      </c>
      <c r="U37" s="1022"/>
      <c r="V37" s="1020">
        <v>0</v>
      </c>
      <c r="W37" s="1022"/>
      <c r="X37" s="1021">
        <f t="shared" si="6"/>
        <v>135208.28891415993</v>
      </c>
      <c r="Y37" s="1016"/>
      <c r="Z37" s="1017" t="s">
        <v>458</v>
      </c>
      <c r="AA37" s="1018"/>
      <c r="AB37" s="1017" t="s">
        <v>1610</v>
      </c>
      <c r="AC37" s="1018"/>
      <c r="AD37" s="1019">
        <v>0</v>
      </c>
      <c r="AE37" s="1018"/>
      <c r="AF37" s="1021">
        <f t="shared" si="7"/>
        <v>0</v>
      </c>
      <c r="AG37" s="1018"/>
      <c r="AH37" s="1011">
        <v>190</v>
      </c>
      <c r="AI37" s="1017"/>
    </row>
    <row r="38" spans="2:37">
      <c r="B38" s="1011">
        <f t="shared" si="9"/>
        <v>27</v>
      </c>
      <c r="C38" s="1012" t="s">
        <v>1636</v>
      </c>
      <c r="D38" s="1012" t="s">
        <v>1636</v>
      </c>
      <c r="E38" s="1013" t="s">
        <v>1800</v>
      </c>
      <c r="F38" s="1020">
        <v>0</v>
      </c>
      <c r="G38" s="1021">
        <f t="shared" si="0"/>
        <v>0</v>
      </c>
      <c r="H38" s="1020">
        <v>0</v>
      </c>
      <c r="I38" s="1021">
        <f t="shared" si="1"/>
        <v>0</v>
      </c>
      <c r="J38" s="1021">
        <f t="shared" si="8"/>
        <v>0</v>
      </c>
      <c r="K38" s="1022"/>
      <c r="L38" s="1020">
        <v>0</v>
      </c>
      <c r="M38" s="1021">
        <f t="shared" si="2"/>
        <v>0</v>
      </c>
      <c r="N38" s="1020">
        <v>0</v>
      </c>
      <c r="O38" s="1021">
        <f t="shared" si="3"/>
        <v>0</v>
      </c>
      <c r="P38" s="1021">
        <f t="shared" si="4"/>
        <v>0</v>
      </c>
      <c r="Q38" s="1023"/>
      <c r="R38" s="1021">
        <f t="shared" si="5"/>
        <v>0</v>
      </c>
      <c r="S38" s="1022"/>
      <c r="T38" s="1020">
        <v>0</v>
      </c>
      <c r="U38" s="1022"/>
      <c r="V38" s="1020">
        <v>0</v>
      </c>
      <c r="W38" s="1022"/>
      <c r="X38" s="1021">
        <f t="shared" si="6"/>
        <v>0</v>
      </c>
      <c r="Y38" s="1016"/>
      <c r="Z38" s="1017" t="s">
        <v>1612</v>
      </c>
      <c r="AA38" s="1018"/>
      <c r="AB38" s="1017" t="s">
        <v>1610</v>
      </c>
      <c r="AC38" s="1018"/>
      <c r="AD38" s="1019">
        <v>0</v>
      </c>
      <c r="AE38" s="1018"/>
      <c r="AF38" s="1021">
        <f t="shared" si="7"/>
        <v>0</v>
      </c>
      <c r="AG38" s="1018"/>
      <c r="AH38" s="1011">
        <v>190</v>
      </c>
      <c r="AI38" s="1017"/>
    </row>
    <row r="39" spans="2:37">
      <c r="B39" s="1011">
        <f t="shared" si="9"/>
        <v>28</v>
      </c>
      <c r="C39" s="1012" t="s">
        <v>1637</v>
      </c>
      <c r="D39" s="1012" t="s">
        <v>1637</v>
      </c>
      <c r="E39" s="1013" t="s">
        <v>1800</v>
      </c>
      <c r="F39" s="1020">
        <v>0</v>
      </c>
      <c r="G39" s="1021">
        <f t="shared" si="0"/>
        <v>0</v>
      </c>
      <c r="H39" s="1020">
        <v>9763899.3269999996</v>
      </c>
      <c r="I39" s="1021">
        <f t="shared" si="1"/>
        <v>-3417364.7644499997</v>
      </c>
      <c r="J39" s="1021">
        <f t="shared" si="8"/>
        <v>6346534.5625499999</v>
      </c>
      <c r="K39" s="1022"/>
      <c r="L39" s="1020">
        <v>0</v>
      </c>
      <c r="M39" s="1021">
        <f t="shared" si="2"/>
        <v>0</v>
      </c>
      <c r="N39" s="1020">
        <v>9763899.3269999996</v>
      </c>
      <c r="O39" s="1021">
        <f t="shared" si="3"/>
        <v>-2050418.8586699998</v>
      </c>
      <c r="P39" s="1021">
        <f t="shared" si="4"/>
        <v>7713480.4683299996</v>
      </c>
      <c r="Q39" s="1023"/>
      <c r="R39" s="1021">
        <f t="shared" si="5"/>
        <v>-1366945.9057799997</v>
      </c>
      <c r="S39" s="1022"/>
      <c r="T39" s="1020">
        <v>0</v>
      </c>
      <c r="U39" s="1022"/>
      <c r="V39" s="1020">
        <v>0</v>
      </c>
      <c r="W39" s="1022"/>
      <c r="X39" s="1021">
        <f t="shared" si="6"/>
        <v>-1366945.9057799997</v>
      </c>
      <c r="Y39" s="1016"/>
      <c r="Z39" s="1017" t="s">
        <v>458</v>
      </c>
      <c r="AA39" s="1018"/>
      <c r="AB39" s="1017" t="s">
        <v>1613</v>
      </c>
      <c r="AC39" s="1018"/>
      <c r="AD39" s="1019">
        <v>8.77774310546207E-2</v>
      </c>
      <c r="AE39" s="1018"/>
      <c r="AF39" s="1021">
        <f t="shared" si="7"/>
        <v>-119986.99999999997</v>
      </c>
      <c r="AG39" s="1018"/>
      <c r="AH39" s="1011">
        <v>190</v>
      </c>
      <c r="AI39" s="1017"/>
      <c r="AK39" s="991"/>
    </row>
    <row r="40" spans="2:37">
      <c r="B40" s="1011">
        <f t="shared" si="9"/>
        <v>29</v>
      </c>
      <c r="C40" s="1012" t="s">
        <v>1638</v>
      </c>
      <c r="D40" s="1012" t="s">
        <v>1638</v>
      </c>
      <c r="E40" s="1013" t="s">
        <v>1800</v>
      </c>
      <c r="F40" s="1020">
        <v>0</v>
      </c>
      <c r="G40" s="1021">
        <f t="shared" si="0"/>
        <v>0</v>
      </c>
      <c r="H40" s="1020">
        <v>0</v>
      </c>
      <c r="I40" s="1021">
        <f t="shared" si="1"/>
        <v>0</v>
      </c>
      <c r="J40" s="1021">
        <f t="shared" si="8"/>
        <v>0</v>
      </c>
      <c r="K40" s="1022"/>
      <c r="L40" s="1020">
        <v>0</v>
      </c>
      <c r="M40" s="1021">
        <f t="shared" si="2"/>
        <v>0</v>
      </c>
      <c r="N40" s="1020">
        <v>0</v>
      </c>
      <c r="O40" s="1021">
        <f t="shared" si="3"/>
        <v>0</v>
      </c>
      <c r="P40" s="1021">
        <f t="shared" si="4"/>
        <v>0</v>
      </c>
      <c r="Q40" s="1023"/>
      <c r="R40" s="1021">
        <f t="shared" si="5"/>
        <v>0</v>
      </c>
      <c r="S40" s="1022"/>
      <c r="T40" s="1020">
        <v>0</v>
      </c>
      <c r="U40" s="1022"/>
      <c r="V40" s="1020">
        <v>0</v>
      </c>
      <c r="W40" s="1022"/>
      <c r="X40" s="1021">
        <f t="shared" si="6"/>
        <v>0</v>
      </c>
      <c r="Y40" s="1016"/>
      <c r="Z40" s="1017" t="s">
        <v>1612</v>
      </c>
      <c r="AA40" s="1018"/>
      <c r="AB40" s="1017" t="s">
        <v>1610</v>
      </c>
      <c r="AC40" s="1018"/>
      <c r="AD40" s="1019">
        <v>0</v>
      </c>
      <c r="AE40" s="1018"/>
      <c r="AF40" s="1021">
        <f t="shared" si="7"/>
        <v>0</v>
      </c>
      <c r="AG40" s="1018"/>
      <c r="AH40" s="1011">
        <v>190</v>
      </c>
      <c r="AI40" s="1017"/>
    </row>
    <row r="41" spans="2:37">
      <c r="B41" s="1011">
        <f t="shared" si="9"/>
        <v>30</v>
      </c>
      <c r="C41" s="1012" t="s">
        <v>1639</v>
      </c>
      <c r="D41" s="1012" t="s">
        <v>1639</v>
      </c>
      <c r="E41" s="1013" t="s">
        <v>1800</v>
      </c>
      <c r="F41" s="1020">
        <v>0</v>
      </c>
      <c r="G41" s="1021">
        <f t="shared" si="0"/>
        <v>0</v>
      </c>
      <c r="H41" s="1020">
        <v>0</v>
      </c>
      <c r="I41" s="1021">
        <f t="shared" si="1"/>
        <v>0</v>
      </c>
      <c r="J41" s="1021">
        <f t="shared" si="8"/>
        <v>0</v>
      </c>
      <c r="K41" s="1022"/>
      <c r="L41" s="1020">
        <v>0</v>
      </c>
      <c r="M41" s="1021">
        <f t="shared" si="2"/>
        <v>0</v>
      </c>
      <c r="N41" s="1020">
        <v>0</v>
      </c>
      <c r="O41" s="1021">
        <f t="shared" si="3"/>
        <v>0</v>
      </c>
      <c r="P41" s="1021">
        <f t="shared" si="4"/>
        <v>0</v>
      </c>
      <c r="Q41" s="1023"/>
      <c r="R41" s="1021">
        <f t="shared" si="5"/>
        <v>0</v>
      </c>
      <c r="S41" s="1022"/>
      <c r="T41" s="1020">
        <v>0</v>
      </c>
      <c r="U41" s="1022"/>
      <c r="V41" s="1020">
        <v>0</v>
      </c>
      <c r="W41" s="1022"/>
      <c r="X41" s="1021">
        <f t="shared" si="6"/>
        <v>0</v>
      </c>
      <c r="Y41" s="1016"/>
      <c r="Z41" s="1017" t="s">
        <v>952</v>
      </c>
      <c r="AA41" s="1018"/>
      <c r="AB41" s="1017" t="s">
        <v>1610</v>
      </c>
      <c r="AC41" s="1018"/>
      <c r="AD41" s="1019">
        <v>0</v>
      </c>
      <c r="AE41" s="1018"/>
      <c r="AF41" s="1021">
        <f t="shared" si="7"/>
        <v>0</v>
      </c>
      <c r="AG41" s="1018"/>
      <c r="AH41" s="1011">
        <v>190</v>
      </c>
      <c r="AI41" s="1017"/>
    </row>
    <row r="42" spans="2:37">
      <c r="B42" s="1011">
        <f t="shared" si="9"/>
        <v>31</v>
      </c>
      <c r="C42" s="1012" t="s">
        <v>1539</v>
      </c>
      <c r="D42" s="1012" t="s">
        <v>1539</v>
      </c>
      <c r="E42" s="1013" t="s">
        <v>1800</v>
      </c>
      <c r="F42" s="1020">
        <v>319254558.13</v>
      </c>
      <c r="G42" s="1021">
        <f t="shared" si="0"/>
        <v>111739095.34549999</v>
      </c>
      <c r="H42" s="1020">
        <v>31893530.357186999</v>
      </c>
      <c r="I42" s="1021">
        <f t="shared" si="1"/>
        <v>-11162735.625015449</v>
      </c>
      <c r="J42" s="1021">
        <f t="shared" si="8"/>
        <v>132469890.07767154</v>
      </c>
      <c r="K42" s="1022"/>
      <c r="L42" s="1020">
        <v>319254558.13</v>
      </c>
      <c r="M42" s="1021">
        <f t="shared" si="2"/>
        <v>67043457.2073</v>
      </c>
      <c r="N42" s="1020">
        <v>31893530.357186999</v>
      </c>
      <c r="O42" s="1021">
        <f t="shared" si="3"/>
        <v>-6697641.3750092695</v>
      </c>
      <c r="P42" s="1021">
        <f t="shared" si="4"/>
        <v>92239346.189477727</v>
      </c>
      <c r="Q42" s="1023"/>
      <c r="R42" s="1021">
        <f t="shared" si="5"/>
        <v>40230543.888193816</v>
      </c>
      <c r="S42" s="1022"/>
      <c r="T42" s="1020">
        <v>0</v>
      </c>
      <c r="U42" s="1022"/>
      <c r="V42" s="1020">
        <v>0</v>
      </c>
      <c r="W42" s="1022"/>
      <c r="X42" s="1021">
        <f t="shared" si="6"/>
        <v>40230543.888193816</v>
      </c>
      <c r="Y42" s="1016"/>
      <c r="Z42" s="1017" t="s">
        <v>1612</v>
      </c>
      <c r="AA42" s="1018"/>
      <c r="AB42" s="1017" t="s">
        <v>1613</v>
      </c>
      <c r="AC42" s="1018"/>
      <c r="AD42" s="1019">
        <v>9.6357180000000001E-2</v>
      </c>
      <c r="AE42" s="1018"/>
      <c r="AF42" s="1021">
        <f t="shared" si="7"/>
        <v>3876501.7589325914</v>
      </c>
      <c r="AG42" s="1018"/>
      <c r="AH42" s="1011">
        <v>190</v>
      </c>
      <c r="AI42" s="1017"/>
      <c r="AK42" s="991"/>
    </row>
    <row r="43" spans="2:37">
      <c r="B43" s="1011">
        <f t="shared" si="9"/>
        <v>32</v>
      </c>
      <c r="C43" s="1012" t="s">
        <v>1640</v>
      </c>
      <c r="D43" s="1012" t="s">
        <v>1640</v>
      </c>
      <c r="E43" s="1013" t="s">
        <v>1800</v>
      </c>
      <c r="F43" s="1020">
        <v>-152696.04000000004</v>
      </c>
      <c r="G43" s="1021">
        <f t="shared" si="0"/>
        <v>-53443.614000000009</v>
      </c>
      <c r="H43" s="1020">
        <v>-15254.334396000004</v>
      </c>
      <c r="I43" s="1021">
        <f t="shared" si="1"/>
        <v>5339.0170386000009</v>
      </c>
      <c r="J43" s="1021">
        <f t="shared" si="8"/>
        <v>-63358.931357400012</v>
      </c>
      <c r="K43" s="1022"/>
      <c r="L43" s="1020">
        <v>-152696.04000000004</v>
      </c>
      <c r="M43" s="1021">
        <f t="shared" si="2"/>
        <v>-32066.168400000006</v>
      </c>
      <c r="N43" s="1020">
        <v>-15254.334396000004</v>
      </c>
      <c r="O43" s="1021">
        <f t="shared" si="3"/>
        <v>3203.4102231600009</v>
      </c>
      <c r="P43" s="1021">
        <f t="shared" si="4"/>
        <v>-44117.092572840011</v>
      </c>
      <c r="Q43" s="1023"/>
      <c r="R43" s="1021">
        <f t="shared" si="5"/>
        <v>-19241.838784560001</v>
      </c>
      <c r="S43" s="1022"/>
      <c r="T43" s="1020">
        <v>-19241.838784560001</v>
      </c>
      <c r="U43" s="1022"/>
      <c r="V43" s="1020">
        <v>0</v>
      </c>
      <c r="W43" s="1022"/>
      <c r="X43" s="1021">
        <f t="shared" si="6"/>
        <v>0</v>
      </c>
      <c r="Y43" s="1016"/>
      <c r="Z43" s="1017" t="s">
        <v>952</v>
      </c>
      <c r="AA43" s="1018"/>
      <c r="AB43" s="1017" t="s">
        <v>1610</v>
      </c>
      <c r="AC43" s="1018"/>
      <c r="AD43" s="1019">
        <v>0</v>
      </c>
      <c r="AE43" s="1018"/>
      <c r="AF43" s="1021">
        <f t="shared" si="7"/>
        <v>0</v>
      </c>
      <c r="AG43" s="1018"/>
      <c r="AH43" s="1011">
        <v>190</v>
      </c>
      <c r="AI43" s="1017"/>
    </row>
    <row r="44" spans="2:37">
      <c r="B44" s="1011">
        <f t="shared" si="9"/>
        <v>33</v>
      </c>
      <c r="C44" s="1012" t="s">
        <v>1641</v>
      </c>
      <c r="D44" s="1012" t="s">
        <v>1641</v>
      </c>
      <c r="E44" s="1013" t="s">
        <v>1800</v>
      </c>
      <c r="F44" s="1020">
        <v>0</v>
      </c>
      <c r="G44" s="1021">
        <f t="shared" si="0"/>
        <v>0</v>
      </c>
      <c r="H44" s="1020">
        <v>0</v>
      </c>
      <c r="I44" s="1021">
        <f t="shared" si="1"/>
        <v>0</v>
      </c>
      <c r="J44" s="1021">
        <f t="shared" si="8"/>
        <v>0</v>
      </c>
      <c r="K44" s="1022"/>
      <c r="L44" s="1020">
        <v>0</v>
      </c>
      <c r="M44" s="1021">
        <f t="shared" si="2"/>
        <v>0</v>
      </c>
      <c r="N44" s="1020">
        <v>0</v>
      </c>
      <c r="O44" s="1021">
        <f t="shared" si="3"/>
        <v>0</v>
      </c>
      <c r="P44" s="1021">
        <f t="shared" si="4"/>
        <v>0</v>
      </c>
      <c r="Q44" s="1023"/>
      <c r="R44" s="1021">
        <f t="shared" si="5"/>
        <v>0</v>
      </c>
      <c r="S44" s="1022"/>
      <c r="T44" s="1020">
        <v>0</v>
      </c>
      <c r="U44" s="1022"/>
      <c r="V44" s="1020">
        <v>0</v>
      </c>
      <c r="W44" s="1022"/>
      <c r="X44" s="1021">
        <f t="shared" si="6"/>
        <v>0</v>
      </c>
      <c r="Y44" s="1016"/>
      <c r="Z44" s="1017" t="s">
        <v>1609</v>
      </c>
      <c r="AA44" s="1018"/>
      <c r="AB44" s="1017" t="s">
        <v>1610</v>
      </c>
      <c r="AC44" s="1018"/>
      <c r="AD44" s="1019">
        <v>0</v>
      </c>
      <c r="AE44" s="1018"/>
      <c r="AF44" s="1021">
        <f t="shared" si="7"/>
        <v>0</v>
      </c>
      <c r="AG44" s="1018"/>
      <c r="AH44" s="1011">
        <v>190</v>
      </c>
      <c r="AI44" s="1017"/>
    </row>
    <row r="45" spans="2:37">
      <c r="B45" s="1011">
        <f t="shared" si="9"/>
        <v>34</v>
      </c>
      <c r="C45" s="1012" t="s">
        <v>1642</v>
      </c>
      <c r="D45" s="1012" t="s">
        <v>1642</v>
      </c>
      <c r="E45" s="1013" t="s">
        <v>1800</v>
      </c>
      <c r="F45" s="1020">
        <v>-2221282.8515309626</v>
      </c>
      <c r="G45" s="1021">
        <f t="shared" si="0"/>
        <v>-777448.99803583685</v>
      </c>
      <c r="H45" s="1020">
        <v>-221906.15686794318</v>
      </c>
      <c r="I45" s="1021">
        <f t="shared" si="1"/>
        <v>77667.154903780101</v>
      </c>
      <c r="J45" s="1021">
        <f t="shared" si="8"/>
        <v>-921688</v>
      </c>
      <c r="K45" s="1022"/>
      <c r="L45" s="1020">
        <v>-2221282.8515309626</v>
      </c>
      <c r="M45" s="1021">
        <f t="shared" si="2"/>
        <v>-466469.39882150211</v>
      </c>
      <c r="N45" s="1020">
        <v>-221906.15686794318</v>
      </c>
      <c r="O45" s="1021">
        <f t="shared" si="3"/>
        <v>46600.292942268068</v>
      </c>
      <c r="P45" s="1021">
        <f t="shared" si="4"/>
        <v>-641775.26274717716</v>
      </c>
      <c r="Q45" s="1023"/>
      <c r="R45" s="1021">
        <f t="shared" si="5"/>
        <v>-279912.73725282284</v>
      </c>
      <c r="S45" s="1022"/>
      <c r="T45" s="1020">
        <v>0</v>
      </c>
      <c r="U45" s="1022"/>
      <c r="V45" s="1020">
        <v>0</v>
      </c>
      <c r="W45" s="1022"/>
      <c r="X45" s="1021">
        <f t="shared" si="6"/>
        <v>-279912.73725282284</v>
      </c>
      <c r="Y45" s="1016"/>
      <c r="Z45" s="1017" t="s">
        <v>1612</v>
      </c>
      <c r="AA45" s="1018"/>
      <c r="AB45" s="1017" t="s">
        <v>1610</v>
      </c>
      <c r="AC45" s="1018"/>
      <c r="AD45" s="1019">
        <v>0</v>
      </c>
      <c r="AE45" s="1018"/>
      <c r="AF45" s="1021">
        <f t="shared" si="7"/>
        <v>0</v>
      </c>
      <c r="AG45" s="1018"/>
      <c r="AH45" s="1011">
        <v>190</v>
      </c>
      <c r="AI45" s="1017"/>
    </row>
    <row r="46" spans="2:37">
      <c r="B46" s="1011">
        <f t="shared" si="9"/>
        <v>35</v>
      </c>
      <c r="C46" s="1012" t="s">
        <v>1643</v>
      </c>
      <c r="D46" s="1012" t="s">
        <v>1643</v>
      </c>
      <c r="E46" s="1013" t="s">
        <v>1800</v>
      </c>
      <c r="F46" s="1020">
        <v>2452335</v>
      </c>
      <c r="G46" s="1021">
        <f t="shared" si="0"/>
        <v>858317.25</v>
      </c>
      <c r="H46" s="1020">
        <v>244988.2665</v>
      </c>
      <c r="I46" s="1021">
        <f t="shared" si="1"/>
        <v>-85745.893274999995</v>
      </c>
      <c r="J46" s="1021">
        <f t="shared" si="8"/>
        <v>1017559.623225</v>
      </c>
      <c r="K46" s="1022"/>
      <c r="L46" s="1020">
        <v>2452335</v>
      </c>
      <c r="M46" s="1021">
        <f t="shared" si="2"/>
        <v>514990.35</v>
      </c>
      <c r="N46" s="1020">
        <v>244988.2665</v>
      </c>
      <c r="O46" s="1021">
        <f t="shared" si="3"/>
        <v>-51447.535964999995</v>
      </c>
      <c r="P46" s="1021">
        <f t="shared" si="4"/>
        <v>708531.08053499996</v>
      </c>
      <c r="Q46" s="1023"/>
      <c r="R46" s="1021">
        <f t="shared" si="5"/>
        <v>309028.54269000003</v>
      </c>
      <c r="S46" s="1022"/>
      <c r="T46" s="1020">
        <v>0</v>
      </c>
      <c r="U46" s="1022"/>
      <c r="V46" s="1020">
        <v>0</v>
      </c>
      <c r="W46" s="1022"/>
      <c r="X46" s="1021">
        <f t="shared" si="6"/>
        <v>309028.54269000003</v>
      </c>
      <c r="Y46" s="1016"/>
      <c r="Z46" s="1017" t="s">
        <v>1631</v>
      </c>
      <c r="AA46" s="1018"/>
      <c r="AB46" s="1017" t="s">
        <v>1610</v>
      </c>
      <c r="AC46" s="1018"/>
      <c r="AD46" s="1019">
        <v>0</v>
      </c>
      <c r="AE46" s="1018"/>
      <c r="AF46" s="1021">
        <f t="shared" si="7"/>
        <v>0</v>
      </c>
      <c r="AG46" s="1018"/>
      <c r="AH46" s="1011">
        <v>190</v>
      </c>
      <c r="AI46" s="1017"/>
    </row>
    <row r="47" spans="2:37">
      <c r="B47" s="1011">
        <f t="shared" si="9"/>
        <v>36</v>
      </c>
      <c r="C47" s="1012" t="s">
        <v>1644</v>
      </c>
      <c r="D47" s="1012" t="s">
        <v>1644</v>
      </c>
      <c r="E47" s="1013" t="s">
        <v>1800</v>
      </c>
      <c r="F47" s="1020">
        <v>15440812.449999996</v>
      </c>
      <c r="G47" s="1021">
        <f t="shared" si="0"/>
        <v>5404284.3574999981</v>
      </c>
      <c r="H47" s="1020">
        <v>1542537.1637549996</v>
      </c>
      <c r="I47" s="1021">
        <f t="shared" si="1"/>
        <v>-539888.00731424987</v>
      </c>
      <c r="J47" s="1021">
        <f t="shared" si="8"/>
        <v>6406933.5139407478</v>
      </c>
      <c r="K47" s="1022"/>
      <c r="L47" s="1020">
        <v>15440812.449999996</v>
      </c>
      <c r="M47" s="1021">
        <f t="shared" si="2"/>
        <v>3242570.6144999987</v>
      </c>
      <c r="N47" s="1020">
        <v>1542537.1637549996</v>
      </c>
      <c r="O47" s="1021">
        <f t="shared" si="3"/>
        <v>-323932.80438854994</v>
      </c>
      <c r="P47" s="1021">
        <f t="shared" si="4"/>
        <v>4461174.9738664478</v>
      </c>
      <c r="Q47" s="1023"/>
      <c r="R47" s="1021">
        <f t="shared" si="5"/>
        <v>1945758.5400743</v>
      </c>
      <c r="S47" s="1022"/>
      <c r="T47" s="1020">
        <v>0</v>
      </c>
      <c r="U47" s="1022"/>
      <c r="V47" s="1020">
        <v>0</v>
      </c>
      <c r="W47" s="1022"/>
      <c r="X47" s="1021">
        <f t="shared" si="6"/>
        <v>1945758.5400743</v>
      </c>
      <c r="Y47" s="1016"/>
      <c r="Z47" s="1017" t="s">
        <v>1609</v>
      </c>
      <c r="AA47" s="1018"/>
      <c r="AB47" s="1017" t="s">
        <v>1610</v>
      </c>
      <c r="AC47" s="1018"/>
      <c r="AD47" s="1019">
        <v>0</v>
      </c>
      <c r="AE47" s="1018"/>
      <c r="AF47" s="1021">
        <f t="shared" si="7"/>
        <v>0</v>
      </c>
      <c r="AG47" s="1018"/>
      <c r="AH47" s="1011">
        <v>190</v>
      </c>
      <c r="AI47" s="1017"/>
    </row>
    <row r="48" spans="2:37">
      <c r="B48" s="1011">
        <f t="shared" si="9"/>
        <v>37</v>
      </c>
      <c r="C48" s="1012" t="s">
        <v>1645</v>
      </c>
      <c r="D48" s="1012" t="s">
        <v>1645</v>
      </c>
      <c r="E48" s="1013" t="s">
        <v>1800</v>
      </c>
      <c r="F48" s="1020">
        <v>0</v>
      </c>
      <c r="G48" s="1021">
        <f t="shared" si="0"/>
        <v>0</v>
      </c>
      <c r="H48" s="1020">
        <v>0</v>
      </c>
      <c r="I48" s="1021">
        <f t="shared" si="1"/>
        <v>0</v>
      </c>
      <c r="J48" s="1021">
        <f t="shared" si="8"/>
        <v>0</v>
      </c>
      <c r="K48" s="1022"/>
      <c r="L48" s="1020">
        <v>0</v>
      </c>
      <c r="M48" s="1021">
        <f t="shared" si="2"/>
        <v>0</v>
      </c>
      <c r="N48" s="1020">
        <v>0</v>
      </c>
      <c r="O48" s="1021">
        <f t="shared" si="3"/>
        <v>0</v>
      </c>
      <c r="P48" s="1021">
        <f t="shared" si="4"/>
        <v>0</v>
      </c>
      <c r="Q48" s="1023"/>
      <c r="R48" s="1021">
        <f t="shared" si="5"/>
        <v>0</v>
      </c>
      <c r="S48" s="1022"/>
      <c r="T48" s="1020">
        <v>0</v>
      </c>
      <c r="U48" s="1022"/>
      <c r="V48" s="1020">
        <v>0</v>
      </c>
      <c r="W48" s="1022"/>
      <c r="X48" s="1021">
        <f t="shared" si="6"/>
        <v>0</v>
      </c>
      <c r="Y48" s="1016"/>
      <c r="Z48" s="1017" t="s">
        <v>952</v>
      </c>
      <c r="AA48" s="1018"/>
      <c r="AB48" s="1017" t="s">
        <v>1610</v>
      </c>
      <c r="AC48" s="1018"/>
      <c r="AD48" s="1019">
        <v>0</v>
      </c>
      <c r="AE48" s="1018"/>
      <c r="AF48" s="1021">
        <f t="shared" si="7"/>
        <v>0</v>
      </c>
      <c r="AG48" s="1018"/>
      <c r="AH48" s="1011">
        <v>190</v>
      </c>
      <c r="AI48" s="1017"/>
    </row>
    <row r="49" spans="2:35">
      <c r="B49" s="1011">
        <f t="shared" si="9"/>
        <v>38</v>
      </c>
      <c r="C49" s="1012" t="s">
        <v>1646</v>
      </c>
      <c r="D49" s="1012" t="s">
        <v>1646</v>
      </c>
      <c r="E49" s="1013" t="s">
        <v>1800</v>
      </c>
      <c r="F49" s="1020">
        <v>0</v>
      </c>
      <c r="G49" s="1021">
        <f t="shared" si="0"/>
        <v>0</v>
      </c>
      <c r="H49" s="1020">
        <v>0</v>
      </c>
      <c r="I49" s="1021">
        <f t="shared" si="1"/>
        <v>0</v>
      </c>
      <c r="J49" s="1021">
        <f t="shared" si="8"/>
        <v>0</v>
      </c>
      <c r="K49" s="1022"/>
      <c r="L49" s="1020">
        <v>0</v>
      </c>
      <c r="M49" s="1021">
        <f t="shared" si="2"/>
        <v>0</v>
      </c>
      <c r="N49" s="1020">
        <v>0</v>
      </c>
      <c r="O49" s="1021">
        <f t="shared" si="3"/>
        <v>0</v>
      </c>
      <c r="P49" s="1021">
        <f t="shared" si="4"/>
        <v>0</v>
      </c>
      <c r="Q49" s="1023"/>
      <c r="R49" s="1021">
        <f t="shared" si="5"/>
        <v>0</v>
      </c>
      <c r="S49" s="1022"/>
      <c r="T49" s="1020">
        <v>0</v>
      </c>
      <c r="U49" s="1022"/>
      <c r="V49" s="1020">
        <v>0</v>
      </c>
      <c r="W49" s="1022"/>
      <c r="X49" s="1021">
        <f t="shared" si="6"/>
        <v>0</v>
      </c>
      <c r="Y49" s="1016"/>
      <c r="Z49" s="1017" t="s">
        <v>1609</v>
      </c>
      <c r="AA49" s="1018"/>
      <c r="AB49" s="1017" t="s">
        <v>1610</v>
      </c>
      <c r="AC49" s="1018"/>
      <c r="AD49" s="1019">
        <v>0</v>
      </c>
      <c r="AE49" s="1018"/>
      <c r="AF49" s="1021">
        <f t="shared" si="7"/>
        <v>0</v>
      </c>
      <c r="AG49" s="1018"/>
      <c r="AH49" s="1011">
        <v>190</v>
      </c>
      <c r="AI49" s="1017"/>
    </row>
    <row r="50" spans="2:35">
      <c r="B50" s="1011">
        <f t="shared" si="9"/>
        <v>39</v>
      </c>
      <c r="C50" s="1012" t="s">
        <v>1647</v>
      </c>
      <c r="D50" s="1012" t="s">
        <v>1647</v>
      </c>
      <c r="E50" s="1013" t="s">
        <v>1800</v>
      </c>
      <c r="F50" s="1020">
        <v>248687.4</v>
      </c>
      <c r="G50" s="1021">
        <f t="shared" si="0"/>
        <v>87040.59</v>
      </c>
      <c r="H50" s="1020">
        <v>24843.87126</v>
      </c>
      <c r="I50" s="1021">
        <f t="shared" si="1"/>
        <v>-8695.3549409999996</v>
      </c>
      <c r="J50" s="1021">
        <f t="shared" si="8"/>
        <v>103189.106319</v>
      </c>
      <c r="K50" s="1022"/>
      <c r="L50" s="1020">
        <v>248687.4</v>
      </c>
      <c r="M50" s="1021">
        <f t="shared" si="2"/>
        <v>52224.353999999999</v>
      </c>
      <c r="N50" s="1020">
        <v>24843.87126</v>
      </c>
      <c r="O50" s="1021">
        <f t="shared" si="3"/>
        <v>-5217.2129645999994</v>
      </c>
      <c r="P50" s="1021">
        <f t="shared" si="4"/>
        <v>71851.012295399996</v>
      </c>
      <c r="Q50" s="1023"/>
      <c r="R50" s="1021">
        <f t="shared" si="5"/>
        <v>31338.094023600002</v>
      </c>
      <c r="S50" s="1022"/>
      <c r="T50" s="1020">
        <v>0</v>
      </c>
      <c r="U50" s="1022"/>
      <c r="V50" s="1020">
        <v>0</v>
      </c>
      <c r="W50" s="1022"/>
      <c r="X50" s="1021">
        <f t="shared" si="6"/>
        <v>31338.094023600002</v>
      </c>
      <c r="Y50" s="1016"/>
      <c r="Z50" s="1017" t="s">
        <v>1612</v>
      </c>
      <c r="AA50" s="1018"/>
      <c r="AB50" s="1017" t="s">
        <v>1613</v>
      </c>
      <c r="AC50" s="1018"/>
      <c r="AD50" s="1019">
        <v>9.7549301167911162E-2</v>
      </c>
      <c r="AE50" s="1018"/>
      <c r="AF50" s="1021">
        <f t="shared" si="7"/>
        <v>3057.0091719364736</v>
      </c>
      <c r="AG50" s="1018"/>
      <c r="AH50" s="1011">
        <v>190</v>
      </c>
      <c r="AI50" s="1017"/>
    </row>
    <row r="51" spans="2:35">
      <c r="B51" s="1011">
        <f t="shared" si="9"/>
        <v>40</v>
      </c>
      <c r="C51" s="1012" t="s">
        <v>1648</v>
      </c>
      <c r="D51" s="1012" t="s">
        <v>1648</v>
      </c>
      <c r="E51" s="1013" t="s">
        <v>1800</v>
      </c>
      <c r="F51" s="1020">
        <v>4064327.6399999997</v>
      </c>
      <c r="G51" s="1021">
        <f t="shared" si="0"/>
        <v>1422514.6739999999</v>
      </c>
      <c r="H51" s="1020">
        <v>406026.331236</v>
      </c>
      <c r="I51" s="1021">
        <f t="shared" si="1"/>
        <v>-142109.2159326</v>
      </c>
      <c r="J51" s="1021">
        <f t="shared" si="8"/>
        <v>1686431.7893033999</v>
      </c>
      <c r="K51" s="1022"/>
      <c r="L51" s="1020">
        <v>4064327.6399999997</v>
      </c>
      <c r="M51" s="1021">
        <f t="shared" si="2"/>
        <v>853508.80439999991</v>
      </c>
      <c r="N51" s="1020">
        <v>406026.331236</v>
      </c>
      <c r="O51" s="1021">
        <f t="shared" si="3"/>
        <v>-85265.529559560004</v>
      </c>
      <c r="P51" s="1021">
        <f t="shared" si="4"/>
        <v>1174269.6060764398</v>
      </c>
      <c r="Q51" s="1023"/>
      <c r="R51" s="1021">
        <f t="shared" si="5"/>
        <v>512162.18322696001</v>
      </c>
      <c r="S51" s="1022"/>
      <c r="T51" s="1020">
        <v>0</v>
      </c>
      <c r="U51" s="1022"/>
      <c r="V51" s="1020">
        <v>0</v>
      </c>
      <c r="W51" s="1022"/>
      <c r="X51" s="1021">
        <f t="shared" si="6"/>
        <v>512162.18322696001</v>
      </c>
      <c r="Y51" s="1016"/>
      <c r="Z51" s="1017" t="s">
        <v>1609</v>
      </c>
      <c r="AA51" s="1018"/>
      <c r="AB51" s="1017" t="s">
        <v>1610</v>
      </c>
      <c r="AC51" s="1018"/>
      <c r="AD51" s="1019">
        <v>0</v>
      </c>
      <c r="AE51" s="1018"/>
      <c r="AF51" s="1021">
        <f t="shared" si="7"/>
        <v>0</v>
      </c>
      <c r="AG51" s="1018"/>
      <c r="AH51" s="1011">
        <v>190</v>
      </c>
      <c r="AI51" s="1017"/>
    </row>
    <row r="52" spans="2:35">
      <c r="B52" s="1011">
        <f t="shared" si="9"/>
        <v>41</v>
      </c>
      <c r="C52" s="1012" t="s">
        <v>1649</v>
      </c>
      <c r="D52" s="1012" t="s">
        <v>1649</v>
      </c>
      <c r="E52" s="1013" t="s">
        <v>1800</v>
      </c>
      <c r="F52" s="1020">
        <v>5402597.2800000012</v>
      </c>
      <c r="G52" s="1021">
        <f t="shared" si="0"/>
        <v>1890909.0480000002</v>
      </c>
      <c r="H52" s="1020">
        <v>539719.46827200009</v>
      </c>
      <c r="I52" s="1021">
        <f t="shared" si="1"/>
        <v>-188901.81389520003</v>
      </c>
      <c r="J52" s="1021">
        <f t="shared" si="8"/>
        <v>2241726.7023768001</v>
      </c>
      <c r="K52" s="1022"/>
      <c r="L52" s="1020">
        <v>5402597.2800000012</v>
      </c>
      <c r="M52" s="1021">
        <f t="shared" si="2"/>
        <v>1134545.4288000001</v>
      </c>
      <c r="N52" s="1020">
        <v>539719.46827200009</v>
      </c>
      <c r="O52" s="1021">
        <f t="shared" si="3"/>
        <v>-113341.08833712002</v>
      </c>
      <c r="P52" s="1021">
        <f t="shared" si="4"/>
        <v>1560923.8087348803</v>
      </c>
      <c r="Q52" s="1023"/>
      <c r="R52" s="1021">
        <f t="shared" si="5"/>
        <v>680802.89364191983</v>
      </c>
      <c r="S52" s="1022"/>
      <c r="T52" s="1020">
        <v>0</v>
      </c>
      <c r="U52" s="1022"/>
      <c r="V52" s="1020">
        <v>0</v>
      </c>
      <c r="W52" s="1022"/>
      <c r="X52" s="1021">
        <f t="shared" si="6"/>
        <v>680802.89364191983</v>
      </c>
      <c r="Y52" s="1016"/>
      <c r="Z52" s="1017" t="s">
        <v>1609</v>
      </c>
      <c r="AA52" s="1018"/>
      <c r="AB52" s="1017" t="s">
        <v>1610</v>
      </c>
      <c r="AC52" s="1018"/>
      <c r="AD52" s="1019">
        <v>0</v>
      </c>
      <c r="AE52" s="1018"/>
      <c r="AF52" s="1021">
        <f t="shared" si="7"/>
        <v>0</v>
      </c>
      <c r="AG52" s="1018"/>
      <c r="AH52" s="1011">
        <v>190</v>
      </c>
      <c r="AI52" s="1017"/>
    </row>
    <row r="53" spans="2:35">
      <c r="B53" s="1011">
        <f t="shared" si="9"/>
        <v>42</v>
      </c>
      <c r="C53" s="1012" t="s">
        <v>1650</v>
      </c>
      <c r="D53" s="1012" t="s">
        <v>1650</v>
      </c>
      <c r="E53" s="1013" t="s">
        <v>1800</v>
      </c>
      <c r="F53" s="1020">
        <v>43592914.299999997</v>
      </c>
      <c r="G53" s="1021">
        <f t="shared" si="0"/>
        <v>15257520.004999997</v>
      </c>
      <c r="H53" s="1020">
        <v>4354932.1385699995</v>
      </c>
      <c r="I53" s="1021">
        <f t="shared" si="1"/>
        <v>-1524226.2484994996</v>
      </c>
      <c r="J53" s="1021">
        <f t="shared" si="8"/>
        <v>18088225.895070497</v>
      </c>
      <c r="K53" s="1022"/>
      <c r="L53" s="1020">
        <v>43592914.299999997</v>
      </c>
      <c r="M53" s="1021">
        <f t="shared" si="2"/>
        <v>9154512.0029999986</v>
      </c>
      <c r="N53" s="1020">
        <v>4354932.1385699995</v>
      </c>
      <c r="O53" s="1021">
        <f t="shared" si="3"/>
        <v>-914535.7490996999</v>
      </c>
      <c r="P53" s="1021">
        <f t="shared" si="4"/>
        <v>12594908.392470298</v>
      </c>
      <c r="Q53" s="1023"/>
      <c r="R53" s="1021">
        <f t="shared" si="5"/>
        <v>5493317.5026001986</v>
      </c>
      <c r="S53" s="1022"/>
      <c r="T53" s="1020">
        <v>0</v>
      </c>
      <c r="U53" s="1022"/>
      <c r="V53" s="1020">
        <v>0</v>
      </c>
      <c r="W53" s="1022"/>
      <c r="X53" s="1021">
        <f t="shared" si="6"/>
        <v>5493317.5026001986</v>
      </c>
      <c r="Y53" s="1016"/>
      <c r="Z53" s="1017" t="s">
        <v>1612</v>
      </c>
      <c r="AA53" s="1018"/>
      <c r="AB53" s="1017" t="s">
        <v>1613</v>
      </c>
      <c r="AC53" s="1018"/>
      <c r="AD53" s="1019">
        <v>9.7000028034058827E-2</v>
      </c>
      <c r="AE53" s="1018"/>
      <c r="AF53" s="1021">
        <f t="shared" si="7"/>
        <v>532851.95175220526</v>
      </c>
      <c r="AG53" s="1018"/>
      <c r="AH53" s="1011">
        <v>190</v>
      </c>
      <c r="AI53" s="1017"/>
    </row>
    <row r="54" spans="2:35">
      <c r="B54" s="1011">
        <f t="shared" si="9"/>
        <v>43</v>
      </c>
      <c r="C54" s="1024" t="s">
        <v>1651</v>
      </c>
      <c r="D54" s="1017"/>
      <c r="E54" s="1017"/>
      <c r="F54" s="1025">
        <f>SUM(F12:F53)</f>
        <v>649841628.80418336</v>
      </c>
      <c r="G54" s="1025">
        <f>SUM(G12:G53)</f>
        <v>227444570.08146414</v>
      </c>
      <c r="H54" s="1025">
        <f>SUM(H12:H53)</f>
        <v>73140104.633895069</v>
      </c>
      <c r="I54" s="1025">
        <f>SUM(I12:I53)</f>
        <v>-25599036.621863268</v>
      </c>
      <c r="J54" s="1025">
        <f>SUM(J12:J53)</f>
        <v>274985638.09349597</v>
      </c>
      <c r="K54" s="1016"/>
      <c r="L54" s="1025">
        <f>SUM(L12:L53)</f>
        <v>649841628.80418336</v>
      </c>
      <c r="M54" s="1025">
        <f>SUM(M12:M53)</f>
        <v>136466742.04887849</v>
      </c>
      <c r="N54" s="1025">
        <f>SUM(N12:N53)</f>
        <v>73140104.633895069</v>
      </c>
      <c r="O54" s="1025">
        <f>SUM(O12:O53)</f>
        <v>-15359421.973117959</v>
      </c>
      <c r="P54" s="1025">
        <f>SUM(P12:P53)</f>
        <v>194247424.70965558</v>
      </c>
      <c r="R54" s="1025">
        <f t="shared" ref="R54:X54" si="10">SUM(R12:R53)</f>
        <v>80738213.383840337</v>
      </c>
      <c r="S54" s="1025">
        <f t="shared" si="10"/>
        <v>0</v>
      </c>
      <c r="T54" s="1025">
        <f t="shared" si="10"/>
        <v>16288641.169844957</v>
      </c>
      <c r="U54" s="1025">
        <f t="shared" si="10"/>
        <v>0</v>
      </c>
      <c r="V54" s="1025">
        <f t="shared" si="10"/>
        <v>0</v>
      </c>
      <c r="W54" s="1026">
        <f t="shared" si="10"/>
        <v>0</v>
      </c>
      <c r="X54" s="1025">
        <f t="shared" si="10"/>
        <v>64449572.21399539</v>
      </c>
      <c r="Y54" s="1016"/>
      <c r="Z54" s="1017"/>
      <c r="AA54" s="1018"/>
      <c r="AB54" s="1017"/>
      <c r="AC54" s="1018"/>
      <c r="AD54" s="1019"/>
      <c r="AE54" s="1018"/>
      <c r="AF54" s="1025">
        <f>SUM(AF12:AF53)</f>
        <v>4978212.5817966843</v>
      </c>
      <c r="AG54" s="1018"/>
      <c r="AI54" s="1017"/>
    </row>
    <row r="55" spans="2:35">
      <c r="B55" s="1011"/>
      <c r="C55" s="1017"/>
      <c r="D55" s="1017"/>
      <c r="E55" s="1017"/>
      <c r="F55" s="1015"/>
      <c r="G55" s="1015"/>
      <c r="H55" s="1015"/>
      <c r="I55" s="1015"/>
      <c r="J55" s="1015"/>
      <c r="K55" s="1016"/>
      <c r="L55" s="1015"/>
      <c r="M55" s="1015"/>
      <c r="N55" s="1015"/>
      <c r="O55" s="1015"/>
      <c r="P55" s="1015"/>
      <c r="R55" s="1015"/>
      <c r="S55" s="1016"/>
      <c r="T55" s="1015"/>
      <c r="U55" s="1016"/>
      <c r="V55" s="1015"/>
      <c r="W55" s="1016"/>
      <c r="X55" s="1015"/>
      <c r="Y55" s="1016"/>
      <c r="Z55" s="1017"/>
      <c r="AA55" s="1018"/>
      <c r="AB55" s="1017"/>
      <c r="AC55" s="1018"/>
      <c r="AD55" s="1019"/>
      <c r="AE55" s="1018"/>
      <c r="AF55" s="1015"/>
      <c r="AG55" s="1018"/>
      <c r="AI55" s="1017"/>
    </row>
    <row r="56" spans="2:35">
      <c r="B56" s="1011"/>
      <c r="C56" s="1017"/>
      <c r="D56" s="1017"/>
      <c r="E56" s="1017"/>
      <c r="F56" s="1015"/>
      <c r="G56" s="1015"/>
      <c r="H56" s="1015"/>
      <c r="I56" s="1015"/>
      <c r="J56" s="1015"/>
      <c r="K56" s="1016"/>
      <c r="L56" s="1015"/>
      <c r="M56" s="1015"/>
      <c r="N56" s="1015"/>
      <c r="O56" s="1015"/>
      <c r="P56" s="1015"/>
      <c r="R56" s="1015"/>
      <c r="S56" s="1016"/>
      <c r="T56" s="1015"/>
      <c r="U56" s="1016"/>
      <c r="V56" s="1015"/>
      <c r="W56" s="1016"/>
      <c r="X56" s="1015"/>
      <c r="Y56" s="1016"/>
      <c r="Z56" s="1017"/>
      <c r="AA56" s="1018"/>
      <c r="AB56" s="1017"/>
      <c r="AC56" s="1018"/>
      <c r="AD56" s="1019"/>
      <c r="AE56" s="1018"/>
      <c r="AF56" s="1015"/>
      <c r="AG56" s="1018"/>
      <c r="AI56" s="1017"/>
    </row>
    <row r="57" spans="2:35" ht="13.9">
      <c r="B57" s="1011"/>
      <c r="C57" s="1027" t="s">
        <v>1652</v>
      </c>
      <c r="D57" s="1017"/>
      <c r="E57" s="1017"/>
      <c r="F57" s="1015"/>
      <c r="G57" s="1015"/>
      <c r="H57" s="1015"/>
      <c r="I57" s="1015"/>
      <c r="J57" s="1015"/>
      <c r="K57" s="1016"/>
      <c r="L57" s="1015"/>
      <c r="M57" s="1015"/>
      <c r="N57" s="1015"/>
      <c r="O57" s="1015"/>
      <c r="P57" s="1015"/>
      <c r="R57" s="1015"/>
      <c r="S57" s="1016"/>
      <c r="T57" s="1015"/>
      <c r="U57" s="1016"/>
      <c r="V57" s="1015"/>
      <c r="W57" s="1016"/>
      <c r="X57" s="1015"/>
      <c r="Y57" s="1016"/>
      <c r="Z57" s="1017"/>
      <c r="AA57" s="1018"/>
      <c r="AB57" s="1017"/>
      <c r="AC57" s="1018"/>
      <c r="AD57" s="1019"/>
      <c r="AE57" s="1018"/>
      <c r="AF57" s="1015"/>
      <c r="AG57" s="1018"/>
      <c r="AI57" s="1017"/>
    </row>
    <row r="58" spans="2:35">
      <c r="B58" s="1011">
        <f>B54+1</f>
        <v>44</v>
      </c>
      <c r="C58" s="1012" t="s">
        <v>1653</v>
      </c>
      <c r="D58" s="1012" t="s">
        <v>1653</v>
      </c>
      <c r="E58" s="1013"/>
      <c r="F58" s="1028"/>
      <c r="G58" s="1015"/>
      <c r="H58" s="1029"/>
      <c r="I58" s="1015"/>
      <c r="J58" s="1015"/>
      <c r="K58" s="1016"/>
      <c r="L58" s="1029"/>
      <c r="M58" s="1015"/>
      <c r="N58" s="1029"/>
      <c r="O58" s="1015"/>
      <c r="P58" s="1015"/>
      <c r="R58" s="1015"/>
      <c r="S58" s="1016"/>
      <c r="T58" s="1029"/>
      <c r="U58" s="1016"/>
      <c r="V58" s="1029"/>
      <c r="W58" s="1016"/>
      <c r="X58" s="1015"/>
      <c r="Y58" s="1016"/>
      <c r="Z58" s="1017"/>
      <c r="AA58" s="1018"/>
      <c r="AB58" s="1017"/>
      <c r="AC58" s="1018"/>
      <c r="AD58" s="1019"/>
      <c r="AE58" s="1018"/>
      <c r="AF58" s="1015"/>
      <c r="AG58" s="1018"/>
      <c r="AH58" s="1030"/>
      <c r="AI58" s="1008"/>
    </row>
    <row r="59" spans="2:35">
      <c r="B59" s="1011">
        <f>B58+1</f>
        <v>45</v>
      </c>
      <c r="C59" s="1012" t="s">
        <v>702</v>
      </c>
      <c r="D59" s="1012" t="s">
        <v>702</v>
      </c>
      <c r="E59" s="1013" t="s">
        <v>1134</v>
      </c>
      <c r="F59" s="1014">
        <v>-85010674.257142857</v>
      </c>
      <c r="G59" s="1015">
        <f t="shared" ref="G59:G63" si="11">F59*0.35</f>
        <v>-29753735.989999998</v>
      </c>
      <c r="H59" s="1014">
        <v>0</v>
      </c>
      <c r="I59" s="1015">
        <f t="shared" ref="I59:I63" si="12">-H59*0.35</f>
        <v>0</v>
      </c>
      <c r="J59" s="1015">
        <f t="shared" ref="J59:J63" si="13">G59+I59+H59</f>
        <v>-29753735.989999998</v>
      </c>
      <c r="K59" s="1016"/>
      <c r="L59" s="1014">
        <v>-85010674.257142857</v>
      </c>
      <c r="M59" s="1015">
        <f t="shared" ref="M59:M63" si="14">L59*0.21</f>
        <v>-17852241.594000001</v>
      </c>
      <c r="N59" s="1014">
        <v>0</v>
      </c>
      <c r="O59" s="1015">
        <f t="shared" ref="O59:O63" si="15">-N59*0.21</f>
        <v>0</v>
      </c>
      <c r="P59" s="1015">
        <f t="shared" ref="P59:P63" si="16">M59+O59+N59</f>
        <v>-17852241.594000001</v>
      </c>
      <c r="R59" s="1015">
        <f t="shared" ref="R59:R63" si="17">J59-P59</f>
        <v>-11901494.395999998</v>
      </c>
      <c r="S59" s="1016"/>
      <c r="T59" s="1014">
        <v>0</v>
      </c>
      <c r="U59" s="1016"/>
      <c r="V59" s="1014">
        <v>0</v>
      </c>
      <c r="W59" s="1016"/>
      <c r="X59" s="1015">
        <f t="shared" ref="X59:X63" si="18">R59-T59-V59</f>
        <v>-11901494.395999998</v>
      </c>
      <c r="Y59" s="1016"/>
      <c r="Z59" s="1017" t="s">
        <v>458</v>
      </c>
      <c r="AA59" s="1018"/>
      <c r="AB59" s="1017" t="s">
        <v>1613</v>
      </c>
      <c r="AC59" s="1018"/>
      <c r="AD59" s="1019">
        <v>7.7147891971118529E-2</v>
      </c>
      <c r="AE59" s="1018"/>
      <c r="AF59" s="1015">
        <f t="shared" ref="AF59:AF81" si="19">X59*AD59</f>
        <v>-918175.20395748038</v>
      </c>
      <c r="AG59" s="1018"/>
      <c r="AH59" s="1011">
        <v>282</v>
      </c>
      <c r="AI59" s="1008"/>
    </row>
    <row r="60" spans="2:35">
      <c r="B60" s="1011">
        <f t="shared" ref="B60:B82" si="20">B59+1</f>
        <v>46</v>
      </c>
      <c r="C60" s="1012" t="s">
        <v>1654</v>
      </c>
      <c r="D60" s="1012" t="s">
        <v>1654</v>
      </c>
      <c r="E60" s="1013" t="s">
        <v>1134</v>
      </c>
      <c r="F60" s="1020">
        <v>-2276638655.8857141</v>
      </c>
      <c r="G60" s="1021">
        <f t="shared" si="11"/>
        <v>-796823529.55999982</v>
      </c>
      <c r="H60" s="1020">
        <v>0</v>
      </c>
      <c r="I60" s="1021">
        <f t="shared" si="12"/>
        <v>0</v>
      </c>
      <c r="J60" s="1021">
        <f t="shared" si="13"/>
        <v>-796823529.55999982</v>
      </c>
      <c r="K60" s="1022"/>
      <c r="L60" s="1020">
        <v>-2276638655.8857141</v>
      </c>
      <c r="M60" s="1021">
        <f t="shared" si="14"/>
        <v>-478094117.73599994</v>
      </c>
      <c r="N60" s="1020">
        <v>0</v>
      </c>
      <c r="O60" s="1021">
        <f t="shared" si="15"/>
        <v>0</v>
      </c>
      <c r="P60" s="1021">
        <f t="shared" si="16"/>
        <v>-478094117.73599994</v>
      </c>
      <c r="Q60" s="1023"/>
      <c r="R60" s="1021">
        <f t="shared" si="17"/>
        <v>-318729411.82399988</v>
      </c>
      <c r="S60" s="1022"/>
      <c r="T60" s="1020">
        <v>0</v>
      </c>
      <c r="U60" s="1022"/>
      <c r="V60" s="1020">
        <v>0</v>
      </c>
      <c r="W60" s="1016"/>
      <c r="X60" s="1021">
        <f t="shared" si="18"/>
        <v>-318729411.82399988</v>
      </c>
      <c r="Y60" s="1016"/>
      <c r="Z60" s="1017" t="s">
        <v>458</v>
      </c>
      <c r="AA60" s="1018"/>
      <c r="AB60" s="1017" t="s">
        <v>1610</v>
      </c>
      <c r="AC60" s="1018"/>
      <c r="AD60" s="1019">
        <v>0</v>
      </c>
      <c r="AE60" s="1018"/>
      <c r="AF60" s="1021">
        <f t="shared" si="19"/>
        <v>0</v>
      </c>
      <c r="AG60" s="1018"/>
      <c r="AH60" s="1011">
        <v>282</v>
      </c>
      <c r="AI60" s="1008"/>
    </row>
    <row r="61" spans="2:35">
      <c r="B61" s="1011">
        <f t="shared" si="20"/>
        <v>47</v>
      </c>
      <c r="C61" s="1012" t="s">
        <v>874</v>
      </c>
      <c r="D61" s="1012" t="s">
        <v>874</v>
      </c>
      <c r="E61" s="1013" t="s">
        <v>1134</v>
      </c>
      <c r="F61" s="1020">
        <v>-12026775.657142859</v>
      </c>
      <c r="G61" s="1021">
        <f t="shared" si="11"/>
        <v>-4209371.4800000004</v>
      </c>
      <c r="H61" s="1020">
        <v>0</v>
      </c>
      <c r="I61" s="1021">
        <f t="shared" si="12"/>
        <v>0</v>
      </c>
      <c r="J61" s="1021">
        <f t="shared" si="13"/>
        <v>-4209371.4800000004</v>
      </c>
      <c r="K61" s="1022"/>
      <c r="L61" s="1020">
        <v>-12026775.657142859</v>
      </c>
      <c r="M61" s="1021">
        <f t="shared" si="14"/>
        <v>-2525622.8880000003</v>
      </c>
      <c r="N61" s="1020">
        <v>0</v>
      </c>
      <c r="O61" s="1021">
        <f t="shared" si="15"/>
        <v>0</v>
      </c>
      <c r="P61" s="1021">
        <f t="shared" si="16"/>
        <v>-2525622.8880000003</v>
      </c>
      <c r="Q61" s="1023"/>
      <c r="R61" s="1021">
        <f t="shared" si="17"/>
        <v>-1683748.5920000002</v>
      </c>
      <c r="S61" s="1022"/>
      <c r="T61" s="1020">
        <v>0</v>
      </c>
      <c r="U61" s="1022"/>
      <c r="V61" s="1020">
        <v>0</v>
      </c>
      <c r="W61" s="1016"/>
      <c r="X61" s="1021">
        <f t="shared" si="18"/>
        <v>-1683748.5920000002</v>
      </c>
      <c r="Y61" s="1016"/>
      <c r="Z61" s="1017" t="s">
        <v>458</v>
      </c>
      <c r="AA61" s="1018"/>
      <c r="AB61" s="1017" t="s">
        <v>1613</v>
      </c>
      <c r="AC61" s="1018"/>
      <c r="AD61" s="1019">
        <v>9.880621410235467E-2</v>
      </c>
      <c r="AE61" s="1018"/>
      <c r="AF61" s="1021">
        <f t="shared" si="19"/>
        <v>-166364.82387569023</v>
      </c>
      <c r="AG61" s="1018"/>
      <c r="AH61" s="1011">
        <v>282</v>
      </c>
      <c r="AI61" s="1008"/>
    </row>
    <row r="62" spans="2:35">
      <c r="B62" s="1011">
        <f t="shared" si="20"/>
        <v>48</v>
      </c>
      <c r="C62" s="1012" t="s">
        <v>17</v>
      </c>
      <c r="D62" s="1012" t="s">
        <v>17</v>
      </c>
      <c r="E62" s="1013" t="s">
        <v>1134</v>
      </c>
      <c r="F62" s="1020">
        <v>-569476514.37142861</v>
      </c>
      <c r="G62" s="1021">
        <f t="shared" si="11"/>
        <v>-199316780.03</v>
      </c>
      <c r="H62" s="1020">
        <v>0</v>
      </c>
      <c r="I62" s="1021">
        <f t="shared" si="12"/>
        <v>0</v>
      </c>
      <c r="J62" s="1021">
        <f t="shared" si="13"/>
        <v>-199316780.03</v>
      </c>
      <c r="K62" s="1022"/>
      <c r="L62" s="1020">
        <v>-569476514.37142861</v>
      </c>
      <c r="M62" s="1021">
        <f t="shared" si="14"/>
        <v>-119590068.01800001</v>
      </c>
      <c r="N62" s="1020">
        <v>0</v>
      </c>
      <c r="O62" s="1021">
        <f t="shared" si="15"/>
        <v>0</v>
      </c>
      <c r="P62" s="1021">
        <f t="shared" si="16"/>
        <v>-119590068.01800001</v>
      </c>
      <c r="Q62" s="1023"/>
      <c r="R62" s="1021">
        <f t="shared" si="17"/>
        <v>-79726712.011999995</v>
      </c>
      <c r="S62" s="1022"/>
      <c r="T62" s="1020">
        <v>0</v>
      </c>
      <c r="U62" s="1022"/>
      <c r="V62" s="1020">
        <v>0</v>
      </c>
      <c r="W62" s="1016"/>
      <c r="X62" s="1021">
        <f t="shared" si="18"/>
        <v>-79726712.011999995</v>
      </c>
      <c r="Y62" s="1016"/>
      <c r="Z62" s="1017" t="s">
        <v>849</v>
      </c>
      <c r="AA62" s="1018"/>
      <c r="AB62" s="1017" t="s">
        <v>1613</v>
      </c>
      <c r="AC62" s="1018"/>
      <c r="AD62" s="1019">
        <v>1</v>
      </c>
      <c r="AE62" s="1018"/>
      <c r="AF62" s="1021">
        <f t="shared" si="19"/>
        <v>-79726712.011999995</v>
      </c>
      <c r="AG62" s="1018"/>
      <c r="AH62" s="1011">
        <v>282</v>
      </c>
      <c r="AI62" s="1017"/>
    </row>
    <row r="63" spans="2:35">
      <c r="B63" s="1011">
        <f t="shared" si="20"/>
        <v>49</v>
      </c>
      <c r="C63" s="1012" t="s">
        <v>1655</v>
      </c>
      <c r="D63" s="1012" t="s">
        <v>1655</v>
      </c>
      <c r="E63" s="1013" t="s">
        <v>1134</v>
      </c>
      <c r="F63" s="1020">
        <v>-924863698.57142866</v>
      </c>
      <c r="G63" s="1021">
        <f t="shared" si="11"/>
        <v>-323702294.5</v>
      </c>
      <c r="H63" s="1020">
        <v>0</v>
      </c>
      <c r="I63" s="1021">
        <f t="shared" si="12"/>
        <v>0</v>
      </c>
      <c r="J63" s="1021">
        <f t="shared" si="13"/>
        <v>-323702294.5</v>
      </c>
      <c r="K63" s="1022"/>
      <c r="L63" s="1020">
        <v>-924863698.57142866</v>
      </c>
      <c r="M63" s="1021">
        <f t="shared" si="14"/>
        <v>-194221376.70000002</v>
      </c>
      <c r="N63" s="1020">
        <v>0</v>
      </c>
      <c r="O63" s="1021">
        <f t="shared" si="15"/>
        <v>0</v>
      </c>
      <c r="P63" s="1021">
        <f t="shared" si="16"/>
        <v>-194221376.70000002</v>
      </c>
      <c r="Q63" s="1023"/>
      <c r="R63" s="1021">
        <f t="shared" si="17"/>
        <v>-129480917.79999998</v>
      </c>
      <c r="S63" s="1022"/>
      <c r="T63" s="1020">
        <v>0</v>
      </c>
      <c r="U63" s="1022"/>
      <c r="V63" s="1020">
        <v>0</v>
      </c>
      <c r="W63" s="1016"/>
      <c r="X63" s="1021">
        <f t="shared" si="18"/>
        <v>-129480917.79999998</v>
      </c>
      <c r="Y63" s="1016"/>
      <c r="Z63" s="1017" t="s">
        <v>458</v>
      </c>
      <c r="AA63" s="1018"/>
      <c r="AB63" s="1017" t="s">
        <v>1610</v>
      </c>
      <c r="AC63" s="1018"/>
      <c r="AD63" s="1019">
        <v>0</v>
      </c>
      <c r="AE63" s="1018"/>
      <c r="AF63" s="1021">
        <f t="shared" si="19"/>
        <v>0</v>
      </c>
      <c r="AG63" s="1018"/>
      <c r="AH63" s="1011">
        <v>282</v>
      </c>
      <c r="AI63" s="1017"/>
    </row>
    <row r="64" spans="2:35">
      <c r="B64" s="1011">
        <f t="shared" si="20"/>
        <v>50</v>
      </c>
      <c r="C64" s="1012"/>
      <c r="D64" s="1012"/>
      <c r="E64" s="1013"/>
      <c r="F64" s="1020"/>
      <c r="G64" s="1021"/>
      <c r="H64" s="1020"/>
      <c r="I64" s="1021"/>
      <c r="J64" s="1021"/>
      <c r="K64" s="1022"/>
      <c r="L64" s="1020"/>
      <c r="M64" s="1021"/>
      <c r="N64" s="1020"/>
      <c r="O64" s="1021"/>
      <c r="P64" s="1021"/>
      <c r="Q64" s="1023"/>
      <c r="R64" s="1021"/>
      <c r="S64" s="1022"/>
      <c r="T64" s="1020"/>
      <c r="U64" s="1022"/>
      <c r="V64" s="1020"/>
      <c r="W64" s="1016"/>
      <c r="X64" s="1021"/>
      <c r="Y64" s="1016"/>
      <c r="Z64" s="1017"/>
      <c r="AA64" s="1018"/>
      <c r="AB64" s="1017"/>
      <c r="AC64" s="1018"/>
      <c r="AD64" s="1019"/>
      <c r="AE64" s="1018"/>
      <c r="AF64" s="1021"/>
      <c r="AG64" s="1018"/>
      <c r="AH64" s="1030"/>
      <c r="AI64" s="1008"/>
    </row>
    <row r="65" spans="2:35">
      <c r="B65" s="1011">
        <f t="shared" si="20"/>
        <v>51</v>
      </c>
      <c r="C65" s="1012" t="s">
        <v>1653</v>
      </c>
      <c r="D65" s="1012" t="s">
        <v>1653</v>
      </c>
      <c r="E65" s="1013"/>
      <c r="F65" s="1020"/>
      <c r="G65" s="1021"/>
      <c r="H65" s="1020"/>
      <c r="I65" s="1021"/>
      <c r="J65" s="1021"/>
      <c r="K65" s="1022"/>
      <c r="L65" s="1020"/>
      <c r="M65" s="1021"/>
      <c r="N65" s="1020"/>
      <c r="O65" s="1021"/>
      <c r="P65" s="1021"/>
      <c r="Q65" s="1023"/>
      <c r="R65" s="1021"/>
      <c r="S65" s="1022"/>
      <c r="T65" s="1020"/>
      <c r="U65" s="1022"/>
      <c r="V65" s="1020"/>
      <c r="W65" s="1016"/>
      <c r="X65" s="1021"/>
      <c r="Y65" s="1016"/>
      <c r="Z65" s="1017"/>
      <c r="AA65" s="1018"/>
      <c r="AB65" s="1017"/>
      <c r="AC65" s="1018"/>
      <c r="AD65" s="1019"/>
      <c r="AE65" s="1018"/>
      <c r="AF65" s="1021"/>
      <c r="AG65" s="1018"/>
      <c r="AH65" s="1030"/>
      <c r="AI65" s="1008"/>
    </row>
    <row r="66" spans="2:35">
      <c r="B66" s="1011">
        <f t="shared" si="20"/>
        <v>52</v>
      </c>
      <c r="C66" s="1012" t="s">
        <v>702</v>
      </c>
      <c r="D66" s="1012" t="s">
        <v>702</v>
      </c>
      <c r="E66" s="1013" t="s">
        <v>1656</v>
      </c>
      <c r="F66" s="1020">
        <v>14122235.599999992</v>
      </c>
      <c r="G66" s="1021">
        <f t="shared" ref="G66:G71" si="21">F66*0.35</f>
        <v>4942782.4599999972</v>
      </c>
      <c r="H66" s="1020">
        <v>0</v>
      </c>
      <c r="I66" s="1021">
        <f t="shared" ref="I66:I71" si="22">-H66*0.35</f>
        <v>0</v>
      </c>
      <c r="J66" s="1021">
        <f t="shared" ref="J66:J71" si="23">G66+I66+H66</f>
        <v>4942782.4599999972</v>
      </c>
      <c r="K66" s="1022"/>
      <c r="L66" s="1020">
        <v>14122235.599999992</v>
      </c>
      <c r="M66" s="1021">
        <f t="shared" ref="M66:M71" si="24">L66*0.21</f>
        <v>2965669.4759999984</v>
      </c>
      <c r="N66" s="1020">
        <v>0</v>
      </c>
      <c r="O66" s="1021">
        <f t="shared" ref="O66:O71" si="25">-N66*0.21</f>
        <v>0</v>
      </c>
      <c r="P66" s="1021">
        <f t="shared" ref="P66:P71" si="26">M66+O66+N66</f>
        <v>2965669.4759999984</v>
      </c>
      <c r="Q66" s="1023"/>
      <c r="R66" s="1021">
        <f t="shared" ref="R66:R71" si="27">J66-P66</f>
        <v>1977112.9839999988</v>
      </c>
      <c r="S66" s="1022"/>
      <c r="T66" s="1020">
        <v>0</v>
      </c>
      <c r="U66" s="1022"/>
      <c r="V66" s="1020">
        <v>0</v>
      </c>
      <c r="W66" s="1016"/>
      <c r="X66" s="1021">
        <f t="shared" ref="X66:X71" si="28">R66-T66-V66</f>
        <v>1977112.9839999988</v>
      </c>
      <c r="Y66" s="1016"/>
      <c r="Z66" s="1017" t="s">
        <v>458</v>
      </c>
      <c r="AA66" s="1018"/>
      <c r="AB66" s="1017" t="s">
        <v>1610</v>
      </c>
      <c r="AC66" s="1018"/>
      <c r="AD66" s="1019">
        <v>0</v>
      </c>
      <c r="AE66" s="1018"/>
      <c r="AF66" s="1021">
        <f t="shared" si="19"/>
        <v>0</v>
      </c>
      <c r="AG66" s="1018"/>
      <c r="AH66" s="1011">
        <v>282</v>
      </c>
      <c r="AI66" s="1008"/>
    </row>
    <row r="67" spans="2:35">
      <c r="B67" s="1011">
        <f t="shared" si="20"/>
        <v>53</v>
      </c>
      <c r="C67" s="1012" t="s">
        <v>1654</v>
      </c>
      <c r="D67" s="1012" t="s">
        <v>1654</v>
      </c>
      <c r="E67" s="1013" t="s">
        <v>1656</v>
      </c>
      <c r="F67" s="1020">
        <v>-349743571.94285738</v>
      </c>
      <c r="G67" s="1021">
        <f t="shared" si="21"/>
        <v>-122410250.18000008</v>
      </c>
      <c r="H67" s="1020">
        <v>0</v>
      </c>
      <c r="I67" s="1021">
        <f t="shared" si="22"/>
        <v>0</v>
      </c>
      <c r="J67" s="1021">
        <f t="shared" si="23"/>
        <v>-122410250.18000008</v>
      </c>
      <c r="K67" s="1022"/>
      <c r="L67" s="1020">
        <v>-349743571.94285738</v>
      </c>
      <c r="M67" s="1021">
        <f t="shared" si="24"/>
        <v>-73446150.108000055</v>
      </c>
      <c r="N67" s="1020">
        <v>0</v>
      </c>
      <c r="O67" s="1021">
        <f t="shared" si="25"/>
        <v>0</v>
      </c>
      <c r="P67" s="1021">
        <f t="shared" si="26"/>
        <v>-73446150.108000055</v>
      </c>
      <c r="Q67" s="1023"/>
      <c r="R67" s="1021">
        <f t="shared" si="27"/>
        <v>-48964100.072000027</v>
      </c>
      <c r="S67" s="1022"/>
      <c r="T67" s="1020">
        <v>0</v>
      </c>
      <c r="U67" s="1022"/>
      <c r="V67" s="1020">
        <v>0</v>
      </c>
      <c r="W67" s="1016"/>
      <c r="X67" s="1021">
        <f t="shared" si="28"/>
        <v>-48964100.072000027</v>
      </c>
      <c r="Y67" s="1016"/>
      <c r="Z67" s="1017" t="s">
        <v>458</v>
      </c>
      <c r="AA67" s="1018"/>
      <c r="AB67" s="1017" t="s">
        <v>1610</v>
      </c>
      <c r="AC67" s="1018"/>
      <c r="AD67" s="1019">
        <v>0</v>
      </c>
      <c r="AE67" s="1018"/>
      <c r="AF67" s="1021">
        <f t="shared" si="19"/>
        <v>0</v>
      </c>
      <c r="AG67" s="1018"/>
      <c r="AH67" s="1011">
        <v>282</v>
      </c>
      <c r="AI67" s="1008"/>
    </row>
    <row r="68" spans="2:35">
      <c r="B68" s="1011">
        <f t="shared" si="20"/>
        <v>54</v>
      </c>
      <c r="C68" s="1012" t="s">
        <v>874</v>
      </c>
      <c r="D68" s="1012" t="s">
        <v>874</v>
      </c>
      <c r="E68" s="1013" t="s">
        <v>1656</v>
      </c>
      <c r="F68" s="1020">
        <v>73002.714285716153</v>
      </c>
      <c r="G68" s="1021">
        <f t="shared" si="21"/>
        <v>25550.950000000652</v>
      </c>
      <c r="H68" s="1020">
        <v>0</v>
      </c>
      <c r="I68" s="1021">
        <f t="shared" si="22"/>
        <v>0</v>
      </c>
      <c r="J68" s="1021">
        <f t="shared" si="23"/>
        <v>25550.950000000652</v>
      </c>
      <c r="K68" s="1022"/>
      <c r="L68" s="1020">
        <v>73002.714285716153</v>
      </c>
      <c r="M68" s="1021">
        <f t="shared" si="24"/>
        <v>15330.570000000391</v>
      </c>
      <c r="N68" s="1020">
        <v>0</v>
      </c>
      <c r="O68" s="1021">
        <f t="shared" si="25"/>
        <v>0</v>
      </c>
      <c r="P68" s="1021">
        <f t="shared" si="26"/>
        <v>15330.570000000391</v>
      </c>
      <c r="Q68" s="1023"/>
      <c r="R68" s="1021">
        <f t="shared" si="27"/>
        <v>10220.380000000261</v>
      </c>
      <c r="S68" s="1022"/>
      <c r="T68" s="1020">
        <v>0</v>
      </c>
      <c r="U68" s="1022"/>
      <c r="V68" s="1020">
        <v>0</v>
      </c>
      <c r="W68" s="1016"/>
      <c r="X68" s="1021">
        <f t="shared" si="28"/>
        <v>10220.380000000261</v>
      </c>
      <c r="Y68" s="1016"/>
      <c r="Z68" s="1017" t="s">
        <v>458</v>
      </c>
      <c r="AA68" s="1018"/>
      <c r="AB68" s="1017" t="s">
        <v>1610</v>
      </c>
      <c r="AC68" s="1018"/>
      <c r="AD68" s="1019">
        <v>0</v>
      </c>
      <c r="AE68" s="1018"/>
      <c r="AF68" s="1021">
        <f t="shared" si="19"/>
        <v>0</v>
      </c>
      <c r="AG68" s="1018"/>
      <c r="AH68" s="1011">
        <v>282</v>
      </c>
      <c r="AI68" s="1008"/>
    </row>
    <row r="69" spans="2:35">
      <c r="B69" s="1011">
        <f t="shared" si="20"/>
        <v>55</v>
      </c>
      <c r="C69" s="1012" t="s">
        <v>17</v>
      </c>
      <c r="D69" s="1012" t="s">
        <v>17</v>
      </c>
      <c r="E69" s="1013" t="s">
        <v>1656</v>
      </c>
      <c r="F69" s="1020">
        <v>-157866615.54285717</v>
      </c>
      <c r="G69" s="1021">
        <f t="shared" si="21"/>
        <v>-55253315.440000005</v>
      </c>
      <c r="H69" s="1020">
        <v>0</v>
      </c>
      <c r="I69" s="1021">
        <f t="shared" si="22"/>
        <v>0</v>
      </c>
      <c r="J69" s="1021">
        <f t="shared" si="23"/>
        <v>-55253315.440000005</v>
      </c>
      <c r="K69" s="1022"/>
      <c r="L69" s="1020">
        <v>-157866615.54285717</v>
      </c>
      <c r="M69" s="1021">
        <f t="shared" si="24"/>
        <v>-33151989.264000006</v>
      </c>
      <c r="N69" s="1020">
        <v>0</v>
      </c>
      <c r="O69" s="1021">
        <f t="shared" si="25"/>
        <v>0</v>
      </c>
      <c r="P69" s="1021">
        <f t="shared" si="26"/>
        <v>-33151989.264000006</v>
      </c>
      <c r="Q69" s="1023"/>
      <c r="R69" s="1021">
        <f t="shared" si="27"/>
        <v>-22101326.175999999</v>
      </c>
      <c r="S69" s="1022"/>
      <c r="T69" s="1020">
        <v>0</v>
      </c>
      <c r="U69" s="1022"/>
      <c r="V69" s="1020">
        <v>0</v>
      </c>
      <c r="W69" s="1016"/>
      <c r="X69" s="1021">
        <f t="shared" si="28"/>
        <v>-22101326.175999999</v>
      </c>
      <c r="Y69" s="1016"/>
      <c r="Z69" s="1017" t="s">
        <v>849</v>
      </c>
      <c r="AA69" s="1018"/>
      <c r="AB69" s="1017" t="s">
        <v>1613</v>
      </c>
      <c r="AC69" s="1018"/>
      <c r="AD69" s="1019">
        <v>1</v>
      </c>
      <c r="AE69" s="1018"/>
      <c r="AF69" s="1021">
        <f t="shared" si="19"/>
        <v>-22101326.175999999</v>
      </c>
      <c r="AG69" s="1018"/>
      <c r="AH69" s="1011">
        <v>282</v>
      </c>
      <c r="AI69" s="1008"/>
    </row>
    <row r="70" spans="2:35">
      <c r="B70" s="1011">
        <f t="shared" si="20"/>
        <v>56</v>
      </c>
      <c r="C70" s="1012" t="s">
        <v>1657</v>
      </c>
      <c r="D70" s="1012" t="s">
        <v>1657</v>
      </c>
      <c r="E70" s="1013" t="s">
        <v>1656</v>
      </c>
      <c r="F70" s="1020">
        <v>21063877</v>
      </c>
      <c r="G70" s="1021">
        <f t="shared" si="21"/>
        <v>7372356.9499999993</v>
      </c>
      <c r="H70" s="1020">
        <v>0</v>
      </c>
      <c r="I70" s="1021">
        <f t="shared" si="22"/>
        <v>0</v>
      </c>
      <c r="J70" s="1021">
        <f t="shared" si="23"/>
        <v>7372356.9499999993</v>
      </c>
      <c r="K70" s="1022"/>
      <c r="L70" s="1020">
        <v>21063877</v>
      </c>
      <c r="M70" s="1021">
        <f t="shared" si="24"/>
        <v>4423414.17</v>
      </c>
      <c r="N70" s="1020">
        <v>0</v>
      </c>
      <c r="O70" s="1021">
        <f t="shared" si="25"/>
        <v>0</v>
      </c>
      <c r="P70" s="1021">
        <f t="shared" si="26"/>
        <v>4423414.17</v>
      </c>
      <c r="Q70" s="1023"/>
      <c r="R70" s="1021">
        <f t="shared" si="27"/>
        <v>2948942.7799999993</v>
      </c>
      <c r="S70" s="1022"/>
      <c r="T70" s="1020">
        <v>0</v>
      </c>
      <c r="U70" s="1022"/>
      <c r="V70" s="1020">
        <v>0</v>
      </c>
      <c r="W70" s="1016"/>
      <c r="X70" s="1021">
        <f t="shared" si="28"/>
        <v>2948942.7799999993</v>
      </c>
      <c r="Y70" s="1016"/>
      <c r="Z70" s="1017" t="s">
        <v>458</v>
      </c>
      <c r="AA70" s="1018"/>
      <c r="AB70" s="1017" t="s">
        <v>1610</v>
      </c>
      <c r="AC70" s="1018"/>
      <c r="AD70" s="1019">
        <v>0</v>
      </c>
      <c r="AE70" s="1018"/>
      <c r="AF70" s="1021">
        <f t="shared" si="19"/>
        <v>0</v>
      </c>
      <c r="AG70" s="1018"/>
      <c r="AH70" s="1011">
        <v>282</v>
      </c>
      <c r="AI70" s="1008"/>
    </row>
    <row r="71" spans="2:35">
      <c r="B71" s="1011">
        <f t="shared" si="20"/>
        <v>57</v>
      </c>
      <c r="C71" s="1012" t="s">
        <v>1655</v>
      </c>
      <c r="D71" s="1012" t="s">
        <v>1655</v>
      </c>
      <c r="E71" s="1013" t="s">
        <v>1656</v>
      </c>
      <c r="F71" s="1020">
        <v>-107769783.68571435</v>
      </c>
      <c r="G71" s="1021">
        <f t="shared" si="21"/>
        <v>-37719424.290000021</v>
      </c>
      <c r="H71" s="1020">
        <v>0</v>
      </c>
      <c r="I71" s="1021">
        <f t="shared" si="22"/>
        <v>0</v>
      </c>
      <c r="J71" s="1021">
        <f t="shared" si="23"/>
        <v>-37719424.290000021</v>
      </c>
      <c r="K71" s="1022"/>
      <c r="L71" s="1020">
        <v>-107769783.68571435</v>
      </c>
      <c r="M71" s="1021">
        <f t="shared" si="24"/>
        <v>-22631654.574000012</v>
      </c>
      <c r="N71" s="1020">
        <v>0</v>
      </c>
      <c r="O71" s="1021">
        <f t="shared" si="25"/>
        <v>0</v>
      </c>
      <c r="P71" s="1021">
        <f t="shared" si="26"/>
        <v>-22631654.574000012</v>
      </c>
      <c r="Q71" s="1023"/>
      <c r="R71" s="1021">
        <f t="shared" si="27"/>
        <v>-15087769.716000009</v>
      </c>
      <c r="S71" s="1022"/>
      <c r="T71" s="1020">
        <v>0</v>
      </c>
      <c r="U71" s="1022"/>
      <c r="V71" s="1020">
        <v>0</v>
      </c>
      <c r="W71" s="1016"/>
      <c r="X71" s="1021">
        <f t="shared" si="28"/>
        <v>-15087769.716000009</v>
      </c>
      <c r="Y71" s="1016"/>
      <c r="Z71" s="1017" t="s">
        <v>458</v>
      </c>
      <c r="AA71" s="1018"/>
      <c r="AB71" s="1017" t="s">
        <v>1610</v>
      </c>
      <c r="AC71" s="1018"/>
      <c r="AD71" s="1019">
        <v>0</v>
      </c>
      <c r="AE71" s="1018"/>
      <c r="AF71" s="1021">
        <f t="shared" si="19"/>
        <v>0</v>
      </c>
      <c r="AG71" s="1018"/>
      <c r="AH71" s="1011">
        <v>282</v>
      </c>
      <c r="AI71" s="1008"/>
    </row>
    <row r="72" spans="2:35">
      <c r="B72" s="1011">
        <f t="shared" si="20"/>
        <v>58</v>
      </c>
      <c r="C72" s="1012"/>
      <c r="D72" s="1012"/>
      <c r="E72" s="1013"/>
      <c r="F72" s="1020"/>
      <c r="G72" s="1021"/>
      <c r="H72" s="1020"/>
      <c r="I72" s="1021"/>
      <c r="J72" s="1021"/>
      <c r="K72" s="1022"/>
      <c r="L72" s="1020">
        <v>0</v>
      </c>
      <c r="M72" s="1021"/>
      <c r="N72" s="1020"/>
      <c r="O72" s="1021"/>
      <c r="P72" s="1021"/>
      <c r="Q72" s="1023"/>
      <c r="R72" s="1021"/>
      <c r="S72" s="1022"/>
      <c r="T72" s="1020"/>
      <c r="U72" s="1022"/>
      <c r="V72" s="1020"/>
      <c r="W72" s="1016"/>
      <c r="X72" s="1021"/>
      <c r="Y72" s="1016"/>
      <c r="Z72" s="1017"/>
      <c r="AA72" s="1018"/>
      <c r="AB72" s="1017"/>
      <c r="AC72" s="1018"/>
      <c r="AD72" s="1019"/>
      <c r="AE72" s="1018"/>
      <c r="AF72" s="1021"/>
      <c r="AG72" s="1018"/>
      <c r="AH72" s="1030"/>
      <c r="AI72" s="1008"/>
    </row>
    <row r="73" spans="2:35">
      <c r="B73" s="1011">
        <f t="shared" si="20"/>
        <v>59</v>
      </c>
      <c r="C73" s="1012" t="s">
        <v>1658</v>
      </c>
      <c r="D73" s="1012" t="s">
        <v>1658</v>
      </c>
      <c r="E73" s="1013"/>
      <c r="F73" s="1020"/>
      <c r="G73" s="1021"/>
      <c r="H73" s="1020"/>
      <c r="I73" s="1021"/>
      <c r="J73" s="1021"/>
      <c r="K73" s="1022"/>
      <c r="L73" s="1020"/>
      <c r="M73" s="1021"/>
      <c r="N73" s="1020"/>
      <c r="O73" s="1021"/>
      <c r="P73" s="1021"/>
      <c r="Q73" s="1023"/>
      <c r="R73" s="1021"/>
      <c r="S73" s="1022"/>
      <c r="T73" s="1020"/>
      <c r="U73" s="1022"/>
      <c r="V73" s="1020"/>
      <c r="W73" s="1016"/>
      <c r="X73" s="1021"/>
      <c r="Y73" s="1016"/>
      <c r="Z73" s="1017"/>
      <c r="AA73" s="1018"/>
      <c r="AB73" s="1017"/>
      <c r="AC73" s="1018"/>
      <c r="AD73" s="1019"/>
      <c r="AE73" s="1018"/>
      <c r="AF73" s="1021"/>
      <c r="AG73" s="1018"/>
      <c r="AH73" s="1030"/>
      <c r="AI73" s="1008"/>
    </row>
    <row r="74" spans="2:35">
      <c r="B74" s="1011">
        <f t="shared" si="20"/>
        <v>60</v>
      </c>
      <c r="C74" s="1012" t="s">
        <v>702</v>
      </c>
      <c r="D74" s="1012" t="s">
        <v>702</v>
      </c>
      <c r="E74" s="1013" t="s">
        <v>1656</v>
      </c>
      <c r="F74" s="1020"/>
      <c r="G74" s="1021">
        <f t="shared" ref="G74:G79" si="29">F74*0.35</f>
        <v>0</v>
      </c>
      <c r="H74" s="1020">
        <v>1312540.0571428575</v>
      </c>
      <c r="I74" s="1021">
        <f t="shared" ref="I74:I79" si="30">-H74*0.35</f>
        <v>-459389.02000000008</v>
      </c>
      <c r="J74" s="1021">
        <f t="shared" ref="J74:J79" si="31">G74+I74+H74</f>
        <v>853151.03714285744</v>
      </c>
      <c r="K74" s="1022"/>
      <c r="L74" s="1020">
        <v>0</v>
      </c>
      <c r="M74" s="1021">
        <f t="shared" ref="M74:M79" si="32">L74*0.21</f>
        <v>0</v>
      </c>
      <c r="N74" s="1020">
        <v>1312540.0571428575</v>
      </c>
      <c r="O74" s="1021">
        <f t="shared" ref="O74:O79" si="33">-N74*0.21</f>
        <v>-275633.41200000007</v>
      </c>
      <c r="P74" s="1021">
        <f t="shared" ref="P74:P79" si="34">M74+O74+N74</f>
        <v>1036906.6451428575</v>
      </c>
      <c r="Q74" s="1023"/>
      <c r="R74" s="1021">
        <f t="shared" ref="R74:R79" si="35">J74-P74</f>
        <v>-183755.60800000001</v>
      </c>
      <c r="S74" s="1022"/>
      <c r="T74" s="1020">
        <v>0</v>
      </c>
      <c r="U74" s="1022"/>
      <c r="V74" s="1020">
        <v>0</v>
      </c>
      <c r="W74" s="1016"/>
      <c r="X74" s="1021">
        <f t="shared" ref="X74:X79" si="36">R74-T74-V74</f>
        <v>-183755.60800000001</v>
      </c>
      <c r="Y74" s="1016"/>
      <c r="Z74" s="1017" t="s">
        <v>458</v>
      </c>
      <c r="AA74" s="1018"/>
      <c r="AB74" s="1017" t="s">
        <v>1610</v>
      </c>
      <c r="AC74" s="1018"/>
      <c r="AD74" s="1019">
        <v>0</v>
      </c>
      <c r="AE74" s="1018"/>
      <c r="AF74" s="1021">
        <f t="shared" si="19"/>
        <v>0</v>
      </c>
      <c r="AG74" s="1018"/>
      <c r="AH74" s="1011">
        <v>282</v>
      </c>
      <c r="AI74" s="1008"/>
    </row>
    <row r="75" spans="2:35">
      <c r="B75" s="1011">
        <f t="shared" si="20"/>
        <v>61</v>
      </c>
      <c r="C75" s="1012" t="s">
        <v>1654</v>
      </c>
      <c r="D75" s="1012" t="s">
        <v>1654</v>
      </c>
      <c r="E75" s="1013" t="s">
        <v>1656</v>
      </c>
      <c r="F75" s="1020"/>
      <c r="G75" s="1021">
        <f t="shared" si="29"/>
        <v>0</v>
      </c>
      <c r="H75" s="1020">
        <v>-22172083.742857147</v>
      </c>
      <c r="I75" s="1021">
        <f t="shared" si="30"/>
        <v>7760229.3100000005</v>
      </c>
      <c r="J75" s="1021">
        <f t="shared" si="31"/>
        <v>-14411854.432857146</v>
      </c>
      <c r="K75" s="1022"/>
      <c r="L75" s="1020">
        <v>0</v>
      </c>
      <c r="M75" s="1021">
        <f t="shared" si="32"/>
        <v>0</v>
      </c>
      <c r="N75" s="1020">
        <v>-22172083.742857147</v>
      </c>
      <c r="O75" s="1021">
        <f t="shared" si="33"/>
        <v>4656137.5860000011</v>
      </c>
      <c r="P75" s="1021">
        <f t="shared" si="34"/>
        <v>-17515946.156857148</v>
      </c>
      <c r="Q75" s="1023"/>
      <c r="R75" s="1021">
        <f t="shared" si="35"/>
        <v>3104091.7240000013</v>
      </c>
      <c r="S75" s="1022"/>
      <c r="T75" s="1020">
        <v>0</v>
      </c>
      <c r="U75" s="1022"/>
      <c r="V75" s="1020">
        <v>0</v>
      </c>
      <c r="W75" s="1016"/>
      <c r="X75" s="1021">
        <f t="shared" si="36"/>
        <v>3104091.7240000013</v>
      </c>
      <c r="Y75" s="1016"/>
      <c r="Z75" s="1017" t="s">
        <v>458</v>
      </c>
      <c r="AA75" s="1018"/>
      <c r="AB75" s="1017" t="s">
        <v>1610</v>
      </c>
      <c r="AC75" s="1018"/>
      <c r="AD75" s="1019">
        <v>0</v>
      </c>
      <c r="AE75" s="1018"/>
      <c r="AF75" s="1021">
        <f t="shared" si="19"/>
        <v>0</v>
      </c>
      <c r="AG75" s="1018"/>
      <c r="AH75" s="1011">
        <v>282</v>
      </c>
      <c r="AI75" s="1008"/>
    </row>
    <row r="76" spans="2:35">
      <c r="B76" s="1011">
        <f t="shared" si="20"/>
        <v>62</v>
      </c>
      <c r="C76" s="1012" t="s">
        <v>874</v>
      </c>
      <c r="D76" s="1012" t="s">
        <v>874</v>
      </c>
      <c r="E76" s="1013" t="s">
        <v>1656</v>
      </c>
      <c r="F76" s="1020"/>
      <c r="G76" s="1021">
        <f t="shared" si="29"/>
        <v>0</v>
      </c>
      <c r="H76" s="1020">
        <v>7602.971428571429</v>
      </c>
      <c r="I76" s="1021">
        <f t="shared" si="30"/>
        <v>-2661.04</v>
      </c>
      <c r="J76" s="1021">
        <f t="shared" si="31"/>
        <v>4941.931428571429</v>
      </c>
      <c r="K76" s="1022"/>
      <c r="L76" s="1020">
        <v>0</v>
      </c>
      <c r="M76" s="1021">
        <f t="shared" si="32"/>
        <v>0</v>
      </c>
      <c r="N76" s="1020">
        <v>7602.971428571429</v>
      </c>
      <c r="O76" s="1021">
        <f t="shared" si="33"/>
        <v>-1596.624</v>
      </c>
      <c r="P76" s="1021">
        <f t="shared" si="34"/>
        <v>6006.3474285714292</v>
      </c>
      <c r="Q76" s="1023"/>
      <c r="R76" s="1021">
        <f t="shared" si="35"/>
        <v>-1064.4160000000002</v>
      </c>
      <c r="S76" s="1022"/>
      <c r="T76" s="1020">
        <v>0</v>
      </c>
      <c r="U76" s="1022"/>
      <c r="V76" s="1020">
        <v>0</v>
      </c>
      <c r="W76" s="1016"/>
      <c r="X76" s="1021">
        <f t="shared" si="36"/>
        <v>-1064.4160000000002</v>
      </c>
      <c r="Y76" s="1016"/>
      <c r="Z76" s="1017" t="s">
        <v>458</v>
      </c>
      <c r="AA76" s="1018"/>
      <c r="AB76" s="1017" t="s">
        <v>1610</v>
      </c>
      <c r="AC76" s="1018"/>
      <c r="AD76" s="1019">
        <v>0</v>
      </c>
      <c r="AE76" s="1018"/>
      <c r="AF76" s="1021">
        <f t="shared" si="19"/>
        <v>0</v>
      </c>
      <c r="AG76" s="1018"/>
      <c r="AH76" s="1011">
        <v>282</v>
      </c>
      <c r="AI76" s="1008"/>
    </row>
    <row r="77" spans="2:35">
      <c r="B77" s="1011">
        <f t="shared" si="20"/>
        <v>63</v>
      </c>
      <c r="C77" s="1012" t="s">
        <v>17</v>
      </c>
      <c r="D77" s="1012" t="s">
        <v>17</v>
      </c>
      <c r="E77" s="1013" t="s">
        <v>1656</v>
      </c>
      <c r="F77" s="1020"/>
      <c r="G77" s="1021">
        <f t="shared" si="29"/>
        <v>0</v>
      </c>
      <c r="H77" s="1020">
        <v>-36703611.956989788</v>
      </c>
      <c r="I77" s="1021">
        <f t="shared" si="30"/>
        <v>12846264.184946425</v>
      </c>
      <c r="J77" s="1021">
        <f t="shared" si="31"/>
        <v>-23857347.772043362</v>
      </c>
      <c r="K77" s="1022"/>
      <c r="L77" s="1020">
        <v>0</v>
      </c>
      <c r="M77" s="1021">
        <f t="shared" si="32"/>
        <v>0</v>
      </c>
      <c r="N77" s="1020">
        <v>-36703611.956989788</v>
      </c>
      <c r="O77" s="1021">
        <f t="shared" si="33"/>
        <v>7707758.5109678553</v>
      </c>
      <c r="P77" s="1021">
        <f t="shared" si="34"/>
        <v>-28995853.446021933</v>
      </c>
      <c r="Q77" s="1023"/>
      <c r="R77" s="1021">
        <f t="shared" si="35"/>
        <v>5138505.6739785708</v>
      </c>
      <c r="S77" s="1022"/>
      <c r="T77" s="1020">
        <v>0</v>
      </c>
      <c r="U77" s="1022"/>
      <c r="V77" s="1020">
        <v>0</v>
      </c>
      <c r="W77" s="1016"/>
      <c r="X77" s="1021">
        <f t="shared" si="36"/>
        <v>5138505.6739785708</v>
      </c>
      <c r="Y77" s="1016"/>
      <c r="Z77" s="1017" t="s">
        <v>849</v>
      </c>
      <c r="AA77" s="1018"/>
      <c r="AB77" s="1017" t="s">
        <v>1613</v>
      </c>
      <c r="AC77" s="1018"/>
      <c r="AD77" s="1019">
        <v>1</v>
      </c>
      <c r="AE77" s="1018"/>
      <c r="AF77" s="1021">
        <f t="shared" si="19"/>
        <v>5138505.6739785708</v>
      </c>
      <c r="AG77" s="1018"/>
      <c r="AH77" s="1011">
        <v>282</v>
      </c>
      <c r="AI77" s="1008"/>
    </row>
    <row r="78" spans="2:35">
      <c r="B78" s="1011">
        <f t="shared" si="20"/>
        <v>64</v>
      </c>
      <c r="C78" s="1012" t="s">
        <v>1657</v>
      </c>
      <c r="D78" s="1012" t="s">
        <v>1657</v>
      </c>
      <c r="E78" s="1013" t="s">
        <v>1656</v>
      </c>
      <c r="F78" s="1020"/>
      <c r="G78" s="1021">
        <f t="shared" si="29"/>
        <v>0</v>
      </c>
      <c r="H78" s="1020">
        <v>2112410.7855612142</v>
      </c>
      <c r="I78" s="1021">
        <f t="shared" si="30"/>
        <v>-739343.77494642488</v>
      </c>
      <c r="J78" s="1021">
        <f t="shared" si="31"/>
        <v>1373067.0106147893</v>
      </c>
      <c r="K78" s="1022"/>
      <c r="L78" s="1020">
        <v>0</v>
      </c>
      <c r="M78" s="1021">
        <f t="shared" si="32"/>
        <v>0</v>
      </c>
      <c r="N78" s="1020">
        <v>2112410.7855612142</v>
      </c>
      <c r="O78" s="1021">
        <f t="shared" si="33"/>
        <v>-443606.26496785495</v>
      </c>
      <c r="P78" s="1021">
        <f t="shared" si="34"/>
        <v>1668804.5205933591</v>
      </c>
      <c r="Q78" s="1023"/>
      <c r="R78" s="1021">
        <f t="shared" si="35"/>
        <v>-295737.50997856981</v>
      </c>
      <c r="S78" s="1022"/>
      <c r="T78" s="1020">
        <v>0</v>
      </c>
      <c r="U78" s="1022"/>
      <c r="V78" s="1020">
        <v>0</v>
      </c>
      <c r="W78" s="1016"/>
      <c r="X78" s="1021">
        <f t="shared" si="36"/>
        <v>-295737.50997856981</v>
      </c>
      <c r="Y78" s="1016"/>
      <c r="Z78" s="1017" t="s">
        <v>458</v>
      </c>
      <c r="AA78" s="1018"/>
      <c r="AB78" s="1017" t="s">
        <v>1610</v>
      </c>
      <c r="AC78" s="1018"/>
      <c r="AD78" s="1019">
        <v>0</v>
      </c>
      <c r="AE78" s="1018"/>
      <c r="AF78" s="1021">
        <f t="shared" si="19"/>
        <v>0</v>
      </c>
      <c r="AG78" s="1018"/>
      <c r="AH78" s="1011">
        <v>282</v>
      </c>
      <c r="AI78" s="1008"/>
    </row>
    <row r="79" spans="2:35">
      <c r="B79" s="1011">
        <f t="shared" si="20"/>
        <v>65</v>
      </c>
      <c r="C79" s="1012" t="s">
        <v>1655</v>
      </c>
      <c r="D79" s="1012" t="s">
        <v>1655</v>
      </c>
      <c r="E79" s="1013" t="s">
        <v>1656</v>
      </c>
      <c r="F79" s="1020"/>
      <c r="G79" s="1021">
        <f t="shared" si="29"/>
        <v>0</v>
      </c>
      <c r="H79" s="1020">
        <v>-10558443.400000002</v>
      </c>
      <c r="I79" s="1021">
        <f t="shared" si="30"/>
        <v>3695455.1900000004</v>
      </c>
      <c r="J79" s="1021">
        <f t="shared" si="31"/>
        <v>-6862988.2100000018</v>
      </c>
      <c r="K79" s="1022"/>
      <c r="L79" s="1020">
        <v>0</v>
      </c>
      <c r="M79" s="1021">
        <f t="shared" si="32"/>
        <v>0</v>
      </c>
      <c r="N79" s="1020">
        <v>-10558443.400000002</v>
      </c>
      <c r="O79" s="1021">
        <f t="shared" si="33"/>
        <v>2217273.1140000005</v>
      </c>
      <c r="P79" s="1021">
        <f t="shared" si="34"/>
        <v>-8341170.2860000022</v>
      </c>
      <c r="Q79" s="1023"/>
      <c r="R79" s="1021">
        <f t="shared" si="35"/>
        <v>1478182.0760000004</v>
      </c>
      <c r="S79" s="1022"/>
      <c r="T79" s="1020">
        <v>0</v>
      </c>
      <c r="U79" s="1022"/>
      <c r="V79" s="1020">
        <v>0</v>
      </c>
      <c r="W79" s="1016"/>
      <c r="X79" s="1021">
        <f t="shared" si="36"/>
        <v>1478182.0760000004</v>
      </c>
      <c r="Y79" s="1016"/>
      <c r="Z79" s="1017" t="s">
        <v>458</v>
      </c>
      <c r="AA79" s="1018"/>
      <c r="AB79" s="1017" t="s">
        <v>1610</v>
      </c>
      <c r="AC79" s="1018"/>
      <c r="AD79" s="1019">
        <v>0</v>
      </c>
      <c r="AE79" s="1018"/>
      <c r="AF79" s="1021">
        <f t="shared" si="19"/>
        <v>0</v>
      </c>
      <c r="AG79" s="1018"/>
      <c r="AH79" s="1011">
        <v>282</v>
      </c>
      <c r="AI79" s="1008"/>
    </row>
    <row r="80" spans="2:35">
      <c r="B80" s="1011">
        <f t="shared" si="20"/>
        <v>66</v>
      </c>
      <c r="C80" s="1012"/>
      <c r="D80" s="1012"/>
      <c r="E80" s="1013"/>
      <c r="F80" s="1020"/>
      <c r="G80" s="1021"/>
      <c r="H80" s="1020"/>
      <c r="I80" s="1021"/>
      <c r="J80" s="1021"/>
      <c r="K80" s="1022"/>
      <c r="L80" s="1020"/>
      <c r="M80" s="1021"/>
      <c r="N80" s="1020"/>
      <c r="O80" s="1021"/>
      <c r="P80" s="1021"/>
      <c r="Q80" s="1023"/>
      <c r="R80" s="1021"/>
      <c r="S80" s="1022"/>
      <c r="T80" s="1020"/>
      <c r="U80" s="1022"/>
      <c r="V80" s="1020"/>
      <c r="W80" s="1016"/>
      <c r="X80" s="1021"/>
      <c r="Y80" s="1016"/>
      <c r="Z80" s="1017"/>
      <c r="AA80" s="1018"/>
      <c r="AB80" s="1017"/>
      <c r="AC80" s="1018"/>
      <c r="AD80" s="1019"/>
      <c r="AE80" s="1018"/>
      <c r="AF80" s="1019"/>
      <c r="AG80" s="1018"/>
      <c r="AH80" s="1030"/>
      <c r="AI80" s="1008"/>
    </row>
    <row r="81" spans="2:35">
      <c r="B81" s="1011">
        <f t="shared" si="20"/>
        <v>67</v>
      </c>
      <c r="C81" s="1012" t="s">
        <v>1659</v>
      </c>
      <c r="D81" s="1012" t="s">
        <v>1659</v>
      </c>
      <c r="E81" s="1013" t="s">
        <v>1656</v>
      </c>
      <c r="F81" s="1020">
        <v>-1962869053.8599997</v>
      </c>
      <c r="G81" s="1021">
        <f t="shared" ref="G81" si="37">F81*0.35</f>
        <v>-687004168.85099983</v>
      </c>
      <c r="H81" s="1020">
        <v>-478101448.54677171</v>
      </c>
      <c r="I81" s="1021">
        <f t="shared" ref="I81" si="38">-H81*0.35</f>
        <v>167335506.99137008</v>
      </c>
      <c r="J81" s="1021">
        <f t="shared" ref="J81" si="39">G81+I81+H81</f>
        <v>-997770110.4064014</v>
      </c>
      <c r="K81" s="1022"/>
      <c r="L81" s="1020">
        <v>-1962869053.8599997</v>
      </c>
      <c r="M81" s="1021">
        <f t="shared" ref="M81" si="40">L81*0.21</f>
        <v>-412202501.31059992</v>
      </c>
      <c r="N81" s="1020">
        <v>-478101448.54677171</v>
      </c>
      <c r="O81" s="1021">
        <f>-N81*0.21</f>
        <v>100401304.19482206</v>
      </c>
      <c r="P81" s="1021">
        <f t="shared" ref="P81" si="41">M81+O81+N81</f>
        <v>-789902645.6625495</v>
      </c>
      <c r="Q81" s="1023"/>
      <c r="R81" s="1021">
        <f t="shared" ref="R81" si="42">J81-P81</f>
        <v>-207867464.7438519</v>
      </c>
      <c r="S81" s="1022"/>
      <c r="T81" s="1020">
        <v>0</v>
      </c>
      <c r="U81" s="1022"/>
      <c r="V81" s="1020">
        <v>-207867464.7438519</v>
      </c>
      <c r="W81" s="1016"/>
      <c r="X81" s="1021">
        <f t="shared" ref="X81" si="43">R81-T81-V81</f>
        <v>0</v>
      </c>
      <c r="Y81" s="1016"/>
      <c r="Z81" s="1017" t="s">
        <v>458</v>
      </c>
      <c r="AA81" s="1018"/>
      <c r="AB81" s="1017" t="s">
        <v>1610</v>
      </c>
      <c r="AC81" s="1018"/>
      <c r="AD81" s="1019">
        <v>0</v>
      </c>
      <c r="AE81" s="1018"/>
      <c r="AF81" s="1021">
        <f t="shared" si="19"/>
        <v>0</v>
      </c>
      <c r="AG81" s="1018"/>
      <c r="AH81" s="1011">
        <v>282</v>
      </c>
      <c r="AI81" s="1008"/>
    </row>
    <row r="82" spans="2:35">
      <c r="B82" s="1011">
        <f t="shared" si="20"/>
        <v>68</v>
      </c>
      <c r="C82" s="1024" t="s">
        <v>1660</v>
      </c>
      <c r="D82" s="1017"/>
      <c r="E82" s="1017"/>
      <c r="F82" s="1025">
        <f>SUM(F58:F81)</f>
        <v>-6411006228.46</v>
      </c>
      <c r="G82" s="1025">
        <f>SUM(G58:G81)</f>
        <v>-2243852179.9609995</v>
      </c>
      <c r="H82" s="1025">
        <f>SUM(H58:H81)</f>
        <v>-544103033.83248603</v>
      </c>
      <c r="I82" s="1025">
        <f>SUM(I58:I81)</f>
        <v>190436061.84137008</v>
      </c>
      <c r="J82" s="1025">
        <f>SUM(J58:J81)</f>
        <v>-2597519151.9521155</v>
      </c>
      <c r="K82" s="1016"/>
      <c r="L82" s="1025">
        <f>SUM(L58:L81)</f>
        <v>-6411006228.46</v>
      </c>
      <c r="M82" s="1025">
        <f>SUM(M58:M81)</f>
        <v>-1346311307.9766002</v>
      </c>
      <c r="N82" s="1025">
        <f>SUM(N58:N81)</f>
        <v>-544103033.83248603</v>
      </c>
      <c r="O82" s="1025">
        <f>SUM(O58:O81)</f>
        <v>114261637.10482205</v>
      </c>
      <c r="P82" s="1025">
        <f>SUM(P58:P81)</f>
        <v>-1776152704.7042637</v>
      </c>
      <c r="R82" s="1025">
        <f>SUM(R58:R81)</f>
        <v>-821366447.24785185</v>
      </c>
      <c r="S82" s="1016"/>
      <c r="T82" s="1025">
        <f>SUM(T58:T81)</f>
        <v>0</v>
      </c>
      <c r="U82" s="1016"/>
      <c r="V82" s="1025">
        <f>SUM(V58:V81)</f>
        <v>-207867464.7438519</v>
      </c>
      <c r="W82" s="1016"/>
      <c r="X82" s="1025">
        <f>SUM(X58:X81)</f>
        <v>-613498982.50399995</v>
      </c>
      <c r="Y82" s="1016"/>
      <c r="Z82" s="1017"/>
      <c r="AA82" s="1018"/>
      <c r="AB82" s="1017"/>
      <c r="AC82" s="1018"/>
      <c r="AD82" s="1019"/>
      <c r="AE82" s="1018"/>
      <c r="AF82" s="1025">
        <f>SUM(AF58:AF81)</f>
        <v>-97774072.54185459</v>
      </c>
      <c r="AG82" s="1018"/>
      <c r="AH82" s="1011"/>
      <c r="AI82" s="1017"/>
    </row>
    <row r="83" spans="2:35">
      <c r="B83" s="1011"/>
      <c r="C83" s="1017"/>
      <c r="D83" s="1017"/>
      <c r="E83" s="1017"/>
      <c r="F83" s="1015"/>
      <c r="G83" s="1015"/>
      <c r="H83" s="1015"/>
      <c r="I83" s="1015"/>
      <c r="J83" s="1015"/>
      <c r="K83" s="1016"/>
      <c r="L83" s="1015"/>
      <c r="M83" s="1015"/>
      <c r="N83" s="1015"/>
      <c r="O83" s="1015"/>
      <c r="P83" s="1015"/>
      <c r="R83" s="1015"/>
      <c r="S83" s="1016"/>
      <c r="T83" s="1015"/>
      <c r="U83" s="1016"/>
      <c r="V83" s="1015"/>
      <c r="W83" s="1016"/>
      <c r="X83" s="1015"/>
      <c r="Y83" s="1016"/>
      <c r="Z83" s="1017"/>
      <c r="AA83" s="1018"/>
      <c r="AB83" s="1017"/>
      <c r="AC83" s="1018"/>
      <c r="AD83" s="1019"/>
      <c r="AE83" s="1018"/>
      <c r="AF83" s="1015"/>
      <c r="AG83" s="1018"/>
      <c r="AH83" s="1011"/>
      <c r="AI83" s="1017"/>
    </row>
    <row r="84" spans="2:35" ht="13.9">
      <c r="B84" s="1011"/>
      <c r="C84" s="1027" t="s">
        <v>1661</v>
      </c>
      <c r="D84" s="1017"/>
      <c r="E84" s="1017"/>
      <c r="F84" s="1015"/>
      <c r="G84" s="1015"/>
      <c r="H84" s="1015"/>
      <c r="I84" s="1015"/>
      <c r="J84" s="1015"/>
      <c r="K84" s="1016"/>
      <c r="L84" s="1015"/>
      <c r="M84" s="1015"/>
      <c r="N84" s="1015"/>
      <c r="O84" s="1015"/>
      <c r="P84" s="1015"/>
      <c r="R84" s="1015"/>
      <c r="S84" s="1016"/>
      <c r="T84" s="1015"/>
      <c r="U84" s="1016"/>
      <c r="V84" s="1015"/>
      <c r="W84" s="1016"/>
      <c r="X84" s="1015"/>
      <c r="Y84" s="1016"/>
      <c r="Z84" s="1017"/>
      <c r="AA84" s="1018"/>
      <c r="AB84" s="1017"/>
      <c r="AC84" s="1018"/>
      <c r="AD84" s="1019"/>
      <c r="AE84" s="1018"/>
      <c r="AF84" s="1015"/>
      <c r="AG84" s="1018"/>
      <c r="AH84" s="1011"/>
      <c r="AI84" s="1017"/>
    </row>
    <row r="85" spans="2:35">
      <c r="B85" s="1011">
        <f>+B82+1</f>
        <v>69</v>
      </c>
      <c r="C85" s="1012" t="s">
        <v>1662</v>
      </c>
      <c r="D85" s="1012" t="s">
        <v>1662</v>
      </c>
      <c r="E85" s="1013" t="s">
        <v>1800</v>
      </c>
      <c r="F85" s="1029">
        <v>-24804411.330000009</v>
      </c>
      <c r="G85" s="1015">
        <f t="shared" ref="G85:G110" si="44">F85*0.35</f>
        <v>-8681543.9655000027</v>
      </c>
      <c r="H85" s="1029">
        <v>-2477960.6918670009</v>
      </c>
      <c r="I85" s="1015">
        <f t="shared" ref="I85:I107" si="45">-H85*0.35</f>
        <v>867286.24215345026</v>
      </c>
      <c r="J85" s="1015">
        <f t="shared" ref="J85:J107" si="46">G85+I85+H85</f>
        <v>-10292218.415213553</v>
      </c>
      <c r="K85" s="1016"/>
      <c r="L85" s="1029">
        <v>-24804411.330000009</v>
      </c>
      <c r="M85" s="1015">
        <f t="shared" ref="M85:M107" si="47">L85*0.21</f>
        <v>-5208926.379300002</v>
      </c>
      <c r="N85" s="1029">
        <v>-2477960.6918670009</v>
      </c>
      <c r="O85" s="1015">
        <f t="shared" ref="O85:O107" si="48">-N85*0.21</f>
        <v>520371.74529207015</v>
      </c>
      <c r="P85" s="1015">
        <f t="shared" ref="P85:P107" si="49">M85+O85+N85</f>
        <v>-7166515.3258749321</v>
      </c>
      <c r="R85" s="1015">
        <f t="shared" ref="R85:R107" si="50">J85-P85</f>
        <v>-3125703.0893386211</v>
      </c>
      <c r="S85" s="1016"/>
      <c r="T85" s="1014">
        <v>0</v>
      </c>
      <c r="U85" s="1016"/>
      <c r="V85" s="1014">
        <v>0</v>
      </c>
      <c r="W85" s="1016"/>
      <c r="X85" s="1015">
        <f t="shared" ref="X85:X107" si="51">R85-T85-V85</f>
        <v>-3125703.0893386211</v>
      </c>
      <c r="Y85" s="1016"/>
      <c r="Z85" s="1017" t="s">
        <v>1609</v>
      </c>
      <c r="AA85" s="1018"/>
      <c r="AB85" s="1017" t="s">
        <v>1610</v>
      </c>
      <c r="AC85" s="1018"/>
      <c r="AD85" s="1019">
        <v>0</v>
      </c>
      <c r="AE85" s="1018"/>
      <c r="AF85" s="1015">
        <f>X85*AD85</f>
        <v>0</v>
      </c>
      <c r="AG85" s="1018"/>
      <c r="AH85" s="1011">
        <v>283</v>
      </c>
      <c r="AI85" s="1008"/>
    </row>
    <row r="86" spans="2:35">
      <c r="B86" s="1011">
        <f>+B85+1</f>
        <v>70</v>
      </c>
      <c r="C86" s="1012" t="s">
        <v>1547</v>
      </c>
      <c r="D86" s="1012" t="s">
        <v>1547</v>
      </c>
      <c r="E86" s="1013" t="s">
        <v>1800</v>
      </c>
      <c r="F86" s="1020">
        <v>-4056845.66</v>
      </c>
      <c r="G86" s="1021">
        <f t="shared" si="44"/>
        <v>-1419895.9809999999</v>
      </c>
      <c r="H86" s="1020">
        <v>-405278.88143400004</v>
      </c>
      <c r="I86" s="1021">
        <f t="shared" si="45"/>
        <v>141847.60850190002</v>
      </c>
      <c r="J86" s="1021">
        <f>G86+I86+H86</f>
        <v>-1683327.2539321</v>
      </c>
      <c r="K86" s="1022"/>
      <c r="L86" s="1020">
        <v>-4056845.66</v>
      </c>
      <c r="M86" s="1021">
        <f t="shared" si="47"/>
        <v>-851937.58860000002</v>
      </c>
      <c r="N86" s="1020">
        <v>-405278.88143400004</v>
      </c>
      <c r="O86" s="1021">
        <f t="shared" si="48"/>
        <v>85108.565101140004</v>
      </c>
      <c r="P86" s="1021">
        <f t="shared" si="49"/>
        <v>-1172107.9049328601</v>
      </c>
      <c r="Q86" s="1023"/>
      <c r="R86" s="1021">
        <f t="shared" si="50"/>
        <v>-511219.34899923997</v>
      </c>
      <c r="S86" s="1022"/>
      <c r="T86" s="1020">
        <v>0</v>
      </c>
      <c r="U86" s="1022"/>
      <c r="V86" s="1020">
        <v>0</v>
      </c>
      <c r="W86" s="1022"/>
      <c r="X86" s="1021">
        <f t="shared" si="51"/>
        <v>-511219.34899923997</v>
      </c>
      <c r="Y86" s="1016"/>
      <c r="Z86" s="1017" t="s">
        <v>1609</v>
      </c>
      <c r="AA86" s="1018"/>
      <c r="AB86" s="1017" t="s">
        <v>1610</v>
      </c>
      <c r="AC86" s="1018"/>
      <c r="AD86" s="1019">
        <v>0</v>
      </c>
      <c r="AE86" s="1018"/>
      <c r="AF86" s="1021">
        <f t="shared" ref="AF86:AF107" si="52">X86*AD86</f>
        <v>0</v>
      </c>
      <c r="AG86" s="1018"/>
      <c r="AH86" s="1011">
        <v>283</v>
      </c>
      <c r="AI86" s="1008"/>
    </row>
    <row r="87" spans="2:35">
      <c r="B87" s="1011">
        <f t="shared" ref="B87:B112" si="53">+B86+1</f>
        <v>71</v>
      </c>
      <c r="C87" s="1012" t="s">
        <v>1663</v>
      </c>
      <c r="D87" s="1012" t="s">
        <v>1663</v>
      </c>
      <c r="E87" s="1013" t="s">
        <v>1800</v>
      </c>
      <c r="F87" s="1020">
        <v>-1746004.61</v>
      </c>
      <c r="G87" s="1021">
        <f t="shared" si="44"/>
        <v>-611101.61349999998</v>
      </c>
      <c r="H87" s="1020">
        <v>-174425.86053900002</v>
      </c>
      <c r="I87" s="1021">
        <f t="shared" si="45"/>
        <v>61049.051188650003</v>
      </c>
      <c r="J87" s="1021">
        <f t="shared" si="46"/>
        <v>-724478.42285035003</v>
      </c>
      <c r="K87" s="1022"/>
      <c r="L87" s="1020">
        <v>-1746004.61</v>
      </c>
      <c r="M87" s="1021">
        <f t="shared" si="47"/>
        <v>-366660.9681</v>
      </c>
      <c r="N87" s="1020">
        <v>-174425.86053900002</v>
      </c>
      <c r="O87" s="1021">
        <f t="shared" si="48"/>
        <v>36629.430713189999</v>
      </c>
      <c r="P87" s="1021">
        <f t="shared" si="49"/>
        <v>-504457.39792581002</v>
      </c>
      <c r="Q87" s="1023"/>
      <c r="R87" s="1021">
        <f t="shared" si="50"/>
        <v>-220021.02492454002</v>
      </c>
      <c r="S87" s="1022"/>
      <c r="T87" s="1020">
        <v>0</v>
      </c>
      <c r="U87" s="1022"/>
      <c r="V87" s="1020">
        <v>0</v>
      </c>
      <c r="W87" s="1022"/>
      <c r="X87" s="1021">
        <f t="shared" si="51"/>
        <v>-220021.02492454002</v>
      </c>
      <c r="Y87" s="1016"/>
      <c r="Z87" s="1017" t="s">
        <v>458</v>
      </c>
      <c r="AA87" s="1018"/>
      <c r="AB87" s="1017" t="s">
        <v>1613</v>
      </c>
      <c r="AC87" s="1018"/>
      <c r="AD87" s="1019">
        <v>9.699983183423401E-2</v>
      </c>
      <c r="AE87" s="1018"/>
      <c r="AF87" s="1021">
        <f t="shared" si="52"/>
        <v>-21342.002417676191</v>
      </c>
      <c r="AG87" s="1018"/>
      <c r="AH87" s="1011">
        <v>283</v>
      </c>
      <c r="AI87" s="1008"/>
    </row>
    <row r="88" spans="2:35">
      <c r="B88" s="1011">
        <f t="shared" si="53"/>
        <v>72</v>
      </c>
      <c r="C88" s="1012" t="s">
        <v>1664</v>
      </c>
      <c r="D88" s="1012" t="s">
        <v>1664</v>
      </c>
      <c r="E88" s="1013" t="s">
        <v>1800</v>
      </c>
      <c r="F88" s="1020">
        <v>-7289033.8200000003</v>
      </c>
      <c r="G88" s="1021">
        <f t="shared" si="44"/>
        <v>-2551161.8369999998</v>
      </c>
      <c r="H88" s="1020">
        <v>-728174.47861800005</v>
      </c>
      <c r="I88" s="1021">
        <f t="shared" si="45"/>
        <v>254861.06751630001</v>
      </c>
      <c r="J88" s="1021">
        <f t="shared" si="46"/>
        <v>-3024475.2481017001</v>
      </c>
      <c r="K88" s="1022"/>
      <c r="L88" s="1020">
        <v>-7289033.8200000003</v>
      </c>
      <c r="M88" s="1021">
        <f t="shared" si="47"/>
        <v>-1530697.1022000001</v>
      </c>
      <c r="N88" s="1020">
        <v>-728174.47861800005</v>
      </c>
      <c r="O88" s="1021">
        <f t="shared" si="48"/>
        <v>152916.64050978</v>
      </c>
      <c r="P88" s="1021">
        <f t="shared" si="49"/>
        <v>-2105954.9403082202</v>
      </c>
      <c r="Q88" s="1023"/>
      <c r="R88" s="1021">
        <f t="shared" si="50"/>
        <v>-918520.30779347988</v>
      </c>
      <c r="S88" s="1022"/>
      <c r="T88" s="1020">
        <v>0</v>
      </c>
      <c r="U88" s="1022"/>
      <c r="V88" s="1020">
        <v>0</v>
      </c>
      <c r="W88" s="1022"/>
      <c r="X88" s="1021">
        <f t="shared" si="51"/>
        <v>-918520.30779347988</v>
      </c>
      <c r="Y88" s="1016"/>
      <c r="Z88" s="1017" t="s">
        <v>1609</v>
      </c>
      <c r="AA88" s="1018"/>
      <c r="AB88" s="1017" t="s">
        <v>1610</v>
      </c>
      <c r="AC88" s="1018"/>
      <c r="AD88" s="1019">
        <v>0</v>
      </c>
      <c r="AE88" s="1018"/>
      <c r="AF88" s="1021">
        <f t="shared" si="52"/>
        <v>0</v>
      </c>
      <c r="AG88" s="1018"/>
      <c r="AH88" s="1011">
        <v>283</v>
      </c>
      <c r="AI88" s="1008"/>
    </row>
    <row r="89" spans="2:35">
      <c r="B89" s="1011">
        <f t="shared" si="53"/>
        <v>73</v>
      </c>
      <c r="C89" s="1012" t="s">
        <v>1665</v>
      </c>
      <c r="D89" s="1012" t="s">
        <v>1665</v>
      </c>
      <c r="E89" s="1013" t="s">
        <v>1800</v>
      </c>
      <c r="F89" s="1020">
        <v>0</v>
      </c>
      <c r="G89" s="1021">
        <f t="shared" si="44"/>
        <v>0</v>
      </c>
      <c r="H89" s="1020">
        <v>0</v>
      </c>
      <c r="I89" s="1021">
        <f t="shared" si="45"/>
        <v>0</v>
      </c>
      <c r="J89" s="1021">
        <f t="shared" si="46"/>
        <v>0</v>
      </c>
      <c r="K89" s="1022"/>
      <c r="L89" s="1020">
        <v>0</v>
      </c>
      <c r="M89" s="1021">
        <f t="shared" si="47"/>
        <v>0</v>
      </c>
      <c r="N89" s="1020">
        <v>0</v>
      </c>
      <c r="O89" s="1021">
        <f t="shared" si="48"/>
        <v>0</v>
      </c>
      <c r="P89" s="1021">
        <f t="shared" si="49"/>
        <v>0</v>
      </c>
      <c r="Q89" s="1023"/>
      <c r="R89" s="1021">
        <f t="shared" si="50"/>
        <v>0</v>
      </c>
      <c r="S89" s="1022"/>
      <c r="T89" s="1020">
        <v>0</v>
      </c>
      <c r="U89" s="1022"/>
      <c r="V89" s="1020">
        <v>0</v>
      </c>
      <c r="W89" s="1022"/>
      <c r="X89" s="1021">
        <f t="shared" si="51"/>
        <v>0</v>
      </c>
      <c r="Y89" s="1016"/>
      <c r="Z89" s="1017" t="s">
        <v>1609</v>
      </c>
      <c r="AA89" s="1018"/>
      <c r="AB89" s="1017" t="s">
        <v>1610</v>
      </c>
      <c r="AC89" s="1018"/>
      <c r="AD89" s="1019">
        <v>0</v>
      </c>
      <c r="AE89" s="1018"/>
      <c r="AF89" s="1021">
        <f t="shared" si="52"/>
        <v>0</v>
      </c>
      <c r="AG89" s="1018"/>
      <c r="AH89" s="1011">
        <v>283</v>
      </c>
      <c r="AI89" s="1008"/>
    </row>
    <row r="90" spans="2:35">
      <c r="B90" s="1011">
        <f t="shared" si="53"/>
        <v>74</v>
      </c>
      <c r="C90" s="1012" t="s">
        <v>1666</v>
      </c>
      <c r="D90" s="1012" t="s">
        <v>1666</v>
      </c>
      <c r="E90" s="1013" t="s">
        <v>1800</v>
      </c>
      <c r="F90" s="1020">
        <v>-258131.34999999951</v>
      </c>
      <c r="G90" s="1021">
        <f t="shared" si="44"/>
        <v>-90345.972499999829</v>
      </c>
      <c r="H90" s="1020">
        <v>-25787.321864999951</v>
      </c>
      <c r="I90" s="1021">
        <f t="shared" si="45"/>
        <v>9025.5626527499826</v>
      </c>
      <c r="J90" s="1021">
        <f t="shared" si="46"/>
        <v>-107107.73171224979</v>
      </c>
      <c r="K90" s="1022"/>
      <c r="L90" s="1020">
        <v>-258131.34999999951</v>
      </c>
      <c r="M90" s="1021">
        <f t="shared" si="47"/>
        <v>-54207.583499999899</v>
      </c>
      <c r="N90" s="1020">
        <v>-25787.321864999951</v>
      </c>
      <c r="O90" s="1021">
        <f t="shared" si="48"/>
        <v>5415.337591649989</v>
      </c>
      <c r="P90" s="1021">
        <f t="shared" si="49"/>
        <v>-74579.56777334986</v>
      </c>
      <c r="Q90" s="1023"/>
      <c r="R90" s="1021">
        <f t="shared" si="50"/>
        <v>-32528.163938899932</v>
      </c>
      <c r="S90" s="1022"/>
      <c r="T90" s="1020">
        <v>0</v>
      </c>
      <c r="U90" s="1022"/>
      <c r="V90" s="1020">
        <v>0</v>
      </c>
      <c r="W90" s="1022"/>
      <c r="X90" s="1021">
        <f t="shared" si="51"/>
        <v>-32528.163938899932</v>
      </c>
      <c r="Y90" s="1016"/>
      <c r="Z90" s="1017" t="s">
        <v>1609</v>
      </c>
      <c r="AA90" s="1018"/>
      <c r="AB90" s="1017" t="s">
        <v>1610</v>
      </c>
      <c r="AC90" s="1018"/>
      <c r="AD90" s="1019">
        <v>0</v>
      </c>
      <c r="AE90" s="1018"/>
      <c r="AF90" s="1021">
        <f t="shared" si="52"/>
        <v>0</v>
      </c>
      <c r="AG90" s="1018"/>
      <c r="AH90" s="1011">
        <v>283</v>
      </c>
      <c r="AI90" s="1008"/>
    </row>
    <row r="91" spans="2:35">
      <c r="B91" s="1011">
        <f t="shared" si="53"/>
        <v>75</v>
      </c>
      <c r="C91" s="1012" t="s">
        <v>1667</v>
      </c>
      <c r="D91" s="1012" t="s">
        <v>1667</v>
      </c>
      <c r="E91" s="1013" t="s">
        <v>1800</v>
      </c>
      <c r="F91" s="1020">
        <v>-67717.41999999994</v>
      </c>
      <c r="G91" s="1021">
        <f t="shared" si="44"/>
        <v>-23701.096999999976</v>
      </c>
      <c r="H91" s="1020">
        <v>-6764.9702579999939</v>
      </c>
      <c r="I91" s="1021">
        <f t="shared" si="45"/>
        <v>2367.7395902999979</v>
      </c>
      <c r="J91" s="1021">
        <f t="shared" si="46"/>
        <v>-28098.327667699974</v>
      </c>
      <c r="K91" s="1022"/>
      <c r="L91" s="1020">
        <v>-67717.41999999994</v>
      </c>
      <c r="M91" s="1021">
        <f t="shared" si="47"/>
        <v>-14220.658199999987</v>
      </c>
      <c r="N91" s="1020">
        <v>-6764.9702579999939</v>
      </c>
      <c r="O91" s="1021">
        <f t="shared" si="48"/>
        <v>1420.6437541799987</v>
      </c>
      <c r="P91" s="1021">
        <f t="shared" si="49"/>
        <v>-19564.98470381998</v>
      </c>
      <c r="Q91" s="1023"/>
      <c r="R91" s="1021">
        <f t="shared" si="50"/>
        <v>-8533.3429638799935</v>
      </c>
      <c r="S91" s="1022"/>
      <c r="T91" s="1020">
        <v>0</v>
      </c>
      <c r="U91" s="1022"/>
      <c r="V91" s="1020">
        <v>0</v>
      </c>
      <c r="W91" s="1022"/>
      <c r="X91" s="1021">
        <f t="shared" si="51"/>
        <v>-8533.3429638799935</v>
      </c>
      <c r="Y91" s="1016"/>
      <c r="Z91" s="1017" t="s">
        <v>1609</v>
      </c>
      <c r="AA91" s="1018"/>
      <c r="AB91" s="1017" t="s">
        <v>1610</v>
      </c>
      <c r="AC91" s="1018"/>
      <c r="AD91" s="1019">
        <v>0</v>
      </c>
      <c r="AE91" s="1018"/>
      <c r="AF91" s="1021">
        <f t="shared" si="52"/>
        <v>0</v>
      </c>
      <c r="AG91" s="1018"/>
      <c r="AH91" s="1011">
        <v>283</v>
      </c>
      <c r="AI91" s="1008"/>
    </row>
    <row r="92" spans="2:35">
      <c r="B92" s="1011">
        <f t="shared" si="53"/>
        <v>76</v>
      </c>
      <c r="C92" s="1012" t="s">
        <v>1668</v>
      </c>
      <c r="D92" s="1012" t="s">
        <v>1668</v>
      </c>
      <c r="E92" s="1013" t="s">
        <v>1800</v>
      </c>
      <c r="F92" s="1020">
        <v>-688709.13</v>
      </c>
      <c r="G92" s="1021">
        <f t="shared" si="44"/>
        <v>-241048.19549999997</v>
      </c>
      <c r="H92" s="1020">
        <v>-68802.042087000009</v>
      </c>
      <c r="I92" s="1021">
        <f t="shared" si="45"/>
        <v>24080.714730450003</v>
      </c>
      <c r="J92" s="1021">
        <f t="shared" si="46"/>
        <v>-285769.52285654994</v>
      </c>
      <c r="K92" s="1022"/>
      <c r="L92" s="1020">
        <v>-688709.13</v>
      </c>
      <c r="M92" s="1021">
        <f t="shared" si="47"/>
        <v>-144628.9173</v>
      </c>
      <c r="N92" s="1020">
        <v>-68802.042087000009</v>
      </c>
      <c r="O92" s="1021">
        <f t="shared" si="48"/>
        <v>14448.428838270002</v>
      </c>
      <c r="P92" s="1021">
        <f t="shared" si="49"/>
        <v>-198982.53054872999</v>
      </c>
      <c r="Q92" s="1023"/>
      <c r="R92" s="1021">
        <f t="shared" si="50"/>
        <v>-86786.99230781995</v>
      </c>
      <c r="S92" s="1022"/>
      <c r="T92" s="1020">
        <v>0</v>
      </c>
      <c r="U92" s="1022"/>
      <c r="V92" s="1020">
        <v>0</v>
      </c>
      <c r="W92" s="1022"/>
      <c r="X92" s="1021">
        <f t="shared" si="51"/>
        <v>-86786.99230781995</v>
      </c>
      <c r="Y92" s="1016"/>
      <c r="Z92" s="1017" t="s">
        <v>1609</v>
      </c>
      <c r="AA92" s="1018"/>
      <c r="AB92" s="1017" t="s">
        <v>1610</v>
      </c>
      <c r="AC92" s="1018"/>
      <c r="AD92" s="1019">
        <v>0</v>
      </c>
      <c r="AE92" s="1018"/>
      <c r="AF92" s="1021">
        <f t="shared" si="52"/>
        <v>0</v>
      </c>
      <c r="AG92" s="1018"/>
      <c r="AH92" s="1011">
        <v>283</v>
      </c>
      <c r="AI92" s="1008"/>
    </row>
    <row r="93" spans="2:35">
      <c r="B93" s="1011">
        <f t="shared" si="53"/>
        <v>77</v>
      </c>
      <c r="C93" s="1012" t="s">
        <v>1669</v>
      </c>
      <c r="D93" s="1012" t="s">
        <v>1669</v>
      </c>
      <c r="E93" s="1013" t="s">
        <v>1800</v>
      </c>
      <c r="F93" s="1020">
        <v>-1699831030.5799999</v>
      </c>
      <c r="G93" s="1021">
        <f t="shared" si="44"/>
        <v>-594940860.70299995</v>
      </c>
      <c r="H93" s="1020">
        <v>-169813119.95494199</v>
      </c>
      <c r="I93" s="1021">
        <f t="shared" si="45"/>
        <v>59434591.984229691</v>
      </c>
      <c r="J93" s="1021">
        <f t="shared" si="46"/>
        <v>-705319388.67371225</v>
      </c>
      <c r="K93" s="1022"/>
      <c r="L93" s="1020">
        <v>-1699831030.5799999</v>
      </c>
      <c r="M93" s="1021">
        <f t="shared" si="47"/>
        <v>-356964516.42179996</v>
      </c>
      <c r="N93" s="1020">
        <v>-169813119.95494199</v>
      </c>
      <c r="O93" s="1021">
        <f t="shared" si="48"/>
        <v>35660755.190537818</v>
      </c>
      <c r="P93" s="1021">
        <f t="shared" si="49"/>
        <v>-491116881.18620414</v>
      </c>
      <c r="Q93" s="1023"/>
      <c r="R93" s="1021">
        <f t="shared" si="50"/>
        <v>-214202507.48750812</v>
      </c>
      <c r="S93" s="1022"/>
      <c r="T93" s="1020">
        <v>0</v>
      </c>
      <c r="U93" s="1022"/>
      <c r="V93" s="1020">
        <v>-214202507.48750812</v>
      </c>
      <c r="W93" s="1022"/>
      <c r="X93" s="1021">
        <f t="shared" si="51"/>
        <v>0</v>
      </c>
      <c r="Y93" s="1016"/>
      <c r="Z93" s="1017" t="s">
        <v>952</v>
      </c>
      <c r="AA93" s="1018"/>
      <c r="AB93" s="1017" t="s">
        <v>1610</v>
      </c>
      <c r="AC93" s="1018"/>
      <c r="AD93" s="1019">
        <v>0</v>
      </c>
      <c r="AE93" s="1018"/>
      <c r="AF93" s="1021">
        <f t="shared" si="52"/>
        <v>0</v>
      </c>
      <c r="AG93" s="1018"/>
      <c r="AH93" s="1011">
        <v>283</v>
      </c>
      <c r="AI93" s="1008"/>
    </row>
    <row r="94" spans="2:35">
      <c r="B94" s="1011">
        <f t="shared" si="53"/>
        <v>78</v>
      </c>
      <c r="C94" s="1012" t="s">
        <v>1670</v>
      </c>
      <c r="D94" s="1012" t="s">
        <v>1671</v>
      </c>
      <c r="E94" s="1013" t="s">
        <v>1800</v>
      </c>
      <c r="F94" s="1020">
        <v>0</v>
      </c>
      <c r="G94" s="1021">
        <f t="shared" si="44"/>
        <v>0</v>
      </c>
      <c r="H94" s="1020">
        <v>0</v>
      </c>
      <c r="I94" s="1021">
        <f t="shared" si="45"/>
        <v>0</v>
      </c>
      <c r="J94" s="1021">
        <f t="shared" si="46"/>
        <v>0</v>
      </c>
      <c r="K94" s="1022"/>
      <c r="L94" s="1020">
        <v>1394047651</v>
      </c>
      <c r="M94" s="1021">
        <f t="shared" si="47"/>
        <v>292750006.70999998</v>
      </c>
      <c r="N94" s="1020">
        <v>139265360.33489999</v>
      </c>
      <c r="O94" s="1021">
        <f t="shared" si="48"/>
        <v>-29245725.670328997</v>
      </c>
      <c r="P94" s="1021">
        <f t="shared" si="49"/>
        <v>402769641.37457097</v>
      </c>
      <c r="Q94" s="1023"/>
      <c r="R94" s="1021">
        <f t="shared" si="50"/>
        <v>-402769641.37457097</v>
      </c>
      <c r="S94" s="1022"/>
      <c r="T94" s="1020">
        <v>0</v>
      </c>
      <c r="U94" s="1022"/>
      <c r="V94" s="1020">
        <v>-402769641.37457097</v>
      </c>
      <c r="W94" s="1022"/>
      <c r="X94" s="1021">
        <f t="shared" si="51"/>
        <v>0</v>
      </c>
      <c r="Y94" s="1016"/>
      <c r="Z94" s="1017" t="s">
        <v>952</v>
      </c>
      <c r="AA94" s="1018"/>
      <c r="AB94" s="1017" t="s">
        <v>1610</v>
      </c>
      <c r="AC94" s="1018"/>
      <c r="AD94" s="1019">
        <v>0</v>
      </c>
      <c r="AE94" s="1018"/>
      <c r="AF94" s="1021">
        <f t="shared" si="52"/>
        <v>0</v>
      </c>
      <c r="AG94" s="1018"/>
      <c r="AH94" s="1011">
        <v>283</v>
      </c>
      <c r="AI94" s="1008"/>
    </row>
    <row r="95" spans="2:35">
      <c r="B95" s="1011">
        <f t="shared" si="53"/>
        <v>79</v>
      </c>
      <c r="C95" s="1012" t="s">
        <v>1672</v>
      </c>
      <c r="D95" s="1012" t="s">
        <v>1672</v>
      </c>
      <c r="E95" s="1013" t="s">
        <v>1800</v>
      </c>
      <c r="F95" s="1020">
        <v>-142280.22</v>
      </c>
      <c r="G95" s="1021">
        <f t="shared" si="44"/>
        <v>-49798.076999999997</v>
      </c>
      <c r="H95" s="1020">
        <v>-14213.793978</v>
      </c>
      <c r="I95" s="1021">
        <f t="shared" si="45"/>
        <v>4974.8278922999998</v>
      </c>
      <c r="J95" s="1021">
        <f t="shared" si="46"/>
        <v>-59037.043085700003</v>
      </c>
      <c r="K95" s="1022"/>
      <c r="L95" s="1020">
        <v>-142280.22</v>
      </c>
      <c r="M95" s="1021">
        <f t="shared" si="47"/>
        <v>-29878.8462</v>
      </c>
      <c r="N95" s="1020">
        <v>-14213.793978</v>
      </c>
      <c r="O95" s="1021">
        <f t="shared" si="48"/>
        <v>2984.8967353799999</v>
      </c>
      <c r="P95" s="1021">
        <f t="shared" si="49"/>
        <v>-41107.743442619998</v>
      </c>
      <c r="Q95" s="1023"/>
      <c r="R95" s="1021">
        <f t="shared" si="50"/>
        <v>-17929.299643080005</v>
      </c>
      <c r="S95" s="1022"/>
      <c r="T95" s="1020">
        <v>0</v>
      </c>
      <c r="U95" s="1022"/>
      <c r="V95" s="1020">
        <v>0</v>
      </c>
      <c r="W95" s="1022"/>
      <c r="X95" s="1021">
        <f t="shared" si="51"/>
        <v>-17929.299643080005</v>
      </c>
      <c r="Y95" s="1016"/>
      <c r="Z95" s="1017" t="s">
        <v>1631</v>
      </c>
      <c r="AA95" s="1018"/>
      <c r="AB95" s="1017" t="s">
        <v>1610</v>
      </c>
      <c r="AC95" s="1018"/>
      <c r="AD95" s="1019">
        <v>0</v>
      </c>
      <c r="AE95" s="1018"/>
      <c r="AF95" s="1021">
        <f t="shared" si="52"/>
        <v>0</v>
      </c>
      <c r="AG95" s="1018"/>
      <c r="AH95" s="1011">
        <v>283</v>
      </c>
      <c r="AI95" s="1008"/>
    </row>
    <row r="96" spans="2:35">
      <c r="B96" s="1011">
        <f t="shared" si="53"/>
        <v>80</v>
      </c>
      <c r="C96" s="1012" t="s">
        <v>886</v>
      </c>
      <c r="D96" s="1012" t="s">
        <v>886</v>
      </c>
      <c r="E96" s="1013" t="s">
        <v>1800</v>
      </c>
      <c r="F96" s="1020">
        <v>0</v>
      </c>
      <c r="G96" s="1021">
        <f t="shared" si="44"/>
        <v>0</v>
      </c>
      <c r="H96" s="1020">
        <v>0</v>
      </c>
      <c r="I96" s="1021">
        <f t="shared" si="45"/>
        <v>0</v>
      </c>
      <c r="J96" s="1021">
        <f t="shared" si="46"/>
        <v>0</v>
      </c>
      <c r="K96" s="1022"/>
      <c r="L96" s="1020">
        <v>0</v>
      </c>
      <c r="M96" s="1021">
        <f t="shared" si="47"/>
        <v>0</v>
      </c>
      <c r="N96" s="1020">
        <v>0</v>
      </c>
      <c r="O96" s="1021">
        <f t="shared" si="48"/>
        <v>0</v>
      </c>
      <c r="P96" s="1021">
        <f t="shared" si="49"/>
        <v>0</v>
      </c>
      <c r="Q96" s="1023"/>
      <c r="R96" s="1021">
        <f t="shared" si="50"/>
        <v>0</v>
      </c>
      <c r="S96" s="1022"/>
      <c r="T96" s="1020">
        <v>0</v>
      </c>
      <c r="U96" s="1022"/>
      <c r="V96" s="1020">
        <v>0</v>
      </c>
      <c r="W96" s="1022"/>
      <c r="X96" s="1021">
        <f t="shared" si="51"/>
        <v>0</v>
      </c>
      <c r="Y96" s="1016"/>
      <c r="Z96" s="1017" t="s">
        <v>952</v>
      </c>
      <c r="AA96" s="1018"/>
      <c r="AB96" s="1017" t="s">
        <v>1610</v>
      </c>
      <c r="AC96" s="1018"/>
      <c r="AD96" s="1019">
        <v>0</v>
      </c>
      <c r="AE96" s="1018"/>
      <c r="AF96" s="1021">
        <f t="shared" si="52"/>
        <v>0</v>
      </c>
      <c r="AG96" s="1018"/>
      <c r="AH96" s="1011">
        <v>283</v>
      </c>
      <c r="AI96" s="1008"/>
    </row>
    <row r="97" spans="2:36">
      <c r="B97" s="1011">
        <f t="shared" si="53"/>
        <v>81</v>
      </c>
      <c r="C97" s="1012" t="s">
        <v>1673</v>
      </c>
      <c r="D97" s="1012" t="s">
        <v>1673</v>
      </c>
      <c r="E97" s="1013" t="s">
        <v>1800</v>
      </c>
      <c r="F97" s="1020">
        <v>0</v>
      </c>
      <c r="G97" s="1021">
        <f t="shared" si="44"/>
        <v>0</v>
      </c>
      <c r="H97" s="1020">
        <v>0</v>
      </c>
      <c r="I97" s="1021">
        <f t="shared" si="45"/>
        <v>0</v>
      </c>
      <c r="J97" s="1021">
        <f t="shared" si="46"/>
        <v>0</v>
      </c>
      <c r="K97" s="1022"/>
      <c r="L97" s="1020">
        <v>0</v>
      </c>
      <c r="M97" s="1021">
        <f t="shared" si="47"/>
        <v>0</v>
      </c>
      <c r="N97" s="1020">
        <v>0</v>
      </c>
      <c r="O97" s="1021">
        <f t="shared" si="48"/>
        <v>0</v>
      </c>
      <c r="P97" s="1021">
        <f t="shared" si="49"/>
        <v>0</v>
      </c>
      <c r="Q97" s="1023"/>
      <c r="R97" s="1021">
        <f t="shared" si="50"/>
        <v>0</v>
      </c>
      <c r="S97" s="1022"/>
      <c r="T97" s="1020">
        <v>0</v>
      </c>
      <c r="U97" s="1022"/>
      <c r="V97" s="1020">
        <v>0</v>
      </c>
      <c r="W97" s="1022"/>
      <c r="X97" s="1021">
        <f t="shared" si="51"/>
        <v>0</v>
      </c>
      <c r="Y97" s="1016"/>
      <c r="Z97" s="1017" t="s">
        <v>1612</v>
      </c>
      <c r="AA97" s="1018"/>
      <c r="AB97" s="1017" t="s">
        <v>1610</v>
      </c>
      <c r="AC97" s="1018"/>
      <c r="AD97" s="1019">
        <v>0</v>
      </c>
      <c r="AE97" s="1018"/>
      <c r="AF97" s="1021">
        <f t="shared" si="52"/>
        <v>0</v>
      </c>
      <c r="AG97" s="1018"/>
      <c r="AH97" s="1011">
        <v>283</v>
      </c>
      <c r="AI97" s="1008"/>
    </row>
    <row r="98" spans="2:36">
      <c r="B98" s="1011">
        <f t="shared" si="53"/>
        <v>82</v>
      </c>
      <c r="C98" s="1012" t="s">
        <v>887</v>
      </c>
      <c r="D98" s="1012" t="s">
        <v>887</v>
      </c>
      <c r="E98" s="1013" t="s">
        <v>1800</v>
      </c>
      <c r="F98" s="1020">
        <v>0</v>
      </c>
      <c r="G98" s="1021">
        <f t="shared" si="44"/>
        <v>0</v>
      </c>
      <c r="H98" s="1020">
        <v>0</v>
      </c>
      <c r="I98" s="1021">
        <f t="shared" si="45"/>
        <v>0</v>
      </c>
      <c r="J98" s="1021">
        <f t="shared" si="46"/>
        <v>0</v>
      </c>
      <c r="K98" s="1022"/>
      <c r="L98" s="1020">
        <v>0</v>
      </c>
      <c r="M98" s="1021">
        <f t="shared" si="47"/>
        <v>0</v>
      </c>
      <c r="N98" s="1020">
        <v>0</v>
      </c>
      <c r="O98" s="1021">
        <f t="shared" si="48"/>
        <v>0</v>
      </c>
      <c r="P98" s="1021">
        <f t="shared" si="49"/>
        <v>0</v>
      </c>
      <c r="Q98" s="1023"/>
      <c r="R98" s="1021">
        <f t="shared" si="50"/>
        <v>0</v>
      </c>
      <c r="S98" s="1022"/>
      <c r="T98" s="1020">
        <v>0</v>
      </c>
      <c r="U98" s="1022"/>
      <c r="V98" s="1020">
        <v>0</v>
      </c>
      <c r="W98" s="1022"/>
      <c r="X98" s="1021">
        <f t="shared" si="51"/>
        <v>0</v>
      </c>
      <c r="Y98" s="1016"/>
      <c r="Z98" s="1017" t="s">
        <v>1609</v>
      </c>
      <c r="AA98" s="1018"/>
      <c r="AB98" s="1017" t="s">
        <v>1610</v>
      </c>
      <c r="AC98" s="1018"/>
      <c r="AD98" s="1019">
        <v>0</v>
      </c>
      <c r="AE98" s="1018"/>
      <c r="AF98" s="1021">
        <f t="shared" si="52"/>
        <v>0</v>
      </c>
      <c r="AG98" s="1018"/>
      <c r="AH98" s="1011">
        <v>283</v>
      </c>
      <c r="AI98" s="1008"/>
    </row>
    <row r="99" spans="2:36">
      <c r="B99" s="1011">
        <f t="shared" si="53"/>
        <v>83</v>
      </c>
      <c r="C99" s="1012" t="s">
        <v>1674</v>
      </c>
      <c r="D99" s="1012" t="s">
        <v>1674</v>
      </c>
      <c r="E99" s="1013" t="s">
        <v>1800</v>
      </c>
      <c r="F99" s="1020">
        <v>0</v>
      </c>
      <c r="G99" s="1021">
        <f t="shared" si="44"/>
        <v>0</v>
      </c>
      <c r="H99" s="1020">
        <v>0</v>
      </c>
      <c r="I99" s="1021">
        <f t="shared" si="45"/>
        <v>0</v>
      </c>
      <c r="J99" s="1021">
        <f t="shared" si="46"/>
        <v>0</v>
      </c>
      <c r="K99" s="1022"/>
      <c r="L99" s="1020">
        <v>0</v>
      </c>
      <c r="M99" s="1021">
        <f t="shared" si="47"/>
        <v>0</v>
      </c>
      <c r="N99" s="1020">
        <v>0</v>
      </c>
      <c r="O99" s="1021">
        <f t="shared" si="48"/>
        <v>0</v>
      </c>
      <c r="P99" s="1021">
        <f t="shared" si="49"/>
        <v>0</v>
      </c>
      <c r="Q99" s="1023"/>
      <c r="R99" s="1021">
        <f t="shared" si="50"/>
        <v>0</v>
      </c>
      <c r="S99" s="1022"/>
      <c r="T99" s="1020">
        <v>0</v>
      </c>
      <c r="U99" s="1022"/>
      <c r="V99" s="1020">
        <v>0</v>
      </c>
      <c r="W99" s="1022"/>
      <c r="X99" s="1021">
        <f t="shared" si="51"/>
        <v>0</v>
      </c>
      <c r="Y99" s="1016"/>
      <c r="Z99" s="1017" t="s">
        <v>458</v>
      </c>
      <c r="AA99" s="1018"/>
      <c r="AB99" s="1017" t="s">
        <v>1610</v>
      </c>
      <c r="AC99" s="1018"/>
      <c r="AD99" s="1019">
        <v>0</v>
      </c>
      <c r="AE99" s="1018"/>
      <c r="AF99" s="1021">
        <f t="shared" si="52"/>
        <v>0</v>
      </c>
      <c r="AG99" s="1018"/>
      <c r="AH99" s="1011">
        <v>283</v>
      </c>
      <c r="AI99" s="1008"/>
    </row>
    <row r="100" spans="2:36">
      <c r="B100" s="1011">
        <f t="shared" si="53"/>
        <v>84</v>
      </c>
      <c r="C100" s="1012" t="s">
        <v>1675</v>
      </c>
      <c r="D100" s="1012" t="s">
        <v>1675</v>
      </c>
      <c r="E100" s="1013" t="s">
        <v>1800</v>
      </c>
      <c r="F100" s="1020">
        <v>0</v>
      </c>
      <c r="G100" s="1021">
        <f t="shared" si="44"/>
        <v>0</v>
      </c>
      <c r="H100" s="1020">
        <v>0</v>
      </c>
      <c r="I100" s="1021">
        <f t="shared" si="45"/>
        <v>0</v>
      </c>
      <c r="J100" s="1021">
        <f t="shared" si="46"/>
        <v>0</v>
      </c>
      <c r="K100" s="1022"/>
      <c r="L100" s="1020">
        <v>0</v>
      </c>
      <c r="M100" s="1021">
        <f t="shared" si="47"/>
        <v>0</v>
      </c>
      <c r="N100" s="1020">
        <v>0</v>
      </c>
      <c r="O100" s="1021">
        <f t="shared" si="48"/>
        <v>0</v>
      </c>
      <c r="P100" s="1021">
        <f t="shared" si="49"/>
        <v>0</v>
      </c>
      <c r="Q100" s="1023"/>
      <c r="R100" s="1021">
        <f t="shared" si="50"/>
        <v>0</v>
      </c>
      <c r="S100" s="1022"/>
      <c r="T100" s="1020">
        <v>0</v>
      </c>
      <c r="U100" s="1022"/>
      <c r="V100" s="1020">
        <v>0</v>
      </c>
      <c r="W100" s="1022"/>
      <c r="X100" s="1021">
        <f t="shared" si="51"/>
        <v>0</v>
      </c>
      <c r="Y100" s="1016"/>
      <c r="Z100" s="1017" t="s">
        <v>1612</v>
      </c>
      <c r="AA100" s="1018"/>
      <c r="AB100" s="1017" t="s">
        <v>1610</v>
      </c>
      <c r="AC100" s="1018"/>
      <c r="AD100" s="1019">
        <v>0</v>
      </c>
      <c r="AE100" s="1018"/>
      <c r="AF100" s="1021">
        <f t="shared" si="52"/>
        <v>0</v>
      </c>
      <c r="AG100" s="1018"/>
      <c r="AH100" s="1011">
        <v>283</v>
      </c>
      <c r="AI100" s="1008"/>
    </row>
    <row r="101" spans="2:36">
      <c r="B101" s="1011">
        <f t="shared" si="53"/>
        <v>85</v>
      </c>
      <c r="C101" s="1012" t="s">
        <v>1676</v>
      </c>
      <c r="D101" s="1012" t="s">
        <v>1676</v>
      </c>
      <c r="E101" s="1013" t="s">
        <v>1800</v>
      </c>
      <c r="F101" s="1020">
        <v>0</v>
      </c>
      <c r="G101" s="1021">
        <f t="shared" si="44"/>
        <v>0</v>
      </c>
      <c r="H101" s="1020">
        <v>0</v>
      </c>
      <c r="I101" s="1021">
        <f t="shared" si="45"/>
        <v>0</v>
      </c>
      <c r="J101" s="1021">
        <f t="shared" si="46"/>
        <v>0</v>
      </c>
      <c r="K101" s="1022"/>
      <c r="L101" s="1020">
        <v>0</v>
      </c>
      <c r="M101" s="1021">
        <f t="shared" si="47"/>
        <v>0</v>
      </c>
      <c r="N101" s="1020">
        <v>0</v>
      </c>
      <c r="O101" s="1021">
        <f t="shared" si="48"/>
        <v>0</v>
      </c>
      <c r="P101" s="1021">
        <f t="shared" si="49"/>
        <v>0</v>
      </c>
      <c r="Q101" s="1023"/>
      <c r="R101" s="1021">
        <f t="shared" si="50"/>
        <v>0</v>
      </c>
      <c r="S101" s="1022"/>
      <c r="T101" s="1020">
        <v>0</v>
      </c>
      <c r="U101" s="1022"/>
      <c r="V101" s="1020">
        <v>0</v>
      </c>
      <c r="W101" s="1022"/>
      <c r="X101" s="1021">
        <f t="shared" si="51"/>
        <v>0</v>
      </c>
      <c r="Y101" s="1016"/>
      <c r="Z101" s="1017" t="s">
        <v>1609</v>
      </c>
      <c r="AA101" s="1018"/>
      <c r="AB101" s="1017" t="s">
        <v>1610</v>
      </c>
      <c r="AC101" s="1018"/>
      <c r="AD101" s="1019">
        <v>0</v>
      </c>
      <c r="AE101" s="1018"/>
      <c r="AF101" s="1021">
        <f t="shared" si="52"/>
        <v>0</v>
      </c>
      <c r="AG101" s="1018"/>
      <c r="AH101" s="1011">
        <v>283</v>
      </c>
      <c r="AI101" s="1008"/>
    </row>
    <row r="102" spans="2:36">
      <c r="B102" s="1011">
        <f t="shared" si="53"/>
        <v>86</v>
      </c>
      <c r="C102" s="1012" t="s">
        <v>1677</v>
      </c>
      <c r="D102" s="1012" t="s">
        <v>1677</v>
      </c>
      <c r="E102" s="1013" t="s">
        <v>1800</v>
      </c>
      <c r="F102" s="1020">
        <v>0</v>
      </c>
      <c r="G102" s="1021">
        <f t="shared" si="44"/>
        <v>0</v>
      </c>
      <c r="H102" s="1020">
        <v>0</v>
      </c>
      <c r="I102" s="1021">
        <f t="shared" si="45"/>
        <v>0</v>
      </c>
      <c r="J102" s="1021">
        <f t="shared" si="46"/>
        <v>0</v>
      </c>
      <c r="K102" s="1022"/>
      <c r="L102" s="1020">
        <v>0</v>
      </c>
      <c r="M102" s="1021">
        <f t="shared" si="47"/>
        <v>0</v>
      </c>
      <c r="N102" s="1020">
        <v>0</v>
      </c>
      <c r="O102" s="1021">
        <f t="shared" si="48"/>
        <v>0</v>
      </c>
      <c r="P102" s="1021">
        <f t="shared" si="49"/>
        <v>0</v>
      </c>
      <c r="Q102" s="1023"/>
      <c r="R102" s="1021">
        <f t="shared" si="50"/>
        <v>0</v>
      </c>
      <c r="S102" s="1022"/>
      <c r="T102" s="1020">
        <v>0</v>
      </c>
      <c r="U102" s="1022"/>
      <c r="V102" s="1020">
        <v>0</v>
      </c>
      <c r="W102" s="1022"/>
      <c r="X102" s="1021">
        <f t="shared" si="51"/>
        <v>0</v>
      </c>
      <c r="Y102" s="1016"/>
      <c r="Z102" s="1017" t="s">
        <v>1609</v>
      </c>
      <c r="AA102" s="1018"/>
      <c r="AB102" s="1017" t="s">
        <v>1610</v>
      </c>
      <c r="AC102" s="1018"/>
      <c r="AD102" s="1019">
        <v>0</v>
      </c>
      <c r="AE102" s="1018"/>
      <c r="AF102" s="1021">
        <f t="shared" si="52"/>
        <v>0</v>
      </c>
      <c r="AG102" s="1018"/>
      <c r="AH102" s="1011">
        <v>283</v>
      </c>
      <c r="AI102" s="1008"/>
    </row>
    <row r="103" spans="2:36">
      <c r="B103" s="1011">
        <f t="shared" si="53"/>
        <v>87</v>
      </c>
      <c r="C103" s="1012" t="s">
        <v>1678</v>
      </c>
      <c r="D103" s="1012" t="s">
        <v>1678</v>
      </c>
      <c r="E103" s="1013" t="s">
        <v>1800</v>
      </c>
      <c r="F103" s="1020">
        <v>0</v>
      </c>
      <c r="G103" s="1021">
        <f t="shared" si="44"/>
        <v>0</v>
      </c>
      <c r="H103" s="1020">
        <v>0</v>
      </c>
      <c r="I103" s="1021">
        <f t="shared" si="45"/>
        <v>0</v>
      </c>
      <c r="J103" s="1021">
        <f t="shared" si="46"/>
        <v>0</v>
      </c>
      <c r="K103" s="1022"/>
      <c r="L103" s="1020">
        <v>0</v>
      </c>
      <c r="M103" s="1021">
        <f t="shared" si="47"/>
        <v>0</v>
      </c>
      <c r="N103" s="1020">
        <v>0</v>
      </c>
      <c r="O103" s="1021">
        <f t="shared" si="48"/>
        <v>0</v>
      </c>
      <c r="P103" s="1021">
        <f t="shared" si="49"/>
        <v>0</v>
      </c>
      <c r="Q103" s="1023"/>
      <c r="R103" s="1021">
        <f t="shared" si="50"/>
        <v>0</v>
      </c>
      <c r="S103" s="1022"/>
      <c r="T103" s="1020">
        <v>0</v>
      </c>
      <c r="U103" s="1022"/>
      <c r="V103" s="1020">
        <v>0</v>
      </c>
      <c r="W103" s="1022"/>
      <c r="X103" s="1021">
        <f t="shared" si="51"/>
        <v>0</v>
      </c>
      <c r="Y103" s="1016"/>
      <c r="Z103" s="1017" t="s">
        <v>1609</v>
      </c>
      <c r="AA103" s="1018"/>
      <c r="AB103" s="1017" t="s">
        <v>1610</v>
      </c>
      <c r="AC103" s="1018"/>
      <c r="AD103" s="1019">
        <v>0</v>
      </c>
      <c r="AE103" s="1018"/>
      <c r="AF103" s="1021">
        <f t="shared" si="52"/>
        <v>0</v>
      </c>
      <c r="AG103" s="1018"/>
      <c r="AH103" s="1011">
        <v>283</v>
      </c>
      <c r="AI103" s="1008"/>
    </row>
    <row r="104" spans="2:36">
      <c r="B104" s="1011">
        <f t="shared" si="53"/>
        <v>88</v>
      </c>
      <c r="C104" s="1012" t="s">
        <v>872</v>
      </c>
      <c r="D104" s="1012" t="s">
        <v>872</v>
      </c>
      <c r="E104" s="1013" t="s">
        <v>1800</v>
      </c>
      <c r="F104" s="1020">
        <v>0</v>
      </c>
      <c r="G104" s="1021">
        <f t="shared" si="44"/>
        <v>0</v>
      </c>
      <c r="H104" s="1020">
        <v>0</v>
      </c>
      <c r="I104" s="1021">
        <f t="shared" si="45"/>
        <v>0</v>
      </c>
      <c r="J104" s="1021">
        <f t="shared" si="46"/>
        <v>0</v>
      </c>
      <c r="K104" s="1022"/>
      <c r="L104" s="1020">
        <v>0</v>
      </c>
      <c r="M104" s="1021">
        <f t="shared" si="47"/>
        <v>0</v>
      </c>
      <c r="N104" s="1020">
        <v>0</v>
      </c>
      <c r="O104" s="1021">
        <f t="shared" si="48"/>
        <v>0</v>
      </c>
      <c r="P104" s="1021">
        <f t="shared" si="49"/>
        <v>0</v>
      </c>
      <c r="Q104" s="1023"/>
      <c r="R104" s="1021">
        <f t="shared" si="50"/>
        <v>0</v>
      </c>
      <c r="S104" s="1022"/>
      <c r="T104" s="1020">
        <v>0</v>
      </c>
      <c r="U104" s="1022"/>
      <c r="V104" s="1020">
        <v>0</v>
      </c>
      <c r="W104" s="1022"/>
      <c r="X104" s="1021">
        <f t="shared" si="51"/>
        <v>0</v>
      </c>
      <c r="Y104" s="1016"/>
      <c r="Z104" s="1017" t="s">
        <v>1612</v>
      </c>
      <c r="AA104" s="1018"/>
      <c r="AB104" s="1017" t="s">
        <v>1610</v>
      </c>
      <c r="AC104" s="1018"/>
      <c r="AD104" s="1019">
        <v>0</v>
      </c>
      <c r="AE104" s="1018"/>
      <c r="AF104" s="1021">
        <f t="shared" si="52"/>
        <v>0</v>
      </c>
      <c r="AG104" s="1018"/>
      <c r="AH104" s="1011">
        <v>283</v>
      </c>
      <c r="AI104" s="1008"/>
    </row>
    <row r="105" spans="2:36">
      <c r="B105" s="1011">
        <f t="shared" si="53"/>
        <v>89</v>
      </c>
      <c r="C105" s="1012" t="s">
        <v>1679</v>
      </c>
      <c r="D105" s="1012" t="s">
        <v>1679</v>
      </c>
      <c r="E105" s="1013" t="s">
        <v>1800</v>
      </c>
      <c r="F105" s="1020">
        <v>0</v>
      </c>
      <c r="G105" s="1021">
        <f t="shared" si="44"/>
        <v>0</v>
      </c>
      <c r="H105" s="1020">
        <v>0</v>
      </c>
      <c r="I105" s="1021">
        <f t="shared" si="45"/>
        <v>0</v>
      </c>
      <c r="J105" s="1021">
        <f t="shared" si="46"/>
        <v>0</v>
      </c>
      <c r="K105" s="1022"/>
      <c r="L105" s="1020">
        <v>0</v>
      </c>
      <c r="M105" s="1021">
        <f t="shared" si="47"/>
        <v>0</v>
      </c>
      <c r="N105" s="1020">
        <v>0</v>
      </c>
      <c r="O105" s="1021">
        <f t="shared" si="48"/>
        <v>0</v>
      </c>
      <c r="P105" s="1021">
        <f t="shared" si="49"/>
        <v>0</v>
      </c>
      <c r="Q105" s="1023"/>
      <c r="R105" s="1021">
        <f t="shared" si="50"/>
        <v>0</v>
      </c>
      <c r="S105" s="1022"/>
      <c r="T105" s="1020">
        <v>0</v>
      </c>
      <c r="U105" s="1022"/>
      <c r="V105" s="1020">
        <v>0</v>
      </c>
      <c r="W105" s="1022"/>
      <c r="X105" s="1021">
        <f t="shared" si="51"/>
        <v>0</v>
      </c>
      <c r="Y105" s="1016"/>
      <c r="Z105" s="1017" t="s">
        <v>1609</v>
      </c>
      <c r="AA105" s="1018"/>
      <c r="AB105" s="1017" t="s">
        <v>1610</v>
      </c>
      <c r="AC105" s="1018"/>
      <c r="AD105" s="1019">
        <v>0</v>
      </c>
      <c r="AE105" s="1018"/>
      <c r="AF105" s="1021">
        <f t="shared" si="52"/>
        <v>0</v>
      </c>
      <c r="AG105" s="1018"/>
      <c r="AH105" s="1011">
        <v>283</v>
      </c>
      <c r="AI105" s="1008"/>
    </row>
    <row r="106" spans="2:36">
      <c r="B106" s="1011">
        <f t="shared" si="53"/>
        <v>90</v>
      </c>
      <c r="C106" s="1012" t="s">
        <v>888</v>
      </c>
      <c r="D106" s="1012" t="s">
        <v>888</v>
      </c>
      <c r="E106" s="1013" t="s">
        <v>1800</v>
      </c>
      <c r="F106" s="1020">
        <v>0</v>
      </c>
      <c r="G106" s="1021">
        <f t="shared" si="44"/>
        <v>0</v>
      </c>
      <c r="H106" s="1020">
        <v>0</v>
      </c>
      <c r="I106" s="1021">
        <f t="shared" si="45"/>
        <v>0</v>
      </c>
      <c r="J106" s="1021">
        <f t="shared" si="46"/>
        <v>0</v>
      </c>
      <c r="K106" s="1022"/>
      <c r="L106" s="1020">
        <v>0</v>
      </c>
      <c r="M106" s="1021">
        <f t="shared" si="47"/>
        <v>0</v>
      </c>
      <c r="N106" s="1020">
        <v>0</v>
      </c>
      <c r="O106" s="1021">
        <f t="shared" si="48"/>
        <v>0</v>
      </c>
      <c r="P106" s="1021">
        <f t="shared" si="49"/>
        <v>0</v>
      </c>
      <c r="Q106" s="1023"/>
      <c r="R106" s="1021">
        <f t="shared" si="50"/>
        <v>0</v>
      </c>
      <c r="S106" s="1022"/>
      <c r="T106" s="1020">
        <v>0</v>
      </c>
      <c r="U106" s="1022"/>
      <c r="V106" s="1020">
        <v>0</v>
      </c>
      <c r="W106" s="1022"/>
      <c r="X106" s="1021">
        <f t="shared" si="51"/>
        <v>0</v>
      </c>
      <c r="Y106" s="1016"/>
      <c r="Z106" s="1017" t="s">
        <v>1609</v>
      </c>
      <c r="AA106" s="1018"/>
      <c r="AB106" s="1017" t="s">
        <v>1610</v>
      </c>
      <c r="AC106" s="1018"/>
      <c r="AD106" s="1019">
        <v>0</v>
      </c>
      <c r="AE106" s="1018"/>
      <c r="AF106" s="1021">
        <f t="shared" si="52"/>
        <v>0</v>
      </c>
      <c r="AG106" s="1018"/>
      <c r="AH106" s="1011">
        <v>283</v>
      </c>
      <c r="AI106" s="1017"/>
    </row>
    <row r="107" spans="2:36">
      <c r="B107" s="1011">
        <f t="shared" si="53"/>
        <v>91</v>
      </c>
      <c r="C107" s="1012" t="s">
        <v>1680</v>
      </c>
      <c r="D107" s="1012" t="s">
        <v>1680</v>
      </c>
      <c r="E107" s="1013" t="s">
        <v>1800</v>
      </c>
      <c r="F107" s="1020">
        <v>0</v>
      </c>
      <c r="G107" s="1021">
        <f t="shared" si="44"/>
        <v>0</v>
      </c>
      <c r="H107" s="1020">
        <v>0</v>
      </c>
      <c r="I107" s="1021">
        <f t="shared" si="45"/>
        <v>0</v>
      </c>
      <c r="J107" s="1021">
        <f t="shared" si="46"/>
        <v>0</v>
      </c>
      <c r="K107" s="1022"/>
      <c r="L107" s="1020">
        <v>0</v>
      </c>
      <c r="M107" s="1021">
        <f t="shared" si="47"/>
        <v>0</v>
      </c>
      <c r="N107" s="1020">
        <v>0</v>
      </c>
      <c r="O107" s="1021">
        <f t="shared" si="48"/>
        <v>0</v>
      </c>
      <c r="P107" s="1021">
        <f t="shared" si="49"/>
        <v>0</v>
      </c>
      <c r="Q107" s="1023"/>
      <c r="R107" s="1021">
        <f t="shared" si="50"/>
        <v>0</v>
      </c>
      <c r="S107" s="1022"/>
      <c r="T107" s="1020">
        <v>0</v>
      </c>
      <c r="U107" s="1022"/>
      <c r="V107" s="1020">
        <v>0</v>
      </c>
      <c r="W107" s="1022"/>
      <c r="X107" s="1021">
        <f t="shared" si="51"/>
        <v>0</v>
      </c>
      <c r="Y107" s="1016"/>
      <c r="Z107" s="1017" t="s">
        <v>1612</v>
      </c>
      <c r="AA107" s="1018"/>
      <c r="AB107" s="1017" t="s">
        <v>1610</v>
      </c>
      <c r="AC107" s="1018"/>
      <c r="AD107" s="1019">
        <v>0</v>
      </c>
      <c r="AE107" s="1018"/>
      <c r="AF107" s="1021">
        <f t="shared" si="52"/>
        <v>0</v>
      </c>
      <c r="AG107" s="1018"/>
      <c r="AH107" s="1011">
        <v>283</v>
      </c>
      <c r="AI107" s="1008"/>
    </row>
    <row r="108" spans="2:36">
      <c r="B108" s="1011">
        <f t="shared" si="53"/>
        <v>92</v>
      </c>
      <c r="C108" s="1012" t="s">
        <v>1638</v>
      </c>
      <c r="D108" s="1012" t="s">
        <v>1638</v>
      </c>
      <c r="E108" s="1013" t="s">
        <v>1800</v>
      </c>
      <c r="F108" s="1020">
        <v>-363402671.63</v>
      </c>
      <c r="G108" s="1021">
        <f>F108*0.35</f>
        <v>-127190935.07049999</v>
      </c>
      <c r="H108" s="1020">
        <v>-36303926.895837002</v>
      </c>
      <c r="I108" s="1021">
        <f>-H108*0.35</f>
        <v>12706374.413542951</v>
      </c>
      <c r="J108" s="1021">
        <f>G108+I108+H108</f>
        <v>-150788487.55279404</v>
      </c>
      <c r="K108" s="1022"/>
      <c r="L108" s="1020">
        <v>-363402671.63</v>
      </c>
      <c r="M108" s="1021">
        <f>L108*0.21</f>
        <v>-76314561.042300001</v>
      </c>
      <c r="N108" s="1020">
        <v>-36303926.895837002</v>
      </c>
      <c r="O108" s="1021">
        <f>-N108*0.21</f>
        <v>7623824.6481257696</v>
      </c>
      <c r="P108" s="1021">
        <f>M108+O108+N108</f>
        <v>-104994663.29001123</v>
      </c>
      <c r="Q108" s="1023"/>
      <c r="R108" s="1021">
        <f>J108-P108</f>
        <v>-45793824.262782812</v>
      </c>
      <c r="S108" s="1022"/>
      <c r="T108" s="1020">
        <v>-26878089.831324961</v>
      </c>
      <c r="U108" s="1022"/>
      <c r="V108" s="1020">
        <v>0</v>
      </c>
      <c r="W108" s="1022"/>
      <c r="X108" s="1021">
        <f>R108-T108-V108</f>
        <v>-18915734.431457851</v>
      </c>
      <c r="Y108" s="1016"/>
      <c r="Z108" s="1017" t="s">
        <v>1612</v>
      </c>
      <c r="AA108" s="1018"/>
      <c r="AB108" s="1017" t="s">
        <v>1613</v>
      </c>
      <c r="AC108" s="1018"/>
      <c r="AD108" s="1019">
        <v>0.23486813650762431</v>
      </c>
      <c r="AE108" s="1018"/>
      <c r="AF108" s="1021">
        <f>X108*AD108</f>
        <v>-4442703.296589612</v>
      </c>
      <c r="AG108" s="1018"/>
      <c r="AH108" s="1011">
        <v>283</v>
      </c>
      <c r="AI108" s="1017"/>
      <c r="AJ108" s="1031"/>
    </row>
    <row r="109" spans="2:36">
      <c r="B109" s="1011">
        <f t="shared" si="53"/>
        <v>93</v>
      </c>
      <c r="C109" s="1012" t="s">
        <v>1681</v>
      </c>
      <c r="D109" s="1012" t="s">
        <v>1681</v>
      </c>
      <c r="E109" s="1013" t="s">
        <v>1800</v>
      </c>
      <c r="F109" s="1020">
        <v>0</v>
      </c>
      <c r="G109" s="1021">
        <f>F109*0.35</f>
        <v>0</v>
      </c>
      <c r="H109" s="1020">
        <v>0</v>
      </c>
      <c r="I109" s="1021">
        <f>-H109*0.35</f>
        <v>0</v>
      </c>
      <c r="J109" s="1021">
        <f>G109+I109+H109</f>
        <v>0</v>
      </c>
      <c r="L109" s="1020">
        <v>0</v>
      </c>
      <c r="M109" s="1021">
        <f>L109*0.21</f>
        <v>0</v>
      </c>
      <c r="N109" s="1020">
        <v>0</v>
      </c>
      <c r="O109" s="1021">
        <f>-N109*0.21</f>
        <v>0</v>
      </c>
      <c r="P109" s="1021">
        <f>M109+O109+N109</f>
        <v>0</v>
      </c>
      <c r="R109" s="1021">
        <f>J109-P109</f>
        <v>0</v>
      </c>
      <c r="T109" s="1020">
        <v>0</v>
      </c>
      <c r="V109" s="1020">
        <v>0</v>
      </c>
      <c r="Z109" s="1017" t="s">
        <v>1609</v>
      </c>
      <c r="AA109" s="1018"/>
      <c r="AB109" s="1017" t="s">
        <v>1610</v>
      </c>
      <c r="AC109" s="1018"/>
      <c r="AD109" s="1019">
        <v>0</v>
      </c>
      <c r="AF109" s="1021">
        <f t="shared" ref="AF109:AF111" si="54">X109*AD109</f>
        <v>0</v>
      </c>
      <c r="AH109" s="1011">
        <v>283</v>
      </c>
    </row>
    <row r="110" spans="2:36">
      <c r="B110" s="1011">
        <f t="shared" si="53"/>
        <v>94</v>
      </c>
      <c r="C110" s="1012" t="s">
        <v>1682</v>
      </c>
      <c r="D110" s="1012" t="s">
        <v>1682</v>
      </c>
      <c r="E110" s="1013" t="s">
        <v>1800</v>
      </c>
      <c r="F110" s="1020">
        <v>-18710444.130000006</v>
      </c>
      <c r="G110" s="1021">
        <f t="shared" si="44"/>
        <v>-6548655.4455000022</v>
      </c>
      <c r="H110" s="1020">
        <v>0</v>
      </c>
      <c r="I110" s="1021">
        <f t="shared" ref="I110" si="55">-H110*0.35</f>
        <v>0</v>
      </c>
      <c r="J110" s="1021">
        <f>G110+I110+H110</f>
        <v>-6548655.4455000022</v>
      </c>
      <c r="K110" s="1022"/>
      <c r="L110" s="1020">
        <v>-18710444.130000006</v>
      </c>
      <c r="M110" s="1021">
        <f t="shared" ref="M110" si="56">L110*0.21</f>
        <v>-3929193.2673000013</v>
      </c>
      <c r="N110" s="1020">
        <v>0</v>
      </c>
      <c r="O110" s="1021">
        <f t="shared" ref="O110" si="57">-N110*0.21</f>
        <v>0</v>
      </c>
      <c r="P110" s="1021">
        <f t="shared" ref="P110" si="58">M110+O110+N110</f>
        <v>-3929193.2673000013</v>
      </c>
      <c r="Q110" s="1023"/>
      <c r="R110" s="1021">
        <f>J110-P110</f>
        <v>-2619462.1782000009</v>
      </c>
      <c r="S110" s="1022"/>
      <c r="T110" s="1020">
        <v>0</v>
      </c>
      <c r="U110" s="1022"/>
      <c r="V110" s="1020">
        <v>0</v>
      </c>
      <c r="W110" s="1022"/>
      <c r="X110" s="1021">
        <f t="shared" ref="X110:X111" si="59">R110-T110-V110</f>
        <v>-2619462.1782000009</v>
      </c>
      <c r="Y110" s="1016"/>
      <c r="Z110" s="1017" t="s">
        <v>1612</v>
      </c>
      <c r="AA110" s="1018"/>
      <c r="AB110" s="1017" t="s">
        <v>1613</v>
      </c>
      <c r="AD110" s="1019">
        <v>9.7022353997819291E-2</v>
      </c>
      <c r="AF110" s="1021">
        <f t="shared" si="54"/>
        <v>-254146.38673721929</v>
      </c>
      <c r="AG110" s="1018"/>
      <c r="AH110" s="1011">
        <v>283</v>
      </c>
      <c r="AI110" s="1008"/>
    </row>
    <row r="111" spans="2:36">
      <c r="B111" s="1011">
        <f t="shared" si="53"/>
        <v>95</v>
      </c>
      <c r="C111" s="1012" t="s">
        <v>1469</v>
      </c>
      <c r="D111" s="1012" t="s">
        <v>1469</v>
      </c>
      <c r="E111" s="1013" t="s">
        <v>1800</v>
      </c>
      <c r="F111" s="1020">
        <v>-23136166.390000001</v>
      </c>
      <c r="G111" s="1021">
        <f>F111*0.35</f>
        <v>-8097658.2364999996</v>
      </c>
      <c r="H111" s="1020">
        <v>-2311303.0223610001</v>
      </c>
      <c r="I111" s="1021">
        <f>-H111*0.35</f>
        <v>808956.05782634998</v>
      </c>
      <c r="J111" s="1021">
        <f>G111+I111+H111</f>
        <v>-9600005.2010346502</v>
      </c>
      <c r="K111" s="1022"/>
      <c r="L111" s="1020">
        <v>-23136166.390000001</v>
      </c>
      <c r="M111" s="1021">
        <f>L111*0.21</f>
        <v>-4858594.9419</v>
      </c>
      <c r="N111" s="1020">
        <v>-2311303.0223610001</v>
      </c>
      <c r="O111" s="1021">
        <f>-N111*0.21</f>
        <v>485373.63469580997</v>
      </c>
      <c r="P111" s="1021">
        <f>M111+O111+N111</f>
        <v>-6684524.3295651898</v>
      </c>
      <c r="Q111" s="1023"/>
      <c r="R111" s="1021">
        <f>J111-P111</f>
        <v>-2915480.8714694604</v>
      </c>
      <c r="S111" s="1022"/>
      <c r="T111" s="1020">
        <v>-2915480.8714694604</v>
      </c>
      <c r="U111" s="1022"/>
      <c r="V111" s="1020">
        <v>0</v>
      </c>
      <c r="W111" s="1022"/>
      <c r="X111" s="1021">
        <f t="shared" si="59"/>
        <v>0</v>
      </c>
      <c r="Y111" s="1016"/>
      <c r="Z111" s="1017" t="s">
        <v>1609</v>
      </c>
      <c r="AA111" s="1018"/>
      <c r="AB111" s="1017" t="s">
        <v>1610</v>
      </c>
      <c r="AC111" s="1018"/>
      <c r="AD111" s="1019">
        <v>0</v>
      </c>
      <c r="AE111" s="1018"/>
      <c r="AF111" s="1021">
        <f t="shared" si="54"/>
        <v>0</v>
      </c>
      <c r="AG111" s="1018"/>
      <c r="AH111" s="1011">
        <v>283</v>
      </c>
      <c r="AI111" s="1008"/>
    </row>
    <row r="112" spans="2:36">
      <c r="B112" s="1011">
        <f t="shared" si="53"/>
        <v>96</v>
      </c>
      <c r="C112" s="1024" t="s">
        <v>1683</v>
      </c>
      <c r="D112" s="1017"/>
      <c r="E112" s="1017"/>
      <c r="F112" s="1025">
        <f>SUM(F85:F111)</f>
        <v>-2144133446.2700002</v>
      </c>
      <c r="G112" s="1025">
        <f>SUM(G85:G111)</f>
        <v>-750446706.19450009</v>
      </c>
      <c r="H112" s="1025">
        <f>SUM(H85:H111)</f>
        <v>-212329757.91378602</v>
      </c>
      <c r="I112" s="1025">
        <f>SUM(I85:I111)</f>
        <v>74315415.269825101</v>
      </c>
      <c r="J112" s="1025">
        <f>SUM(J85:J111)</f>
        <v>-888461048.83846092</v>
      </c>
      <c r="K112" s="1016"/>
      <c r="L112" s="1025">
        <f>SUM(L85:L111)</f>
        <v>-750085795.26999986</v>
      </c>
      <c r="M112" s="1025">
        <f>SUM(M85:M111)</f>
        <v>-157518017.00669998</v>
      </c>
      <c r="N112" s="1025">
        <f>SUM(N85:N111)</f>
        <v>-73064397.578886002</v>
      </c>
      <c r="O112" s="1025">
        <f>SUM(O85:O111)</f>
        <v>15343523.491566062</v>
      </c>
      <c r="P112" s="1025">
        <f>SUM(P85:P111)</f>
        <v>-215238891.09401995</v>
      </c>
      <c r="R112" s="1025">
        <f>SUM(R85:R111)</f>
        <v>-673222157.74444091</v>
      </c>
      <c r="S112" s="1025">
        <f>SUM(S85:S111)</f>
        <v>0</v>
      </c>
      <c r="T112" s="1025">
        <f>SUM(T85:T111)</f>
        <v>-29793570.702794421</v>
      </c>
      <c r="U112" s="1025">
        <f>SUM(U85:U111)</f>
        <v>0</v>
      </c>
      <c r="V112" s="1025">
        <f>SUM(V85:V111)</f>
        <v>-616972148.86207914</v>
      </c>
      <c r="W112" s="1016"/>
      <c r="X112" s="1025">
        <f>SUM(X85:X111)</f>
        <v>-26456438.179567412</v>
      </c>
      <c r="Y112" s="1016"/>
      <c r="Z112" s="1017"/>
      <c r="AA112" s="1018"/>
      <c r="AB112" s="1017"/>
      <c r="AC112" s="1018"/>
      <c r="AD112" s="1018"/>
      <c r="AE112" s="1018"/>
      <c r="AF112" s="1025">
        <f>SUM(AF85:AF111)</f>
        <v>-4718191.6857445072</v>
      </c>
      <c r="AG112" s="1018"/>
      <c r="AI112" s="1017"/>
    </row>
    <row r="113" spans="2:37">
      <c r="B113" s="1011"/>
      <c r="D113" s="1032"/>
      <c r="F113" s="1015"/>
      <c r="G113" s="1015"/>
      <c r="H113" s="1015"/>
      <c r="I113" s="1015"/>
      <c r="J113" s="1015"/>
      <c r="K113" s="1018"/>
      <c r="P113" s="1015"/>
      <c r="R113" s="1015"/>
      <c r="S113" s="1018"/>
      <c r="T113" s="1015"/>
      <c r="U113" s="1018"/>
      <c r="V113" s="1015"/>
      <c r="W113" s="1018"/>
      <c r="X113" s="1015"/>
      <c r="Y113" s="1018"/>
      <c r="AA113" s="1018"/>
      <c r="AC113" s="1018"/>
      <c r="AD113" s="1018"/>
      <c r="AE113" s="1018"/>
      <c r="AF113" s="1015"/>
      <c r="AG113" s="1018"/>
      <c r="AI113" s="1032"/>
    </row>
    <row r="114" spans="2:37" ht="13.5" thickBot="1">
      <c r="B114" s="1011">
        <f>+B112+1</f>
        <v>97</v>
      </c>
      <c r="C114" s="1024" t="s">
        <v>1684</v>
      </c>
      <c r="D114" s="1032"/>
      <c r="E114" s="1033"/>
      <c r="F114" s="1034">
        <f>F54+F82+F112</f>
        <v>-7905298045.9258175</v>
      </c>
      <c r="G114" s="1034">
        <f>G54+G82+G112</f>
        <v>-2766854316.0740356</v>
      </c>
      <c r="H114" s="1034">
        <f>H54+H82+H112</f>
        <v>-683292687.11237705</v>
      </c>
      <c r="I114" s="1034">
        <f>I54+I82+I112</f>
        <v>239152440.4893319</v>
      </c>
      <c r="J114" s="1034">
        <f>J54+J82+J112</f>
        <v>-3210994562.6970806</v>
      </c>
      <c r="K114" s="1018"/>
      <c r="L114" s="1034">
        <f>L54+L82+L112</f>
        <v>-6511250394.9258165</v>
      </c>
      <c r="M114" s="1034">
        <f>M54+M82+M112</f>
        <v>-1367362582.9344218</v>
      </c>
      <c r="N114" s="1034">
        <f>N54+N82+N112</f>
        <v>-544027326.77747703</v>
      </c>
      <c r="O114" s="1034">
        <f>O54+O82+O112</f>
        <v>114245738.62327015</v>
      </c>
      <c r="P114" s="1034">
        <f>P54+P82+P112</f>
        <v>-1797144171.0886281</v>
      </c>
      <c r="R114" s="1034">
        <f>R54+R82+R112</f>
        <v>-1413850391.6084523</v>
      </c>
      <c r="S114" s="1018"/>
      <c r="T114" s="1034">
        <f>T54+T82+T112</f>
        <v>-13504929.532949464</v>
      </c>
      <c r="U114" s="1018"/>
      <c r="V114" s="1034">
        <f>V54+V82+V112</f>
        <v>-824839613.60593104</v>
      </c>
      <c r="W114" s="1018"/>
      <c r="X114" s="1034">
        <f>X54+X82+X112</f>
        <v>-575505848.46957207</v>
      </c>
      <c r="Y114" s="1018"/>
      <c r="Z114" s="1033"/>
      <c r="AA114" s="1018"/>
      <c r="AB114" s="1033"/>
      <c r="AC114" s="1018"/>
      <c r="AD114" s="1035"/>
      <c r="AE114" s="1018"/>
      <c r="AF114" s="1034">
        <f>AF54+AF82+AF112</f>
        <v>-97514051.645802408</v>
      </c>
      <c r="AG114" s="1018"/>
      <c r="AI114" s="1032"/>
    </row>
    <row r="115" spans="2:37" ht="15.75" customHeight="1" thickTop="1">
      <c r="F115" s="1015"/>
      <c r="G115" s="1015"/>
      <c r="H115" s="1015"/>
      <c r="I115" s="1015"/>
      <c r="R115" s="1036"/>
      <c r="T115" s="1036"/>
    </row>
    <row r="116" spans="2:37" ht="15.75" customHeight="1">
      <c r="F116" s="1015"/>
      <c r="G116" s="1015"/>
      <c r="H116" s="1015"/>
      <c r="I116" s="1015"/>
    </row>
    <row r="117" spans="2:37">
      <c r="F117" s="1015"/>
      <c r="G117" s="1015"/>
      <c r="H117" s="1015"/>
      <c r="I117" s="1015"/>
      <c r="R117" s="1036"/>
      <c r="AD117" s="1037" t="s">
        <v>1134</v>
      </c>
      <c r="AF117" s="1038">
        <f>SUMIF(E11:E115,AD117,AF11:AF115)</f>
        <v>-80811252.039833158</v>
      </c>
    </row>
    <row r="118" spans="2:37" ht="15.75" customHeight="1">
      <c r="R118" s="1039"/>
      <c r="AD118" s="1040"/>
    </row>
    <row r="119" spans="2:37">
      <c r="R119" s="1042"/>
      <c r="AD119" s="1037" t="s">
        <v>1656</v>
      </c>
      <c r="AF119" s="1136">
        <f>SUMIF(E11:E115,AD119,AF11:AF115)</f>
        <v>-16962820.502021428</v>
      </c>
    </row>
    <row r="120" spans="2:37" ht="15.75" customHeight="1">
      <c r="AD120" s="1037" t="s">
        <v>1800</v>
      </c>
      <c r="AF120" s="1136">
        <f>SUMIF(E11:E115,AD120,AF11:AF115)</f>
        <v>260020.89605217683</v>
      </c>
    </row>
    <row r="121" spans="2:37" ht="5.0999999999999996" customHeight="1">
      <c r="AD121" s="1008"/>
    </row>
    <row r="122" spans="2:37" ht="15.75" customHeight="1">
      <c r="AD122" s="1043" t="s">
        <v>1685</v>
      </c>
      <c r="AF122" s="1044">
        <f>SUM(AF119:AF121)</f>
        <v>-16702799.605969252</v>
      </c>
    </row>
    <row r="123" spans="2:37">
      <c r="AD123" s="1040"/>
      <c r="AF123" s="1041"/>
    </row>
    <row r="124" spans="2:37" ht="15.75" customHeight="1" thickBot="1">
      <c r="T124" s="1045"/>
      <c r="AD124" s="1043" t="s">
        <v>1686</v>
      </c>
      <c r="AF124" s="1046">
        <f>AF117+AF122</f>
        <v>-97514051.645802408</v>
      </c>
    </row>
    <row r="125" spans="2:37" ht="15.75" customHeight="1" thickTop="1">
      <c r="V125" s="1045"/>
      <c r="X125" s="1021"/>
      <c r="AF125" s="1021"/>
      <c r="AH125" s="1047"/>
    </row>
    <row r="126" spans="2:37" s="1137" customFormat="1" ht="18.75">
      <c r="B126" s="1282" t="s">
        <v>1814</v>
      </c>
      <c r="C126" s="1283"/>
      <c r="D126" s="1283"/>
      <c r="E126" s="1283"/>
      <c r="F126" s="1283"/>
      <c r="G126" s="1283"/>
      <c r="H126" s="1283"/>
      <c r="I126" s="1283"/>
      <c r="J126" s="1283"/>
      <c r="K126" s="1283"/>
      <c r="L126" s="1283"/>
      <c r="M126" s="1283"/>
      <c r="N126" s="1283"/>
      <c r="O126" s="1283"/>
      <c r="P126" s="1283"/>
      <c r="Q126" s="1283"/>
      <c r="R126" s="1283"/>
      <c r="S126" s="1283"/>
      <c r="T126" s="1283"/>
      <c r="U126" s="1283"/>
      <c r="V126" s="1283"/>
      <c r="W126" s="1283"/>
      <c r="X126" s="1283"/>
      <c r="Y126" s="1283"/>
      <c r="Z126" s="1283"/>
      <c r="AA126" s="1283"/>
      <c r="AB126" s="1283"/>
      <c r="AC126" s="1283"/>
      <c r="AD126" s="1283"/>
      <c r="AE126" s="1283"/>
      <c r="AF126" s="1283"/>
      <c r="AG126" s="1283"/>
      <c r="AH126" s="1284"/>
      <c r="AI126" s="1139"/>
    </row>
    <row r="127" spans="2:37" s="1137" customFormat="1" ht="13.9">
      <c r="B127" s="1177"/>
      <c r="C127" s="1138"/>
      <c r="D127" s="1138"/>
      <c r="E127" s="1138"/>
      <c r="Z127" s="1138"/>
      <c r="AB127" s="1138"/>
      <c r="AH127" s="1139"/>
      <c r="AI127" s="1139"/>
    </row>
    <row r="128" spans="2:37" s="1140" customFormat="1" ht="15">
      <c r="B128" s="1141"/>
      <c r="C128" s="1141"/>
      <c r="D128" s="1141"/>
      <c r="E128" s="1141"/>
      <c r="F128" s="1273" t="s">
        <v>1815</v>
      </c>
      <c r="G128" s="1274"/>
      <c r="H128" s="1274"/>
      <c r="I128" s="1274"/>
      <c r="J128" s="1275"/>
      <c r="L128" s="1273" t="s">
        <v>1816</v>
      </c>
      <c r="M128" s="1274"/>
      <c r="N128" s="1274"/>
      <c r="O128" s="1274"/>
      <c r="P128" s="1275"/>
      <c r="R128" s="1273" t="s">
        <v>1817</v>
      </c>
      <c r="S128" s="1274"/>
      <c r="T128" s="1274"/>
      <c r="U128" s="1274"/>
      <c r="V128" s="1274"/>
      <c r="W128" s="1274"/>
      <c r="X128" s="1274"/>
      <c r="Y128" s="1274"/>
      <c r="Z128" s="1274"/>
      <c r="AA128" s="1274"/>
      <c r="AB128" s="1274"/>
      <c r="AC128" s="1274"/>
      <c r="AD128" s="1274"/>
      <c r="AE128" s="1274"/>
      <c r="AF128" s="1275"/>
      <c r="AG128" s="1142"/>
      <c r="AH128" s="1143"/>
      <c r="AI128" s="1143"/>
      <c r="AJ128" s="1137"/>
      <c r="AK128" s="1137"/>
    </row>
    <row r="129" spans="2:162" s="1144" customFormat="1" ht="54.75" customHeight="1">
      <c r="B129" s="1178" t="s">
        <v>8</v>
      </c>
      <c r="C129" s="1179" t="s">
        <v>1573</v>
      </c>
      <c r="D129" s="1179" t="s">
        <v>1574</v>
      </c>
      <c r="E129" s="1178" t="s">
        <v>1575</v>
      </c>
      <c r="F129" s="1178" t="s">
        <v>1818</v>
      </c>
      <c r="G129" s="1178" t="s">
        <v>1819</v>
      </c>
      <c r="H129" s="1178" t="s">
        <v>1820</v>
      </c>
      <c r="I129" s="1178" t="s">
        <v>1579</v>
      </c>
      <c r="J129" s="1178" t="s">
        <v>1580</v>
      </c>
      <c r="K129" s="1178"/>
      <c r="L129" s="1178" t="s">
        <v>1818</v>
      </c>
      <c r="M129" s="1178" t="s">
        <v>1819</v>
      </c>
      <c r="N129" s="1178" t="s">
        <v>1821</v>
      </c>
      <c r="O129" s="1178" t="s">
        <v>1579</v>
      </c>
      <c r="P129" s="1178" t="s">
        <v>1580</v>
      </c>
      <c r="Q129" s="1178"/>
      <c r="R129" s="1178" t="s">
        <v>1582</v>
      </c>
      <c r="S129" s="1178"/>
      <c r="T129" s="1178" t="s">
        <v>1822</v>
      </c>
      <c r="U129" s="1178"/>
      <c r="V129" s="1178" t="s">
        <v>1583</v>
      </c>
      <c r="W129" s="1178"/>
      <c r="X129" s="1178" t="s">
        <v>1823</v>
      </c>
      <c r="Y129" s="1178"/>
      <c r="Z129" s="1178" t="s">
        <v>1585</v>
      </c>
      <c r="AA129" s="1178"/>
      <c r="AB129" s="1178" t="s">
        <v>1586</v>
      </c>
      <c r="AC129" s="1178"/>
      <c r="AD129" s="1178" t="s">
        <v>1824</v>
      </c>
      <c r="AE129" s="1178"/>
      <c r="AF129" s="1178" t="s">
        <v>1588</v>
      </c>
      <c r="AG129" s="1178"/>
      <c r="AH129" s="1178" t="s">
        <v>1589</v>
      </c>
      <c r="AI129" s="1137"/>
      <c r="AJ129" s="1137"/>
      <c r="AK129" s="1137"/>
      <c r="AL129" s="1137"/>
      <c r="AM129" s="1137"/>
      <c r="AN129" s="1137"/>
      <c r="AO129" s="1137"/>
      <c r="AP129" s="1137"/>
      <c r="AQ129" s="1137"/>
      <c r="AR129" s="1137"/>
      <c r="AS129" s="1137"/>
      <c r="AT129" s="1137"/>
      <c r="AU129" s="1137"/>
      <c r="AV129" s="1137"/>
      <c r="AW129" s="1137"/>
      <c r="AX129" s="1137"/>
      <c r="AY129" s="1137"/>
      <c r="AZ129" s="1137"/>
      <c r="BA129" s="1137"/>
      <c r="BB129" s="1137"/>
      <c r="BC129" s="1137"/>
      <c r="BD129" s="1137"/>
      <c r="BE129" s="1137"/>
      <c r="BF129" s="1137"/>
      <c r="BG129" s="1137"/>
      <c r="BH129" s="1137"/>
      <c r="BI129" s="1137"/>
      <c r="BJ129" s="1137"/>
      <c r="BK129" s="1137"/>
      <c r="BL129" s="1137"/>
      <c r="BM129" s="1137"/>
      <c r="BN129" s="1137"/>
      <c r="BO129" s="1137"/>
      <c r="BP129" s="1137"/>
      <c r="BQ129" s="1137"/>
      <c r="BR129" s="1137"/>
      <c r="BS129" s="1137"/>
      <c r="BT129" s="1137"/>
      <c r="BU129" s="1137"/>
      <c r="BV129" s="1137"/>
      <c r="BW129" s="1137"/>
      <c r="BX129" s="1137"/>
      <c r="BY129" s="1137"/>
      <c r="BZ129" s="1137"/>
      <c r="CA129" s="1137"/>
      <c r="CB129" s="1137"/>
      <c r="CC129" s="1137"/>
      <c r="CD129" s="1137"/>
      <c r="CE129" s="1137"/>
      <c r="CF129" s="1137"/>
      <c r="CG129" s="1137"/>
      <c r="CH129" s="1137"/>
      <c r="CI129" s="1137"/>
      <c r="CJ129" s="1137"/>
      <c r="CK129" s="1137"/>
      <c r="CL129" s="1137"/>
      <c r="CM129" s="1137"/>
      <c r="CN129" s="1137"/>
      <c r="CO129" s="1137"/>
      <c r="CP129" s="1137"/>
      <c r="CQ129" s="1137"/>
      <c r="CR129" s="1137"/>
      <c r="CS129" s="1137"/>
      <c r="CT129" s="1137"/>
      <c r="CU129" s="1137"/>
      <c r="CV129" s="1137"/>
      <c r="CW129" s="1137"/>
      <c r="CX129" s="1137"/>
      <c r="CY129" s="1137"/>
      <c r="CZ129" s="1137"/>
      <c r="DA129" s="1137"/>
      <c r="DB129" s="1137"/>
      <c r="DC129" s="1137"/>
      <c r="DD129" s="1137"/>
      <c r="DE129" s="1137"/>
      <c r="DF129" s="1137"/>
      <c r="DG129" s="1137"/>
      <c r="DH129" s="1137"/>
      <c r="DI129" s="1137"/>
      <c r="DJ129" s="1137"/>
      <c r="DK129" s="1137"/>
      <c r="DL129" s="1137"/>
      <c r="DM129" s="1137"/>
      <c r="DN129" s="1137"/>
      <c r="DO129" s="1137"/>
      <c r="DP129" s="1137"/>
      <c r="DQ129" s="1137"/>
      <c r="DR129" s="1137"/>
      <c r="DS129" s="1137"/>
      <c r="DT129" s="1137"/>
      <c r="DU129" s="1137"/>
      <c r="DV129" s="1137"/>
      <c r="DW129" s="1137"/>
      <c r="DX129" s="1137"/>
      <c r="DY129" s="1137"/>
      <c r="DZ129" s="1137"/>
      <c r="EA129" s="1137"/>
      <c r="EB129" s="1137"/>
      <c r="EC129" s="1137"/>
      <c r="ED129" s="1137"/>
      <c r="EE129" s="1137"/>
      <c r="EF129" s="1137"/>
      <c r="EG129" s="1137"/>
      <c r="EH129" s="1137"/>
      <c r="EI129" s="1137"/>
      <c r="EJ129" s="1137"/>
      <c r="EK129" s="1137"/>
      <c r="EL129" s="1137"/>
      <c r="EM129" s="1137"/>
      <c r="EN129" s="1137"/>
      <c r="EO129" s="1137"/>
      <c r="EP129" s="1137"/>
      <c r="EQ129" s="1137"/>
      <c r="ER129" s="1137"/>
      <c r="ES129" s="1137"/>
      <c r="ET129" s="1137"/>
      <c r="EU129" s="1137"/>
      <c r="EV129" s="1137"/>
      <c r="EW129" s="1137"/>
      <c r="EX129" s="1137"/>
      <c r="EY129" s="1137"/>
      <c r="EZ129" s="1137"/>
      <c r="FA129" s="1137"/>
      <c r="FB129" s="1137"/>
      <c r="FC129" s="1137"/>
      <c r="FD129" s="1137"/>
      <c r="FE129" s="1137"/>
      <c r="FF129" s="1137"/>
    </row>
    <row r="130" spans="2:162" s="1137" customFormat="1" ht="15" customHeight="1">
      <c r="B130" s="1145"/>
      <c r="C130" s="1180" t="s">
        <v>905</v>
      </c>
      <c r="D130" s="1181" t="s">
        <v>906</v>
      </c>
      <c r="E130" s="1181" t="s">
        <v>907</v>
      </c>
      <c r="F130" s="1181" t="s">
        <v>908</v>
      </c>
      <c r="G130" s="1181"/>
      <c r="H130" s="1181" t="s">
        <v>1825</v>
      </c>
      <c r="I130" s="1181" t="s">
        <v>1826</v>
      </c>
      <c r="J130" s="1181" t="s">
        <v>1827</v>
      </c>
      <c r="K130" s="1146"/>
      <c r="L130" s="1181" t="s">
        <v>912</v>
      </c>
      <c r="M130" s="1181"/>
      <c r="N130" s="1181" t="s">
        <v>1828</v>
      </c>
      <c r="O130" s="1181" t="s">
        <v>1593</v>
      </c>
      <c r="P130" s="1181" t="s">
        <v>1829</v>
      </c>
      <c r="Q130" s="1147"/>
      <c r="R130" s="1181" t="s">
        <v>1830</v>
      </c>
      <c r="S130" s="1181"/>
      <c r="T130" s="1181" t="s">
        <v>1831</v>
      </c>
      <c r="U130" s="1181"/>
      <c r="V130" s="1181" t="s">
        <v>1832</v>
      </c>
      <c r="W130" s="1181"/>
      <c r="X130" s="1181" t="s">
        <v>1833</v>
      </c>
      <c r="Y130" s="1181"/>
      <c r="Z130" s="1181" t="s">
        <v>1599</v>
      </c>
      <c r="AA130" s="1181"/>
      <c r="AB130" s="1181" t="s">
        <v>1834</v>
      </c>
      <c r="AC130" s="1181"/>
      <c r="AD130" s="1181" t="s">
        <v>1601</v>
      </c>
      <c r="AE130" s="1181"/>
      <c r="AF130" s="1181" t="s">
        <v>1835</v>
      </c>
      <c r="AG130" s="1181"/>
      <c r="AH130" s="1181" t="s">
        <v>1603</v>
      </c>
    </row>
    <row r="131" spans="2:162" s="1183" customFormat="1">
      <c r="B131" s="1181"/>
      <c r="C131" s="1182"/>
      <c r="D131" s="1182"/>
      <c r="E131" s="1181"/>
      <c r="F131" s="1181"/>
      <c r="G131" s="1181"/>
      <c r="H131" s="1181"/>
      <c r="I131" s="1181"/>
      <c r="J131" s="1181"/>
      <c r="K131" s="1181"/>
      <c r="L131" s="1181"/>
      <c r="M131" s="1181"/>
      <c r="N131" s="1181"/>
      <c r="O131" s="1181"/>
      <c r="P131" s="1181"/>
      <c r="Q131" s="1181"/>
      <c r="R131" s="1181"/>
      <c r="S131" s="1181"/>
      <c r="T131" s="1181"/>
      <c r="U131" s="1181"/>
      <c r="V131" s="1181"/>
      <c r="W131" s="1181"/>
      <c r="X131" s="1181"/>
      <c r="Y131" s="1181"/>
      <c r="Z131" s="1181"/>
      <c r="AA131" s="1181"/>
      <c r="AB131" s="1181"/>
      <c r="AC131" s="1181"/>
      <c r="AD131" s="1181"/>
      <c r="AE131" s="1181"/>
      <c r="AF131" s="1181"/>
      <c r="AH131" s="1181"/>
      <c r="AJ131" s="1137"/>
      <c r="AK131" s="1137"/>
    </row>
    <row r="132" spans="2:162" s="1183" customFormat="1">
      <c r="B132" s="1181"/>
      <c r="C132" s="1184" t="s">
        <v>1836</v>
      </c>
      <c r="D132" s="1182"/>
      <c r="E132" s="1181"/>
      <c r="F132" s="1181"/>
      <c r="G132" s="1181"/>
      <c r="H132" s="1181"/>
      <c r="I132" s="1181"/>
      <c r="J132" s="1181"/>
      <c r="K132" s="1181"/>
      <c r="L132" s="1181"/>
      <c r="M132" s="1181"/>
      <c r="N132" s="1181"/>
      <c r="O132" s="1181"/>
      <c r="P132" s="1181"/>
      <c r="Q132" s="1181"/>
      <c r="R132" s="1181"/>
      <c r="S132" s="1181"/>
      <c r="T132" s="1181"/>
      <c r="U132" s="1181"/>
      <c r="V132" s="1181"/>
      <c r="W132" s="1181"/>
      <c r="X132" s="1181"/>
      <c r="Y132" s="1181"/>
      <c r="Z132" s="1181"/>
      <c r="AA132" s="1181"/>
      <c r="AB132" s="1181"/>
      <c r="AC132" s="1181"/>
      <c r="AD132" s="1181"/>
      <c r="AE132" s="1181"/>
      <c r="AF132" s="1181"/>
      <c r="AH132" s="1181"/>
      <c r="AJ132" s="1137"/>
      <c r="AK132" s="1137"/>
    </row>
    <row r="133" spans="2:162" s="1137" customFormat="1" ht="12.75">
      <c r="B133" s="1185">
        <v>1</v>
      </c>
      <c r="C133" s="1186" t="s">
        <v>1607</v>
      </c>
      <c r="D133" s="1186" t="s">
        <v>1607</v>
      </c>
      <c r="E133" s="1187" t="s">
        <v>1608</v>
      </c>
      <c r="F133" s="1187">
        <v>3299583</v>
      </c>
      <c r="G133" s="1148">
        <f>F133*0.21</f>
        <v>692912.42999999993</v>
      </c>
      <c r="H133" s="1148">
        <f>F133*0.0999</f>
        <v>329628.34169999999</v>
      </c>
      <c r="I133" s="1148">
        <f t="shared" ref="I133:I163" si="60">-H133*0.21</f>
        <v>-69221.951757000003</v>
      </c>
      <c r="J133" s="1148">
        <f>G133+H133+I133</f>
        <v>953318.81994299986</v>
      </c>
      <c r="K133" s="1149"/>
      <c r="L133" s="1150">
        <f t="shared" ref="L133:L163" si="61">F133</f>
        <v>3299583</v>
      </c>
      <c r="M133" s="1148">
        <f>L133*0.21</f>
        <v>692912.42999999993</v>
      </c>
      <c r="N133" s="1148">
        <f>L133*0.0499</f>
        <v>164649.1917</v>
      </c>
      <c r="O133" s="1148">
        <f t="shared" ref="O133:O163" si="62">-N133*0.21</f>
        <v>-34576.330257000001</v>
      </c>
      <c r="P133" s="1148">
        <f>M133+N133+O133</f>
        <v>822985.29144299985</v>
      </c>
      <c r="R133" s="1148">
        <f t="shared" ref="R133:R163" si="63">J133-P133</f>
        <v>130333.52850000001</v>
      </c>
      <c r="S133" s="1149"/>
      <c r="T133" s="1150">
        <v>26522.87304975</v>
      </c>
      <c r="U133" s="1149"/>
      <c r="V133" s="1150">
        <v>0</v>
      </c>
      <c r="W133" s="1149"/>
      <c r="X133" s="1148">
        <f t="shared" ref="X133:X163" si="64">R133-T133-V133</f>
        <v>103810.65545025002</v>
      </c>
      <c r="Y133" s="1149"/>
      <c r="Z133" s="1188" t="s">
        <v>1612</v>
      </c>
      <c r="AA133" s="1151"/>
      <c r="AB133" s="1188" t="s">
        <v>1610</v>
      </c>
      <c r="AC133" s="1151"/>
      <c r="AD133" s="1152">
        <v>0</v>
      </c>
      <c r="AE133" s="1151"/>
      <c r="AF133" s="1148">
        <f t="shared" ref="AF133:AF163" si="65">X133*AD133</f>
        <v>0</v>
      </c>
      <c r="AG133" s="1151"/>
      <c r="AH133" s="1185">
        <v>190</v>
      </c>
      <c r="AI133" s="1188"/>
    </row>
    <row r="134" spans="2:162" s="1137" customFormat="1" ht="12.75">
      <c r="B134" s="1185">
        <f>B133+1</f>
        <v>2</v>
      </c>
      <c r="C134" s="1186" t="s">
        <v>1611</v>
      </c>
      <c r="D134" s="1186" t="s">
        <v>1611</v>
      </c>
      <c r="E134" s="1187" t="s">
        <v>1608</v>
      </c>
      <c r="F134" s="1187">
        <v>-383226</v>
      </c>
      <c r="G134" s="1153">
        <f>F134*0.21</f>
        <v>-80477.459999999992</v>
      </c>
      <c r="H134" s="1153">
        <f>F134*0.0999</f>
        <v>-38284.277399999999</v>
      </c>
      <c r="I134" s="1153">
        <f t="shared" si="60"/>
        <v>8039.6982539999999</v>
      </c>
      <c r="J134" s="1153">
        <f>G134+H134+I134</f>
        <v>-110722.03914599998</v>
      </c>
      <c r="K134" s="1154"/>
      <c r="L134" s="1155">
        <f t="shared" si="61"/>
        <v>-383226</v>
      </c>
      <c r="M134" s="1153">
        <f>L134*0.21</f>
        <v>-80477.459999999992</v>
      </c>
      <c r="N134" s="1153">
        <f>L134*0.0499</f>
        <v>-19122.9774</v>
      </c>
      <c r="O134" s="1153">
        <f t="shared" si="62"/>
        <v>4015.8252539999999</v>
      </c>
      <c r="P134" s="1153">
        <f>M134+N134+O134</f>
        <v>-95584.612145999999</v>
      </c>
      <c r="Q134" s="1156"/>
      <c r="R134" s="1153">
        <f t="shared" si="63"/>
        <v>-15137.426999999981</v>
      </c>
      <c r="S134" s="1154"/>
      <c r="T134" s="1157">
        <v>-3080.4663944999961</v>
      </c>
      <c r="U134" s="1154"/>
      <c r="V134" s="1155">
        <v>0</v>
      </c>
      <c r="W134" s="1154"/>
      <c r="X134" s="1153">
        <f t="shared" si="64"/>
        <v>-12056.960605499986</v>
      </c>
      <c r="Y134" s="1149"/>
      <c r="Z134" s="1188" t="s">
        <v>1612</v>
      </c>
      <c r="AA134" s="1151"/>
      <c r="AB134" s="1188" t="s">
        <v>1610</v>
      </c>
      <c r="AC134" s="1151"/>
      <c r="AD134" s="1152">
        <v>0</v>
      </c>
      <c r="AE134" s="1151"/>
      <c r="AF134" s="1153">
        <f t="shared" si="65"/>
        <v>0</v>
      </c>
      <c r="AG134" s="1151"/>
      <c r="AH134" s="1185">
        <v>190</v>
      </c>
      <c r="AI134" s="1183"/>
    </row>
    <row r="135" spans="2:162" s="1137" customFormat="1" ht="12.75">
      <c r="B135" s="1185">
        <f t="shared" ref="B135:B164" si="66">B134+1</f>
        <v>3</v>
      </c>
      <c r="C135" s="1186" t="s">
        <v>1837</v>
      </c>
      <c r="D135" s="1186" t="s">
        <v>1837</v>
      </c>
      <c r="E135" s="1187" t="s">
        <v>1608</v>
      </c>
      <c r="F135" s="1187">
        <v>6292083</v>
      </c>
      <c r="G135" s="1153">
        <f t="shared" ref="G135:G163" si="67">F135*0.21</f>
        <v>1321337.43</v>
      </c>
      <c r="H135" s="1153">
        <f t="shared" ref="H135:H163" si="68">F135*0.0999</f>
        <v>628579.09169999999</v>
      </c>
      <c r="I135" s="1153">
        <f t="shared" si="60"/>
        <v>-132001.609257</v>
      </c>
      <c r="J135" s="1153">
        <f t="shared" ref="J135:J163" si="69">G135+H135+I135</f>
        <v>1817914.9124429999</v>
      </c>
      <c r="K135" s="1154"/>
      <c r="L135" s="1155">
        <f t="shared" si="61"/>
        <v>6292083</v>
      </c>
      <c r="M135" s="1153">
        <f t="shared" ref="M135:M163" si="70">L135*0.21</f>
        <v>1321337.43</v>
      </c>
      <c r="N135" s="1153">
        <f t="shared" ref="N135:N163" si="71">L135*0.0499</f>
        <v>313974.94170000002</v>
      </c>
      <c r="O135" s="1153">
        <f t="shared" si="62"/>
        <v>-65934.73775700001</v>
      </c>
      <c r="P135" s="1153">
        <f t="shared" ref="P135:P163" si="72">M135+N135+O135</f>
        <v>1569377.6339430001</v>
      </c>
      <c r="Q135" s="1156"/>
      <c r="R135" s="1153">
        <f t="shared" si="63"/>
        <v>248537.27849999978</v>
      </c>
      <c r="S135" s="1154"/>
      <c r="T135" s="1157">
        <v>50577.336174749951</v>
      </c>
      <c r="U135" s="1154"/>
      <c r="V135" s="1155">
        <v>0</v>
      </c>
      <c r="W135" s="1154"/>
      <c r="X135" s="1153">
        <f t="shared" si="64"/>
        <v>197959.94232524984</v>
      </c>
      <c r="Y135" s="1149"/>
      <c r="Z135" s="1188" t="s">
        <v>1612</v>
      </c>
      <c r="AA135" s="1151"/>
      <c r="AB135" s="1188" t="s">
        <v>1613</v>
      </c>
      <c r="AC135" s="1151"/>
      <c r="AD135" s="1152">
        <v>9.9526966285675506E-2</v>
      </c>
      <c r="AE135" s="1151"/>
      <c r="AF135" s="1153">
        <f t="shared" si="65"/>
        <v>19702.352505719409</v>
      </c>
      <c r="AG135" s="1151"/>
      <c r="AH135" s="1185">
        <v>190</v>
      </c>
      <c r="AI135" s="1188"/>
    </row>
    <row r="136" spans="2:162" s="1137" customFormat="1" ht="12.75">
      <c r="B136" s="1185">
        <f t="shared" si="66"/>
        <v>4</v>
      </c>
      <c r="C136" s="1186" t="s">
        <v>1616</v>
      </c>
      <c r="D136" s="1186" t="s">
        <v>1616</v>
      </c>
      <c r="E136" s="1187" t="s">
        <v>1608</v>
      </c>
      <c r="F136" s="1187">
        <v>112021788</v>
      </c>
      <c r="G136" s="1153">
        <f t="shared" si="67"/>
        <v>23524575.48</v>
      </c>
      <c r="H136" s="1153">
        <f t="shared" si="68"/>
        <v>11190976.621200001</v>
      </c>
      <c r="I136" s="1153">
        <f t="shared" si="60"/>
        <v>-2350105.090452</v>
      </c>
      <c r="J136" s="1153">
        <f t="shared" si="69"/>
        <v>32365447.010747999</v>
      </c>
      <c r="K136" s="1154"/>
      <c r="L136" s="1155">
        <f t="shared" si="61"/>
        <v>112021788</v>
      </c>
      <c r="M136" s="1153">
        <f t="shared" si="70"/>
        <v>23524575.48</v>
      </c>
      <c r="N136" s="1153">
        <f t="shared" si="71"/>
        <v>5589887.2211999996</v>
      </c>
      <c r="O136" s="1153">
        <f t="shared" si="62"/>
        <v>-1173876.3164519998</v>
      </c>
      <c r="P136" s="1153">
        <f>M136+N136+O136</f>
        <v>27940586.384748001</v>
      </c>
      <c r="Q136" s="1156"/>
      <c r="R136" s="1153">
        <f>J136-P136</f>
        <v>4424860.6259999983</v>
      </c>
      <c r="S136" s="1154"/>
      <c r="T136" s="1157">
        <v>977894.19834599958</v>
      </c>
      <c r="U136" s="1154"/>
      <c r="V136" s="1155">
        <v>0</v>
      </c>
      <c r="W136" s="1154"/>
      <c r="X136" s="1153">
        <f t="shared" si="64"/>
        <v>3446966.4276539986</v>
      </c>
      <c r="Y136" s="1149"/>
      <c r="Z136" s="1188" t="s">
        <v>458</v>
      </c>
      <c r="AA136" s="1151"/>
      <c r="AB136" s="1188" t="s">
        <v>1610</v>
      </c>
      <c r="AC136" s="1151"/>
      <c r="AD136" s="1152">
        <v>0</v>
      </c>
      <c r="AE136" s="1151"/>
      <c r="AF136" s="1153">
        <f t="shared" si="65"/>
        <v>0</v>
      </c>
      <c r="AG136" s="1151"/>
      <c r="AH136" s="1185">
        <v>190</v>
      </c>
      <c r="AI136" s="1188"/>
    </row>
    <row r="137" spans="2:162" s="1137" customFormat="1" ht="12.75">
      <c r="B137" s="1185">
        <f t="shared" si="66"/>
        <v>5</v>
      </c>
      <c r="C137" s="1186" t="s">
        <v>1617</v>
      </c>
      <c r="D137" s="1186" t="s">
        <v>1617</v>
      </c>
      <c r="E137" s="1187" t="s">
        <v>1608</v>
      </c>
      <c r="F137" s="1187">
        <v>2775</v>
      </c>
      <c r="G137" s="1153">
        <f t="shared" si="67"/>
        <v>582.75</v>
      </c>
      <c r="H137" s="1153">
        <f t="shared" si="68"/>
        <v>277.22250000000003</v>
      </c>
      <c r="I137" s="1153">
        <f t="shared" si="60"/>
        <v>-58.216725000000004</v>
      </c>
      <c r="J137" s="1153">
        <f t="shared" si="69"/>
        <v>801.75577500000009</v>
      </c>
      <c r="K137" s="1154"/>
      <c r="L137" s="1155">
        <f t="shared" si="61"/>
        <v>2775</v>
      </c>
      <c r="M137" s="1153">
        <f t="shared" si="70"/>
        <v>582.75</v>
      </c>
      <c r="N137" s="1153">
        <f t="shared" si="71"/>
        <v>138.4725</v>
      </c>
      <c r="O137" s="1153">
        <f t="shared" si="62"/>
        <v>-29.079224999999997</v>
      </c>
      <c r="P137" s="1153">
        <f t="shared" si="72"/>
        <v>692.14327500000002</v>
      </c>
      <c r="Q137" s="1156"/>
      <c r="R137" s="1153">
        <f t="shared" si="63"/>
        <v>109.61250000000007</v>
      </c>
      <c r="S137" s="1154"/>
      <c r="T137" s="1157">
        <v>22.306143750000011</v>
      </c>
      <c r="U137" s="1154"/>
      <c r="V137" s="1155">
        <v>0</v>
      </c>
      <c r="W137" s="1154"/>
      <c r="X137" s="1153">
        <f t="shared" si="64"/>
        <v>87.30635625000005</v>
      </c>
      <c r="Y137" s="1149"/>
      <c r="Z137" s="1188" t="s">
        <v>1612</v>
      </c>
      <c r="AA137" s="1151"/>
      <c r="AB137" s="1188" t="s">
        <v>1610</v>
      </c>
      <c r="AC137" s="1151"/>
      <c r="AD137" s="1152">
        <v>0</v>
      </c>
      <c r="AE137" s="1151"/>
      <c r="AF137" s="1153">
        <f t="shared" si="65"/>
        <v>0</v>
      </c>
      <c r="AG137" s="1151"/>
      <c r="AH137" s="1185">
        <v>190</v>
      </c>
      <c r="AI137" s="1188"/>
      <c r="AK137" s="1171"/>
    </row>
    <row r="138" spans="2:162" s="1137" customFormat="1" ht="12.75">
      <c r="B138" s="1185">
        <f t="shared" si="66"/>
        <v>6</v>
      </c>
      <c r="C138" s="1186" t="s">
        <v>1618</v>
      </c>
      <c r="D138" s="1186" t="s">
        <v>1618</v>
      </c>
      <c r="E138" s="1187" t="s">
        <v>1608</v>
      </c>
      <c r="F138" s="1187">
        <v>2724529</v>
      </c>
      <c r="G138" s="1153">
        <f t="shared" si="67"/>
        <v>572151.09</v>
      </c>
      <c r="H138" s="1153">
        <f t="shared" si="68"/>
        <v>272180.44709999999</v>
      </c>
      <c r="I138" s="1153">
        <f t="shared" si="60"/>
        <v>-57157.893890999992</v>
      </c>
      <c r="J138" s="1153">
        <f t="shared" si="69"/>
        <v>787173.643209</v>
      </c>
      <c r="K138" s="1154"/>
      <c r="L138" s="1155">
        <f t="shared" si="61"/>
        <v>2724529</v>
      </c>
      <c r="M138" s="1153">
        <f t="shared" si="70"/>
        <v>572151.09</v>
      </c>
      <c r="N138" s="1153">
        <f t="shared" si="71"/>
        <v>135953.99710000001</v>
      </c>
      <c r="O138" s="1153">
        <f t="shared" si="62"/>
        <v>-28550.339391000001</v>
      </c>
      <c r="P138" s="1153">
        <f t="shared" si="72"/>
        <v>679554.74770900002</v>
      </c>
      <c r="Q138" s="1156"/>
      <c r="R138" s="1153">
        <f t="shared" si="63"/>
        <v>107618.89549999998</v>
      </c>
      <c r="S138" s="1154"/>
      <c r="T138" s="1157">
        <v>23783.775905499995</v>
      </c>
      <c r="U138" s="1154"/>
      <c r="V138" s="1155">
        <v>0</v>
      </c>
      <c r="W138" s="1154"/>
      <c r="X138" s="1153">
        <f t="shared" si="64"/>
        <v>83835.119594499993</v>
      </c>
      <c r="Y138" s="1149"/>
      <c r="Z138" s="1188" t="s">
        <v>458</v>
      </c>
      <c r="AA138" s="1151"/>
      <c r="AB138" s="1188" t="s">
        <v>1610</v>
      </c>
      <c r="AC138" s="1151"/>
      <c r="AD138" s="1152">
        <v>0</v>
      </c>
      <c r="AE138" s="1151"/>
      <c r="AF138" s="1153">
        <f t="shared" si="65"/>
        <v>0</v>
      </c>
      <c r="AG138" s="1151"/>
      <c r="AH138" s="1185">
        <v>190</v>
      </c>
      <c r="AI138" s="1188"/>
    </row>
    <row r="139" spans="2:162" s="1137" customFormat="1" ht="12.75">
      <c r="B139" s="1185">
        <f t="shared" si="66"/>
        <v>7</v>
      </c>
      <c r="C139" s="1186" t="s">
        <v>1532</v>
      </c>
      <c r="D139" s="1186" t="s">
        <v>1532</v>
      </c>
      <c r="E139" s="1187" t="s">
        <v>1608</v>
      </c>
      <c r="F139" s="1187">
        <v>8539403</v>
      </c>
      <c r="G139" s="1153">
        <f t="shared" si="67"/>
        <v>1793274.63</v>
      </c>
      <c r="H139" s="1153">
        <f t="shared" si="68"/>
        <v>853086.35970000003</v>
      </c>
      <c r="I139" s="1153">
        <f t="shared" si="60"/>
        <v>-179148.13553699999</v>
      </c>
      <c r="J139" s="1153">
        <f t="shared" si="69"/>
        <v>2467212.8541629999</v>
      </c>
      <c r="K139" s="1154"/>
      <c r="L139" s="1155">
        <f t="shared" si="61"/>
        <v>8539403</v>
      </c>
      <c r="M139" s="1153">
        <f t="shared" si="70"/>
        <v>1793274.63</v>
      </c>
      <c r="N139" s="1153">
        <f t="shared" si="71"/>
        <v>426116.20970000001</v>
      </c>
      <c r="O139" s="1153">
        <f t="shared" si="62"/>
        <v>-89484.404037</v>
      </c>
      <c r="P139" s="1153">
        <f t="shared" si="72"/>
        <v>2129906.4356629997</v>
      </c>
      <c r="Q139" s="1156"/>
      <c r="R139" s="1153">
        <f t="shared" si="63"/>
        <v>337306.41850000015</v>
      </c>
      <c r="S139" s="1154"/>
      <c r="T139" s="1157">
        <v>68641.856164750032</v>
      </c>
      <c r="U139" s="1154"/>
      <c r="V139" s="1155">
        <v>0</v>
      </c>
      <c r="W139" s="1154"/>
      <c r="X139" s="1153">
        <f t="shared" si="64"/>
        <v>268664.56233525008</v>
      </c>
      <c r="Y139" s="1149"/>
      <c r="Z139" s="1188" t="s">
        <v>1612</v>
      </c>
      <c r="AA139" s="1151"/>
      <c r="AB139" s="1188" t="s">
        <v>1610</v>
      </c>
      <c r="AC139" s="1151"/>
      <c r="AD139" s="1152">
        <v>0</v>
      </c>
      <c r="AE139" s="1151"/>
      <c r="AF139" s="1153">
        <f t="shared" si="65"/>
        <v>0</v>
      </c>
      <c r="AG139" s="1151"/>
      <c r="AH139" s="1185">
        <v>190</v>
      </c>
      <c r="AI139" s="1183"/>
    </row>
    <row r="140" spans="2:162" s="1137" customFormat="1" ht="12.75">
      <c r="B140" s="1185">
        <f t="shared" si="66"/>
        <v>8</v>
      </c>
      <c r="C140" s="1186" t="s">
        <v>1619</v>
      </c>
      <c r="D140" s="1186" t="s">
        <v>1619</v>
      </c>
      <c r="E140" s="1187" t="s">
        <v>1608</v>
      </c>
      <c r="F140" s="1187">
        <v>1116350</v>
      </c>
      <c r="G140" s="1153">
        <f t="shared" si="67"/>
        <v>234433.5</v>
      </c>
      <c r="H140" s="1153">
        <f t="shared" si="68"/>
        <v>111523.36500000001</v>
      </c>
      <c r="I140" s="1153">
        <f t="shared" si="60"/>
        <v>-23419.906650000001</v>
      </c>
      <c r="J140" s="1153">
        <f t="shared" si="69"/>
        <v>322536.95834999997</v>
      </c>
      <c r="K140" s="1154"/>
      <c r="L140" s="1155">
        <f t="shared" si="61"/>
        <v>1116350</v>
      </c>
      <c r="M140" s="1153">
        <f t="shared" si="70"/>
        <v>234433.5</v>
      </c>
      <c r="N140" s="1153">
        <f t="shared" si="71"/>
        <v>55705.864999999998</v>
      </c>
      <c r="O140" s="1153">
        <f t="shared" si="62"/>
        <v>-11698.23165</v>
      </c>
      <c r="P140" s="1153">
        <f t="shared" si="72"/>
        <v>278441.13335000002</v>
      </c>
      <c r="Q140" s="1156"/>
      <c r="R140" s="1153">
        <f t="shared" si="63"/>
        <v>44095.824999999953</v>
      </c>
      <c r="S140" s="1154"/>
      <c r="T140" s="1157">
        <v>9745.1773249999897</v>
      </c>
      <c r="U140" s="1154"/>
      <c r="V140" s="1155">
        <v>0</v>
      </c>
      <c r="W140" s="1154"/>
      <c r="X140" s="1153">
        <f t="shared" si="64"/>
        <v>34350.647674999964</v>
      </c>
      <c r="Y140" s="1149"/>
      <c r="Z140" s="1188" t="s">
        <v>458</v>
      </c>
      <c r="AA140" s="1151"/>
      <c r="AB140" s="1188" t="s">
        <v>1610</v>
      </c>
      <c r="AC140" s="1151"/>
      <c r="AD140" s="1152">
        <v>0</v>
      </c>
      <c r="AE140" s="1151"/>
      <c r="AF140" s="1153">
        <f t="shared" si="65"/>
        <v>0</v>
      </c>
      <c r="AG140" s="1151"/>
      <c r="AH140" s="1185">
        <v>190</v>
      </c>
      <c r="AI140" s="1183"/>
    </row>
    <row r="141" spans="2:162" s="1137" customFormat="1" ht="12.75">
      <c r="B141" s="1185">
        <f t="shared" si="66"/>
        <v>9</v>
      </c>
      <c r="C141" s="1186" t="s">
        <v>875</v>
      </c>
      <c r="D141" s="1186" t="s">
        <v>875</v>
      </c>
      <c r="E141" s="1187" t="s">
        <v>1608</v>
      </c>
      <c r="F141" s="1187">
        <v>30142951</v>
      </c>
      <c r="G141" s="1153">
        <f t="shared" si="67"/>
        <v>6330019.71</v>
      </c>
      <c r="H141" s="1153">
        <f t="shared" si="68"/>
        <v>3011280.8048999999</v>
      </c>
      <c r="I141" s="1153">
        <f t="shared" si="60"/>
        <v>-632368.96902899991</v>
      </c>
      <c r="J141" s="1153">
        <f t="shared" si="69"/>
        <v>8708931.5458709989</v>
      </c>
      <c r="K141" s="1154"/>
      <c r="L141" s="1155">
        <f t="shared" si="61"/>
        <v>30142951</v>
      </c>
      <c r="M141" s="1153">
        <f t="shared" si="70"/>
        <v>6330019.71</v>
      </c>
      <c r="N141" s="1153">
        <f t="shared" si="71"/>
        <v>1504133.2549000001</v>
      </c>
      <c r="O141" s="1153">
        <f t="shared" si="62"/>
        <v>-315867.98352900002</v>
      </c>
      <c r="P141" s="1153">
        <f t="shared" si="72"/>
        <v>7518284.9813710004</v>
      </c>
      <c r="Q141" s="1156"/>
      <c r="R141" s="1153">
        <f t="shared" si="63"/>
        <v>1190646.5644999985</v>
      </c>
      <c r="S141" s="1154"/>
      <c r="T141" s="1157">
        <v>263132.89075449965</v>
      </c>
      <c r="U141" s="1154"/>
      <c r="V141" s="1155">
        <v>0</v>
      </c>
      <c r="W141" s="1154"/>
      <c r="X141" s="1153">
        <f t="shared" si="64"/>
        <v>927513.67374549876</v>
      </c>
      <c r="Y141" s="1149"/>
      <c r="Z141" s="1188" t="s">
        <v>458</v>
      </c>
      <c r="AA141" s="1151"/>
      <c r="AB141" s="1188" t="s">
        <v>1610</v>
      </c>
      <c r="AC141" s="1151"/>
      <c r="AD141" s="1152">
        <v>0</v>
      </c>
      <c r="AE141" s="1151"/>
      <c r="AF141" s="1153">
        <f t="shared" si="65"/>
        <v>0</v>
      </c>
      <c r="AG141" s="1151"/>
      <c r="AH141" s="1185">
        <v>190</v>
      </c>
      <c r="AI141" s="1188"/>
      <c r="AJ141" s="1189"/>
      <c r="AK141" s="1189"/>
      <c r="AL141" s="1189"/>
    </row>
    <row r="142" spans="2:162" s="1137" customFormat="1" ht="12.75">
      <c r="B142" s="1185">
        <f t="shared" si="66"/>
        <v>10</v>
      </c>
      <c r="C142" s="1186" t="s">
        <v>1622</v>
      </c>
      <c r="D142" s="1186" t="s">
        <v>1622</v>
      </c>
      <c r="E142" s="1187" t="s">
        <v>1608</v>
      </c>
      <c r="F142" s="1187">
        <v>49966763</v>
      </c>
      <c r="G142" s="1153">
        <f t="shared" si="67"/>
        <v>10493020.23</v>
      </c>
      <c r="H142" s="1153">
        <f t="shared" si="68"/>
        <v>4991679.6237000003</v>
      </c>
      <c r="I142" s="1153">
        <f t="shared" si="60"/>
        <v>-1048252.7209770001</v>
      </c>
      <c r="J142" s="1153">
        <f t="shared" si="69"/>
        <v>14436447.132723</v>
      </c>
      <c r="K142" s="1154"/>
      <c r="L142" s="1155">
        <f t="shared" si="61"/>
        <v>49966763</v>
      </c>
      <c r="M142" s="1153">
        <f t="shared" si="70"/>
        <v>10493020.23</v>
      </c>
      <c r="N142" s="1153">
        <f t="shared" si="71"/>
        <v>2493341.4737</v>
      </c>
      <c r="O142" s="1153">
        <f t="shared" si="62"/>
        <v>-523601.709477</v>
      </c>
      <c r="P142" s="1153">
        <f t="shared" si="72"/>
        <v>12462759.994223</v>
      </c>
      <c r="Q142" s="1156"/>
      <c r="R142" s="1153">
        <f t="shared" si="63"/>
        <v>1973687.1384999994</v>
      </c>
      <c r="S142" s="1154"/>
      <c r="T142" s="1157">
        <v>401645.33268474985</v>
      </c>
      <c r="U142" s="1154"/>
      <c r="V142" s="1155">
        <v>0</v>
      </c>
      <c r="W142" s="1154"/>
      <c r="X142" s="1153">
        <f t="shared" si="64"/>
        <v>1572041.8058152497</v>
      </c>
      <c r="Y142" s="1149"/>
      <c r="Z142" s="1188" t="s">
        <v>1612</v>
      </c>
      <c r="AA142" s="1151"/>
      <c r="AB142" s="1188" t="s">
        <v>1613</v>
      </c>
      <c r="AC142" s="1151"/>
      <c r="AD142" s="1152">
        <v>9.9526966285675506E-2</v>
      </c>
      <c r="AE142" s="1151"/>
      <c r="AF142" s="1153">
        <f>X142*AD142</f>
        <v>156460.55180704678</v>
      </c>
      <c r="AG142" s="1151"/>
      <c r="AH142" s="1185">
        <v>190</v>
      </c>
      <c r="AI142" s="1183"/>
      <c r="AJ142" s="1189"/>
      <c r="AK142" s="1189"/>
      <c r="AL142" s="1189"/>
      <c r="AM142" s="1171"/>
    </row>
    <row r="143" spans="2:162" s="1137" customFormat="1" ht="12.75">
      <c r="B143" s="1185">
        <f t="shared" si="66"/>
        <v>11</v>
      </c>
      <c r="C143" s="1186" t="s">
        <v>1626</v>
      </c>
      <c r="D143" s="1186" t="s">
        <v>1626</v>
      </c>
      <c r="E143" s="1187" t="s">
        <v>1608</v>
      </c>
      <c r="F143" s="1187">
        <v>2461355</v>
      </c>
      <c r="G143" s="1153">
        <f t="shared" si="67"/>
        <v>516884.55</v>
      </c>
      <c r="H143" s="1153">
        <f t="shared" si="68"/>
        <v>245889.3645</v>
      </c>
      <c r="I143" s="1153">
        <f t="shared" si="60"/>
        <v>-51636.766544999999</v>
      </c>
      <c r="J143" s="1153">
        <f t="shared" si="69"/>
        <v>711137.14795499993</v>
      </c>
      <c r="K143" s="1154"/>
      <c r="L143" s="1155">
        <f t="shared" si="61"/>
        <v>2461355</v>
      </c>
      <c r="M143" s="1153">
        <f t="shared" si="70"/>
        <v>516884.55</v>
      </c>
      <c r="N143" s="1153">
        <f t="shared" si="71"/>
        <v>122821.6145</v>
      </c>
      <c r="O143" s="1153">
        <f t="shared" si="62"/>
        <v>-25792.539044999998</v>
      </c>
      <c r="P143" s="1153">
        <f t="shared" si="72"/>
        <v>613913.62545499997</v>
      </c>
      <c r="Q143" s="1156"/>
      <c r="R143" s="1153">
        <f t="shared" si="63"/>
        <v>97223.522499999963</v>
      </c>
      <c r="S143" s="1154"/>
      <c r="T143" s="1157">
        <v>5802.2998227999933</v>
      </c>
      <c r="U143" s="1154"/>
      <c r="V143" s="1155">
        <v>0</v>
      </c>
      <c r="W143" s="1154"/>
      <c r="X143" s="1153">
        <f t="shared" si="64"/>
        <v>91421.22267719997</v>
      </c>
      <c r="Y143" s="1149"/>
      <c r="Z143" s="1188" t="s">
        <v>849</v>
      </c>
      <c r="AA143" s="1151"/>
      <c r="AB143" s="1188" t="s">
        <v>1613</v>
      </c>
      <c r="AC143" s="1151"/>
      <c r="AD143" s="1158">
        <v>1</v>
      </c>
      <c r="AE143" s="1151"/>
      <c r="AF143" s="1153">
        <f t="shared" si="65"/>
        <v>91421.22267719997</v>
      </c>
      <c r="AG143" s="1151"/>
      <c r="AH143" s="1185">
        <v>190</v>
      </c>
      <c r="AI143" s="1183"/>
      <c r="AJ143" s="1189"/>
      <c r="AK143" s="1189"/>
      <c r="AL143" s="1189"/>
    </row>
    <row r="144" spans="2:162" s="1137" customFormat="1" ht="12.75">
      <c r="B144" s="1185">
        <f t="shared" si="66"/>
        <v>12</v>
      </c>
      <c r="C144" s="1186" t="s">
        <v>1838</v>
      </c>
      <c r="D144" s="1186" t="s">
        <v>1838</v>
      </c>
      <c r="E144" s="1187" t="s">
        <v>1608</v>
      </c>
      <c r="F144" s="1187">
        <v>1537673</v>
      </c>
      <c r="G144" s="1153">
        <f t="shared" si="67"/>
        <v>322911.33</v>
      </c>
      <c r="H144" s="1153">
        <f t="shared" si="68"/>
        <v>153613.53270000001</v>
      </c>
      <c r="I144" s="1153">
        <f t="shared" si="60"/>
        <v>-32258.841867000003</v>
      </c>
      <c r="J144" s="1153">
        <f t="shared" si="69"/>
        <v>444266.02083300008</v>
      </c>
      <c r="K144" s="1154"/>
      <c r="L144" s="1155">
        <f t="shared" si="61"/>
        <v>1537673</v>
      </c>
      <c r="M144" s="1153">
        <f t="shared" si="70"/>
        <v>322911.33</v>
      </c>
      <c r="N144" s="1153">
        <f t="shared" si="71"/>
        <v>76729.882700000002</v>
      </c>
      <c r="O144" s="1153">
        <f t="shared" si="62"/>
        <v>-16113.275367</v>
      </c>
      <c r="P144" s="1153">
        <f t="shared" si="72"/>
        <v>383527.93733300001</v>
      </c>
      <c r="Q144" s="1156"/>
      <c r="R144" s="1153">
        <f t="shared" si="63"/>
        <v>60738.083500000066</v>
      </c>
      <c r="S144" s="1154"/>
      <c r="T144" s="1157">
        <v>12360.20103722251</v>
      </c>
      <c r="U144" s="1154"/>
      <c r="V144" s="1155">
        <v>0</v>
      </c>
      <c r="W144" s="1154"/>
      <c r="X144" s="1153">
        <f t="shared" si="64"/>
        <v>48377.882462777554</v>
      </c>
      <c r="Y144" s="1149"/>
      <c r="Z144" s="1188" t="s">
        <v>1612</v>
      </c>
      <c r="AA144" s="1151"/>
      <c r="AB144" s="1188" t="s">
        <v>1613</v>
      </c>
      <c r="AC144" s="1151"/>
      <c r="AD144" s="1152">
        <v>9.9526966285675506E-2</v>
      </c>
      <c r="AE144" s="1151"/>
      <c r="AF144" s="1153">
        <f t="shared" si="65"/>
        <v>4814.9038768452338</v>
      </c>
      <c r="AG144" s="1151"/>
      <c r="AH144" s="1185">
        <v>190</v>
      </c>
      <c r="AI144" s="1183"/>
      <c r="AJ144" s="1189"/>
      <c r="AK144" s="1189"/>
      <c r="AL144" s="1189"/>
    </row>
    <row r="145" spans="2:38" s="1137" customFormat="1" ht="12.75">
      <c r="B145" s="1185">
        <f t="shared" si="66"/>
        <v>13</v>
      </c>
      <c r="C145" s="1186" t="s">
        <v>1839</v>
      </c>
      <c r="D145" s="1186" t="s">
        <v>1839</v>
      </c>
      <c r="E145" s="1187" t="s">
        <v>1608</v>
      </c>
      <c r="F145" s="1187">
        <v>218560</v>
      </c>
      <c r="G145" s="1153">
        <f t="shared" si="67"/>
        <v>45897.599999999999</v>
      </c>
      <c r="H145" s="1153">
        <f t="shared" si="68"/>
        <v>21834.144</v>
      </c>
      <c r="I145" s="1153">
        <f t="shared" si="60"/>
        <v>-4585.1702399999995</v>
      </c>
      <c r="J145" s="1153">
        <f t="shared" si="69"/>
        <v>63146.573760000007</v>
      </c>
      <c r="K145" s="1154"/>
      <c r="L145" s="1155">
        <f t="shared" si="61"/>
        <v>218560</v>
      </c>
      <c r="M145" s="1153">
        <f t="shared" si="70"/>
        <v>45897.599999999999</v>
      </c>
      <c r="N145" s="1153">
        <f t="shared" si="71"/>
        <v>10906.144</v>
      </c>
      <c r="O145" s="1153">
        <f t="shared" si="62"/>
        <v>-2290.2902399999998</v>
      </c>
      <c r="P145" s="1153">
        <f t="shared" si="72"/>
        <v>54513.453759999997</v>
      </c>
      <c r="Q145" s="1156"/>
      <c r="R145" s="1153">
        <f t="shared" si="63"/>
        <v>8633.1200000000099</v>
      </c>
      <c r="S145" s="1154"/>
      <c r="T145" s="1157">
        <v>1907.9195200000022</v>
      </c>
      <c r="U145" s="1154"/>
      <c r="V145" s="1155">
        <v>0</v>
      </c>
      <c r="W145" s="1154"/>
      <c r="X145" s="1153">
        <f t="shared" si="64"/>
        <v>6725.2004800000077</v>
      </c>
      <c r="Y145" s="1149"/>
      <c r="Z145" s="1188" t="s">
        <v>458</v>
      </c>
      <c r="AA145" s="1151"/>
      <c r="AB145" s="1188" t="s">
        <v>1610</v>
      </c>
      <c r="AC145" s="1151"/>
      <c r="AD145" s="1152">
        <v>0</v>
      </c>
      <c r="AE145" s="1151"/>
      <c r="AF145" s="1153">
        <f t="shared" si="65"/>
        <v>0</v>
      </c>
      <c r="AG145" s="1151"/>
      <c r="AH145" s="1185">
        <v>190</v>
      </c>
      <c r="AI145" s="1188"/>
      <c r="AJ145" s="1189"/>
      <c r="AK145" s="1189"/>
      <c r="AL145" s="1189"/>
    </row>
    <row r="146" spans="2:38" s="1137" customFormat="1" ht="12.75">
      <c r="B146" s="1185">
        <f t="shared" si="66"/>
        <v>14</v>
      </c>
      <c r="C146" s="1186" t="s">
        <v>1840</v>
      </c>
      <c r="D146" s="1186" t="s">
        <v>1840</v>
      </c>
      <c r="E146" s="1187" t="s">
        <v>1608</v>
      </c>
      <c r="F146" s="1187">
        <v>427908</v>
      </c>
      <c r="G146" s="1153">
        <f t="shared" si="67"/>
        <v>89860.68</v>
      </c>
      <c r="H146" s="1153">
        <f t="shared" si="68"/>
        <v>42748.0092</v>
      </c>
      <c r="I146" s="1153">
        <f t="shared" si="60"/>
        <v>-8977.0819319999991</v>
      </c>
      <c r="J146" s="1153">
        <f t="shared" si="69"/>
        <v>123631.60726799999</v>
      </c>
      <c r="K146" s="1154"/>
      <c r="L146" s="1155">
        <f t="shared" si="61"/>
        <v>427908</v>
      </c>
      <c r="M146" s="1153">
        <f t="shared" si="70"/>
        <v>89860.68</v>
      </c>
      <c r="N146" s="1153">
        <f t="shared" si="71"/>
        <v>21352.609199999999</v>
      </c>
      <c r="O146" s="1153">
        <f t="shared" si="62"/>
        <v>-4484.0479319999995</v>
      </c>
      <c r="P146" s="1153">
        <f t="shared" si="72"/>
        <v>106729.241268</v>
      </c>
      <c r="Q146" s="1156"/>
      <c r="R146" s="1153">
        <f t="shared" si="63"/>
        <v>16902.365999999995</v>
      </c>
      <c r="S146" s="1154"/>
      <c r="T146" s="1157">
        <v>0</v>
      </c>
      <c r="U146" s="1154"/>
      <c r="V146" s="1155">
        <v>16902.376269999979</v>
      </c>
      <c r="W146" s="1154"/>
      <c r="X146" s="1153">
        <f t="shared" si="64"/>
        <v>-1.0269999984302558E-2</v>
      </c>
      <c r="Y146" s="1149"/>
      <c r="Z146" s="1188" t="s">
        <v>458</v>
      </c>
      <c r="AA146" s="1151"/>
      <c r="AB146" s="1188" t="s">
        <v>1610</v>
      </c>
      <c r="AC146" s="1151"/>
      <c r="AD146" s="1152">
        <v>0</v>
      </c>
      <c r="AE146" s="1151"/>
      <c r="AF146" s="1153">
        <f t="shared" si="65"/>
        <v>0</v>
      </c>
      <c r="AG146" s="1151"/>
      <c r="AH146" s="1185">
        <v>190</v>
      </c>
      <c r="AI146" s="1188"/>
      <c r="AJ146" s="1189"/>
      <c r="AK146" s="1189"/>
      <c r="AL146" s="1189"/>
    </row>
    <row r="147" spans="2:38" s="1137" customFormat="1" ht="12.75">
      <c r="B147" s="1185">
        <f t="shared" si="66"/>
        <v>15</v>
      </c>
      <c r="C147" s="1186" t="s">
        <v>1630</v>
      </c>
      <c r="D147" s="1186" t="s">
        <v>1630</v>
      </c>
      <c r="E147" s="1187" t="s">
        <v>1608</v>
      </c>
      <c r="F147" s="1187">
        <v>21132183</v>
      </c>
      <c r="G147" s="1153">
        <f t="shared" si="67"/>
        <v>4437758.43</v>
      </c>
      <c r="H147" s="1153">
        <f t="shared" si="68"/>
        <v>2111105.0817</v>
      </c>
      <c r="I147" s="1153">
        <f t="shared" si="60"/>
        <v>-443332.06715699995</v>
      </c>
      <c r="J147" s="1153">
        <f t="shared" si="69"/>
        <v>6105531.4445429994</v>
      </c>
      <c r="K147" s="1154"/>
      <c r="L147" s="1155">
        <f t="shared" si="61"/>
        <v>21132183</v>
      </c>
      <c r="M147" s="1153">
        <f t="shared" si="70"/>
        <v>4437758.43</v>
      </c>
      <c r="N147" s="1153">
        <f t="shared" si="71"/>
        <v>1054495.9317000001</v>
      </c>
      <c r="O147" s="1153">
        <f t="shared" si="62"/>
        <v>-221444.14565700002</v>
      </c>
      <c r="P147" s="1153">
        <f t="shared" si="72"/>
        <v>5270810.2160430001</v>
      </c>
      <c r="Q147" s="1156"/>
      <c r="R147" s="1153">
        <f t="shared" si="63"/>
        <v>834721.22849999927</v>
      </c>
      <c r="S147" s="1154"/>
      <c r="T147" s="1155">
        <v>540248.57050000015</v>
      </c>
      <c r="U147" s="1154"/>
      <c r="V147" s="1155">
        <v>0</v>
      </c>
      <c r="W147" s="1154"/>
      <c r="X147" s="1153">
        <f t="shared" si="64"/>
        <v>294472.65799999912</v>
      </c>
      <c r="Y147" s="1149"/>
      <c r="Z147" s="1188" t="s">
        <v>1631</v>
      </c>
      <c r="AA147" s="1151"/>
      <c r="AB147" s="1188" t="s">
        <v>1610</v>
      </c>
      <c r="AC147" s="1151"/>
      <c r="AD147" s="1152">
        <v>0</v>
      </c>
      <c r="AE147" s="1151"/>
      <c r="AF147" s="1153">
        <f>X147*AD147</f>
        <v>0</v>
      </c>
      <c r="AG147" s="1151"/>
      <c r="AH147" s="1185">
        <v>190</v>
      </c>
      <c r="AI147" s="1188"/>
      <c r="AJ147" s="1189"/>
      <c r="AK147" s="1189"/>
      <c r="AL147" s="1189"/>
    </row>
    <row r="148" spans="2:38" s="1137" customFormat="1" ht="12.75">
      <c r="B148" s="1185">
        <f t="shared" si="66"/>
        <v>16</v>
      </c>
      <c r="C148" s="1186" t="s">
        <v>1632</v>
      </c>
      <c r="D148" s="1186" t="s">
        <v>1632</v>
      </c>
      <c r="E148" s="1187" t="s">
        <v>1608</v>
      </c>
      <c r="F148" s="1187">
        <v>-517000</v>
      </c>
      <c r="G148" s="1153">
        <f t="shared" si="67"/>
        <v>-108570</v>
      </c>
      <c r="H148" s="1153">
        <f t="shared" si="68"/>
        <v>-51648.3</v>
      </c>
      <c r="I148" s="1153">
        <f t="shared" si="60"/>
        <v>10846.143</v>
      </c>
      <c r="J148" s="1153">
        <f t="shared" si="69"/>
        <v>-149372.15699999998</v>
      </c>
      <c r="K148" s="1154"/>
      <c r="L148" s="1155">
        <f t="shared" si="61"/>
        <v>-517000</v>
      </c>
      <c r="M148" s="1153">
        <f t="shared" si="70"/>
        <v>-108570</v>
      </c>
      <c r="N148" s="1153">
        <f t="shared" si="71"/>
        <v>-25798.3</v>
      </c>
      <c r="O148" s="1153">
        <f t="shared" si="62"/>
        <v>5417.643</v>
      </c>
      <c r="P148" s="1153">
        <f t="shared" si="72"/>
        <v>-128950.65699999999</v>
      </c>
      <c r="Q148" s="1156"/>
      <c r="R148" s="1153">
        <f t="shared" si="63"/>
        <v>-20421.499999999985</v>
      </c>
      <c r="S148" s="1154"/>
      <c r="T148" s="1155">
        <v>-20421.5</v>
      </c>
      <c r="U148" s="1154"/>
      <c r="V148" s="1155">
        <v>0</v>
      </c>
      <c r="W148" s="1154"/>
      <c r="X148" s="1153">
        <f t="shared" si="64"/>
        <v>1.4551915228366852E-11</v>
      </c>
      <c r="Y148" s="1149"/>
      <c r="Z148" s="1188" t="s">
        <v>1631</v>
      </c>
      <c r="AA148" s="1151"/>
      <c r="AB148" s="1188" t="s">
        <v>1610</v>
      </c>
      <c r="AC148" s="1151"/>
      <c r="AD148" s="1152">
        <v>0</v>
      </c>
      <c r="AE148" s="1151"/>
      <c r="AF148" s="1153">
        <f>X148*AD148</f>
        <v>0</v>
      </c>
      <c r="AG148" s="1151"/>
      <c r="AH148" s="1185">
        <v>190</v>
      </c>
      <c r="AI148" s="1188"/>
      <c r="AJ148" s="1189"/>
      <c r="AK148" s="1189"/>
      <c r="AL148" s="1189"/>
    </row>
    <row r="149" spans="2:38" s="1137" customFormat="1" ht="12.75">
      <c r="B149" s="1185">
        <f t="shared" si="66"/>
        <v>17</v>
      </c>
      <c r="C149" s="1186" t="s">
        <v>1535</v>
      </c>
      <c r="D149" s="1186" t="s">
        <v>1535</v>
      </c>
      <c r="E149" s="1187" t="s">
        <v>1608</v>
      </c>
      <c r="F149" s="1187">
        <v>2085200</v>
      </c>
      <c r="G149" s="1153">
        <f t="shared" si="67"/>
        <v>437892</v>
      </c>
      <c r="H149" s="1153">
        <f t="shared" si="68"/>
        <v>208311.48</v>
      </c>
      <c r="I149" s="1153">
        <f t="shared" si="60"/>
        <v>-43745.410799999998</v>
      </c>
      <c r="J149" s="1153">
        <f t="shared" si="69"/>
        <v>602458.06920000003</v>
      </c>
      <c r="K149" s="1154"/>
      <c r="L149" s="1155">
        <f t="shared" si="61"/>
        <v>2085200</v>
      </c>
      <c r="M149" s="1153">
        <f t="shared" si="70"/>
        <v>437892</v>
      </c>
      <c r="N149" s="1153">
        <f t="shared" si="71"/>
        <v>104051.48</v>
      </c>
      <c r="O149" s="1153">
        <f t="shared" si="62"/>
        <v>-21850.810799999999</v>
      </c>
      <c r="P149" s="1153">
        <f t="shared" si="72"/>
        <v>520092.6692</v>
      </c>
      <c r="Q149" s="1156"/>
      <c r="R149" s="1153">
        <f t="shared" si="63"/>
        <v>82365.400000000023</v>
      </c>
      <c r="S149" s="1154"/>
      <c r="T149" s="1157">
        <v>16761.35801579251</v>
      </c>
      <c r="U149" s="1154"/>
      <c r="V149" s="1155">
        <v>0</v>
      </c>
      <c r="W149" s="1154"/>
      <c r="X149" s="1153">
        <f t="shared" si="64"/>
        <v>65604.041984207521</v>
      </c>
      <c r="Y149" s="1149"/>
      <c r="Z149" s="1188" t="s">
        <v>1612</v>
      </c>
      <c r="AA149" s="1151"/>
      <c r="AB149" s="1188" t="s">
        <v>1610</v>
      </c>
      <c r="AC149" s="1151"/>
      <c r="AD149" s="1152">
        <v>0</v>
      </c>
      <c r="AE149" s="1151"/>
      <c r="AF149" s="1153">
        <f>X149*AD149</f>
        <v>0</v>
      </c>
      <c r="AG149" s="1151"/>
      <c r="AH149" s="1185">
        <v>190</v>
      </c>
      <c r="AI149" s="1183"/>
      <c r="AJ149" s="1189"/>
      <c r="AK149" s="1189"/>
      <c r="AL149" s="1189"/>
    </row>
    <row r="150" spans="2:38" s="1137" customFormat="1" ht="12.75">
      <c r="B150" s="1185">
        <f t="shared" si="66"/>
        <v>18</v>
      </c>
      <c r="C150" s="1186" t="s">
        <v>1635</v>
      </c>
      <c r="D150" s="1186" t="s">
        <v>1635</v>
      </c>
      <c r="E150" s="1187" t="s">
        <v>1608</v>
      </c>
      <c r="F150" s="1187">
        <v>1009320</v>
      </c>
      <c r="G150" s="1153">
        <f t="shared" si="67"/>
        <v>211957.19999999998</v>
      </c>
      <c r="H150" s="1153">
        <f t="shared" si="68"/>
        <v>100831.068</v>
      </c>
      <c r="I150" s="1153">
        <f t="shared" si="60"/>
        <v>-21174.524279999998</v>
      </c>
      <c r="J150" s="1153">
        <f t="shared" si="69"/>
        <v>291613.74371999997</v>
      </c>
      <c r="K150" s="1154"/>
      <c r="L150" s="1155">
        <f t="shared" si="61"/>
        <v>1009320</v>
      </c>
      <c r="M150" s="1153">
        <f t="shared" si="70"/>
        <v>211957.19999999998</v>
      </c>
      <c r="N150" s="1153">
        <f t="shared" si="71"/>
        <v>50365.067999999999</v>
      </c>
      <c r="O150" s="1153">
        <f t="shared" si="62"/>
        <v>-10576.664279999999</v>
      </c>
      <c r="P150" s="1153">
        <f t="shared" si="72"/>
        <v>251745.60371999998</v>
      </c>
      <c r="Q150" s="1156"/>
      <c r="R150" s="1153">
        <f t="shared" si="63"/>
        <v>39868.139999999985</v>
      </c>
      <c r="S150" s="1154"/>
      <c r="T150" s="1157">
        <v>8113.166489999996</v>
      </c>
      <c r="U150" s="1154"/>
      <c r="V150" s="1155">
        <v>0</v>
      </c>
      <c r="W150" s="1154"/>
      <c r="X150" s="1153">
        <f t="shared" si="64"/>
        <v>31754.973509999989</v>
      </c>
      <c r="Y150" s="1149"/>
      <c r="Z150" s="1188" t="s">
        <v>1612</v>
      </c>
      <c r="AA150" s="1151"/>
      <c r="AB150" s="1188" t="s">
        <v>1610</v>
      </c>
      <c r="AC150" s="1151"/>
      <c r="AD150" s="1152">
        <v>0</v>
      </c>
      <c r="AE150" s="1151"/>
      <c r="AF150" s="1153">
        <f t="shared" si="65"/>
        <v>0</v>
      </c>
      <c r="AG150" s="1151"/>
      <c r="AH150" s="1185">
        <v>190</v>
      </c>
      <c r="AI150" s="1188"/>
      <c r="AJ150" s="1189"/>
      <c r="AK150" s="1189"/>
      <c r="AL150" s="1189"/>
    </row>
    <row r="151" spans="2:38" s="1137" customFormat="1" ht="12.75">
      <c r="B151" s="1185">
        <f t="shared" si="66"/>
        <v>19</v>
      </c>
      <c r="C151" s="1186" t="s">
        <v>1636</v>
      </c>
      <c r="D151" s="1186" t="s">
        <v>1636</v>
      </c>
      <c r="E151" s="1187" t="s">
        <v>1608</v>
      </c>
      <c r="F151" s="1187">
        <v>6381587</v>
      </c>
      <c r="G151" s="1153">
        <f t="shared" si="67"/>
        <v>1340133.27</v>
      </c>
      <c r="H151" s="1153">
        <f t="shared" si="68"/>
        <v>637520.54130000004</v>
      </c>
      <c r="I151" s="1153">
        <f t="shared" si="60"/>
        <v>-133879.313673</v>
      </c>
      <c r="J151" s="1153">
        <f t="shared" si="69"/>
        <v>1843774.4976270001</v>
      </c>
      <c r="K151" s="1154"/>
      <c r="L151" s="1155">
        <f t="shared" si="61"/>
        <v>6381587</v>
      </c>
      <c r="M151" s="1153">
        <f t="shared" si="70"/>
        <v>1340133.27</v>
      </c>
      <c r="N151" s="1153">
        <f t="shared" si="71"/>
        <v>318441.19130000001</v>
      </c>
      <c r="O151" s="1153">
        <f t="shared" si="62"/>
        <v>-66872.650173000002</v>
      </c>
      <c r="P151" s="1153">
        <f t="shared" si="72"/>
        <v>1591701.811127</v>
      </c>
      <c r="Q151" s="1156"/>
      <c r="R151" s="1153">
        <f t="shared" si="63"/>
        <v>252072.68650000007</v>
      </c>
      <c r="S151" s="1154"/>
      <c r="T151" s="1157">
        <v>51296.791702750008</v>
      </c>
      <c r="U151" s="1154"/>
      <c r="V151" s="1155">
        <v>0</v>
      </c>
      <c r="W151" s="1154"/>
      <c r="X151" s="1153">
        <f t="shared" si="64"/>
        <v>200775.89479725005</v>
      </c>
      <c r="Y151" s="1149"/>
      <c r="Z151" s="1188" t="s">
        <v>1612</v>
      </c>
      <c r="AA151" s="1151"/>
      <c r="AB151" s="1188" t="s">
        <v>1610</v>
      </c>
      <c r="AC151" s="1151"/>
      <c r="AD151" s="1152">
        <v>0</v>
      </c>
      <c r="AE151" s="1151"/>
      <c r="AF151" s="1153">
        <f t="shared" si="65"/>
        <v>0</v>
      </c>
      <c r="AG151" s="1151"/>
      <c r="AH151" s="1185">
        <v>190</v>
      </c>
      <c r="AI151" s="1188"/>
      <c r="AJ151" s="1189"/>
      <c r="AK151" s="1189"/>
      <c r="AL151" s="1189"/>
    </row>
    <row r="152" spans="2:38" s="1137" customFormat="1" ht="12.75">
      <c r="B152" s="1185">
        <f t="shared" si="66"/>
        <v>20</v>
      </c>
      <c r="C152" s="1186" t="s">
        <v>1637</v>
      </c>
      <c r="D152" s="1186" t="s">
        <v>1637</v>
      </c>
      <c r="E152" s="1187" t="s">
        <v>1608</v>
      </c>
      <c r="F152" s="1187">
        <v>854109933</v>
      </c>
      <c r="G152" s="1159">
        <v>0</v>
      </c>
      <c r="H152" s="1153">
        <f t="shared" si="68"/>
        <v>85325582.306700006</v>
      </c>
      <c r="I152" s="1153">
        <f t="shared" si="60"/>
        <v>-17918372.284407001</v>
      </c>
      <c r="J152" s="1153">
        <f t="shared" si="69"/>
        <v>67407210.022293001</v>
      </c>
      <c r="K152" s="1154"/>
      <c r="L152" s="1155">
        <f t="shared" si="61"/>
        <v>854109933</v>
      </c>
      <c r="M152" s="1159">
        <v>0</v>
      </c>
      <c r="N152" s="1153">
        <f t="shared" si="71"/>
        <v>42620085.6567</v>
      </c>
      <c r="O152" s="1153">
        <f t="shared" si="62"/>
        <v>-8950217.9879069999</v>
      </c>
      <c r="P152" s="1153">
        <f t="shared" si="72"/>
        <v>33669867.668793</v>
      </c>
      <c r="Q152" s="1156"/>
      <c r="R152" s="1153">
        <f t="shared" si="63"/>
        <v>33737342.353500001</v>
      </c>
      <c r="S152" s="1154"/>
      <c r="T152" s="1155">
        <v>26471766.927243974</v>
      </c>
      <c r="U152" s="1154"/>
      <c r="V152" s="1155">
        <v>0</v>
      </c>
      <c r="W152" s="1154"/>
      <c r="X152" s="1153">
        <f t="shared" si="64"/>
        <v>7265575.4262560271</v>
      </c>
      <c r="Y152" s="1149"/>
      <c r="Z152" s="1188" t="s">
        <v>458</v>
      </c>
      <c r="AA152" s="1151"/>
      <c r="AB152" s="1188" t="s">
        <v>1613</v>
      </c>
      <c r="AC152" s="1151"/>
      <c r="AD152" s="1158">
        <v>0.18031270395224416</v>
      </c>
      <c r="AE152" s="1151"/>
      <c r="AF152" s="1153">
        <f t="shared" si="65"/>
        <v>1310075.5508772032</v>
      </c>
      <c r="AG152" s="1151"/>
      <c r="AH152" s="1185">
        <v>190</v>
      </c>
      <c r="AI152" s="1188"/>
      <c r="AJ152" s="1189"/>
      <c r="AK152" s="1189"/>
      <c r="AL152" s="1189"/>
    </row>
    <row r="153" spans="2:38" s="1137" customFormat="1" ht="12.75">
      <c r="B153" s="1185">
        <f t="shared" si="66"/>
        <v>21</v>
      </c>
      <c r="C153" s="1186" t="s">
        <v>1539</v>
      </c>
      <c r="D153" s="1186" t="s">
        <v>1539</v>
      </c>
      <c r="E153" s="1187" t="s">
        <v>1608</v>
      </c>
      <c r="F153" s="1187">
        <v>287309745</v>
      </c>
      <c r="G153" s="1153">
        <f t="shared" si="67"/>
        <v>60335046.449999996</v>
      </c>
      <c r="H153" s="1153">
        <f t="shared" si="68"/>
        <v>28702243.5255</v>
      </c>
      <c r="I153" s="1153">
        <f t="shared" si="60"/>
        <v>-6027471.1403549993</v>
      </c>
      <c r="J153" s="1153">
        <f t="shared" si="69"/>
        <v>83009818.835144982</v>
      </c>
      <c r="K153" s="1154"/>
      <c r="L153" s="1155">
        <f t="shared" si="61"/>
        <v>287309745</v>
      </c>
      <c r="M153" s="1153">
        <f t="shared" si="70"/>
        <v>60335046.449999996</v>
      </c>
      <c r="N153" s="1153">
        <f t="shared" si="71"/>
        <v>14336756.2755</v>
      </c>
      <c r="O153" s="1153">
        <f t="shared" si="62"/>
        <v>-3010718.8178549996</v>
      </c>
      <c r="P153" s="1153">
        <f t="shared" si="72"/>
        <v>71661083.907644987</v>
      </c>
      <c r="Q153" s="1156"/>
      <c r="R153" s="1153">
        <f t="shared" si="63"/>
        <v>11348734.927499995</v>
      </c>
      <c r="S153" s="1154"/>
      <c r="T153" s="1157">
        <v>2309467.5577462488</v>
      </c>
      <c r="U153" s="1154"/>
      <c r="V153" s="1155">
        <v>0</v>
      </c>
      <c r="W153" s="1154"/>
      <c r="X153" s="1153">
        <f t="shared" si="64"/>
        <v>9039267.3697537463</v>
      </c>
      <c r="Y153" s="1149"/>
      <c r="Z153" s="1188" t="s">
        <v>1612</v>
      </c>
      <c r="AA153" s="1151"/>
      <c r="AB153" s="1188" t="s">
        <v>1610</v>
      </c>
      <c r="AC153" s="1151"/>
      <c r="AD153" s="1152">
        <v>0</v>
      </c>
      <c r="AE153" s="1151"/>
      <c r="AF153" s="1153">
        <f t="shared" si="65"/>
        <v>0</v>
      </c>
      <c r="AG153" s="1151"/>
      <c r="AH153" s="1185">
        <v>190</v>
      </c>
      <c r="AI153" s="1188"/>
      <c r="AJ153" s="1189"/>
      <c r="AK153" s="1189"/>
      <c r="AL153" s="1189"/>
    </row>
    <row r="154" spans="2:38" s="1137" customFormat="1" ht="12.75">
      <c r="B154" s="1185">
        <f t="shared" si="66"/>
        <v>22</v>
      </c>
      <c r="C154" s="1186" t="s">
        <v>1641</v>
      </c>
      <c r="D154" s="1186" t="s">
        <v>1641</v>
      </c>
      <c r="E154" s="1187" t="s">
        <v>1608</v>
      </c>
      <c r="F154" s="1187">
        <v>0</v>
      </c>
      <c r="G154" s="1153">
        <f t="shared" si="67"/>
        <v>0</v>
      </c>
      <c r="H154" s="1153">
        <f t="shared" si="68"/>
        <v>0</v>
      </c>
      <c r="I154" s="1153">
        <f>-H154*0.21</f>
        <v>0</v>
      </c>
      <c r="J154" s="1153">
        <f>G154+H154+I154</f>
        <v>0</v>
      </c>
      <c r="K154" s="1154"/>
      <c r="L154" s="1155">
        <f>F154</f>
        <v>0</v>
      </c>
      <c r="M154" s="1153">
        <f t="shared" si="70"/>
        <v>0</v>
      </c>
      <c r="N154" s="1153">
        <f t="shared" si="71"/>
        <v>0</v>
      </c>
      <c r="O154" s="1153">
        <f>-N154*0.21</f>
        <v>0</v>
      </c>
      <c r="P154" s="1153">
        <f>M154+N154+O154</f>
        <v>0</v>
      </c>
      <c r="Q154" s="1156"/>
      <c r="R154" s="1153">
        <f>J154-P154</f>
        <v>0</v>
      </c>
      <c r="S154" s="1154"/>
      <c r="T154" s="1157">
        <v>0</v>
      </c>
      <c r="U154" s="1154"/>
      <c r="V154" s="1155">
        <v>0</v>
      </c>
      <c r="W154" s="1154"/>
      <c r="X154" s="1153">
        <f t="shared" si="64"/>
        <v>0</v>
      </c>
      <c r="Y154" s="1149"/>
      <c r="Z154" s="1188" t="s">
        <v>1612</v>
      </c>
      <c r="AA154" s="1151"/>
      <c r="AB154" s="1188" t="s">
        <v>1610</v>
      </c>
      <c r="AC154" s="1151"/>
      <c r="AD154" s="1152">
        <v>0</v>
      </c>
      <c r="AE154" s="1151"/>
      <c r="AF154" s="1153">
        <f>X154*AD154</f>
        <v>0</v>
      </c>
      <c r="AG154" s="1151"/>
      <c r="AH154" s="1185">
        <v>190</v>
      </c>
      <c r="AI154" s="1188"/>
      <c r="AJ154" s="1171"/>
    </row>
    <row r="155" spans="2:38" s="1137" customFormat="1" ht="12.75">
      <c r="B155" s="1185">
        <f t="shared" si="66"/>
        <v>23</v>
      </c>
      <c r="C155" s="1186" t="s">
        <v>1841</v>
      </c>
      <c r="D155" s="1186" t="s">
        <v>1841</v>
      </c>
      <c r="E155" s="1187" t="s">
        <v>1608</v>
      </c>
      <c r="F155" s="1187">
        <v>10116185</v>
      </c>
      <c r="G155" s="1153">
        <f t="shared" si="67"/>
        <v>2124398.85</v>
      </c>
      <c r="H155" s="1153">
        <f t="shared" si="68"/>
        <v>1010606.8815</v>
      </c>
      <c r="I155" s="1153">
        <f t="shared" si="60"/>
        <v>-212227.44511500001</v>
      </c>
      <c r="J155" s="1153">
        <f t="shared" si="69"/>
        <v>2922778.2863850002</v>
      </c>
      <c r="K155" s="1154"/>
      <c r="L155" s="1155">
        <f t="shared" si="61"/>
        <v>10116185</v>
      </c>
      <c r="M155" s="1153">
        <f t="shared" si="70"/>
        <v>2124398.85</v>
      </c>
      <c r="N155" s="1153">
        <f t="shared" si="71"/>
        <v>504797.63150000002</v>
      </c>
      <c r="O155" s="1153">
        <f t="shared" si="62"/>
        <v>-106007.502615</v>
      </c>
      <c r="P155" s="1153">
        <f t="shared" si="72"/>
        <v>2523188.9788850001</v>
      </c>
      <c r="Q155" s="1156"/>
      <c r="R155" s="1153">
        <f t="shared" si="63"/>
        <v>399589.30750000011</v>
      </c>
      <c r="S155" s="1154"/>
      <c r="T155" s="1157">
        <v>88309.236957500019</v>
      </c>
      <c r="U155" s="1154"/>
      <c r="V155" s="1155">
        <v>0</v>
      </c>
      <c r="W155" s="1154"/>
      <c r="X155" s="1153">
        <f t="shared" si="64"/>
        <v>311280.07054250012</v>
      </c>
      <c r="Y155" s="1149"/>
      <c r="Z155" s="1188" t="s">
        <v>458</v>
      </c>
      <c r="AA155" s="1151"/>
      <c r="AB155" s="1188" t="s">
        <v>1610</v>
      </c>
      <c r="AC155" s="1151"/>
      <c r="AD155" s="1152">
        <v>0</v>
      </c>
      <c r="AE155" s="1151"/>
      <c r="AF155" s="1153">
        <f t="shared" si="65"/>
        <v>0</v>
      </c>
      <c r="AG155" s="1151"/>
      <c r="AH155" s="1185">
        <v>190</v>
      </c>
      <c r="AI155" s="1188"/>
    </row>
    <row r="156" spans="2:38" s="1137" customFormat="1" ht="12.75">
      <c r="B156" s="1185">
        <f t="shared" si="66"/>
        <v>24</v>
      </c>
      <c r="C156" s="1186" t="s">
        <v>1642</v>
      </c>
      <c r="D156" s="1186" t="s">
        <v>1642</v>
      </c>
      <c r="E156" s="1187" t="s">
        <v>1608</v>
      </c>
      <c r="F156" s="1187">
        <v>-4612207</v>
      </c>
      <c r="G156" s="1153">
        <f t="shared" si="67"/>
        <v>-968563.47</v>
      </c>
      <c r="H156" s="1153">
        <f t="shared" si="68"/>
        <v>-460759.47930000001</v>
      </c>
      <c r="I156" s="1153">
        <f t="shared" si="60"/>
        <v>96759.490653000001</v>
      </c>
      <c r="J156" s="1153">
        <f t="shared" si="69"/>
        <v>-1332563.4586469999</v>
      </c>
      <c r="K156" s="1154"/>
      <c r="L156" s="1155">
        <f t="shared" si="61"/>
        <v>-4612207</v>
      </c>
      <c r="M156" s="1153">
        <f t="shared" si="70"/>
        <v>-968563.47</v>
      </c>
      <c r="N156" s="1153">
        <f t="shared" si="71"/>
        <v>-230149.1293</v>
      </c>
      <c r="O156" s="1153">
        <f t="shared" si="62"/>
        <v>48331.317152999996</v>
      </c>
      <c r="P156" s="1153">
        <f t="shared" si="72"/>
        <v>-1150381.2821469998</v>
      </c>
      <c r="Q156" s="1156"/>
      <c r="R156" s="1153">
        <f t="shared" si="63"/>
        <v>-182182.17650000006</v>
      </c>
      <c r="S156" s="1154"/>
      <c r="T156" s="1157">
        <v>-37074.072917750011</v>
      </c>
      <c r="U156" s="1154"/>
      <c r="V156" s="1155">
        <v>0</v>
      </c>
      <c r="W156" s="1154"/>
      <c r="X156" s="1153">
        <f t="shared" si="64"/>
        <v>-145108.10358225004</v>
      </c>
      <c r="Y156" s="1149"/>
      <c r="Z156" s="1188" t="s">
        <v>1612</v>
      </c>
      <c r="AA156" s="1151"/>
      <c r="AB156" s="1188" t="s">
        <v>1610</v>
      </c>
      <c r="AC156" s="1151"/>
      <c r="AD156" s="1152">
        <v>0</v>
      </c>
      <c r="AE156" s="1151"/>
      <c r="AF156" s="1153">
        <f t="shared" si="65"/>
        <v>0</v>
      </c>
      <c r="AG156" s="1151"/>
      <c r="AH156" s="1185">
        <v>190</v>
      </c>
      <c r="AI156" s="1188"/>
    </row>
    <row r="157" spans="2:38" s="1137" customFormat="1" ht="12.75">
      <c r="B157" s="1185">
        <f t="shared" si="66"/>
        <v>25</v>
      </c>
      <c r="C157" s="1186" t="s">
        <v>1643</v>
      </c>
      <c r="D157" s="1186" t="s">
        <v>1643</v>
      </c>
      <c r="E157" s="1187" t="s">
        <v>1608</v>
      </c>
      <c r="F157" s="1187">
        <v>3727085</v>
      </c>
      <c r="G157" s="1153">
        <f t="shared" si="67"/>
        <v>782687.85</v>
      </c>
      <c r="H157" s="1153">
        <f t="shared" si="68"/>
        <v>372335.79149999999</v>
      </c>
      <c r="I157" s="1153">
        <f t="shared" si="60"/>
        <v>-78190.516214999996</v>
      </c>
      <c r="J157" s="1153">
        <f t="shared" si="69"/>
        <v>1076833.1252849998</v>
      </c>
      <c r="K157" s="1154"/>
      <c r="L157" s="1155">
        <f t="shared" si="61"/>
        <v>3727085</v>
      </c>
      <c r="M157" s="1153">
        <f t="shared" si="70"/>
        <v>782687.85</v>
      </c>
      <c r="N157" s="1153">
        <f t="shared" si="71"/>
        <v>185981.54149999999</v>
      </c>
      <c r="O157" s="1153">
        <f t="shared" si="62"/>
        <v>-39056.123714999994</v>
      </c>
      <c r="P157" s="1153">
        <f t="shared" si="72"/>
        <v>929613.26778499992</v>
      </c>
      <c r="Q157" s="1156"/>
      <c r="R157" s="1153">
        <f t="shared" si="63"/>
        <v>147219.85749999993</v>
      </c>
      <c r="S157" s="1154"/>
      <c r="T157" s="1155">
        <v>147219.85749999998</v>
      </c>
      <c r="U157" s="1154"/>
      <c r="V157" s="1155">
        <v>0</v>
      </c>
      <c r="W157" s="1154"/>
      <c r="X157" s="1153">
        <f t="shared" si="64"/>
        <v>-5.8207660913467407E-11</v>
      </c>
      <c r="Y157" s="1149"/>
      <c r="Z157" s="1188" t="s">
        <v>1631</v>
      </c>
      <c r="AA157" s="1151"/>
      <c r="AB157" s="1188" t="s">
        <v>1610</v>
      </c>
      <c r="AC157" s="1151"/>
      <c r="AD157" s="1152">
        <v>0</v>
      </c>
      <c r="AE157" s="1151"/>
      <c r="AF157" s="1153">
        <f t="shared" si="65"/>
        <v>0</v>
      </c>
      <c r="AG157" s="1151"/>
      <c r="AH157" s="1185">
        <v>190</v>
      </c>
      <c r="AI157" s="1188"/>
    </row>
    <row r="158" spans="2:38" s="1137" customFormat="1" ht="12.75">
      <c r="B158" s="1185">
        <f t="shared" si="66"/>
        <v>26</v>
      </c>
      <c r="C158" s="1186" t="s">
        <v>1644</v>
      </c>
      <c r="D158" s="1186" t="s">
        <v>1644</v>
      </c>
      <c r="E158" s="1187" t="s">
        <v>1608</v>
      </c>
      <c r="F158" s="1187">
        <v>14199457</v>
      </c>
      <c r="G158" s="1153">
        <f t="shared" si="67"/>
        <v>2981885.9699999997</v>
      </c>
      <c r="H158" s="1153">
        <f t="shared" si="68"/>
        <v>1418525.7543000001</v>
      </c>
      <c r="I158" s="1153">
        <f t="shared" si="60"/>
        <v>-297890.40840300004</v>
      </c>
      <c r="J158" s="1153">
        <f t="shared" si="69"/>
        <v>4102521.315897</v>
      </c>
      <c r="K158" s="1154"/>
      <c r="L158" s="1155">
        <f t="shared" si="61"/>
        <v>14199457</v>
      </c>
      <c r="M158" s="1153">
        <f t="shared" si="70"/>
        <v>2981885.9699999997</v>
      </c>
      <c r="N158" s="1153">
        <f t="shared" si="71"/>
        <v>708552.90430000005</v>
      </c>
      <c r="O158" s="1153">
        <f t="shared" si="62"/>
        <v>-148796.109903</v>
      </c>
      <c r="P158" s="1153">
        <f t="shared" si="72"/>
        <v>3541642.764397</v>
      </c>
      <c r="Q158" s="1156"/>
      <c r="R158" s="1153">
        <f t="shared" si="63"/>
        <v>560878.55150000006</v>
      </c>
      <c r="S158" s="1154"/>
      <c r="T158" s="1157">
        <v>114138.78523025001</v>
      </c>
      <c r="U158" s="1154"/>
      <c r="V158" s="1155">
        <v>0</v>
      </c>
      <c r="W158" s="1154"/>
      <c r="X158" s="1153">
        <f t="shared" si="64"/>
        <v>446739.76626975008</v>
      </c>
      <c r="Y158" s="1149"/>
      <c r="Z158" s="1188" t="s">
        <v>1612</v>
      </c>
      <c r="AA158" s="1151"/>
      <c r="AB158" s="1188" t="s">
        <v>1610</v>
      </c>
      <c r="AC158" s="1151"/>
      <c r="AD158" s="1152">
        <v>0</v>
      </c>
      <c r="AE158" s="1151"/>
      <c r="AF158" s="1153">
        <f t="shared" si="65"/>
        <v>0</v>
      </c>
      <c r="AG158" s="1151"/>
      <c r="AH158" s="1185">
        <v>190</v>
      </c>
      <c r="AI158" s="1188"/>
    </row>
    <row r="159" spans="2:38" s="1137" customFormat="1" ht="12.75">
      <c r="B159" s="1185">
        <f t="shared" si="66"/>
        <v>27</v>
      </c>
      <c r="C159" s="1186" t="s">
        <v>1646</v>
      </c>
      <c r="D159" s="1186" t="s">
        <v>1646</v>
      </c>
      <c r="E159" s="1187" t="s">
        <v>1608</v>
      </c>
      <c r="F159" s="1187">
        <v>31700</v>
      </c>
      <c r="G159" s="1153">
        <f t="shared" si="67"/>
        <v>6657</v>
      </c>
      <c r="H159" s="1153">
        <f t="shared" si="68"/>
        <v>3166.83</v>
      </c>
      <c r="I159" s="1153">
        <f t="shared" si="60"/>
        <v>-665.03429999999992</v>
      </c>
      <c r="J159" s="1153">
        <f t="shared" si="69"/>
        <v>9158.7957000000006</v>
      </c>
      <c r="K159" s="1154"/>
      <c r="L159" s="1155">
        <f t="shared" si="61"/>
        <v>31700</v>
      </c>
      <c r="M159" s="1153">
        <f t="shared" si="70"/>
        <v>6657</v>
      </c>
      <c r="N159" s="1153">
        <f t="shared" si="71"/>
        <v>1581.83</v>
      </c>
      <c r="O159" s="1153">
        <f t="shared" si="62"/>
        <v>-332.18429999999995</v>
      </c>
      <c r="P159" s="1153">
        <f t="shared" si="72"/>
        <v>7906.6457</v>
      </c>
      <c r="Q159" s="1156"/>
      <c r="R159" s="1153">
        <f t="shared" si="63"/>
        <v>1252.1500000000005</v>
      </c>
      <c r="S159" s="1154"/>
      <c r="T159" s="1157">
        <v>276.7251500000001</v>
      </c>
      <c r="U159" s="1154"/>
      <c r="V159" s="1155">
        <v>0</v>
      </c>
      <c r="W159" s="1154"/>
      <c r="X159" s="1153">
        <f t="shared" si="64"/>
        <v>975.42485000000045</v>
      </c>
      <c r="Y159" s="1149"/>
      <c r="Z159" s="1188" t="s">
        <v>458</v>
      </c>
      <c r="AA159" s="1151"/>
      <c r="AB159" s="1188" t="s">
        <v>1610</v>
      </c>
      <c r="AC159" s="1151"/>
      <c r="AD159" s="1152">
        <v>0</v>
      </c>
      <c r="AE159" s="1151"/>
      <c r="AF159" s="1153">
        <f t="shared" si="65"/>
        <v>0</v>
      </c>
      <c r="AG159" s="1151"/>
      <c r="AH159" s="1185">
        <v>190</v>
      </c>
      <c r="AI159" s="1188"/>
    </row>
    <row r="160" spans="2:38" s="1137" customFormat="1" ht="12.75">
      <c r="B160" s="1185">
        <f t="shared" si="66"/>
        <v>28</v>
      </c>
      <c r="C160" s="1186" t="s">
        <v>1647</v>
      </c>
      <c r="D160" s="1186" t="s">
        <v>1647</v>
      </c>
      <c r="E160" s="1187" t="s">
        <v>1608</v>
      </c>
      <c r="F160" s="1187">
        <v>515537</v>
      </c>
      <c r="G160" s="1153">
        <f t="shared" si="67"/>
        <v>108262.76999999999</v>
      </c>
      <c r="H160" s="1153">
        <f t="shared" si="68"/>
        <v>51502.1463</v>
      </c>
      <c r="I160" s="1153">
        <f t="shared" si="60"/>
        <v>-10815.450723</v>
      </c>
      <c r="J160" s="1153">
        <f t="shared" si="69"/>
        <v>148949.465577</v>
      </c>
      <c r="K160" s="1154"/>
      <c r="L160" s="1155">
        <f t="shared" si="61"/>
        <v>515537</v>
      </c>
      <c r="M160" s="1153">
        <f t="shared" si="70"/>
        <v>108262.76999999999</v>
      </c>
      <c r="N160" s="1153">
        <f t="shared" si="71"/>
        <v>25725.296299999998</v>
      </c>
      <c r="O160" s="1153">
        <f t="shared" si="62"/>
        <v>-5402.312222999999</v>
      </c>
      <c r="P160" s="1153">
        <f t="shared" si="72"/>
        <v>128585.75407699998</v>
      </c>
      <c r="Q160" s="1156"/>
      <c r="R160" s="1153">
        <f t="shared" si="63"/>
        <v>20363.711500000019</v>
      </c>
      <c r="S160" s="1154"/>
      <c r="T160" s="1157">
        <v>4144.015290250004</v>
      </c>
      <c r="U160" s="1154"/>
      <c r="V160" s="1155">
        <v>0</v>
      </c>
      <c r="W160" s="1154"/>
      <c r="X160" s="1153">
        <f t="shared" si="64"/>
        <v>16219.696209750015</v>
      </c>
      <c r="Y160" s="1149"/>
      <c r="Z160" s="1188" t="s">
        <v>1612</v>
      </c>
      <c r="AA160" s="1151"/>
      <c r="AB160" s="1188" t="s">
        <v>1613</v>
      </c>
      <c r="AC160" s="1151"/>
      <c r="AD160" s="1152">
        <v>9.9526966285675506E-2</v>
      </c>
      <c r="AE160" s="1151"/>
      <c r="AF160" s="1153">
        <f t="shared" si="65"/>
        <v>1614.2971578316885</v>
      </c>
      <c r="AG160" s="1151"/>
      <c r="AH160" s="1185">
        <v>190</v>
      </c>
      <c r="AI160" s="1188"/>
    </row>
    <row r="161" spans="2:35" s="1137" customFormat="1" ht="12.75">
      <c r="B161" s="1185">
        <f>B160+1</f>
        <v>29</v>
      </c>
      <c r="C161" s="1186" t="s">
        <v>1648</v>
      </c>
      <c r="D161" s="1186" t="s">
        <v>1648</v>
      </c>
      <c r="E161" s="1187" t="s">
        <v>1608</v>
      </c>
      <c r="F161" s="1187">
        <v>15047846</v>
      </c>
      <c r="G161" s="1153">
        <f t="shared" si="67"/>
        <v>3160047.6599999997</v>
      </c>
      <c r="H161" s="1153">
        <f t="shared" si="68"/>
        <v>1503279.8154</v>
      </c>
      <c r="I161" s="1153">
        <f t="shared" si="60"/>
        <v>-315688.76123399998</v>
      </c>
      <c r="J161" s="1153">
        <f t="shared" si="69"/>
        <v>4347638.7141659996</v>
      </c>
      <c r="K161" s="1154"/>
      <c r="L161" s="1155">
        <f t="shared" si="61"/>
        <v>15047846</v>
      </c>
      <c r="M161" s="1153">
        <f t="shared" si="70"/>
        <v>3160047.6599999997</v>
      </c>
      <c r="N161" s="1153">
        <f t="shared" si="71"/>
        <v>750887.51540000003</v>
      </c>
      <c r="O161" s="1153">
        <f t="shared" si="62"/>
        <v>-157686.378234</v>
      </c>
      <c r="P161" s="1153">
        <f t="shared" si="72"/>
        <v>3753248.7971659997</v>
      </c>
      <c r="Q161" s="1156"/>
      <c r="R161" s="1153">
        <f t="shared" si="63"/>
        <v>594389.9169999999</v>
      </c>
      <c r="S161" s="1154"/>
      <c r="T161" s="1157">
        <v>120958.34810949997</v>
      </c>
      <c r="U161" s="1154"/>
      <c r="V161" s="1155">
        <v>0</v>
      </c>
      <c r="W161" s="1154"/>
      <c r="X161" s="1153">
        <f t="shared" si="64"/>
        <v>473431.56889049994</v>
      </c>
      <c r="Y161" s="1149"/>
      <c r="Z161" s="1188" t="s">
        <v>1612</v>
      </c>
      <c r="AA161" s="1151"/>
      <c r="AB161" s="1188" t="s">
        <v>1610</v>
      </c>
      <c r="AC161" s="1151"/>
      <c r="AD161" s="1152">
        <v>0</v>
      </c>
      <c r="AE161" s="1151"/>
      <c r="AF161" s="1153">
        <f t="shared" si="65"/>
        <v>0</v>
      </c>
      <c r="AG161" s="1151"/>
      <c r="AH161" s="1185">
        <v>190</v>
      </c>
      <c r="AI161" s="1188"/>
    </row>
    <row r="162" spans="2:35" s="1137" customFormat="1" ht="12.75">
      <c r="B162" s="1185">
        <f t="shared" si="66"/>
        <v>30</v>
      </c>
      <c r="C162" s="1186" t="s">
        <v>1649</v>
      </c>
      <c r="D162" s="1186" t="s">
        <v>1649</v>
      </c>
      <c r="E162" s="1187" t="s">
        <v>1608</v>
      </c>
      <c r="F162" s="1187">
        <v>12561496</v>
      </c>
      <c r="G162" s="1153">
        <f t="shared" si="67"/>
        <v>2637914.1599999997</v>
      </c>
      <c r="H162" s="1153">
        <f t="shared" si="68"/>
        <v>1254893.4504</v>
      </c>
      <c r="I162" s="1153">
        <f t="shared" si="60"/>
        <v>-263527.62458399998</v>
      </c>
      <c r="J162" s="1153">
        <f t="shared" si="69"/>
        <v>3629279.9858159996</v>
      </c>
      <c r="K162" s="1154"/>
      <c r="L162" s="1155">
        <f t="shared" si="61"/>
        <v>12561496</v>
      </c>
      <c r="M162" s="1153">
        <f t="shared" si="70"/>
        <v>2637914.1599999997</v>
      </c>
      <c r="N162" s="1153">
        <f t="shared" si="71"/>
        <v>626818.65040000004</v>
      </c>
      <c r="O162" s="1153">
        <f t="shared" si="62"/>
        <v>-131631.91658399999</v>
      </c>
      <c r="P162" s="1153">
        <f t="shared" si="72"/>
        <v>3133100.8938159999</v>
      </c>
      <c r="Q162" s="1156"/>
      <c r="R162" s="1153">
        <f t="shared" si="63"/>
        <v>496179.09199999971</v>
      </c>
      <c r="S162" s="1154"/>
      <c r="T162" s="1157">
        <v>100972.44522199994</v>
      </c>
      <c r="U162" s="1154"/>
      <c r="V162" s="1155">
        <v>0</v>
      </c>
      <c r="W162" s="1154"/>
      <c r="X162" s="1153">
        <f t="shared" si="64"/>
        <v>395206.64677799976</v>
      </c>
      <c r="Y162" s="1149"/>
      <c r="Z162" s="1188" t="s">
        <v>1612</v>
      </c>
      <c r="AA162" s="1151"/>
      <c r="AB162" s="1188" t="s">
        <v>1610</v>
      </c>
      <c r="AC162" s="1151"/>
      <c r="AD162" s="1152">
        <v>0</v>
      </c>
      <c r="AE162" s="1151"/>
      <c r="AF162" s="1153">
        <f t="shared" si="65"/>
        <v>0</v>
      </c>
      <c r="AG162" s="1151"/>
      <c r="AH162" s="1185">
        <v>190</v>
      </c>
      <c r="AI162" s="1188"/>
    </row>
    <row r="163" spans="2:35" s="1137" customFormat="1" ht="12.75">
      <c r="B163" s="1185">
        <f t="shared" si="66"/>
        <v>31</v>
      </c>
      <c r="C163" s="1186" t="s">
        <v>1650</v>
      </c>
      <c r="D163" s="1186" t="s">
        <v>1650</v>
      </c>
      <c r="E163" s="1187" t="s">
        <v>1608</v>
      </c>
      <c r="F163" s="1187">
        <v>38465569</v>
      </c>
      <c r="G163" s="1153">
        <f t="shared" si="67"/>
        <v>8077769.4899999993</v>
      </c>
      <c r="H163" s="1153">
        <f t="shared" si="68"/>
        <v>3842710.3431000002</v>
      </c>
      <c r="I163" s="1153">
        <f t="shared" si="60"/>
        <v>-806969.17205100006</v>
      </c>
      <c r="J163" s="1153">
        <f t="shared" si="69"/>
        <v>11113510.661048999</v>
      </c>
      <c r="K163" s="1154"/>
      <c r="L163" s="1155">
        <f t="shared" si="61"/>
        <v>38465569</v>
      </c>
      <c r="M163" s="1153">
        <f t="shared" si="70"/>
        <v>8077769.4899999993</v>
      </c>
      <c r="N163" s="1153">
        <f t="shared" si="71"/>
        <v>1919431.8931</v>
      </c>
      <c r="O163" s="1153">
        <f t="shared" si="62"/>
        <v>-403080.69755099999</v>
      </c>
      <c r="P163" s="1153">
        <f t="shared" si="72"/>
        <v>9594120.6855489984</v>
      </c>
      <c r="Q163" s="1156"/>
      <c r="R163" s="1153">
        <f t="shared" si="63"/>
        <v>1519389.9755000006</v>
      </c>
      <c r="S163" s="1154"/>
      <c r="T163" s="1157">
        <v>309195.8760907501</v>
      </c>
      <c r="U163" s="1154"/>
      <c r="V163" s="1155">
        <v>0</v>
      </c>
      <c r="W163" s="1154"/>
      <c r="X163" s="1153">
        <f t="shared" si="64"/>
        <v>1210194.0994092505</v>
      </c>
      <c r="Y163" s="1149"/>
      <c r="Z163" s="1188" t="s">
        <v>1612</v>
      </c>
      <c r="AA163" s="1151"/>
      <c r="AB163" s="1188" t="s">
        <v>1613</v>
      </c>
      <c r="AC163" s="1151"/>
      <c r="AD163" s="1152">
        <v>9.9526966285675506E-2</v>
      </c>
      <c r="AE163" s="1151"/>
      <c r="AF163" s="1153">
        <f t="shared" si="65"/>
        <v>120446.94733102791</v>
      </c>
      <c r="AG163" s="1151"/>
      <c r="AH163" s="1185">
        <v>190</v>
      </c>
      <c r="AI163" s="1188"/>
    </row>
    <row r="164" spans="2:35" s="1137" customFormat="1">
      <c r="B164" s="1185">
        <f t="shared" si="66"/>
        <v>32</v>
      </c>
      <c r="C164" s="1190" t="s">
        <v>1651</v>
      </c>
      <c r="D164" s="1188"/>
      <c r="E164" s="1188"/>
      <c r="F164" s="1160">
        <f t="shared" ref="F164:J164" si="73">SUM(F133:F163)</f>
        <v>1479932131</v>
      </c>
      <c r="G164" s="1160">
        <f t="shared" si="73"/>
        <v>131422661.57999995</v>
      </c>
      <c r="H164" s="1160">
        <f t="shared" si="73"/>
        <v>147845219.88690004</v>
      </c>
      <c r="I164" s="1160">
        <f t="shared" si="73"/>
        <v>-31047496.176249001</v>
      </c>
      <c r="J164" s="1160">
        <f t="shared" si="73"/>
        <v>248220385.29065099</v>
      </c>
      <c r="K164" s="1149"/>
      <c r="L164" s="1160">
        <f>SUM(L133:L163)</f>
        <v>1479932131</v>
      </c>
      <c r="M164" s="1160">
        <f>SUM(M133:M163)</f>
        <v>131422661.57999995</v>
      </c>
      <c r="N164" s="1160">
        <f>SUM(N133:N163)</f>
        <v>73848613.336900011</v>
      </c>
      <c r="O164" s="1160">
        <f>SUM(O133:O163)</f>
        <v>-15508208.800749002</v>
      </c>
      <c r="P164" s="1160">
        <f>SUM(P133:P163)</f>
        <v>189763066.11615098</v>
      </c>
      <c r="R164" s="1160">
        <f t="shared" ref="R164:X164" si="74">SUM(R133:R163)</f>
        <v>58457319.174499989</v>
      </c>
      <c r="S164" s="1160">
        <f t="shared" si="74"/>
        <v>0</v>
      </c>
      <c r="T164" s="1160">
        <f t="shared" si="74"/>
        <v>32064329.788865544</v>
      </c>
      <c r="U164" s="1160">
        <f t="shared" si="74"/>
        <v>0</v>
      </c>
      <c r="V164" s="1160">
        <f t="shared" si="74"/>
        <v>16902.376269999979</v>
      </c>
      <c r="W164" s="1161">
        <f t="shared" si="74"/>
        <v>0</v>
      </c>
      <c r="X164" s="1160">
        <f t="shared" si="74"/>
        <v>26376087.009364456</v>
      </c>
      <c r="Y164" s="1149"/>
      <c r="Z164" s="1188"/>
      <c r="AA164" s="1151"/>
      <c r="AB164" s="1188"/>
      <c r="AC164" s="1151"/>
      <c r="AD164" s="1152"/>
      <c r="AE164" s="1151"/>
      <c r="AF164" s="1160">
        <f>SUM(AF133:AF163)</f>
        <v>1704535.8262328743</v>
      </c>
      <c r="AG164" s="1151"/>
      <c r="AI164" s="1188"/>
    </row>
    <row r="165" spans="2:35" s="1137" customFormat="1" ht="12.75">
      <c r="B165" s="1188"/>
      <c r="C165" s="1188"/>
      <c r="D165" s="1188"/>
      <c r="E165" s="1188"/>
      <c r="F165" s="1148"/>
      <c r="G165" s="1148"/>
      <c r="H165" s="1148"/>
      <c r="I165" s="1148"/>
      <c r="J165" s="1148"/>
      <c r="K165" s="1149"/>
      <c r="L165" s="1148"/>
      <c r="M165" s="1148"/>
      <c r="N165" s="1148"/>
      <c r="O165" s="1148"/>
      <c r="P165" s="1148"/>
      <c r="R165" s="1148"/>
      <c r="S165" s="1149"/>
      <c r="T165" s="1148">
        <v>0</v>
      </c>
      <c r="U165" s="1149"/>
      <c r="V165" s="1148"/>
      <c r="W165" s="1149"/>
      <c r="X165" s="1148"/>
      <c r="Y165" s="1149"/>
      <c r="Z165" s="1188"/>
      <c r="AA165" s="1151"/>
      <c r="AB165" s="1188"/>
      <c r="AC165" s="1151"/>
      <c r="AD165" s="1152"/>
      <c r="AE165" s="1151"/>
      <c r="AF165" s="1148"/>
      <c r="AG165" s="1151"/>
      <c r="AI165" s="1188"/>
    </row>
    <row r="166" spans="2:35" s="1137" customFormat="1" ht="12.75">
      <c r="B166" s="1188"/>
      <c r="C166" s="1188"/>
      <c r="D166" s="1188"/>
      <c r="E166" s="1188"/>
      <c r="F166" s="1148"/>
      <c r="G166" s="1148"/>
      <c r="H166" s="1148"/>
      <c r="I166" s="1148"/>
      <c r="J166" s="1148"/>
      <c r="K166" s="1149"/>
      <c r="L166" s="1148"/>
      <c r="M166" s="1148"/>
      <c r="N166" s="1148"/>
      <c r="O166" s="1148"/>
      <c r="P166" s="1148"/>
      <c r="R166" s="1148"/>
      <c r="S166" s="1149"/>
      <c r="T166" s="1162">
        <f>T165/T152</f>
        <v>0</v>
      </c>
      <c r="U166" s="1149"/>
      <c r="V166" s="1148"/>
      <c r="W166" s="1149"/>
      <c r="X166" s="1148"/>
      <c r="Y166" s="1149"/>
      <c r="Z166" s="1188"/>
      <c r="AA166" s="1151"/>
      <c r="AB166" s="1188"/>
      <c r="AC166" s="1151"/>
      <c r="AD166" s="1152"/>
      <c r="AE166" s="1151"/>
      <c r="AF166" s="1148"/>
      <c r="AG166" s="1151"/>
      <c r="AI166" s="1188"/>
    </row>
    <row r="167" spans="2:35" s="1137" customFormat="1" ht="13.9">
      <c r="B167" s="1188"/>
      <c r="C167" s="1191" t="s">
        <v>1842</v>
      </c>
      <c r="D167" s="1188"/>
      <c r="E167" s="1188"/>
      <c r="F167" s="1148"/>
      <c r="G167" s="1148"/>
      <c r="H167" s="1148"/>
      <c r="I167" s="1148"/>
      <c r="J167" s="1148"/>
      <c r="K167" s="1149"/>
      <c r="L167" s="1148"/>
      <c r="M167" s="1148"/>
      <c r="N167" s="1148"/>
      <c r="O167" s="1148"/>
      <c r="P167" s="1148"/>
      <c r="R167" s="1148"/>
      <c r="S167" s="1149"/>
      <c r="T167" s="1148"/>
      <c r="U167" s="1149"/>
      <c r="V167" s="1148"/>
      <c r="W167" s="1149"/>
      <c r="X167" s="1148"/>
      <c r="Y167" s="1149"/>
      <c r="Z167" s="1188"/>
      <c r="AA167" s="1151"/>
      <c r="AB167" s="1188"/>
      <c r="AC167" s="1151"/>
      <c r="AD167" s="1152"/>
      <c r="AE167" s="1151"/>
      <c r="AF167" s="1148"/>
      <c r="AG167" s="1151"/>
      <c r="AI167" s="1188"/>
    </row>
    <row r="168" spans="2:35" s="1137" customFormat="1" ht="12.75">
      <c r="B168" s="1185">
        <f>B164+1</f>
        <v>33</v>
      </c>
      <c r="C168" s="1186" t="s">
        <v>1843</v>
      </c>
      <c r="D168" s="1186" t="s">
        <v>1843</v>
      </c>
      <c r="E168" s="1187"/>
      <c r="F168" s="1155"/>
      <c r="G168" s="1148"/>
      <c r="H168" s="1148"/>
      <c r="I168" s="1148"/>
      <c r="J168" s="1148"/>
      <c r="K168" s="1149"/>
      <c r="L168" s="1148"/>
      <c r="M168" s="1148"/>
      <c r="N168" s="1148"/>
      <c r="O168" s="1148"/>
      <c r="P168" s="1148"/>
      <c r="R168" s="1148"/>
      <c r="S168" s="1149"/>
      <c r="T168" s="1148"/>
      <c r="U168" s="1149"/>
      <c r="V168" s="1148"/>
      <c r="W168" s="1149"/>
      <c r="X168" s="1148"/>
      <c r="Y168" s="1149"/>
      <c r="Z168" s="1188"/>
      <c r="AA168" s="1151"/>
      <c r="AB168" s="1188"/>
      <c r="AC168" s="1151"/>
      <c r="AD168" s="1152"/>
      <c r="AE168" s="1151"/>
      <c r="AF168" s="1148"/>
      <c r="AG168" s="1151"/>
      <c r="AH168" s="1185"/>
      <c r="AI168" s="1188"/>
    </row>
    <row r="169" spans="2:35" s="1137" customFormat="1" ht="12.75">
      <c r="B169" s="1185">
        <f>B168+1</f>
        <v>34</v>
      </c>
      <c r="C169" s="1186" t="s">
        <v>702</v>
      </c>
      <c r="D169" s="1186" t="s">
        <v>702</v>
      </c>
      <c r="E169" s="1187"/>
      <c r="F169" s="1150">
        <v>-243984459</v>
      </c>
      <c r="G169" s="1148">
        <f>F169*0.21</f>
        <v>-51236736.390000001</v>
      </c>
      <c r="H169" s="1159">
        <v>0</v>
      </c>
      <c r="I169" s="1159">
        <v>0</v>
      </c>
      <c r="J169" s="1148">
        <f>G169+H169+I169</f>
        <v>-51236736.390000001</v>
      </c>
      <c r="K169" s="1149"/>
      <c r="L169" s="1150">
        <f t="shared" ref="L169:L179" si="75">F169</f>
        <v>-243984459</v>
      </c>
      <c r="M169" s="1148">
        <f>L169*0.21</f>
        <v>-51236736.390000001</v>
      </c>
      <c r="N169" s="1159">
        <v>0</v>
      </c>
      <c r="O169" s="1159">
        <v>0</v>
      </c>
      <c r="P169" s="1148">
        <f>M169+N169+O169</f>
        <v>-51236736.390000001</v>
      </c>
      <c r="R169" s="1148">
        <f t="shared" ref="R169:R179" si="76">J169-P169</f>
        <v>0</v>
      </c>
      <c r="S169" s="1149"/>
      <c r="T169" s="1155">
        <v>0</v>
      </c>
      <c r="U169" s="1149"/>
      <c r="V169" s="1155">
        <v>0</v>
      </c>
      <c r="W169" s="1149"/>
      <c r="X169" s="1148">
        <f t="shared" ref="X169:X179" si="77">R169-T169-V169</f>
        <v>0</v>
      </c>
      <c r="Y169" s="1149"/>
      <c r="Z169" s="1188" t="s">
        <v>458</v>
      </c>
      <c r="AA169" s="1151"/>
      <c r="AB169" s="1188" t="s">
        <v>1610</v>
      </c>
      <c r="AC169" s="1151"/>
      <c r="AD169" s="1152">
        <v>0</v>
      </c>
      <c r="AE169" s="1151"/>
      <c r="AF169" s="1148">
        <f t="shared" ref="AF169:AF179" si="78">X169*AD169</f>
        <v>0</v>
      </c>
      <c r="AG169" s="1151"/>
      <c r="AH169" s="1185">
        <v>282</v>
      </c>
      <c r="AI169" s="1188"/>
    </row>
    <row r="170" spans="2:35" s="1137" customFormat="1" ht="12.75">
      <c r="B170" s="1185">
        <f t="shared" ref="B170:B180" si="79">B169+1</f>
        <v>35</v>
      </c>
      <c r="C170" s="1186" t="s">
        <v>1844</v>
      </c>
      <c r="D170" s="1186" t="s">
        <v>1844</v>
      </c>
      <c r="E170" s="1187"/>
      <c r="F170" s="1155">
        <v>-28296416</v>
      </c>
      <c r="G170" s="1153">
        <f>F170*0.21</f>
        <v>-5942247.3599999994</v>
      </c>
      <c r="H170" s="1159">
        <v>0</v>
      </c>
      <c r="I170" s="1159">
        <v>0</v>
      </c>
      <c r="J170" s="1153">
        <f>G170+H170+I170</f>
        <v>-5942247.3599999994</v>
      </c>
      <c r="K170" s="1149"/>
      <c r="L170" s="1155">
        <f t="shared" si="75"/>
        <v>-28296416</v>
      </c>
      <c r="M170" s="1153">
        <f>L170*0.21</f>
        <v>-5942247.3599999994</v>
      </c>
      <c r="N170" s="1159">
        <v>0</v>
      </c>
      <c r="O170" s="1159">
        <v>0</v>
      </c>
      <c r="P170" s="1153">
        <f>M170+N170+O170</f>
        <v>-5942247.3599999994</v>
      </c>
      <c r="R170" s="1153">
        <f t="shared" si="76"/>
        <v>0</v>
      </c>
      <c r="S170" s="1149"/>
      <c r="T170" s="1155">
        <v>0</v>
      </c>
      <c r="U170" s="1149"/>
      <c r="V170" s="1155">
        <v>0</v>
      </c>
      <c r="W170" s="1149"/>
      <c r="X170" s="1153">
        <f t="shared" si="77"/>
        <v>0</v>
      </c>
      <c r="Y170" s="1149"/>
      <c r="Z170" s="1188" t="s">
        <v>458</v>
      </c>
      <c r="AA170" s="1151"/>
      <c r="AB170" s="1188" t="s">
        <v>1610</v>
      </c>
      <c r="AC170" s="1151"/>
      <c r="AD170" s="1152">
        <v>0</v>
      </c>
      <c r="AE170" s="1151"/>
      <c r="AF170" s="1153">
        <f t="shared" si="78"/>
        <v>0</v>
      </c>
      <c r="AG170" s="1151"/>
      <c r="AH170" s="1185">
        <v>282</v>
      </c>
      <c r="AI170" s="1188"/>
    </row>
    <row r="171" spans="2:35" s="1137" customFormat="1" ht="12.75">
      <c r="B171" s="1185">
        <f t="shared" si="79"/>
        <v>36</v>
      </c>
      <c r="C171" s="1186" t="s">
        <v>1654</v>
      </c>
      <c r="D171" s="1186" t="s">
        <v>1654</v>
      </c>
      <c r="E171" s="1187"/>
      <c r="F171" s="1155">
        <v>-2441203594.9078708</v>
      </c>
      <c r="G171" s="1153">
        <f t="shared" ref="G171:G179" si="80">F171*0.21</f>
        <v>-512652754.93065286</v>
      </c>
      <c r="H171" s="1159">
        <v>0</v>
      </c>
      <c r="I171" s="1159">
        <v>0</v>
      </c>
      <c r="J171" s="1153">
        <f t="shared" ref="J171:J179" si="81">G171+H171+I171</f>
        <v>-512652754.93065286</v>
      </c>
      <c r="K171" s="1149"/>
      <c r="L171" s="1155">
        <f t="shared" si="75"/>
        <v>-2441203594.9078708</v>
      </c>
      <c r="M171" s="1153">
        <f t="shared" ref="M171:M179" si="82">L171*0.21</f>
        <v>-512652754.93065286</v>
      </c>
      <c r="N171" s="1159">
        <v>0</v>
      </c>
      <c r="O171" s="1159">
        <v>0</v>
      </c>
      <c r="P171" s="1153">
        <f>M171+N171+O171</f>
        <v>-512652754.93065286</v>
      </c>
      <c r="R171" s="1153">
        <f t="shared" si="76"/>
        <v>0</v>
      </c>
      <c r="S171" s="1149"/>
      <c r="T171" s="1155">
        <v>0</v>
      </c>
      <c r="U171" s="1149"/>
      <c r="V171" s="1155">
        <v>0</v>
      </c>
      <c r="W171" s="1149"/>
      <c r="X171" s="1153">
        <f t="shared" si="77"/>
        <v>0</v>
      </c>
      <c r="Y171" s="1149"/>
      <c r="Z171" s="1188" t="s">
        <v>458</v>
      </c>
      <c r="AA171" s="1151"/>
      <c r="AB171" s="1188" t="s">
        <v>1610</v>
      </c>
      <c r="AC171" s="1151"/>
      <c r="AD171" s="1152">
        <v>0</v>
      </c>
      <c r="AE171" s="1151"/>
      <c r="AF171" s="1153">
        <f t="shared" si="78"/>
        <v>0</v>
      </c>
      <c r="AG171" s="1151"/>
      <c r="AH171" s="1185">
        <v>282</v>
      </c>
      <c r="AI171" s="1188"/>
    </row>
    <row r="172" spans="2:35" s="1137" customFormat="1" ht="12.75">
      <c r="B172" s="1185">
        <f t="shared" si="79"/>
        <v>37</v>
      </c>
      <c r="C172" s="1186" t="s">
        <v>1845</v>
      </c>
      <c r="D172" s="1186" t="s">
        <v>1845</v>
      </c>
      <c r="E172" s="1187"/>
      <c r="F172" s="1155">
        <v>-2150099317.9009051</v>
      </c>
      <c r="G172" s="1153">
        <f t="shared" si="80"/>
        <v>-451520856.75919008</v>
      </c>
      <c r="H172" s="1159">
        <v>0</v>
      </c>
      <c r="I172" s="1159">
        <v>0</v>
      </c>
      <c r="J172" s="1153">
        <f t="shared" si="81"/>
        <v>-451520856.75919008</v>
      </c>
      <c r="K172" s="1149"/>
      <c r="L172" s="1155">
        <f t="shared" si="75"/>
        <v>-2150099317.9009051</v>
      </c>
      <c r="M172" s="1153">
        <f t="shared" si="82"/>
        <v>-451520856.75919008</v>
      </c>
      <c r="N172" s="1159">
        <v>0</v>
      </c>
      <c r="O172" s="1159">
        <v>0</v>
      </c>
      <c r="P172" s="1153">
        <f>M172+N172+O172</f>
        <v>-451520856.75919008</v>
      </c>
      <c r="R172" s="1153">
        <f t="shared" si="76"/>
        <v>0</v>
      </c>
      <c r="S172" s="1149"/>
      <c r="T172" s="1155">
        <v>0</v>
      </c>
      <c r="U172" s="1149"/>
      <c r="V172" s="1155">
        <v>0</v>
      </c>
      <c r="W172" s="1149"/>
      <c r="X172" s="1153">
        <f t="shared" si="77"/>
        <v>0</v>
      </c>
      <c r="Y172" s="1149"/>
      <c r="Z172" s="1188" t="s">
        <v>458</v>
      </c>
      <c r="AA172" s="1151"/>
      <c r="AB172" s="1188" t="s">
        <v>1610</v>
      </c>
      <c r="AC172" s="1151"/>
      <c r="AD172" s="1152">
        <v>0</v>
      </c>
      <c r="AE172" s="1151"/>
      <c r="AF172" s="1153">
        <f t="shared" si="78"/>
        <v>0</v>
      </c>
      <c r="AG172" s="1151"/>
      <c r="AH172" s="1185">
        <v>282</v>
      </c>
      <c r="AI172" s="1188"/>
    </row>
    <row r="173" spans="2:35" s="1137" customFormat="1" ht="12.75">
      <c r="B173" s="1185">
        <f t="shared" si="79"/>
        <v>38</v>
      </c>
      <c r="C173" s="1186" t="s">
        <v>874</v>
      </c>
      <c r="D173" s="1186" t="s">
        <v>874</v>
      </c>
      <c r="E173" s="1187"/>
      <c r="F173" s="1155">
        <v>-144618886</v>
      </c>
      <c r="G173" s="1153">
        <f t="shared" si="80"/>
        <v>-30369966.059999999</v>
      </c>
      <c r="H173" s="1159">
        <v>0</v>
      </c>
      <c r="I173" s="1159">
        <v>0</v>
      </c>
      <c r="J173" s="1153">
        <f t="shared" si="81"/>
        <v>-30369966.059999999</v>
      </c>
      <c r="K173" s="1149"/>
      <c r="L173" s="1155">
        <f t="shared" si="75"/>
        <v>-144618886</v>
      </c>
      <c r="M173" s="1153">
        <f t="shared" si="82"/>
        <v>-30369966.059999999</v>
      </c>
      <c r="N173" s="1159">
        <v>0</v>
      </c>
      <c r="O173" s="1159">
        <v>0</v>
      </c>
      <c r="P173" s="1153">
        <f t="shared" ref="P173:P179" si="83">M173+N173+O173</f>
        <v>-30369966.059999999</v>
      </c>
      <c r="R173" s="1153">
        <f t="shared" si="76"/>
        <v>0</v>
      </c>
      <c r="S173" s="1149"/>
      <c r="T173" s="1155">
        <v>0</v>
      </c>
      <c r="U173" s="1149"/>
      <c r="V173" s="1155">
        <v>0</v>
      </c>
      <c r="W173" s="1149"/>
      <c r="X173" s="1153">
        <f t="shared" si="77"/>
        <v>0</v>
      </c>
      <c r="Y173" s="1149"/>
      <c r="Z173" s="1188" t="s">
        <v>458</v>
      </c>
      <c r="AA173" s="1151"/>
      <c r="AB173" s="1188" t="s">
        <v>1610</v>
      </c>
      <c r="AC173" s="1151"/>
      <c r="AD173" s="1152">
        <v>0</v>
      </c>
      <c r="AE173" s="1151"/>
      <c r="AF173" s="1153">
        <f t="shared" si="78"/>
        <v>0</v>
      </c>
      <c r="AG173" s="1151"/>
      <c r="AH173" s="1185">
        <v>282</v>
      </c>
      <c r="AI173" s="1188"/>
    </row>
    <row r="174" spans="2:35" s="1137" customFormat="1" ht="12.75">
      <c r="B174" s="1185">
        <f t="shared" si="79"/>
        <v>39</v>
      </c>
      <c r="C174" s="1186" t="s">
        <v>1846</v>
      </c>
      <c r="D174" s="1186" t="s">
        <v>1846</v>
      </c>
      <c r="E174" s="1187"/>
      <c r="F174" s="1155">
        <v>-673898</v>
      </c>
      <c r="G174" s="1153">
        <f t="shared" si="80"/>
        <v>-141518.57999999999</v>
      </c>
      <c r="H174" s="1159">
        <v>0</v>
      </c>
      <c r="I174" s="1159">
        <v>0</v>
      </c>
      <c r="J174" s="1153">
        <f t="shared" si="81"/>
        <v>-141518.57999999999</v>
      </c>
      <c r="K174" s="1149"/>
      <c r="L174" s="1155">
        <f t="shared" si="75"/>
        <v>-673898</v>
      </c>
      <c r="M174" s="1153">
        <f t="shared" si="82"/>
        <v>-141518.57999999999</v>
      </c>
      <c r="N174" s="1159">
        <v>0</v>
      </c>
      <c r="O174" s="1159">
        <v>0</v>
      </c>
      <c r="P174" s="1153">
        <f t="shared" si="83"/>
        <v>-141518.57999999999</v>
      </c>
      <c r="R174" s="1153">
        <f t="shared" si="76"/>
        <v>0</v>
      </c>
      <c r="S174" s="1149"/>
      <c r="T174" s="1155">
        <v>0</v>
      </c>
      <c r="U174" s="1149"/>
      <c r="V174" s="1155">
        <v>0</v>
      </c>
      <c r="W174" s="1149"/>
      <c r="X174" s="1153">
        <f t="shared" si="77"/>
        <v>0</v>
      </c>
      <c r="Y174" s="1149"/>
      <c r="Z174" s="1188" t="s">
        <v>458</v>
      </c>
      <c r="AA174" s="1151"/>
      <c r="AB174" s="1188" t="s">
        <v>1610</v>
      </c>
      <c r="AC174" s="1151"/>
      <c r="AD174" s="1152">
        <v>0</v>
      </c>
      <c r="AE174" s="1151"/>
      <c r="AF174" s="1153">
        <f t="shared" si="78"/>
        <v>0</v>
      </c>
      <c r="AG174" s="1151"/>
      <c r="AH174" s="1185">
        <v>282</v>
      </c>
      <c r="AI174" s="1188"/>
    </row>
    <row r="175" spans="2:35" s="1137" customFormat="1" ht="12.75">
      <c r="B175" s="1185">
        <f t="shared" si="79"/>
        <v>40</v>
      </c>
      <c r="C175" s="1186" t="s">
        <v>1655</v>
      </c>
      <c r="D175" s="1186" t="s">
        <v>1655</v>
      </c>
      <c r="E175" s="1187"/>
      <c r="F175" s="1155">
        <v>-1027219363.8718696</v>
      </c>
      <c r="G175" s="1153">
        <f t="shared" si="80"/>
        <v>-215716066.41309261</v>
      </c>
      <c r="H175" s="1159">
        <v>0</v>
      </c>
      <c r="I175" s="1159">
        <v>0</v>
      </c>
      <c r="J175" s="1153">
        <f t="shared" si="81"/>
        <v>-215716066.41309261</v>
      </c>
      <c r="K175" s="1149"/>
      <c r="L175" s="1155">
        <f t="shared" si="75"/>
        <v>-1027219363.8718696</v>
      </c>
      <c r="M175" s="1153">
        <f t="shared" si="82"/>
        <v>-215716066.41309261</v>
      </c>
      <c r="N175" s="1159">
        <v>0</v>
      </c>
      <c r="O175" s="1159">
        <v>0</v>
      </c>
      <c r="P175" s="1153">
        <f t="shared" si="83"/>
        <v>-215716066.41309261</v>
      </c>
      <c r="R175" s="1153">
        <f t="shared" si="76"/>
        <v>0</v>
      </c>
      <c r="S175" s="1149"/>
      <c r="T175" s="1155">
        <v>0</v>
      </c>
      <c r="U175" s="1149"/>
      <c r="V175" s="1155">
        <v>0</v>
      </c>
      <c r="W175" s="1149"/>
      <c r="X175" s="1153">
        <f t="shared" si="77"/>
        <v>0</v>
      </c>
      <c r="Y175" s="1149"/>
      <c r="Z175" s="1188" t="s">
        <v>458</v>
      </c>
      <c r="AA175" s="1151"/>
      <c r="AB175" s="1188" t="s">
        <v>1610</v>
      </c>
      <c r="AC175" s="1151"/>
      <c r="AD175" s="1152">
        <v>0</v>
      </c>
      <c r="AE175" s="1151"/>
      <c r="AF175" s="1153">
        <f t="shared" si="78"/>
        <v>0</v>
      </c>
      <c r="AG175" s="1151"/>
      <c r="AH175" s="1185">
        <v>282</v>
      </c>
      <c r="AI175" s="1188"/>
    </row>
    <row r="176" spans="2:35" s="1137" customFormat="1" ht="12.75">
      <c r="B176" s="1185">
        <f t="shared" si="79"/>
        <v>41</v>
      </c>
      <c r="C176" s="1186" t="s">
        <v>1847</v>
      </c>
      <c r="D176" s="1186" t="s">
        <v>1847</v>
      </c>
      <c r="E176" s="1187"/>
      <c r="F176" s="1155">
        <v>-1113403485.1289234</v>
      </c>
      <c r="G176" s="1153">
        <f t="shared" si="80"/>
        <v>-233814731.87707391</v>
      </c>
      <c r="H176" s="1159">
        <v>0</v>
      </c>
      <c r="I176" s="1159">
        <v>0</v>
      </c>
      <c r="J176" s="1153">
        <f t="shared" si="81"/>
        <v>-233814731.87707391</v>
      </c>
      <c r="K176" s="1149"/>
      <c r="L176" s="1155">
        <f t="shared" si="75"/>
        <v>-1113403485.1289234</v>
      </c>
      <c r="M176" s="1153">
        <f t="shared" si="82"/>
        <v>-233814731.87707391</v>
      </c>
      <c r="N176" s="1159">
        <v>0</v>
      </c>
      <c r="O176" s="1159">
        <v>0</v>
      </c>
      <c r="P176" s="1153">
        <f t="shared" si="83"/>
        <v>-233814731.87707391</v>
      </c>
      <c r="R176" s="1153">
        <f t="shared" si="76"/>
        <v>0</v>
      </c>
      <c r="S176" s="1149"/>
      <c r="T176" s="1155">
        <v>0</v>
      </c>
      <c r="U176" s="1149"/>
      <c r="V176" s="1155">
        <v>0</v>
      </c>
      <c r="W176" s="1149"/>
      <c r="X176" s="1153">
        <f t="shared" si="77"/>
        <v>0</v>
      </c>
      <c r="Y176" s="1149"/>
      <c r="Z176" s="1188" t="s">
        <v>458</v>
      </c>
      <c r="AA176" s="1151"/>
      <c r="AB176" s="1188" t="s">
        <v>1610</v>
      </c>
      <c r="AC176" s="1151"/>
      <c r="AD176" s="1152">
        <v>0</v>
      </c>
      <c r="AE176" s="1151"/>
      <c r="AF176" s="1153">
        <f t="shared" si="78"/>
        <v>0</v>
      </c>
      <c r="AG176" s="1151"/>
      <c r="AH176" s="1185">
        <v>282</v>
      </c>
      <c r="AI176" s="1188"/>
    </row>
    <row r="177" spans="2:37" s="1137" customFormat="1" ht="12.75">
      <c r="B177" s="1185">
        <f t="shared" si="79"/>
        <v>42</v>
      </c>
      <c r="C177" s="1186" t="s">
        <v>17</v>
      </c>
      <c r="D177" s="1186" t="s">
        <v>17</v>
      </c>
      <c r="E177" s="1187"/>
      <c r="F177" s="1155">
        <v>-776160746.66678596</v>
      </c>
      <c r="G177" s="1153">
        <f t="shared" si="80"/>
        <v>-162993756.80002505</v>
      </c>
      <c r="H177" s="1159">
        <v>0</v>
      </c>
      <c r="I177" s="1159">
        <v>0</v>
      </c>
      <c r="J177" s="1153">
        <f t="shared" si="81"/>
        <v>-162993756.80002505</v>
      </c>
      <c r="K177" s="1149"/>
      <c r="L177" s="1155">
        <f t="shared" si="75"/>
        <v>-776160746.66678596</v>
      </c>
      <c r="M177" s="1153">
        <f t="shared" si="82"/>
        <v>-162993756.80002505</v>
      </c>
      <c r="N177" s="1159">
        <v>0</v>
      </c>
      <c r="O177" s="1159">
        <v>0</v>
      </c>
      <c r="P177" s="1153">
        <f t="shared" si="83"/>
        <v>-162993756.80002505</v>
      </c>
      <c r="R177" s="1153">
        <f t="shared" si="76"/>
        <v>0</v>
      </c>
      <c r="S177" s="1149"/>
      <c r="T177" s="1155">
        <v>0</v>
      </c>
      <c r="U177" s="1149"/>
      <c r="V177" s="1155">
        <v>0</v>
      </c>
      <c r="W177" s="1149"/>
      <c r="X177" s="1153">
        <f t="shared" si="77"/>
        <v>0</v>
      </c>
      <c r="Y177" s="1149"/>
      <c r="Z177" s="1188" t="s">
        <v>849</v>
      </c>
      <c r="AA177" s="1151"/>
      <c r="AB177" s="1188" t="s">
        <v>1610</v>
      </c>
      <c r="AC177" s="1151"/>
      <c r="AD177" s="1152">
        <v>0</v>
      </c>
      <c r="AE177" s="1151"/>
      <c r="AF177" s="1153">
        <f t="shared" si="78"/>
        <v>0</v>
      </c>
      <c r="AG177" s="1151"/>
      <c r="AH177" s="1185">
        <v>282</v>
      </c>
      <c r="AI177" s="1188"/>
    </row>
    <row r="178" spans="2:37" s="1137" customFormat="1" ht="12.75">
      <c r="B178" s="1185">
        <f t="shared" si="79"/>
        <v>43</v>
      </c>
      <c r="C178" s="1186" t="s">
        <v>1848</v>
      </c>
      <c r="D178" s="1186" t="s">
        <v>1848</v>
      </c>
      <c r="E178" s="1187"/>
      <c r="F178" s="1155">
        <v>-174272957.75364223</v>
      </c>
      <c r="G178" s="1153">
        <f t="shared" si="80"/>
        <v>-36597321.128264867</v>
      </c>
      <c r="H178" s="1159">
        <v>0</v>
      </c>
      <c r="I178" s="1159">
        <v>0</v>
      </c>
      <c r="J178" s="1153">
        <f t="shared" si="81"/>
        <v>-36597321.128264867</v>
      </c>
      <c r="K178" s="1149"/>
      <c r="L178" s="1155">
        <f t="shared" si="75"/>
        <v>-174272957.75364223</v>
      </c>
      <c r="M178" s="1153">
        <f t="shared" si="82"/>
        <v>-36597321.128264867</v>
      </c>
      <c r="N178" s="1159">
        <v>0</v>
      </c>
      <c r="O178" s="1159">
        <v>0</v>
      </c>
      <c r="P178" s="1153">
        <f t="shared" si="83"/>
        <v>-36597321.128264867</v>
      </c>
      <c r="R178" s="1153">
        <f t="shared" si="76"/>
        <v>0</v>
      </c>
      <c r="S178" s="1149"/>
      <c r="T178" s="1155">
        <v>0</v>
      </c>
      <c r="U178" s="1149"/>
      <c r="V178" s="1155">
        <v>0</v>
      </c>
      <c r="W178" s="1149"/>
      <c r="X178" s="1153">
        <f t="shared" si="77"/>
        <v>0</v>
      </c>
      <c r="Y178" s="1149"/>
      <c r="Z178" s="1188" t="s">
        <v>849</v>
      </c>
      <c r="AA178" s="1151"/>
      <c r="AB178" s="1188" t="s">
        <v>1610</v>
      </c>
      <c r="AC178" s="1151"/>
      <c r="AD178" s="1152">
        <v>0</v>
      </c>
      <c r="AE178" s="1151"/>
      <c r="AF178" s="1153">
        <f t="shared" si="78"/>
        <v>0</v>
      </c>
      <c r="AG178" s="1151"/>
      <c r="AH178" s="1185">
        <v>283</v>
      </c>
      <c r="AI178" s="1188"/>
    </row>
    <row r="179" spans="2:37" s="1137" customFormat="1" ht="12.75">
      <c r="B179" s="1185">
        <f t="shared" si="79"/>
        <v>44</v>
      </c>
      <c r="C179" s="1186" t="s">
        <v>1657</v>
      </c>
      <c r="D179" s="1186" t="s">
        <v>1657</v>
      </c>
      <c r="E179" s="1187"/>
      <c r="F179" s="1155">
        <v>9158727</v>
      </c>
      <c r="G179" s="1153">
        <f t="shared" si="80"/>
        <v>1923332.67</v>
      </c>
      <c r="H179" s="1159">
        <v>0</v>
      </c>
      <c r="I179" s="1159">
        <v>0</v>
      </c>
      <c r="J179" s="1153">
        <f t="shared" si="81"/>
        <v>1923332.67</v>
      </c>
      <c r="K179" s="1154"/>
      <c r="L179" s="1155">
        <f t="shared" si="75"/>
        <v>9158727</v>
      </c>
      <c r="M179" s="1153">
        <f t="shared" si="82"/>
        <v>1923332.67</v>
      </c>
      <c r="N179" s="1159">
        <v>0</v>
      </c>
      <c r="O179" s="1159">
        <v>0</v>
      </c>
      <c r="P179" s="1153">
        <f t="shared" si="83"/>
        <v>1923332.67</v>
      </c>
      <c r="Q179" s="1156"/>
      <c r="R179" s="1153">
        <f t="shared" si="76"/>
        <v>0</v>
      </c>
      <c r="S179" s="1154"/>
      <c r="T179" s="1155">
        <v>0</v>
      </c>
      <c r="U179" s="1154"/>
      <c r="V179" s="1155">
        <v>0</v>
      </c>
      <c r="W179" s="1154"/>
      <c r="X179" s="1153">
        <f t="shared" si="77"/>
        <v>0</v>
      </c>
      <c r="Y179" s="1149"/>
      <c r="Z179" s="1188" t="s">
        <v>458</v>
      </c>
      <c r="AA179" s="1151"/>
      <c r="AB179" s="1188" t="s">
        <v>1610</v>
      </c>
      <c r="AC179" s="1151"/>
      <c r="AD179" s="1152">
        <v>0</v>
      </c>
      <c r="AE179" s="1151"/>
      <c r="AF179" s="1153">
        <f t="shared" si="78"/>
        <v>0</v>
      </c>
      <c r="AG179" s="1151"/>
      <c r="AH179" s="1185">
        <v>282</v>
      </c>
      <c r="AI179" s="1188"/>
    </row>
    <row r="180" spans="2:37" s="1137" customFormat="1">
      <c r="B180" s="1185">
        <f t="shared" si="79"/>
        <v>45</v>
      </c>
      <c r="C180" s="1190" t="s">
        <v>1849</v>
      </c>
      <c r="D180" s="1188"/>
      <c r="E180" s="1188"/>
      <c r="F180" s="1160">
        <f>SUM(F168:F179)</f>
        <v>-8090774398.2299967</v>
      </c>
      <c r="G180" s="1160">
        <f t="shared" ref="G180:J180" si="84">SUM(G168:G179)</f>
        <v>-1699062623.6282995</v>
      </c>
      <c r="H180" s="1160">
        <f t="shared" si="84"/>
        <v>0</v>
      </c>
      <c r="I180" s="1160">
        <f t="shared" si="84"/>
        <v>0</v>
      </c>
      <c r="J180" s="1160">
        <f t="shared" si="84"/>
        <v>-1699062623.6282995</v>
      </c>
      <c r="K180" s="1149"/>
      <c r="L180" s="1160">
        <f t="shared" ref="L180:P180" si="85">SUM(L168:L179)</f>
        <v>-8090774398.2299967</v>
      </c>
      <c r="M180" s="1160">
        <f t="shared" si="85"/>
        <v>-1699062623.6282995</v>
      </c>
      <c r="N180" s="1160">
        <f t="shared" si="85"/>
        <v>0</v>
      </c>
      <c r="O180" s="1160">
        <f t="shared" si="85"/>
        <v>0</v>
      </c>
      <c r="P180" s="1160">
        <f t="shared" si="85"/>
        <v>-1699062623.6282995</v>
      </c>
      <c r="R180" s="1160">
        <f t="shared" ref="R180" si="86">SUM(R168:R179)</f>
        <v>0</v>
      </c>
      <c r="S180" s="1160"/>
      <c r="T180" s="1160">
        <f>SUM(T168:T179)</f>
        <v>0</v>
      </c>
      <c r="U180" s="1160"/>
      <c r="V180" s="1160">
        <f t="shared" ref="V180" si="87">SUM(V168:V179)</f>
        <v>0</v>
      </c>
      <c r="W180" s="1161"/>
      <c r="X180" s="1160">
        <f t="shared" ref="X180" si="88">SUM(X168:X179)</f>
        <v>0</v>
      </c>
      <c r="Y180" s="1149"/>
      <c r="Z180" s="1188"/>
      <c r="AA180" s="1151"/>
      <c r="AB180" s="1188"/>
      <c r="AC180" s="1151"/>
      <c r="AD180" s="1152"/>
      <c r="AE180" s="1151"/>
      <c r="AF180" s="1160">
        <f t="shared" ref="AF180" si="89">SUM(AF168:AF179)</f>
        <v>0</v>
      </c>
      <c r="AG180" s="1151"/>
      <c r="AI180" s="1188"/>
    </row>
    <row r="181" spans="2:37" s="1137" customFormat="1" ht="13.9">
      <c r="B181" s="1188"/>
      <c r="C181" s="1191"/>
      <c r="D181" s="1188"/>
      <c r="E181" s="1188"/>
      <c r="F181" s="1148"/>
      <c r="G181" s="1148"/>
      <c r="H181" s="1148"/>
      <c r="I181" s="1148"/>
      <c r="J181" s="1148"/>
      <c r="K181" s="1149"/>
      <c r="L181" s="1148"/>
      <c r="M181" s="1148"/>
      <c r="N181" s="1148"/>
      <c r="O181" s="1148"/>
      <c r="P181" s="1148"/>
      <c r="R181" s="1148"/>
      <c r="S181" s="1149"/>
      <c r="T181" s="1148"/>
      <c r="U181" s="1149"/>
      <c r="V181" s="1148"/>
      <c r="W181" s="1149"/>
      <c r="X181" s="1148"/>
      <c r="Y181" s="1149"/>
      <c r="Z181" s="1188"/>
      <c r="AA181" s="1151"/>
      <c r="AB181" s="1188"/>
      <c r="AC181" s="1151"/>
      <c r="AD181" s="1152"/>
      <c r="AE181" s="1151"/>
      <c r="AF181" s="1148"/>
      <c r="AG181" s="1151"/>
      <c r="AI181" s="1188"/>
    </row>
    <row r="182" spans="2:37" s="1137" customFormat="1" ht="12.75">
      <c r="B182" s="1185">
        <f>B180+1</f>
        <v>46</v>
      </c>
      <c r="C182" s="1186" t="s">
        <v>1658</v>
      </c>
      <c r="D182" s="1186" t="s">
        <v>1658</v>
      </c>
      <c r="E182" s="1187"/>
      <c r="F182" s="1155"/>
      <c r="G182" s="1153"/>
      <c r="H182" s="1153"/>
      <c r="I182" s="1153"/>
      <c r="J182" s="1153"/>
      <c r="K182" s="1154"/>
      <c r="L182" s="1153"/>
      <c r="M182" s="1153"/>
      <c r="N182" s="1153"/>
      <c r="O182" s="1153"/>
      <c r="P182" s="1153"/>
      <c r="Q182" s="1156"/>
      <c r="R182" s="1153"/>
      <c r="S182" s="1154"/>
      <c r="T182" s="1155"/>
      <c r="U182" s="1154"/>
      <c r="V182" s="1155">
        <v>0</v>
      </c>
      <c r="W182" s="1149"/>
      <c r="X182" s="1153"/>
      <c r="Y182" s="1149"/>
      <c r="Z182" s="1188"/>
      <c r="AA182" s="1151"/>
      <c r="AB182" s="1188"/>
      <c r="AC182" s="1151"/>
      <c r="AD182" s="1152"/>
      <c r="AE182" s="1151"/>
      <c r="AF182" s="1153"/>
      <c r="AG182" s="1151"/>
      <c r="AH182" s="1185"/>
      <c r="AI182" s="1183"/>
    </row>
    <row r="183" spans="2:37" s="1137" customFormat="1" ht="12.75">
      <c r="B183" s="1185">
        <f t="shared" ref="B183:B194" si="90">B182+1</f>
        <v>47</v>
      </c>
      <c r="C183" s="1186" t="s">
        <v>702</v>
      </c>
      <c r="D183" s="1186" t="s">
        <v>702</v>
      </c>
      <c r="E183" s="1187" t="s">
        <v>1656</v>
      </c>
      <c r="F183" s="1155">
        <v>692248</v>
      </c>
      <c r="G183" s="1159">
        <v>0</v>
      </c>
      <c r="H183" s="1153">
        <f t="shared" ref="H183:H193" si="91">F183*0.0999</f>
        <v>69155.575200000007</v>
      </c>
      <c r="I183" s="1153">
        <f t="shared" ref="I183:I193" si="92">-H183*0.21</f>
        <v>-14522.670792000001</v>
      </c>
      <c r="J183" s="1153">
        <f t="shared" ref="J183:J193" si="93">G183+H183+I183</f>
        <v>54632.904408000002</v>
      </c>
      <c r="K183" s="1154"/>
      <c r="L183" s="1155">
        <f t="shared" ref="L183:L193" si="94">F183</f>
        <v>692248</v>
      </c>
      <c r="M183" s="1159">
        <v>0</v>
      </c>
      <c r="N183" s="1153">
        <f t="shared" ref="N183:N193" si="95">L183*0.0499</f>
        <v>34543.175199999998</v>
      </c>
      <c r="O183" s="1153">
        <f t="shared" ref="O183:O193" si="96">-N183*0.21</f>
        <v>-7254.0667919999996</v>
      </c>
      <c r="P183" s="1153">
        <f t="shared" ref="P183:P193" si="97">M183+N183+O183</f>
        <v>27289.108408</v>
      </c>
      <c r="Q183" s="1156"/>
      <c r="R183" s="1153">
        <f t="shared" ref="R183:R193" si="98">J183-P183</f>
        <v>27343.796000000002</v>
      </c>
      <c r="S183" s="1154"/>
      <c r="T183" s="1155">
        <v>27343.796000000002</v>
      </c>
      <c r="U183" s="1154"/>
      <c r="V183" s="1155">
        <v>0</v>
      </c>
      <c r="W183" s="1149"/>
      <c r="X183" s="1153">
        <f t="shared" ref="X183:X193" si="99">R183-T183-V183</f>
        <v>0</v>
      </c>
      <c r="Y183" s="1149"/>
      <c r="Z183" s="1188" t="s">
        <v>458</v>
      </c>
      <c r="AA183" s="1151"/>
      <c r="AB183" s="1188" t="s">
        <v>1610</v>
      </c>
      <c r="AC183" s="1151"/>
      <c r="AD183" s="1152">
        <v>0</v>
      </c>
      <c r="AE183" s="1151"/>
      <c r="AF183" s="1153">
        <f t="shared" ref="AF183:AF193" si="100">X183*AD183</f>
        <v>0</v>
      </c>
      <c r="AG183" s="1151"/>
      <c r="AH183" s="1185">
        <v>282</v>
      </c>
      <c r="AI183" s="1183"/>
    </row>
    <row r="184" spans="2:37" s="1137" customFormat="1" ht="12.75">
      <c r="B184" s="1185">
        <f t="shared" si="90"/>
        <v>48</v>
      </c>
      <c r="C184" s="1186" t="s">
        <v>1844</v>
      </c>
      <c r="D184" s="1186" t="s">
        <v>1844</v>
      </c>
      <c r="E184" s="1187" t="s">
        <v>1656</v>
      </c>
      <c r="F184" s="1155">
        <v>-261101565</v>
      </c>
      <c r="G184" s="1159">
        <v>0</v>
      </c>
      <c r="H184" s="1153">
        <f t="shared" si="91"/>
        <v>-26084046.343499999</v>
      </c>
      <c r="I184" s="1153">
        <f t="shared" si="92"/>
        <v>5477649.7321349997</v>
      </c>
      <c r="J184" s="1153">
        <f t="shared" si="93"/>
        <v>-20606396.611364998</v>
      </c>
      <c r="K184" s="1154"/>
      <c r="L184" s="1155">
        <f t="shared" si="94"/>
        <v>-261101565</v>
      </c>
      <c r="M184" s="1159">
        <v>0</v>
      </c>
      <c r="N184" s="1153">
        <f t="shared" si="95"/>
        <v>-13028968.093499999</v>
      </c>
      <c r="O184" s="1153">
        <f t="shared" si="96"/>
        <v>2736083.2996349996</v>
      </c>
      <c r="P184" s="1153">
        <f t="shared" si="97"/>
        <v>-10292884.793864999</v>
      </c>
      <c r="Q184" s="1156"/>
      <c r="R184" s="1153">
        <f t="shared" si="98"/>
        <v>-10313511.817499999</v>
      </c>
      <c r="S184" s="1154"/>
      <c r="T184" s="1155">
        <v>-10313511.817499999</v>
      </c>
      <c r="U184" s="1154"/>
      <c r="V184" s="1155">
        <v>0</v>
      </c>
      <c r="W184" s="1149"/>
      <c r="X184" s="1153">
        <f t="shared" si="99"/>
        <v>0</v>
      </c>
      <c r="Y184" s="1149"/>
      <c r="Z184" s="1188" t="s">
        <v>458</v>
      </c>
      <c r="AA184" s="1151"/>
      <c r="AB184" s="1188" t="s">
        <v>1610</v>
      </c>
      <c r="AC184" s="1151"/>
      <c r="AD184" s="1152">
        <v>0</v>
      </c>
      <c r="AE184" s="1151"/>
      <c r="AF184" s="1153">
        <f t="shared" si="100"/>
        <v>0</v>
      </c>
      <c r="AG184" s="1151"/>
      <c r="AH184" s="1185">
        <v>282</v>
      </c>
      <c r="AI184" s="1183"/>
      <c r="AJ184" s="1175"/>
    </row>
    <row r="185" spans="2:37" s="1137" customFormat="1" ht="12.75">
      <c r="B185" s="1185">
        <f t="shared" si="90"/>
        <v>49</v>
      </c>
      <c r="C185" s="1186" t="s">
        <v>1654</v>
      </c>
      <c r="D185" s="1186" t="s">
        <v>1654</v>
      </c>
      <c r="E185" s="1187" t="s">
        <v>1656</v>
      </c>
      <c r="F185" s="1155">
        <v>-41457071.867871761</v>
      </c>
      <c r="G185" s="1159">
        <v>0</v>
      </c>
      <c r="H185" s="1153">
        <f t="shared" si="91"/>
        <v>-4141561.479600389</v>
      </c>
      <c r="I185" s="1153">
        <f t="shared" si="92"/>
        <v>869727.91071608162</v>
      </c>
      <c r="J185" s="1153">
        <f t="shared" si="93"/>
        <v>-3271833.5688843075</v>
      </c>
      <c r="K185" s="1154"/>
      <c r="L185" s="1155">
        <f t="shared" si="94"/>
        <v>-41457071.867871761</v>
      </c>
      <c r="M185" s="1159">
        <v>0</v>
      </c>
      <c r="N185" s="1153">
        <f t="shared" si="95"/>
        <v>-2068707.8862068008</v>
      </c>
      <c r="O185" s="1153">
        <f t="shared" si="96"/>
        <v>434428.65610342816</v>
      </c>
      <c r="P185" s="1153">
        <f t="shared" si="97"/>
        <v>-1634279.2301033726</v>
      </c>
      <c r="Q185" s="1156"/>
      <c r="R185" s="1153">
        <f t="shared" si="98"/>
        <v>-1637554.3387809349</v>
      </c>
      <c r="S185" s="1154"/>
      <c r="T185" s="1155">
        <v>447952.73518287507</v>
      </c>
      <c r="U185" s="1154"/>
      <c r="V185" s="1155">
        <v>0</v>
      </c>
      <c r="W185" s="1149"/>
      <c r="X185" s="1153">
        <f t="shared" si="99"/>
        <v>-2085507.07396381</v>
      </c>
      <c r="Y185" s="1149"/>
      <c r="Z185" s="1188" t="s">
        <v>458</v>
      </c>
      <c r="AA185" s="1151"/>
      <c r="AB185" s="1188" t="s">
        <v>1610</v>
      </c>
      <c r="AC185" s="1151"/>
      <c r="AD185" s="1152">
        <v>0</v>
      </c>
      <c r="AE185" s="1151"/>
      <c r="AF185" s="1153">
        <f t="shared" si="100"/>
        <v>0</v>
      </c>
      <c r="AG185" s="1151"/>
      <c r="AH185" s="1185">
        <v>282</v>
      </c>
      <c r="AI185" s="1183"/>
      <c r="AK185" s="1171"/>
    </row>
    <row r="186" spans="2:37" s="1137" customFormat="1" ht="12.75">
      <c r="B186" s="1185">
        <f t="shared" si="90"/>
        <v>50</v>
      </c>
      <c r="C186" s="1186" t="s">
        <v>1845</v>
      </c>
      <c r="D186" s="1186" t="s">
        <v>1845</v>
      </c>
      <c r="E186" s="1187" t="s">
        <v>1656</v>
      </c>
      <c r="F186" s="1155">
        <v>-4145291072.2066197</v>
      </c>
      <c r="G186" s="1159">
        <v>0</v>
      </c>
      <c r="H186" s="1153">
        <f t="shared" si="91"/>
        <v>-414114578.11344135</v>
      </c>
      <c r="I186" s="1153">
        <f t="shared" si="92"/>
        <v>86964061.403822675</v>
      </c>
      <c r="J186" s="1153">
        <f t="shared" si="93"/>
        <v>-327150516.70961869</v>
      </c>
      <c r="K186" s="1154"/>
      <c r="L186" s="1155">
        <f t="shared" si="94"/>
        <v>-4145291072.2066197</v>
      </c>
      <c r="M186" s="1159">
        <v>0</v>
      </c>
      <c r="N186" s="1153">
        <f t="shared" si="95"/>
        <v>-206850024.50311032</v>
      </c>
      <c r="O186" s="1153">
        <f t="shared" si="96"/>
        <v>43438505.145653166</v>
      </c>
      <c r="P186" s="1153">
        <f t="shared" si="97"/>
        <v>-163411519.35745716</v>
      </c>
      <c r="Q186" s="1156"/>
      <c r="R186" s="1153">
        <f>J186-P186</f>
        <v>-163738997.35216153</v>
      </c>
      <c r="S186" s="1154"/>
      <c r="T186" s="1155">
        <v>-163738997.35216153</v>
      </c>
      <c r="U186" s="1154"/>
      <c r="V186" s="1155">
        <v>0</v>
      </c>
      <c r="W186" s="1149"/>
      <c r="X186" s="1153">
        <f t="shared" si="99"/>
        <v>0</v>
      </c>
      <c r="Y186" s="1149"/>
      <c r="Z186" s="1188" t="s">
        <v>458</v>
      </c>
      <c r="AA186" s="1151"/>
      <c r="AB186" s="1188" t="s">
        <v>1610</v>
      </c>
      <c r="AC186" s="1151"/>
      <c r="AD186" s="1152">
        <v>0</v>
      </c>
      <c r="AE186" s="1151"/>
      <c r="AF186" s="1153">
        <f t="shared" si="100"/>
        <v>0</v>
      </c>
      <c r="AG186" s="1151"/>
      <c r="AH186" s="1185">
        <v>282</v>
      </c>
      <c r="AI186" s="1183"/>
    </row>
    <row r="187" spans="2:37" s="1137" customFormat="1" ht="12.75">
      <c r="B187" s="1185">
        <f t="shared" si="90"/>
        <v>51</v>
      </c>
      <c r="C187" s="1186" t="s">
        <v>874</v>
      </c>
      <c r="D187" s="1186" t="s">
        <v>874</v>
      </c>
      <c r="E187" s="1187" t="s">
        <v>1656</v>
      </c>
      <c r="F187" s="1155">
        <v>-12977371</v>
      </c>
      <c r="G187" s="1159">
        <v>0</v>
      </c>
      <c r="H187" s="1153">
        <f t="shared" si="91"/>
        <v>-1296439.3629000001</v>
      </c>
      <c r="I187" s="1153">
        <f t="shared" si="92"/>
        <v>272252.26620900002</v>
      </c>
      <c r="J187" s="1153">
        <f t="shared" si="93"/>
        <v>-1024187.096691</v>
      </c>
      <c r="K187" s="1154"/>
      <c r="L187" s="1155">
        <f t="shared" si="94"/>
        <v>-12977371</v>
      </c>
      <c r="M187" s="1159">
        <v>0</v>
      </c>
      <c r="N187" s="1153">
        <f t="shared" si="95"/>
        <v>-647570.81290000002</v>
      </c>
      <c r="O187" s="1153">
        <f t="shared" si="96"/>
        <v>135989.87070900001</v>
      </c>
      <c r="P187" s="1153">
        <f t="shared" si="97"/>
        <v>-511580.94219099998</v>
      </c>
      <c r="Q187" s="1156"/>
      <c r="R187" s="1153">
        <f t="shared" si="98"/>
        <v>-512606.15450000006</v>
      </c>
      <c r="S187" s="1154"/>
      <c r="T187" s="1155">
        <f>R187</f>
        <v>-512606.15450000006</v>
      </c>
      <c r="U187" s="1154"/>
      <c r="V187" s="1155">
        <v>0</v>
      </c>
      <c r="W187" s="1149"/>
      <c r="X187" s="1153">
        <f t="shared" si="99"/>
        <v>0</v>
      </c>
      <c r="Y187" s="1149"/>
      <c r="Z187" s="1188" t="s">
        <v>458</v>
      </c>
      <c r="AA187" s="1151"/>
      <c r="AB187" s="1188" t="s">
        <v>1610</v>
      </c>
      <c r="AC187" s="1151"/>
      <c r="AD187" s="1152">
        <v>0</v>
      </c>
      <c r="AE187" s="1151"/>
      <c r="AF187" s="1153">
        <f t="shared" si="100"/>
        <v>0</v>
      </c>
      <c r="AG187" s="1151"/>
      <c r="AH187" s="1185">
        <v>282</v>
      </c>
      <c r="AI187" s="1183"/>
      <c r="AJ187" s="1175"/>
    </row>
    <row r="188" spans="2:37" s="1137" customFormat="1" ht="12.75">
      <c r="B188" s="1185">
        <f t="shared" si="90"/>
        <v>52</v>
      </c>
      <c r="C188" s="1186" t="s">
        <v>1846</v>
      </c>
      <c r="D188" s="1186" t="s">
        <v>1846</v>
      </c>
      <c r="E188" s="1187" t="s">
        <v>1656</v>
      </c>
      <c r="F188" s="1155">
        <v>-120619192</v>
      </c>
      <c r="G188" s="1159">
        <v>0</v>
      </c>
      <c r="H188" s="1153">
        <f t="shared" si="91"/>
        <v>-12049857.2808</v>
      </c>
      <c r="I188" s="1153">
        <f t="shared" si="92"/>
        <v>2530470.0289679999</v>
      </c>
      <c r="J188" s="1153">
        <f t="shared" si="93"/>
        <v>-9519387.2518320009</v>
      </c>
      <c r="K188" s="1154"/>
      <c r="L188" s="1155">
        <f t="shared" si="94"/>
        <v>-120619192</v>
      </c>
      <c r="M188" s="1159">
        <v>0</v>
      </c>
      <c r="N188" s="1153">
        <f t="shared" si="95"/>
        <v>-6018897.6808000002</v>
      </c>
      <c r="O188" s="1153">
        <f t="shared" si="96"/>
        <v>1263968.512968</v>
      </c>
      <c r="P188" s="1153">
        <f t="shared" si="97"/>
        <v>-4754929.1678320002</v>
      </c>
      <c r="Q188" s="1156"/>
      <c r="R188" s="1153">
        <f t="shared" si="98"/>
        <v>-4764458.0840000007</v>
      </c>
      <c r="S188" s="1154"/>
      <c r="T188" s="1155">
        <v>-4764458.0840000007</v>
      </c>
      <c r="U188" s="1154"/>
      <c r="V188" s="1155">
        <v>0</v>
      </c>
      <c r="W188" s="1149"/>
      <c r="X188" s="1153">
        <f t="shared" si="99"/>
        <v>0</v>
      </c>
      <c r="Y188" s="1149"/>
      <c r="Z188" s="1188" t="s">
        <v>458</v>
      </c>
      <c r="AA188" s="1151"/>
      <c r="AB188" s="1188" t="s">
        <v>1610</v>
      </c>
      <c r="AC188" s="1151"/>
      <c r="AD188" s="1152">
        <v>0</v>
      </c>
      <c r="AE188" s="1151"/>
      <c r="AF188" s="1153">
        <f t="shared" si="100"/>
        <v>0</v>
      </c>
      <c r="AG188" s="1151"/>
      <c r="AH188" s="1185">
        <v>282</v>
      </c>
      <c r="AI188" s="1183"/>
    </row>
    <row r="189" spans="2:37" s="1137" customFormat="1" ht="12.75">
      <c r="B189" s="1185">
        <f t="shared" si="90"/>
        <v>53</v>
      </c>
      <c r="C189" s="1186" t="s">
        <v>1655</v>
      </c>
      <c r="D189" s="1186" t="s">
        <v>1655</v>
      </c>
      <c r="E189" s="1187" t="s">
        <v>1656</v>
      </c>
      <c r="F189" s="1155">
        <v>-61932487.871869564</v>
      </c>
      <c r="G189" s="1159">
        <v>0</v>
      </c>
      <c r="H189" s="1153">
        <f t="shared" si="91"/>
        <v>-6187055.5383997699</v>
      </c>
      <c r="I189" s="1153">
        <f t="shared" si="92"/>
        <v>1299281.6630639515</v>
      </c>
      <c r="J189" s="1153">
        <f t="shared" si="93"/>
        <v>-4887773.8753358182</v>
      </c>
      <c r="K189" s="1154"/>
      <c r="L189" s="1155">
        <f t="shared" si="94"/>
        <v>-61932487.871869564</v>
      </c>
      <c r="M189" s="1159">
        <v>0</v>
      </c>
      <c r="N189" s="1153">
        <f t="shared" si="95"/>
        <v>-3090431.1448062914</v>
      </c>
      <c r="O189" s="1153">
        <f t="shared" si="96"/>
        <v>648990.5404093212</v>
      </c>
      <c r="P189" s="1153">
        <f t="shared" si="97"/>
        <v>-2441440.60439697</v>
      </c>
      <c r="Q189" s="1156"/>
      <c r="R189" s="1153">
        <f t="shared" si="98"/>
        <v>-2446333.2709388481</v>
      </c>
      <c r="S189" s="1154"/>
      <c r="T189" s="1155">
        <v>-6042.9789160000009</v>
      </c>
      <c r="U189" s="1154"/>
      <c r="V189" s="1155">
        <v>0</v>
      </c>
      <c r="W189" s="1149"/>
      <c r="X189" s="1153">
        <f t="shared" si="99"/>
        <v>-2440290.292022848</v>
      </c>
      <c r="Y189" s="1149"/>
      <c r="Z189" s="1188" t="s">
        <v>458</v>
      </c>
      <c r="AA189" s="1151"/>
      <c r="AB189" s="1188" t="s">
        <v>1610</v>
      </c>
      <c r="AC189" s="1151"/>
      <c r="AD189" s="1152">
        <v>0</v>
      </c>
      <c r="AE189" s="1151"/>
      <c r="AF189" s="1153">
        <f t="shared" si="100"/>
        <v>0</v>
      </c>
      <c r="AG189" s="1151"/>
      <c r="AH189" s="1185">
        <v>282</v>
      </c>
      <c r="AI189" s="1183"/>
    </row>
    <row r="190" spans="2:37" s="1137" customFormat="1" ht="12.75">
      <c r="B190" s="1185">
        <f t="shared" si="90"/>
        <v>54</v>
      </c>
      <c r="C190" s="1186" t="s">
        <v>1847</v>
      </c>
      <c r="D190" s="1186" t="s">
        <v>1847</v>
      </c>
      <c r="E190" s="1187" t="s">
        <v>1656</v>
      </c>
      <c r="F190" s="1155">
        <v>-1935682892.5126235</v>
      </c>
      <c r="G190" s="1159">
        <v>0</v>
      </c>
      <c r="H190" s="1153">
        <f t="shared" si="91"/>
        <v>-193374720.9620111</v>
      </c>
      <c r="I190" s="1153">
        <f t="shared" si="92"/>
        <v>40608691.402022332</v>
      </c>
      <c r="J190" s="1153">
        <f t="shared" si="93"/>
        <v>-152766029.55998877</v>
      </c>
      <c r="K190" s="1154"/>
      <c r="L190" s="1155">
        <f t="shared" si="94"/>
        <v>-1935682892.5126235</v>
      </c>
      <c r="M190" s="1159">
        <v>0</v>
      </c>
      <c r="N190" s="1153">
        <f t="shared" si="95"/>
        <v>-96590576.336379915</v>
      </c>
      <c r="O190" s="1153">
        <f t="shared" si="96"/>
        <v>20284021.030639783</v>
      </c>
      <c r="P190" s="1153">
        <f t="shared" si="97"/>
        <v>-76306555.305740133</v>
      </c>
      <c r="Q190" s="1156"/>
      <c r="R190" s="1153">
        <f t="shared" si="98"/>
        <v>-76459474.254248634</v>
      </c>
      <c r="S190" s="1154"/>
      <c r="T190" s="1155">
        <v>-76459474.254248634</v>
      </c>
      <c r="U190" s="1154"/>
      <c r="V190" s="1155">
        <v>0</v>
      </c>
      <c r="W190" s="1149"/>
      <c r="X190" s="1153">
        <f t="shared" si="99"/>
        <v>0</v>
      </c>
      <c r="Y190" s="1149"/>
      <c r="Z190" s="1188" t="s">
        <v>458</v>
      </c>
      <c r="AA190" s="1151"/>
      <c r="AB190" s="1188" t="s">
        <v>1610</v>
      </c>
      <c r="AC190" s="1151"/>
      <c r="AD190" s="1152">
        <v>0</v>
      </c>
      <c r="AE190" s="1151"/>
      <c r="AF190" s="1153">
        <f t="shared" si="100"/>
        <v>0</v>
      </c>
      <c r="AG190" s="1151"/>
      <c r="AH190" s="1185">
        <v>282</v>
      </c>
      <c r="AI190" s="1183"/>
    </row>
    <row r="191" spans="2:37" s="1137" customFormat="1" ht="12.75">
      <c r="B191" s="1185">
        <f t="shared" si="90"/>
        <v>55</v>
      </c>
      <c r="C191" s="1186" t="s">
        <v>17</v>
      </c>
      <c r="D191" s="1186" t="s">
        <v>17</v>
      </c>
      <c r="E191" s="1187" t="s">
        <v>1656</v>
      </c>
      <c r="F191" s="1155">
        <v>-767135789</v>
      </c>
      <c r="G191" s="1159">
        <v>0</v>
      </c>
      <c r="H191" s="1153">
        <f t="shared" si="91"/>
        <v>-76636865.321099997</v>
      </c>
      <c r="I191" s="1153">
        <f t="shared" si="92"/>
        <v>16093741.717431</v>
      </c>
      <c r="J191" s="1153">
        <f t="shared" si="93"/>
        <v>-60543123.603668995</v>
      </c>
      <c r="K191" s="1154"/>
      <c r="L191" s="1155">
        <f t="shared" si="94"/>
        <v>-767135789</v>
      </c>
      <c r="M191" s="1159">
        <v>0</v>
      </c>
      <c r="N191" s="1153">
        <f t="shared" si="95"/>
        <v>-38280075.871100001</v>
      </c>
      <c r="O191" s="1153">
        <f t="shared" si="96"/>
        <v>8038815.9329310004</v>
      </c>
      <c r="P191" s="1153">
        <f t="shared" si="97"/>
        <v>-30241259.938169003</v>
      </c>
      <c r="Q191" s="1156"/>
      <c r="R191" s="1153">
        <f t="shared" si="98"/>
        <v>-30301863.665499993</v>
      </c>
      <c r="S191" s="1154"/>
      <c r="T191" s="1155">
        <f>45473.602233125-2121</f>
        <v>43352.602233124999</v>
      </c>
      <c r="U191" s="1154"/>
      <c r="V191" s="1155">
        <v>0</v>
      </c>
      <c r="W191" s="1149"/>
      <c r="X191" s="1153">
        <f t="shared" si="99"/>
        <v>-30345216.267733119</v>
      </c>
      <c r="Y191" s="1149"/>
      <c r="Z191" s="1188" t="s">
        <v>849</v>
      </c>
      <c r="AA191" s="1151"/>
      <c r="AB191" s="1188" t="s">
        <v>1613</v>
      </c>
      <c r="AC191" s="1151"/>
      <c r="AD191" s="1152">
        <v>1</v>
      </c>
      <c r="AE191" s="1151"/>
      <c r="AF191" s="1153">
        <f t="shared" si="100"/>
        <v>-30345216.267733119</v>
      </c>
      <c r="AG191" s="1151"/>
      <c r="AH191" s="1185">
        <v>282</v>
      </c>
      <c r="AI191" s="1183"/>
    </row>
    <row r="192" spans="2:37" s="1137" customFormat="1" ht="12.75">
      <c r="B192" s="1185">
        <f t="shared" si="90"/>
        <v>56</v>
      </c>
      <c r="C192" s="1186" t="s">
        <v>1848</v>
      </c>
      <c r="D192" s="1186" t="s">
        <v>1848</v>
      </c>
      <c r="E192" s="1187" t="s">
        <v>1656</v>
      </c>
      <c r="F192" s="1155">
        <v>-45608689</v>
      </c>
      <c r="G192" s="1159">
        <v>0</v>
      </c>
      <c r="H192" s="1153">
        <f t="shared" si="91"/>
        <v>-4556308.0311000003</v>
      </c>
      <c r="I192" s="1153">
        <f t="shared" si="92"/>
        <v>956824.68653100007</v>
      </c>
      <c r="J192" s="1153">
        <f t="shared" si="93"/>
        <v>-3599483.3445690004</v>
      </c>
      <c r="K192" s="1154"/>
      <c r="L192" s="1155">
        <f t="shared" si="94"/>
        <v>-45608689</v>
      </c>
      <c r="M192" s="1159">
        <v>0</v>
      </c>
      <c r="N192" s="1153">
        <f t="shared" si="95"/>
        <v>-2275873.5811000001</v>
      </c>
      <c r="O192" s="1153">
        <f t="shared" si="96"/>
        <v>477933.45203099999</v>
      </c>
      <c r="P192" s="1153">
        <f t="shared" si="97"/>
        <v>-1797940.129069</v>
      </c>
      <c r="Q192" s="1156"/>
      <c r="R192" s="1153">
        <f t="shared" si="98"/>
        <v>-1801543.2155000004</v>
      </c>
      <c r="S192" s="1154"/>
      <c r="T192" s="1155">
        <v>-1801543.2136917773</v>
      </c>
      <c r="U192" s="1154"/>
      <c r="V192" s="1155">
        <v>0</v>
      </c>
      <c r="W192" s="1149"/>
      <c r="X192" s="1153">
        <f t="shared" si="99"/>
        <v>-1.8082230817526579E-3</v>
      </c>
      <c r="Y192" s="1149"/>
      <c r="Z192" s="1188" t="s">
        <v>849</v>
      </c>
      <c r="AA192" s="1151"/>
      <c r="AB192" s="1188" t="s">
        <v>1610</v>
      </c>
      <c r="AC192" s="1151"/>
      <c r="AD192" s="1152">
        <v>1</v>
      </c>
      <c r="AE192" s="1151"/>
      <c r="AF192" s="1153">
        <f t="shared" si="100"/>
        <v>-1.8082230817526579E-3</v>
      </c>
      <c r="AG192" s="1151"/>
      <c r="AH192" s="1185">
        <v>282</v>
      </c>
      <c r="AI192" s="1183"/>
    </row>
    <row r="193" spans="2:35" s="1137" customFormat="1" ht="12.75">
      <c r="B193" s="1185">
        <f t="shared" si="90"/>
        <v>57</v>
      </c>
      <c r="C193" s="1186" t="s">
        <v>1657</v>
      </c>
      <c r="D193" s="1186" t="s">
        <v>1657</v>
      </c>
      <c r="E193" s="1187" t="s">
        <v>1656</v>
      </c>
      <c r="F193" s="1155">
        <v>11774190</v>
      </c>
      <c r="G193" s="1159">
        <v>0</v>
      </c>
      <c r="H193" s="1153">
        <f t="shared" si="91"/>
        <v>1176241.581</v>
      </c>
      <c r="I193" s="1153">
        <f t="shared" si="92"/>
        <v>-247010.73200999998</v>
      </c>
      <c r="J193" s="1153">
        <f t="shared" si="93"/>
        <v>929230.84899000009</v>
      </c>
      <c r="K193" s="1154"/>
      <c r="L193" s="1155">
        <f t="shared" si="94"/>
        <v>11774190</v>
      </c>
      <c r="M193" s="1159">
        <v>0</v>
      </c>
      <c r="N193" s="1153">
        <f t="shared" si="95"/>
        <v>587532.08100000001</v>
      </c>
      <c r="O193" s="1153">
        <f t="shared" si="96"/>
        <v>-123381.73701</v>
      </c>
      <c r="P193" s="1153">
        <f t="shared" si="97"/>
        <v>464150.34399000002</v>
      </c>
      <c r="Q193" s="1156"/>
      <c r="R193" s="1153">
        <f t="shared" si="98"/>
        <v>465080.50500000006</v>
      </c>
      <c r="S193" s="1154"/>
      <c r="T193" s="1155">
        <v>465080.505</v>
      </c>
      <c r="U193" s="1154"/>
      <c r="V193" s="1155">
        <v>0</v>
      </c>
      <c r="W193" s="1154"/>
      <c r="X193" s="1153">
        <f t="shared" si="99"/>
        <v>5.8207660913467407E-11</v>
      </c>
      <c r="Y193" s="1149"/>
      <c r="Z193" s="1188" t="s">
        <v>458</v>
      </c>
      <c r="AA193" s="1151"/>
      <c r="AB193" s="1188" t="s">
        <v>1610</v>
      </c>
      <c r="AC193" s="1151"/>
      <c r="AD193" s="1152">
        <v>0</v>
      </c>
      <c r="AE193" s="1151"/>
      <c r="AF193" s="1153">
        <f t="shared" si="100"/>
        <v>0</v>
      </c>
      <c r="AG193" s="1151"/>
      <c r="AH193" s="1185">
        <v>282</v>
      </c>
      <c r="AI193" s="1183"/>
    </row>
    <row r="194" spans="2:35" s="1137" customFormat="1">
      <c r="B194" s="1185">
        <f t="shared" si="90"/>
        <v>58</v>
      </c>
      <c r="C194" s="1190" t="s">
        <v>1850</v>
      </c>
      <c r="D194" s="1188"/>
      <c r="E194" s="1188"/>
      <c r="F194" s="1160">
        <f>SUM(F182:F193)</f>
        <v>-7379339692.4589853</v>
      </c>
      <c r="G194" s="1160">
        <f t="shared" ref="G194:J194" si="101">SUM(G182:G193)</f>
        <v>0</v>
      </c>
      <c r="H194" s="1160">
        <f t="shared" si="101"/>
        <v>-737196035.27665269</v>
      </c>
      <c r="I194" s="1160">
        <f t="shared" si="101"/>
        <v>154811167.40809709</v>
      </c>
      <c r="J194" s="1160">
        <f t="shared" si="101"/>
        <v>-582384867.86855567</v>
      </c>
      <c r="K194" s="1149"/>
      <c r="L194" s="1160">
        <f t="shared" ref="L194:P194" si="102">SUM(L182:L193)</f>
        <v>-7379339692.4589853</v>
      </c>
      <c r="M194" s="1160">
        <f t="shared" si="102"/>
        <v>0</v>
      </c>
      <c r="N194" s="1160">
        <f t="shared" si="102"/>
        <v>-368229050.65370339</v>
      </c>
      <c r="O194" s="1160">
        <f t="shared" si="102"/>
        <v>77328100.637277707</v>
      </c>
      <c r="P194" s="1160">
        <f t="shared" si="102"/>
        <v>-290900950.01642555</v>
      </c>
      <c r="R194" s="1160">
        <f t="shared" ref="R194" si="103">SUM(R182:R193)</f>
        <v>-291483917.85212994</v>
      </c>
      <c r="S194" s="1160"/>
      <c r="T194" s="1160">
        <f t="shared" ref="T194" si="104">SUM(T182:T193)</f>
        <v>-256612904.21660191</v>
      </c>
      <c r="U194" s="1160"/>
      <c r="V194" s="1160">
        <f t="shared" ref="V194" si="105">SUM(V182:V193)</f>
        <v>0</v>
      </c>
      <c r="W194" s="1161"/>
      <c r="X194" s="1160">
        <f t="shared" ref="X194" si="106">SUM(X182:X193)</f>
        <v>-34871013.635528006</v>
      </c>
      <c r="Y194" s="1149"/>
      <c r="Z194" s="1188"/>
      <c r="AA194" s="1151"/>
      <c r="AB194" s="1188"/>
      <c r="AC194" s="1151"/>
      <c r="AD194" s="1152"/>
      <c r="AE194" s="1151"/>
      <c r="AF194" s="1160">
        <f t="shared" ref="AF194" si="107">SUM(AF182:AF193)</f>
        <v>-30345216.269541342</v>
      </c>
      <c r="AG194" s="1151"/>
      <c r="AI194" s="1188"/>
    </row>
    <row r="195" spans="2:35" s="1137" customFormat="1">
      <c r="B195" s="1185"/>
      <c r="C195" s="1190"/>
      <c r="D195" s="1183"/>
      <c r="E195" s="1188"/>
      <c r="F195" s="1153"/>
      <c r="G195" s="1153"/>
      <c r="H195" s="1153"/>
      <c r="I195" s="1153"/>
      <c r="J195" s="1153"/>
      <c r="K195" s="1154"/>
      <c r="L195" s="1153"/>
      <c r="M195" s="1153"/>
      <c r="N195" s="1153"/>
      <c r="O195" s="1153"/>
      <c r="P195" s="1153"/>
      <c r="Q195" s="1156"/>
      <c r="R195" s="1153"/>
      <c r="S195" s="1154"/>
      <c r="T195" s="1153"/>
      <c r="U195" s="1154"/>
      <c r="V195" s="1153"/>
      <c r="W195" s="1149"/>
      <c r="X195" s="1153"/>
      <c r="Y195" s="1149"/>
      <c r="Z195" s="1188"/>
      <c r="AA195" s="1151"/>
      <c r="AB195" s="1188"/>
      <c r="AC195" s="1151"/>
      <c r="AD195" s="1152"/>
      <c r="AE195" s="1151"/>
      <c r="AF195" s="1153"/>
      <c r="AG195" s="1151"/>
      <c r="AH195" s="1185"/>
      <c r="AI195" s="1183"/>
    </row>
    <row r="196" spans="2:35" s="1137" customFormat="1">
      <c r="B196" s="1185">
        <f>B194+1</f>
        <v>59</v>
      </c>
      <c r="C196" s="1190" t="s">
        <v>1660</v>
      </c>
      <c r="D196" s="1188"/>
      <c r="E196" s="1188"/>
      <c r="F196" s="1160">
        <f>F180+F194</f>
        <v>-15470114090.688982</v>
      </c>
      <c r="G196" s="1160">
        <f t="shared" ref="G196:X196" si="108">G180+G194</f>
        <v>-1699062623.6282995</v>
      </c>
      <c r="H196" s="1160">
        <f t="shared" si="108"/>
        <v>-737196035.27665269</v>
      </c>
      <c r="I196" s="1160">
        <f t="shared" si="108"/>
        <v>154811167.40809709</v>
      </c>
      <c r="J196" s="1160">
        <f t="shared" si="108"/>
        <v>-2281447491.4968553</v>
      </c>
      <c r="K196" s="1149"/>
      <c r="L196" s="1160">
        <f t="shared" si="108"/>
        <v>-15470114090.688982</v>
      </c>
      <c r="M196" s="1160">
        <f t="shared" si="108"/>
        <v>-1699062623.6282995</v>
      </c>
      <c r="N196" s="1160">
        <f t="shared" si="108"/>
        <v>-368229050.65370339</v>
      </c>
      <c r="O196" s="1160">
        <f t="shared" si="108"/>
        <v>77328100.637277707</v>
      </c>
      <c r="P196" s="1160">
        <f t="shared" si="108"/>
        <v>-1989963573.6447251</v>
      </c>
      <c r="R196" s="1160">
        <f t="shared" si="108"/>
        <v>-291483917.85212994</v>
      </c>
      <c r="S196" s="1149"/>
      <c r="T196" s="1160">
        <f>T180+T194</f>
        <v>-256612904.21660191</v>
      </c>
      <c r="U196" s="1149"/>
      <c r="V196" s="1160">
        <f t="shared" si="108"/>
        <v>0</v>
      </c>
      <c r="W196" s="1149"/>
      <c r="X196" s="1160">
        <f t="shared" si="108"/>
        <v>-34871013.635528006</v>
      </c>
      <c r="Y196" s="1149"/>
      <c r="Z196" s="1188"/>
      <c r="AA196" s="1151"/>
      <c r="AB196" s="1188"/>
      <c r="AC196" s="1151"/>
      <c r="AD196" s="1152"/>
      <c r="AE196" s="1151"/>
      <c r="AF196" s="1160">
        <f t="shared" ref="AF196" si="109">AF180+AF194</f>
        <v>-30345216.269541342</v>
      </c>
      <c r="AG196" s="1151"/>
      <c r="AI196" s="1188"/>
    </row>
    <row r="197" spans="2:35" s="1137" customFormat="1" ht="12.75">
      <c r="B197" s="1185"/>
      <c r="C197" s="1188"/>
      <c r="D197" s="1188"/>
      <c r="E197" s="1188"/>
      <c r="F197" s="1148"/>
      <c r="G197" s="1148"/>
      <c r="H197" s="1148"/>
      <c r="I197" s="1148"/>
      <c r="J197" s="1148"/>
      <c r="K197" s="1149"/>
      <c r="L197" s="1148"/>
      <c r="M197" s="1148"/>
      <c r="N197" s="1148"/>
      <c r="O197" s="1148"/>
      <c r="P197" s="1148"/>
      <c r="R197" s="1148"/>
      <c r="S197" s="1149"/>
      <c r="T197" s="1148"/>
      <c r="U197" s="1149"/>
      <c r="V197" s="1148"/>
      <c r="W197" s="1149"/>
      <c r="X197" s="1148"/>
      <c r="Y197" s="1149"/>
      <c r="Z197" s="1188"/>
      <c r="AA197" s="1151"/>
      <c r="AB197" s="1188"/>
      <c r="AC197" s="1151"/>
      <c r="AD197" s="1152"/>
      <c r="AE197" s="1151"/>
      <c r="AF197" s="1148"/>
      <c r="AG197" s="1151"/>
      <c r="AI197" s="1188"/>
    </row>
    <row r="198" spans="2:35" s="1137" customFormat="1" ht="13.9">
      <c r="B198" s="1185"/>
      <c r="C198" s="1191" t="s">
        <v>1851</v>
      </c>
      <c r="D198" s="1188"/>
      <c r="E198" s="1188"/>
      <c r="F198" s="1148"/>
      <c r="G198" s="1148"/>
      <c r="H198" s="1148"/>
      <c r="I198" s="1148"/>
      <c r="J198" s="1148"/>
      <c r="K198" s="1149"/>
      <c r="L198" s="1148"/>
      <c r="M198" s="1148"/>
      <c r="N198" s="1148"/>
      <c r="O198" s="1148"/>
      <c r="P198" s="1148"/>
      <c r="R198" s="1148"/>
      <c r="S198" s="1149"/>
      <c r="T198" s="1148"/>
      <c r="U198" s="1149"/>
      <c r="V198" s="1148"/>
      <c r="W198" s="1149"/>
      <c r="X198" s="1148"/>
      <c r="Y198" s="1149"/>
      <c r="Z198" s="1188"/>
      <c r="AA198" s="1151"/>
      <c r="AB198" s="1188"/>
      <c r="AC198" s="1151"/>
      <c r="AD198" s="1152"/>
      <c r="AE198" s="1151"/>
      <c r="AF198" s="1148"/>
      <c r="AG198" s="1151"/>
      <c r="AI198" s="1188"/>
    </row>
    <row r="199" spans="2:35" s="1137" customFormat="1" ht="12.75">
      <c r="B199" s="1185">
        <f>B196+1</f>
        <v>60</v>
      </c>
      <c r="C199" s="1186" t="s">
        <v>1547</v>
      </c>
      <c r="D199" s="1186" t="s">
        <v>1547</v>
      </c>
      <c r="E199" s="1187" t="s">
        <v>1608</v>
      </c>
      <c r="F199" s="1187">
        <v>-7543761</v>
      </c>
      <c r="G199" s="1148">
        <f>F199*0.21</f>
        <v>-1584189.81</v>
      </c>
      <c r="H199" s="1148">
        <f>F199*0.0999</f>
        <v>-753621.72389999998</v>
      </c>
      <c r="I199" s="1148">
        <f t="shared" ref="I199:I219" si="110">-H199*0.21</f>
        <v>158260.562019</v>
      </c>
      <c r="J199" s="1148">
        <f>G199+H199+I199</f>
        <v>-2179550.9718810003</v>
      </c>
      <c r="K199" s="1149"/>
      <c r="L199" s="1163">
        <f t="shared" ref="L199:L205" si="111">F199</f>
        <v>-7543761</v>
      </c>
      <c r="M199" s="1148">
        <f>L199*0.21</f>
        <v>-1584189.81</v>
      </c>
      <c r="N199" s="1148">
        <f>L199*0.0499</f>
        <v>-376433.67389999999</v>
      </c>
      <c r="O199" s="1148">
        <f t="shared" ref="O199:O219" si="112">-N199*0.21</f>
        <v>79051.07151899999</v>
      </c>
      <c r="P199" s="1148">
        <f>M199+N199+O199</f>
        <v>-1881572.4123810001</v>
      </c>
      <c r="R199" s="1148">
        <f t="shared" ref="R199:R219" si="113">J199-P199</f>
        <v>-297978.55950000021</v>
      </c>
      <c r="S199" s="1149"/>
      <c r="T199" s="1150">
        <v>-297978.55950000003</v>
      </c>
      <c r="U199" s="1149"/>
      <c r="V199" s="1150">
        <v>0</v>
      </c>
      <c r="W199" s="1149"/>
      <c r="X199" s="1148">
        <f t="shared" ref="X199:X219" si="114">R199-T199-V199</f>
        <v>-1.7462298274040222E-10</v>
      </c>
      <c r="Y199" s="1149"/>
      <c r="Z199" s="1188" t="s">
        <v>1609</v>
      </c>
      <c r="AA199" s="1151"/>
      <c r="AB199" s="1188" t="s">
        <v>1610</v>
      </c>
      <c r="AC199" s="1151"/>
      <c r="AD199" s="1152">
        <v>0</v>
      </c>
      <c r="AE199" s="1151"/>
      <c r="AF199" s="1148">
        <f t="shared" ref="AF199:AF213" si="115">X199*AD199</f>
        <v>0</v>
      </c>
      <c r="AG199" s="1151"/>
      <c r="AH199" s="1185">
        <v>283</v>
      </c>
      <c r="AI199" s="1183"/>
    </row>
    <row r="200" spans="2:35" s="1137" customFormat="1" ht="12.75">
      <c r="B200" s="1185">
        <f t="shared" ref="B200:B220" si="116">+B199+1</f>
        <v>61</v>
      </c>
      <c r="C200" s="1186" t="s">
        <v>1663</v>
      </c>
      <c r="D200" s="1186" t="s">
        <v>1663</v>
      </c>
      <c r="E200" s="1187" t="s">
        <v>1608</v>
      </c>
      <c r="F200" s="1187">
        <v>-933029</v>
      </c>
      <c r="G200" s="1153">
        <f>F200*0.21</f>
        <v>-195936.09</v>
      </c>
      <c r="H200" s="1153">
        <f>F200*0.0999</f>
        <v>-93209.597099999999</v>
      </c>
      <c r="I200" s="1153">
        <f t="shared" si="110"/>
        <v>19574.015391000001</v>
      </c>
      <c r="J200" s="1153">
        <f t="shared" ref="J200:J219" si="117">G200+H200+I200</f>
        <v>-269571.67170899996</v>
      </c>
      <c r="K200" s="1154"/>
      <c r="L200" s="1155">
        <f t="shared" si="111"/>
        <v>-933029</v>
      </c>
      <c r="M200" s="1153">
        <f>L200*0.21</f>
        <v>-195936.09</v>
      </c>
      <c r="N200" s="1153">
        <f>L200*0.0499</f>
        <v>-46558.147100000002</v>
      </c>
      <c r="O200" s="1153">
        <f t="shared" si="112"/>
        <v>9777.2108910000006</v>
      </c>
      <c r="P200" s="1153">
        <f>M200+N200+O200</f>
        <v>-232717.026209</v>
      </c>
      <c r="Q200" s="1156"/>
      <c r="R200" s="1153">
        <f t="shared" si="113"/>
        <v>-36854.645499999955</v>
      </c>
      <c r="S200" s="1154"/>
      <c r="T200" s="1155">
        <v>-8144.8679259999999</v>
      </c>
      <c r="U200" s="1154"/>
      <c r="V200" s="1155">
        <v>0</v>
      </c>
      <c r="W200" s="1154"/>
      <c r="X200" s="1153">
        <f t="shared" si="114"/>
        <v>-28709.777573999956</v>
      </c>
      <c r="Y200" s="1149"/>
      <c r="Z200" s="1188" t="s">
        <v>458</v>
      </c>
      <c r="AA200" s="1151"/>
      <c r="AB200" s="1188" t="s">
        <v>1613</v>
      </c>
      <c r="AC200" s="1151"/>
      <c r="AD200" s="1158">
        <v>0.18031270395224416</v>
      </c>
      <c r="AE200" s="1151"/>
      <c r="AF200" s="1153">
        <f t="shared" si="115"/>
        <v>-5176.737624235433</v>
      </c>
      <c r="AG200" s="1151"/>
      <c r="AH200" s="1185">
        <v>283</v>
      </c>
      <c r="AI200" s="1183"/>
    </row>
    <row r="201" spans="2:35" s="1137" customFormat="1" ht="12.75">
      <c r="B201" s="1185">
        <f t="shared" si="116"/>
        <v>62</v>
      </c>
      <c r="C201" s="1186" t="s">
        <v>1852</v>
      </c>
      <c r="D201" s="1186" t="s">
        <v>1852</v>
      </c>
      <c r="E201" s="1187" t="s">
        <v>1608</v>
      </c>
      <c r="F201" s="1187">
        <v>-11336586</v>
      </c>
      <c r="G201" s="1153">
        <f t="shared" ref="G201:G219" si="118">F201*0.21</f>
        <v>-2380683.06</v>
      </c>
      <c r="H201" s="1153">
        <f t="shared" ref="H201:H219" si="119">F201*0.0999</f>
        <v>-1132524.9414000001</v>
      </c>
      <c r="I201" s="1153">
        <f t="shared" si="110"/>
        <v>237830.23769400001</v>
      </c>
      <c r="J201" s="1153">
        <f t="shared" si="117"/>
        <v>-3275377.7637060005</v>
      </c>
      <c r="K201" s="1154"/>
      <c r="L201" s="1155">
        <f t="shared" si="111"/>
        <v>-11336586</v>
      </c>
      <c r="M201" s="1153">
        <f t="shared" ref="M201:M219" si="120">L201*0.21</f>
        <v>-2380683.06</v>
      </c>
      <c r="N201" s="1153">
        <f t="shared" ref="N201:N219" si="121">L201*0.0499</f>
        <v>-565695.64139999996</v>
      </c>
      <c r="O201" s="1153">
        <f t="shared" si="112"/>
        <v>118796.08469399999</v>
      </c>
      <c r="P201" s="1153">
        <f t="shared" ref="P201:P219" si="122">M201+N201+O201</f>
        <v>-2827582.6167060002</v>
      </c>
      <c r="Q201" s="1156"/>
      <c r="R201" s="1153">
        <f t="shared" si="113"/>
        <v>-447795.14700000035</v>
      </c>
      <c r="S201" s="1154"/>
      <c r="T201" s="1155">
        <v>-98962.718757500028</v>
      </c>
      <c r="U201" s="1154"/>
      <c r="V201" s="1155">
        <v>0</v>
      </c>
      <c r="W201" s="1154"/>
      <c r="X201" s="1153">
        <f t="shared" si="114"/>
        <v>-348832.42824250029</v>
      </c>
      <c r="Y201" s="1149"/>
      <c r="Z201" s="1188" t="s">
        <v>458</v>
      </c>
      <c r="AA201" s="1151"/>
      <c r="AB201" s="1188" t="s">
        <v>1613</v>
      </c>
      <c r="AC201" s="1151"/>
      <c r="AD201" s="1158">
        <v>0.18031270395224416</v>
      </c>
      <c r="AE201" s="1151"/>
      <c r="AF201" s="1153">
        <f t="shared" si="115"/>
        <v>-62898.918362632408</v>
      </c>
      <c r="AG201" s="1151"/>
      <c r="AH201" s="1185">
        <v>283</v>
      </c>
      <c r="AI201" s="1183"/>
    </row>
    <row r="202" spans="2:35" s="1137" customFormat="1" ht="12.75">
      <c r="B202" s="1185">
        <f t="shared" si="116"/>
        <v>63</v>
      </c>
      <c r="C202" s="1186" t="s">
        <v>1853</v>
      </c>
      <c r="D202" s="1186" t="s">
        <v>1853</v>
      </c>
      <c r="E202" s="1187" t="s">
        <v>1608</v>
      </c>
      <c r="F202" s="1187">
        <v>-33588716</v>
      </c>
      <c r="G202" s="1153">
        <f t="shared" si="118"/>
        <v>-7053630.3599999994</v>
      </c>
      <c r="H202" s="1153">
        <f t="shared" si="119"/>
        <v>-3355512.7283999999</v>
      </c>
      <c r="I202" s="1153">
        <f t="shared" si="110"/>
        <v>704657.67296399991</v>
      </c>
      <c r="J202" s="1153">
        <f t="shared" si="117"/>
        <v>-9704485.4154359996</v>
      </c>
      <c r="K202" s="1154"/>
      <c r="L202" s="1155">
        <f t="shared" si="111"/>
        <v>-33588716</v>
      </c>
      <c r="M202" s="1153">
        <f t="shared" si="120"/>
        <v>-7053630.3599999994</v>
      </c>
      <c r="N202" s="1153">
        <f t="shared" si="121"/>
        <v>-1676076.9284000001</v>
      </c>
      <c r="O202" s="1153">
        <f t="shared" si="112"/>
        <v>351976.15496399999</v>
      </c>
      <c r="P202" s="1153">
        <f t="shared" si="122"/>
        <v>-8377731.133436</v>
      </c>
      <c r="Q202" s="1156"/>
      <c r="R202" s="1153">
        <f t="shared" si="113"/>
        <v>-1326754.2819999997</v>
      </c>
      <c r="S202" s="1154"/>
      <c r="T202" s="1155">
        <v>-1326754.2820000001</v>
      </c>
      <c r="U202" s="1154"/>
      <c r="V202" s="1155">
        <v>0</v>
      </c>
      <c r="W202" s="1154"/>
      <c r="X202" s="1153">
        <f t="shared" si="114"/>
        <v>4.6566128730773926E-10</v>
      </c>
      <c r="Y202" s="1149"/>
      <c r="Z202" s="1188" t="s">
        <v>952</v>
      </c>
      <c r="AA202" s="1151"/>
      <c r="AB202" s="1188" t="s">
        <v>1610</v>
      </c>
      <c r="AC202" s="1151"/>
      <c r="AD202" s="1152">
        <v>0</v>
      </c>
      <c r="AE202" s="1151"/>
      <c r="AF202" s="1153">
        <f t="shared" si="115"/>
        <v>0</v>
      </c>
      <c r="AG202" s="1151"/>
      <c r="AH202" s="1185">
        <v>283</v>
      </c>
      <c r="AI202" s="1183"/>
    </row>
    <row r="203" spans="2:35" s="1137" customFormat="1" ht="12.75">
      <c r="B203" s="1185">
        <f t="shared" si="116"/>
        <v>64</v>
      </c>
      <c r="C203" s="1186" t="s">
        <v>1666</v>
      </c>
      <c r="D203" s="1186" t="s">
        <v>1666</v>
      </c>
      <c r="E203" s="1187" t="s">
        <v>1608</v>
      </c>
      <c r="F203" s="1187">
        <v>-1616242</v>
      </c>
      <c r="G203" s="1153">
        <f t="shared" si="118"/>
        <v>-339410.82</v>
      </c>
      <c r="H203" s="1153">
        <f t="shared" si="119"/>
        <v>-161462.57579999999</v>
      </c>
      <c r="I203" s="1153">
        <f t="shared" si="110"/>
        <v>33907.140917999997</v>
      </c>
      <c r="J203" s="1153">
        <f t="shared" si="117"/>
        <v>-466966.25488199998</v>
      </c>
      <c r="K203" s="1154"/>
      <c r="L203" s="1155">
        <f t="shared" si="111"/>
        <v>-1616242</v>
      </c>
      <c r="M203" s="1153">
        <f t="shared" si="120"/>
        <v>-339410.82</v>
      </c>
      <c r="N203" s="1153">
        <f t="shared" si="121"/>
        <v>-80650.4758</v>
      </c>
      <c r="O203" s="1153">
        <f t="shared" si="112"/>
        <v>16936.599918</v>
      </c>
      <c r="P203" s="1153">
        <f t="shared" si="122"/>
        <v>-403124.69588200003</v>
      </c>
      <c r="Q203" s="1156"/>
      <c r="R203" s="1153">
        <f t="shared" si="113"/>
        <v>-63841.55899999995</v>
      </c>
      <c r="S203" s="1154"/>
      <c r="T203" s="1155">
        <v>-63841.559000000008</v>
      </c>
      <c r="U203" s="1154"/>
      <c r="V203" s="1155">
        <v>0</v>
      </c>
      <c r="W203" s="1154"/>
      <c r="X203" s="1153">
        <f t="shared" si="114"/>
        <v>5.8207660913467407E-11</v>
      </c>
      <c r="Y203" s="1149"/>
      <c r="Z203" s="1188" t="s">
        <v>1609</v>
      </c>
      <c r="AA203" s="1151"/>
      <c r="AB203" s="1188" t="s">
        <v>1610</v>
      </c>
      <c r="AC203" s="1151"/>
      <c r="AD203" s="1152">
        <v>0</v>
      </c>
      <c r="AE203" s="1151"/>
      <c r="AF203" s="1153">
        <f t="shared" si="115"/>
        <v>0</v>
      </c>
      <c r="AG203" s="1151"/>
      <c r="AH203" s="1185">
        <v>283</v>
      </c>
      <c r="AI203" s="1183"/>
    </row>
    <row r="204" spans="2:35" s="1137" customFormat="1" ht="12.75">
      <c r="B204" s="1185">
        <f t="shared" si="116"/>
        <v>65</v>
      </c>
      <c r="C204" s="1186" t="s">
        <v>1667</v>
      </c>
      <c r="D204" s="1186" t="s">
        <v>1667</v>
      </c>
      <c r="E204" s="1187" t="s">
        <v>1608</v>
      </c>
      <c r="F204" s="1187">
        <v>-806670</v>
      </c>
      <c r="G204" s="1153">
        <f t="shared" si="118"/>
        <v>-169400.69999999998</v>
      </c>
      <c r="H204" s="1153">
        <f t="shared" si="119"/>
        <v>-80586.332999999999</v>
      </c>
      <c r="I204" s="1153">
        <f t="shared" si="110"/>
        <v>16923.129929999999</v>
      </c>
      <c r="J204" s="1153">
        <f t="shared" si="117"/>
        <v>-233063.90307</v>
      </c>
      <c r="K204" s="1154"/>
      <c r="L204" s="1155">
        <f t="shared" si="111"/>
        <v>-806670</v>
      </c>
      <c r="M204" s="1153">
        <f t="shared" si="120"/>
        <v>-169400.69999999998</v>
      </c>
      <c r="N204" s="1153">
        <f t="shared" si="121"/>
        <v>-40252.832999999999</v>
      </c>
      <c r="O204" s="1153">
        <f t="shared" si="112"/>
        <v>8453.0949299999993</v>
      </c>
      <c r="P204" s="1153">
        <f t="shared" si="122"/>
        <v>-201200.43807</v>
      </c>
      <c r="Q204" s="1156"/>
      <c r="R204" s="1153">
        <f t="shared" si="113"/>
        <v>-31863.464999999997</v>
      </c>
      <c r="S204" s="1154"/>
      <c r="T204" s="1155">
        <v>-31863.465</v>
      </c>
      <c r="U204" s="1154"/>
      <c r="V204" s="1155">
        <v>0</v>
      </c>
      <c r="W204" s="1154"/>
      <c r="X204" s="1153">
        <f t="shared" si="114"/>
        <v>3.637978807091713E-12</v>
      </c>
      <c r="Y204" s="1149"/>
      <c r="Z204" s="1188" t="s">
        <v>1609</v>
      </c>
      <c r="AA204" s="1151"/>
      <c r="AB204" s="1188" t="s">
        <v>1610</v>
      </c>
      <c r="AC204" s="1151"/>
      <c r="AD204" s="1152">
        <v>0</v>
      </c>
      <c r="AE204" s="1151"/>
      <c r="AF204" s="1153">
        <f t="shared" si="115"/>
        <v>0</v>
      </c>
      <c r="AG204" s="1151"/>
      <c r="AH204" s="1185">
        <v>283</v>
      </c>
      <c r="AI204" s="1183"/>
    </row>
    <row r="205" spans="2:35" s="1137" customFormat="1" ht="12.75">
      <c r="B205" s="1185">
        <f t="shared" si="116"/>
        <v>66</v>
      </c>
      <c r="C205" s="1186" t="s">
        <v>1854</v>
      </c>
      <c r="D205" s="1186" t="s">
        <v>1854</v>
      </c>
      <c r="E205" s="1187" t="s">
        <v>1608</v>
      </c>
      <c r="F205" s="1155">
        <v>-875554442.54000008</v>
      </c>
      <c r="G205" s="1153">
        <f t="shared" si="118"/>
        <v>-183866432.93340001</v>
      </c>
      <c r="H205" s="1153">
        <f t="shared" si="119"/>
        <v>-87467888.809746012</v>
      </c>
      <c r="I205" s="1153">
        <f t="shared" si="110"/>
        <v>18368256.650046661</v>
      </c>
      <c r="J205" s="1153">
        <f t="shared" si="117"/>
        <v>-252966065.09309936</v>
      </c>
      <c r="K205" s="1154"/>
      <c r="L205" s="1155">
        <f t="shared" si="111"/>
        <v>-875554442.54000008</v>
      </c>
      <c r="M205" s="1153">
        <f t="shared" si="120"/>
        <v>-183866432.93340001</v>
      </c>
      <c r="N205" s="1153">
        <f t="shared" si="121"/>
        <v>-43690166.682746001</v>
      </c>
      <c r="O205" s="1153">
        <f t="shared" si="112"/>
        <v>9174935.003376659</v>
      </c>
      <c r="P205" s="1153">
        <f t="shared" si="122"/>
        <v>-218381664.61276934</v>
      </c>
      <c r="Q205" s="1156"/>
      <c r="R205" s="1153">
        <f>J205-P205</f>
        <v>-34584400.48033002</v>
      </c>
      <c r="S205" s="1154"/>
      <c r="T205" s="1155">
        <v>0</v>
      </c>
      <c r="U205" s="1154"/>
      <c r="V205" s="1155">
        <f>R205</f>
        <v>-34584400.48033002</v>
      </c>
      <c r="W205" s="1154"/>
      <c r="X205" s="1153">
        <f t="shared" si="114"/>
        <v>0</v>
      </c>
      <c r="Y205" s="1149"/>
      <c r="Z205" s="1188" t="s">
        <v>952</v>
      </c>
      <c r="AA205" s="1151"/>
      <c r="AB205" s="1188" t="s">
        <v>1610</v>
      </c>
      <c r="AC205" s="1151"/>
      <c r="AD205" s="1152">
        <v>0</v>
      </c>
      <c r="AE205" s="1151"/>
      <c r="AF205" s="1153">
        <f t="shared" si="115"/>
        <v>0</v>
      </c>
      <c r="AG205" s="1151"/>
      <c r="AH205" s="1185">
        <v>283</v>
      </c>
      <c r="AI205" s="1183"/>
    </row>
    <row r="206" spans="2:35" s="1137" customFormat="1" ht="12.75">
      <c r="B206" s="1185">
        <f t="shared" si="116"/>
        <v>67</v>
      </c>
      <c r="C206" s="1186" t="s">
        <v>1855</v>
      </c>
      <c r="D206" s="1186" t="s">
        <v>1855</v>
      </c>
      <c r="E206" s="1187" t="s">
        <v>1608</v>
      </c>
      <c r="F206" s="1155">
        <v>0</v>
      </c>
      <c r="G206" s="1153">
        <f t="shared" si="118"/>
        <v>0</v>
      </c>
      <c r="H206" s="1153">
        <f t="shared" si="119"/>
        <v>0</v>
      </c>
      <c r="I206" s="1153">
        <f t="shared" si="110"/>
        <v>0</v>
      </c>
      <c r="J206" s="1153">
        <f t="shared" si="117"/>
        <v>0</v>
      </c>
      <c r="K206" s="1154"/>
      <c r="L206" s="1155">
        <v>428745654.50666451</v>
      </c>
      <c r="M206" s="1153">
        <f t="shared" si="120"/>
        <v>90036587.44639954</v>
      </c>
      <c r="N206" s="1153">
        <f t="shared" si="121"/>
        <v>21394408.15988256</v>
      </c>
      <c r="O206" s="1153">
        <f t="shared" si="112"/>
        <v>-4492825.7135753371</v>
      </c>
      <c r="P206" s="1153">
        <f t="shared" si="122"/>
        <v>106938169.89270677</v>
      </c>
      <c r="Q206" s="1156"/>
      <c r="R206" s="1153">
        <f t="shared" si="113"/>
        <v>-106938169.89270677</v>
      </c>
      <c r="S206" s="1154"/>
      <c r="T206" s="1155">
        <v>0</v>
      </c>
      <c r="U206" s="1154"/>
      <c r="V206" s="1155">
        <f>R206</f>
        <v>-106938169.89270677</v>
      </c>
      <c r="W206" s="1154"/>
      <c r="X206" s="1153">
        <f t="shared" si="114"/>
        <v>0</v>
      </c>
      <c r="Y206" s="1149"/>
      <c r="Z206" s="1188" t="s">
        <v>952</v>
      </c>
      <c r="AA206" s="1151"/>
      <c r="AB206" s="1188" t="s">
        <v>1610</v>
      </c>
      <c r="AC206" s="1151"/>
      <c r="AD206" s="1152">
        <v>0</v>
      </c>
      <c r="AE206" s="1151"/>
      <c r="AF206" s="1153">
        <f t="shared" si="115"/>
        <v>0</v>
      </c>
      <c r="AG206" s="1151"/>
      <c r="AH206" s="1185">
        <v>283</v>
      </c>
      <c r="AI206" s="1183"/>
    </row>
    <row r="207" spans="2:35" s="1137" customFormat="1" ht="12.75">
      <c r="B207" s="1185">
        <f t="shared" si="116"/>
        <v>68</v>
      </c>
      <c r="C207" s="1186" t="s">
        <v>1672</v>
      </c>
      <c r="D207" s="1186" t="s">
        <v>1672</v>
      </c>
      <c r="E207" s="1187" t="s">
        <v>1608</v>
      </c>
      <c r="F207" s="1187">
        <v>-1283293</v>
      </c>
      <c r="G207" s="1153">
        <f t="shared" si="118"/>
        <v>-269491.52999999997</v>
      </c>
      <c r="H207" s="1153">
        <f t="shared" si="119"/>
        <v>-128200.97070000001</v>
      </c>
      <c r="I207" s="1153">
        <f t="shared" si="110"/>
        <v>26922.203847000001</v>
      </c>
      <c r="J207" s="1153">
        <f t="shared" si="117"/>
        <v>-370770.29685299995</v>
      </c>
      <c r="K207" s="1154"/>
      <c r="L207" s="1155">
        <f t="shared" ref="L207:L219" si="123">F207</f>
        <v>-1283293</v>
      </c>
      <c r="M207" s="1153">
        <f t="shared" si="120"/>
        <v>-269491.52999999997</v>
      </c>
      <c r="N207" s="1153">
        <f t="shared" si="121"/>
        <v>-64036.320699999997</v>
      </c>
      <c r="O207" s="1153">
        <f t="shared" si="112"/>
        <v>13447.627347</v>
      </c>
      <c r="P207" s="1153">
        <f t="shared" si="122"/>
        <v>-320080.22335299995</v>
      </c>
      <c r="Q207" s="1156"/>
      <c r="R207" s="1153">
        <f t="shared" si="113"/>
        <v>-50690.073499999999</v>
      </c>
      <c r="S207" s="1154"/>
      <c r="T207" s="1155">
        <v>-50690.073499999999</v>
      </c>
      <c r="U207" s="1154"/>
      <c r="V207" s="1155">
        <v>0</v>
      </c>
      <c r="W207" s="1154"/>
      <c r="X207" s="1153">
        <f t="shared" si="114"/>
        <v>0</v>
      </c>
      <c r="Y207" s="1149"/>
      <c r="Z207" s="1188" t="s">
        <v>1631</v>
      </c>
      <c r="AA207" s="1151"/>
      <c r="AB207" s="1188" t="s">
        <v>1610</v>
      </c>
      <c r="AC207" s="1151"/>
      <c r="AD207" s="1152">
        <v>0</v>
      </c>
      <c r="AE207" s="1151"/>
      <c r="AF207" s="1153">
        <f t="shared" si="115"/>
        <v>0</v>
      </c>
      <c r="AG207" s="1151"/>
      <c r="AH207" s="1185">
        <v>283</v>
      </c>
      <c r="AI207" s="1183"/>
    </row>
    <row r="208" spans="2:35" s="1137" customFormat="1" ht="12.75">
      <c r="B208" s="1185">
        <f t="shared" si="116"/>
        <v>69</v>
      </c>
      <c r="C208" s="1186" t="s">
        <v>1673</v>
      </c>
      <c r="D208" s="1186" t="s">
        <v>1673</v>
      </c>
      <c r="E208" s="1187" t="s">
        <v>1608</v>
      </c>
      <c r="F208" s="1187"/>
      <c r="G208" s="1153">
        <f t="shared" si="118"/>
        <v>0</v>
      </c>
      <c r="H208" s="1153">
        <f t="shared" si="119"/>
        <v>0</v>
      </c>
      <c r="I208" s="1153">
        <f t="shared" si="110"/>
        <v>0</v>
      </c>
      <c r="J208" s="1153">
        <f t="shared" si="117"/>
        <v>0</v>
      </c>
      <c r="K208" s="1154"/>
      <c r="L208" s="1155">
        <f t="shared" si="123"/>
        <v>0</v>
      </c>
      <c r="M208" s="1153">
        <f t="shared" si="120"/>
        <v>0</v>
      </c>
      <c r="N208" s="1153">
        <f t="shared" si="121"/>
        <v>0</v>
      </c>
      <c r="O208" s="1153">
        <f t="shared" si="112"/>
        <v>0</v>
      </c>
      <c r="P208" s="1153">
        <f t="shared" si="122"/>
        <v>0</v>
      </c>
      <c r="Q208" s="1156"/>
      <c r="R208" s="1153">
        <f t="shared" si="113"/>
        <v>0</v>
      </c>
      <c r="S208" s="1154"/>
      <c r="T208" s="1155">
        <v>0</v>
      </c>
      <c r="U208" s="1154"/>
      <c r="V208" s="1155">
        <v>0</v>
      </c>
      <c r="W208" s="1154"/>
      <c r="X208" s="1153">
        <f t="shared" si="114"/>
        <v>0</v>
      </c>
      <c r="Y208" s="1149"/>
      <c r="Z208" s="1188" t="s">
        <v>1612</v>
      </c>
      <c r="AA208" s="1151"/>
      <c r="AB208" s="1188" t="s">
        <v>1610</v>
      </c>
      <c r="AC208" s="1151"/>
      <c r="AD208" s="1152">
        <v>0</v>
      </c>
      <c r="AE208" s="1151"/>
      <c r="AF208" s="1153">
        <f t="shared" si="115"/>
        <v>0</v>
      </c>
      <c r="AG208" s="1151"/>
      <c r="AH208" s="1185">
        <v>283</v>
      </c>
      <c r="AI208" s="1183"/>
    </row>
    <row r="209" spans="2:37" s="1137" customFormat="1" ht="12.75">
      <c r="B209" s="1185">
        <f t="shared" si="116"/>
        <v>70</v>
      </c>
      <c r="C209" s="1186" t="s">
        <v>1856</v>
      </c>
      <c r="D209" s="1186" t="s">
        <v>1856</v>
      </c>
      <c r="E209" s="1187" t="s">
        <v>1608</v>
      </c>
      <c r="F209" s="1187">
        <v>-26654628</v>
      </c>
      <c r="G209" s="1153">
        <f t="shared" si="118"/>
        <v>-5597471.8799999999</v>
      </c>
      <c r="H209" s="1153">
        <f t="shared" si="119"/>
        <v>-2662797.3372</v>
      </c>
      <c r="I209" s="1153">
        <f t="shared" si="110"/>
        <v>559187.44081199996</v>
      </c>
      <c r="J209" s="1153">
        <f t="shared" si="117"/>
        <v>-7701081.7763879998</v>
      </c>
      <c r="K209" s="1154"/>
      <c r="L209" s="1155">
        <f t="shared" si="123"/>
        <v>-26654628</v>
      </c>
      <c r="M209" s="1153">
        <f t="shared" si="120"/>
        <v>-5597471.8799999999</v>
      </c>
      <c r="N209" s="1153">
        <f t="shared" si="121"/>
        <v>-1330065.9372</v>
      </c>
      <c r="O209" s="1153">
        <f t="shared" si="112"/>
        <v>279313.84681199997</v>
      </c>
      <c r="P209" s="1153">
        <f t="shared" si="122"/>
        <v>-6648223.9703879999</v>
      </c>
      <c r="Q209" s="1156"/>
      <c r="R209" s="1153">
        <f t="shared" si="113"/>
        <v>-1052857.8059999999</v>
      </c>
      <c r="S209" s="1154"/>
      <c r="T209" s="1155">
        <v>-12691.35</v>
      </c>
      <c r="U209" s="1154"/>
      <c r="V209" s="1155">
        <v>0</v>
      </c>
      <c r="W209" s="1154"/>
      <c r="X209" s="1153">
        <f t="shared" si="114"/>
        <v>-1040166.4559999999</v>
      </c>
      <c r="Y209" s="1149"/>
      <c r="Z209" s="1188" t="s">
        <v>1612</v>
      </c>
      <c r="AA209" s="1151"/>
      <c r="AB209" s="1188" t="s">
        <v>1610</v>
      </c>
      <c r="AC209" s="1151"/>
      <c r="AD209" s="1152">
        <v>0</v>
      </c>
      <c r="AE209" s="1151"/>
      <c r="AF209" s="1153">
        <f t="shared" si="115"/>
        <v>0</v>
      </c>
      <c r="AG209" s="1151"/>
      <c r="AH209" s="1185">
        <v>283</v>
      </c>
      <c r="AI209" s="1183"/>
    </row>
    <row r="210" spans="2:37" s="1137" customFormat="1" ht="12.75">
      <c r="B210" s="1185">
        <f t="shared" si="116"/>
        <v>71</v>
      </c>
      <c r="C210" s="1186" t="s">
        <v>872</v>
      </c>
      <c r="D210" s="1186" t="s">
        <v>872</v>
      </c>
      <c r="E210" s="1187" t="s">
        <v>1608</v>
      </c>
      <c r="F210" s="1187">
        <v>-1157905</v>
      </c>
      <c r="G210" s="1153">
        <f t="shared" si="118"/>
        <v>-243160.05</v>
      </c>
      <c r="H210" s="1153">
        <f t="shared" si="119"/>
        <v>-115674.7095</v>
      </c>
      <c r="I210" s="1153">
        <f t="shared" si="110"/>
        <v>24291.688994999997</v>
      </c>
      <c r="J210" s="1153">
        <f t="shared" si="117"/>
        <v>-334543.07050500001</v>
      </c>
      <c r="K210" s="1154"/>
      <c r="L210" s="1155">
        <f t="shared" si="123"/>
        <v>-1157905</v>
      </c>
      <c r="M210" s="1153">
        <f t="shared" si="120"/>
        <v>-243160.05</v>
      </c>
      <c r="N210" s="1153">
        <f t="shared" si="121"/>
        <v>-57779.459499999997</v>
      </c>
      <c r="O210" s="1153">
        <f t="shared" si="112"/>
        <v>12133.686494999998</v>
      </c>
      <c r="P210" s="1153">
        <f t="shared" si="122"/>
        <v>-288805.82300500001</v>
      </c>
      <c r="Q210" s="1156"/>
      <c r="R210" s="1153">
        <f t="shared" si="113"/>
        <v>-45737.247499999998</v>
      </c>
      <c r="S210" s="1154"/>
      <c r="T210" s="1155">
        <v>-45737.247499999998</v>
      </c>
      <c r="U210" s="1154"/>
      <c r="V210" s="1155">
        <v>0</v>
      </c>
      <c r="W210" s="1154"/>
      <c r="X210" s="1153">
        <f t="shared" si="114"/>
        <v>0</v>
      </c>
      <c r="Y210" s="1149"/>
      <c r="Z210" s="1188" t="s">
        <v>1612</v>
      </c>
      <c r="AA210" s="1151"/>
      <c r="AB210" s="1188" t="s">
        <v>1610</v>
      </c>
      <c r="AC210" s="1151"/>
      <c r="AD210" s="1152">
        <v>0</v>
      </c>
      <c r="AE210" s="1151"/>
      <c r="AF210" s="1153">
        <f t="shared" si="115"/>
        <v>0</v>
      </c>
      <c r="AG210" s="1151"/>
      <c r="AH210" s="1185">
        <v>283</v>
      </c>
      <c r="AI210" s="1183"/>
    </row>
    <row r="211" spans="2:37" s="1137" customFormat="1" ht="12.75">
      <c r="B211" s="1185">
        <f t="shared" si="116"/>
        <v>72</v>
      </c>
      <c r="C211" s="1186" t="s">
        <v>1679</v>
      </c>
      <c r="D211" s="1186" t="s">
        <v>1679</v>
      </c>
      <c r="E211" s="1187" t="s">
        <v>1608</v>
      </c>
      <c r="F211" s="1187">
        <v>-302501</v>
      </c>
      <c r="G211" s="1153">
        <f t="shared" si="118"/>
        <v>-63525.21</v>
      </c>
      <c r="H211" s="1153">
        <f t="shared" si="119"/>
        <v>-30219.849900000001</v>
      </c>
      <c r="I211" s="1153">
        <f t="shared" si="110"/>
        <v>6346.1684789999999</v>
      </c>
      <c r="J211" s="1153">
        <f t="shared" si="117"/>
        <v>-87398.891420999993</v>
      </c>
      <c r="K211" s="1154"/>
      <c r="L211" s="1155">
        <f t="shared" si="123"/>
        <v>-302501</v>
      </c>
      <c r="M211" s="1153">
        <f t="shared" si="120"/>
        <v>-63525.21</v>
      </c>
      <c r="N211" s="1153">
        <f t="shared" si="121"/>
        <v>-15094.7999</v>
      </c>
      <c r="O211" s="1153">
        <f t="shared" si="112"/>
        <v>3169.9079790000001</v>
      </c>
      <c r="P211" s="1153">
        <f t="shared" si="122"/>
        <v>-75450.101921000009</v>
      </c>
      <c r="Q211" s="1156"/>
      <c r="R211" s="1153">
        <f t="shared" si="113"/>
        <v>-11948.789499999984</v>
      </c>
      <c r="S211" s="1154"/>
      <c r="T211" s="1155">
        <v>-11948.789500000001</v>
      </c>
      <c r="U211" s="1154"/>
      <c r="V211" s="1155">
        <v>0</v>
      </c>
      <c r="W211" s="1154"/>
      <c r="X211" s="1153">
        <f t="shared" si="114"/>
        <v>1.6370904631912708E-11</v>
      </c>
      <c r="Y211" s="1149"/>
      <c r="Z211" s="1188" t="s">
        <v>1609</v>
      </c>
      <c r="AA211" s="1151"/>
      <c r="AB211" s="1188" t="s">
        <v>1610</v>
      </c>
      <c r="AC211" s="1151"/>
      <c r="AD211" s="1152">
        <v>0</v>
      </c>
      <c r="AE211" s="1151"/>
      <c r="AF211" s="1153">
        <f t="shared" si="115"/>
        <v>0</v>
      </c>
      <c r="AG211" s="1151"/>
      <c r="AH211" s="1185">
        <v>283</v>
      </c>
      <c r="AI211" s="1183"/>
    </row>
    <row r="212" spans="2:37" s="1137" customFormat="1" ht="12.75">
      <c r="B212" s="1185">
        <f t="shared" si="116"/>
        <v>73</v>
      </c>
      <c r="C212" s="1186" t="s">
        <v>1857</v>
      </c>
      <c r="D212" s="1186" t="s">
        <v>1857</v>
      </c>
      <c r="E212" s="1187" t="s">
        <v>1608</v>
      </c>
      <c r="F212" s="1187">
        <v>-320000</v>
      </c>
      <c r="G212" s="1153">
        <f t="shared" si="118"/>
        <v>-67200</v>
      </c>
      <c r="H212" s="1153">
        <f t="shared" si="119"/>
        <v>-31968</v>
      </c>
      <c r="I212" s="1153">
        <f t="shared" si="110"/>
        <v>6713.28</v>
      </c>
      <c r="J212" s="1153">
        <f t="shared" si="117"/>
        <v>-92454.720000000001</v>
      </c>
      <c r="K212" s="1154"/>
      <c r="L212" s="1155">
        <f t="shared" si="123"/>
        <v>-320000</v>
      </c>
      <c r="M212" s="1153">
        <f t="shared" si="120"/>
        <v>-67200</v>
      </c>
      <c r="N212" s="1153">
        <f t="shared" si="121"/>
        <v>-15968</v>
      </c>
      <c r="O212" s="1153">
        <f t="shared" si="112"/>
        <v>3353.2799999999997</v>
      </c>
      <c r="P212" s="1153">
        <f t="shared" si="122"/>
        <v>-79814.720000000001</v>
      </c>
      <c r="Q212" s="1156"/>
      <c r="R212" s="1153">
        <f t="shared" si="113"/>
        <v>-12640</v>
      </c>
      <c r="S212" s="1154"/>
      <c r="T212" s="1155">
        <v>-12640</v>
      </c>
      <c r="U212" s="1154"/>
      <c r="V212" s="1155">
        <v>0</v>
      </c>
      <c r="W212" s="1154"/>
      <c r="X212" s="1153">
        <f t="shared" si="114"/>
        <v>0</v>
      </c>
      <c r="Y212" s="1149"/>
      <c r="Z212" s="1188" t="s">
        <v>1631</v>
      </c>
      <c r="AA212" s="1151"/>
      <c r="AB212" s="1188" t="s">
        <v>1610</v>
      </c>
      <c r="AC212" s="1151"/>
      <c r="AD212" s="1152">
        <v>0</v>
      </c>
      <c r="AE212" s="1151"/>
      <c r="AF212" s="1153">
        <f t="shared" si="115"/>
        <v>0</v>
      </c>
      <c r="AG212" s="1151"/>
      <c r="AH212" s="1185">
        <v>283</v>
      </c>
      <c r="AI212" s="1183"/>
    </row>
    <row r="213" spans="2:37" s="1137" customFormat="1" ht="12.75">
      <c r="B213" s="1185">
        <f t="shared" si="116"/>
        <v>74</v>
      </c>
      <c r="C213" s="1186" t="s">
        <v>888</v>
      </c>
      <c r="D213" s="1186" t="s">
        <v>888</v>
      </c>
      <c r="E213" s="1187" t="s">
        <v>1608</v>
      </c>
      <c r="F213" s="1187">
        <v>-386034</v>
      </c>
      <c r="G213" s="1153">
        <f t="shared" si="118"/>
        <v>-81067.14</v>
      </c>
      <c r="H213" s="1153">
        <f t="shared" si="119"/>
        <v>-38564.796600000001</v>
      </c>
      <c r="I213" s="1153">
        <f t="shared" si="110"/>
        <v>8098.6072860000004</v>
      </c>
      <c r="J213" s="1153">
        <f t="shared" si="117"/>
        <v>-111533.329314</v>
      </c>
      <c r="K213" s="1154"/>
      <c r="L213" s="1155">
        <f t="shared" si="123"/>
        <v>-386034</v>
      </c>
      <c r="M213" s="1153">
        <f t="shared" si="120"/>
        <v>-81067.14</v>
      </c>
      <c r="N213" s="1153">
        <f t="shared" si="121"/>
        <v>-19263.096600000001</v>
      </c>
      <c r="O213" s="1153">
        <f t="shared" si="112"/>
        <v>4045.250286</v>
      </c>
      <c r="P213" s="1153">
        <f t="shared" si="122"/>
        <v>-96284.986314000009</v>
      </c>
      <c r="Q213" s="1156"/>
      <c r="R213" s="1153">
        <f t="shared" si="113"/>
        <v>-15248.342999999993</v>
      </c>
      <c r="S213" s="1154"/>
      <c r="T213" s="1155">
        <v>-13889.1085</v>
      </c>
      <c r="U213" s="1154"/>
      <c r="V213" s="1155">
        <v>0</v>
      </c>
      <c r="W213" s="1154"/>
      <c r="X213" s="1153">
        <f t="shared" si="114"/>
        <v>-1359.2344999999932</v>
      </c>
      <c r="Y213" s="1149"/>
      <c r="Z213" s="1188" t="s">
        <v>1612</v>
      </c>
      <c r="AA213" s="1151"/>
      <c r="AB213" s="1188" t="s">
        <v>1610</v>
      </c>
      <c r="AC213" s="1151"/>
      <c r="AD213" s="1152">
        <v>0</v>
      </c>
      <c r="AE213" s="1151"/>
      <c r="AF213" s="1153">
        <f t="shared" si="115"/>
        <v>0</v>
      </c>
      <c r="AG213" s="1151"/>
      <c r="AH213" s="1185">
        <v>283</v>
      </c>
      <c r="AI213" s="1188"/>
    </row>
    <row r="214" spans="2:37" s="1137" customFormat="1" ht="12.75">
      <c r="B214" s="1185">
        <f t="shared" si="116"/>
        <v>75</v>
      </c>
      <c r="C214" s="1186" t="s">
        <v>1638</v>
      </c>
      <c r="D214" s="1186" t="s">
        <v>1638</v>
      </c>
      <c r="E214" s="1187" t="s">
        <v>1608</v>
      </c>
      <c r="F214" s="1187">
        <v>-397682855</v>
      </c>
      <c r="G214" s="1153">
        <f t="shared" si="118"/>
        <v>-83513399.549999997</v>
      </c>
      <c r="H214" s="1153">
        <f t="shared" si="119"/>
        <v>-39728517.214500003</v>
      </c>
      <c r="I214" s="1153">
        <f t="shared" si="110"/>
        <v>8342988.6150449999</v>
      </c>
      <c r="J214" s="1153">
        <f t="shared" si="117"/>
        <v>-114898928.149455</v>
      </c>
      <c r="K214" s="1154"/>
      <c r="L214" s="1155">
        <f t="shared" si="123"/>
        <v>-397682855</v>
      </c>
      <c r="M214" s="1153">
        <f t="shared" si="120"/>
        <v>-83513399.549999997</v>
      </c>
      <c r="N214" s="1153">
        <f t="shared" si="121"/>
        <v>-19844374.464499999</v>
      </c>
      <c r="O214" s="1153">
        <f t="shared" si="112"/>
        <v>4167318.6375449998</v>
      </c>
      <c r="P214" s="1153">
        <f t="shared" si="122"/>
        <v>-99190455.376954988</v>
      </c>
      <c r="Q214" s="1156"/>
      <c r="R214" s="1153">
        <f t="shared" si="113"/>
        <v>-15708472.772500008</v>
      </c>
      <c r="S214" s="1154"/>
      <c r="T214" s="1155">
        <v>-1484174.4462614767</v>
      </c>
      <c r="U214" s="1154"/>
      <c r="V214" s="1155">
        <v>0</v>
      </c>
      <c r="W214" s="1154"/>
      <c r="X214" s="1153">
        <f t="shared" si="114"/>
        <v>-14224298.326238532</v>
      </c>
      <c r="Y214" s="1149"/>
      <c r="Z214" s="1188" t="s">
        <v>1612</v>
      </c>
      <c r="AA214" s="1151"/>
      <c r="AB214" s="1188" t="s">
        <v>1613</v>
      </c>
      <c r="AC214" s="1151"/>
      <c r="AD214" s="1152">
        <v>9.9526966285675506E-2</v>
      </c>
      <c r="AE214" s="1151"/>
      <c r="AF214" s="1153">
        <f>X214*AD214</f>
        <v>-1415701.2599529328</v>
      </c>
      <c r="AG214" s="1151"/>
      <c r="AH214" s="1185">
        <v>283</v>
      </c>
      <c r="AI214" s="1188"/>
      <c r="AJ214" s="1192"/>
      <c r="AK214" s="1171"/>
    </row>
    <row r="215" spans="2:37" s="1137" customFormat="1" ht="12.75">
      <c r="B215" s="1185">
        <f>B153+1</f>
        <v>22</v>
      </c>
      <c r="C215" s="1186" t="s">
        <v>1640</v>
      </c>
      <c r="D215" s="1186" t="s">
        <v>1640</v>
      </c>
      <c r="E215" s="1187" t="s">
        <v>1608</v>
      </c>
      <c r="F215" s="1187">
        <v>-1451403</v>
      </c>
      <c r="G215" s="1153">
        <f t="shared" si="118"/>
        <v>-304794.63</v>
      </c>
      <c r="H215" s="1153">
        <f t="shared" si="119"/>
        <v>-144995.15970000002</v>
      </c>
      <c r="I215" s="1153">
        <f>-H215*0.21</f>
        <v>30448.983537000004</v>
      </c>
      <c r="J215" s="1153">
        <f>G215+H215+I215</f>
        <v>-419340.806163</v>
      </c>
      <c r="K215" s="1154"/>
      <c r="L215" s="1155">
        <f>F215</f>
        <v>-1451403</v>
      </c>
      <c r="M215" s="1153">
        <f t="shared" si="120"/>
        <v>-304794.63</v>
      </c>
      <c r="N215" s="1153">
        <f t="shared" si="121"/>
        <v>-72425.009699999995</v>
      </c>
      <c r="O215" s="1153">
        <f>-N215*0.21</f>
        <v>15209.252036999998</v>
      </c>
      <c r="P215" s="1153">
        <f>M215+N215+O215</f>
        <v>-362010.38766300003</v>
      </c>
      <c r="Q215" s="1156"/>
      <c r="R215" s="1153">
        <f>J215-P215</f>
        <v>-57330.418499999971</v>
      </c>
      <c r="S215" s="1154"/>
      <c r="T215" s="1155">
        <v>-57330.418500000007</v>
      </c>
      <c r="U215" s="1154"/>
      <c r="V215" s="1155">
        <v>0</v>
      </c>
      <c r="W215" s="1154"/>
      <c r="X215" s="1153">
        <f t="shared" si="114"/>
        <v>3.637978807091713E-11</v>
      </c>
      <c r="Y215" s="1149"/>
      <c r="Z215" s="1188" t="s">
        <v>952</v>
      </c>
      <c r="AA215" s="1151"/>
      <c r="AB215" s="1188" t="s">
        <v>1610</v>
      </c>
      <c r="AC215" s="1151"/>
      <c r="AD215" s="1152">
        <v>0</v>
      </c>
      <c r="AE215" s="1151"/>
      <c r="AF215" s="1153">
        <f>X215*AD215</f>
        <v>0</v>
      </c>
      <c r="AG215" s="1151"/>
      <c r="AH215" s="1185">
        <v>190</v>
      </c>
      <c r="AI215" s="1188"/>
    </row>
    <row r="216" spans="2:37" s="1137" customFormat="1" ht="12.75">
      <c r="B216" s="1185">
        <f>+B214+1</f>
        <v>76</v>
      </c>
      <c r="C216" s="1186" t="s">
        <v>1858</v>
      </c>
      <c r="D216" s="1186" t="s">
        <v>1858</v>
      </c>
      <c r="E216" s="1187" t="s">
        <v>1608</v>
      </c>
      <c r="F216" s="1187">
        <v>-4392545</v>
      </c>
      <c r="G216" s="1153">
        <f t="shared" si="118"/>
        <v>-922434.45</v>
      </c>
      <c r="H216" s="1153">
        <f t="shared" si="119"/>
        <v>-438815.24550000002</v>
      </c>
      <c r="I216" s="1153">
        <f t="shared" si="110"/>
        <v>92151.201555000007</v>
      </c>
      <c r="J216" s="1153">
        <f t="shared" si="117"/>
        <v>-1269098.493945</v>
      </c>
      <c r="K216" s="1154"/>
      <c r="L216" s="1155">
        <f t="shared" si="123"/>
        <v>-4392545</v>
      </c>
      <c r="M216" s="1153">
        <f t="shared" si="120"/>
        <v>-922434.45</v>
      </c>
      <c r="N216" s="1153">
        <f t="shared" si="121"/>
        <v>-219187.99549999999</v>
      </c>
      <c r="O216" s="1153">
        <f t="shared" si="112"/>
        <v>46029.479054999996</v>
      </c>
      <c r="P216" s="1153">
        <f t="shared" si="122"/>
        <v>-1095592.9664449999</v>
      </c>
      <c r="Q216" s="1156"/>
      <c r="R216" s="1153">
        <f t="shared" si="113"/>
        <v>-173505.52750000008</v>
      </c>
      <c r="S216" s="1154"/>
      <c r="T216" s="1155">
        <v>-173505.5275</v>
      </c>
      <c r="U216" s="1154"/>
      <c r="V216" s="1155">
        <v>0</v>
      </c>
      <c r="W216" s="1154"/>
      <c r="X216" s="1153">
        <f t="shared" si="114"/>
        <v>-8.7311491370201111E-11</v>
      </c>
      <c r="Y216" s="1149"/>
      <c r="Z216" s="1188" t="s">
        <v>849</v>
      </c>
      <c r="AA216" s="1151"/>
      <c r="AB216" s="1188" t="s">
        <v>1610</v>
      </c>
      <c r="AC216" s="1151"/>
      <c r="AD216" s="1152">
        <v>0</v>
      </c>
      <c r="AE216" s="1151"/>
      <c r="AF216" s="1153">
        <f>X216*AD216</f>
        <v>0</v>
      </c>
      <c r="AG216" s="1151"/>
      <c r="AH216" s="1185">
        <v>283</v>
      </c>
      <c r="AI216" s="1188"/>
      <c r="AJ216" s="1192"/>
    </row>
    <row r="217" spans="2:37" s="1137" customFormat="1" ht="12.75">
      <c r="B217" s="1185">
        <f t="shared" si="116"/>
        <v>77</v>
      </c>
      <c r="C217" s="1186" t="s">
        <v>1859</v>
      </c>
      <c r="D217" s="1186" t="s">
        <v>1859</v>
      </c>
      <c r="E217" s="1187" t="s">
        <v>1608</v>
      </c>
      <c r="F217" s="1187">
        <v>-3229835</v>
      </c>
      <c r="G217" s="1153">
        <f t="shared" si="118"/>
        <v>-678265.35</v>
      </c>
      <c r="H217" s="1153">
        <f t="shared" si="119"/>
        <v>-322660.51650000003</v>
      </c>
      <c r="I217" s="1153">
        <f t="shared" si="110"/>
        <v>67758.708465000003</v>
      </c>
      <c r="J217" s="1153">
        <f t="shared" si="117"/>
        <v>-933167.15803499997</v>
      </c>
      <c r="K217" s="1154"/>
      <c r="L217" s="1155">
        <f t="shared" si="123"/>
        <v>-3229835</v>
      </c>
      <c r="M217" s="1153">
        <f t="shared" si="120"/>
        <v>-678265.35</v>
      </c>
      <c r="N217" s="1153">
        <f t="shared" si="121"/>
        <v>-161168.7665</v>
      </c>
      <c r="O217" s="1153">
        <f t="shared" si="112"/>
        <v>33845.440965000002</v>
      </c>
      <c r="P217" s="1153">
        <f t="shared" si="122"/>
        <v>-805588.67553500005</v>
      </c>
      <c r="Q217" s="1156"/>
      <c r="R217" s="1153">
        <f t="shared" si="113"/>
        <v>-127578.48249999993</v>
      </c>
      <c r="S217" s="1154"/>
      <c r="T217" s="1155">
        <v>-127578.4825</v>
      </c>
      <c r="U217" s="1154"/>
      <c r="V217" s="1155">
        <v>0</v>
      </c>
      <c r="W217" s="1154"/>
      <c r="X217" s="1153">
        <f t="shared" si="114"/>
        <v>7.2759576141834259E-11</v>
      </c>
      <c r="Y217" s="1149"/>
      <c r="Z217" s="1188" t="s">
        <v>1609</v>
      </c>
      <c r="AA217" s="1151"/>
      <c r="AB217" s="1188" t="s">
        <v>1610</v>
      </c>
      <c r="AC217" s="1151"/>
      <c r="AD217" s="1152">
        <v>0</v>
      </c>
      <c r="AE217" s="1151"/>
      <c r="AF217" s="1153">
        <f>X217*AD217</f>
        <v>0</v>
      </c>
      <c r="AG217" s="1151"/>
      <c r="AH217" s="1185">
        <v>283</v>
      </c>
      <c r="AI217" s="1188"/>
      <c r="AJ217" s="1192"/>
    </row>
    <row r="218" spans="2:37" s="1137" customFormat="1" ht="12.75">
      <c r="B218" s="1185">
        <f t="shared" si="116"/>
        <v>78</v>
      </c>
      <c r="C218" s="1186" t="s">
        <v>1682</v>
      </c>
      <c r="D218" s="1186" t="s">
        <v>1682</v>
      </c>
      <c r="E218" s="1187" t="s">
        <v>1608</v>
      </c>
      <c r="F218" s="1155">
        <v>-12788504</v>
      </c>
      <c r="G218" s="1153">
        <f t="shared" si="118"/>
        <v>-2685585.84</v>
      </c>
      <c r="H218" s="1159">
        <v>0</v>
      </c>
      <c r="I218" s="1159">
        <v>0</v>
      </c>
      <c r="J218" s="1153">
        <f>G218+H218+I218</f>
        <v>-2685585.84</v>
      </c>
      <c r="K218" s="1154"/>
      <c r="L218" s="1155">
        <f t="shared" si="123"/>
        <v>-12788504</v>
      </c>
      <c r="M218" s="1153">
        <f t="shared" si="120"/>
        <v>-2685585.84</v>
      </c>
      <c r="N218" s="1159">
        <v>0</v>
      </c>
      <c r="O218" s="1159">
        <v>0</v>
      </c>
      <c r="P218" s="1153">
        <f>M218+N218+O218</f>
        <v>-2685585.84</v>
      </c>
      <c r="Q218" s="1156"/>
      <c r="R218" s="1153">
        <f t="shared" si="113"/>
        <v>0</v>
      </c>
      <c r="S218" s="1154"/>
      <c r="T218" s="1155">
        <v>0</v>
      </c>
      <c r="U218" s="1154"/>
      <c r="V218" s="1155">
        <v>0</v>
      </c>
      <c r="W218" s="1154"/>
      <c r="X218" s="1153">
        <f t="shared" si="114"/>
        <v>0</v>
      </c>
      <c r="Y218" s="1149"/>
      <c r="Z218" s="1188" t="s">
        <v>952</v>
      </c>
      <c r="AA218" s="1151"/>
      <c r="AB218" s="1188" t="s">
        <v>1610</v>
      </c>
      <c r="AC218" s="1151"/>
      <c r="AD218" s="1152">
        <v>0</v>
      </c>
      <c r="AE218" s="1151"/>
      <c r="AF218" s="1153">
        <f>X218*AD218</f>
        <v>0</v>
      </c>
      <c r="AG218" s="1151"/>
      <c r="AH218" s="1185">
        <v>190</v>
      </c>
      <c r="AI218" s="1188"/>
    </row>
    <row r="219" spans="2:37" s="1137" customFormat="1" ht="12.75">
      <c r="B219" s="1185">
        <f t="shared" si="116"/>
        <v>79</v>
      </c>
      <c r="C219" s="1186" t="s">
        <v>1469</v>
      </c>
      <c r="D219" s="1186" t="s">
        <v>1469</v>
      </c>
      <c r="E219" s="1187" t="s">
        <v>1608</v>
      </c>
      <c r="F219" s="1187">
        <v>-21060658</v>
      </c>
      <c r="G219" s="1153">
        <f t="shared" si="118"/>
        <v>-4422738.18</v>
      </c>
      <c r="H219" s="1153">
        <f t="shared" si="119"/>
        <v>-2103959.7341999998</v>
      </c>
      <c r="I219" s="1153">
        <f t="shared" si="110"/>
        <v>441831.54418199993</v>
      </c>
      <c r="J219" s="1153">
        <f t="shared" si="117"/>
        <v>-6084866.3700179998</v>
      </c>
      <c r="K219" s="1154"/>
      <c r="L219" s="1155">
        <f t="shared" si="123"/>
        <v>-21060658</v>
      </c>
      <c r="M219" s="1153">
        <f t="shared" si="120"/>
        <v>-4422738.18</v>
      </c>
      <c r="N219" s="1153">
        <f t="shared" si="121"/>
        <v>-1050926.8341999999</v>
      </c>
      <c r="O219" s="1153">
        <f t="shared" si="112"/>
        <v>220694.63518199997</v>
      </c>
      <c r="P219" s="1153">
        <f t="shared" si="122"/>
        <v>-5252970.3790180003</v>
      </c>
      <c r="Q219" s="1156"/>
      <c r="R219" s="1153">
        <f t="shared" si="113"/>
        <v>-831895.99099999946</v>
      </c>
      <c r="S219" s="1154"/>
      <c r="T219" s="1155">
        <v>-831895.99100000015</v>
      </c>
      <c r="U219" s="1154"/>
      <c r="V219" s="1155">
        <v>0</v>
      </c>
      <c r="W219" s="1154"/>
      <c r="X219" s="1153">
        <f t="shared" si="114"/>
        <v>6.9849193096160889E-10</v>
      </c>
      <c r="Y219" s="1149"/>
      <c r="Z219" s="1188" t="s">
        <v>952</v>
      </c>
      <c r="AA219" s="1151"/>
      <c r="AB219" s="1188" t="s">
        <v>1610</v>
      </c>
      <c r="AC219" s="1151"/>
      <c r="AD219" s="1152">
        <v>0</v>
      </c>
      <c r="AE219" s="1151"/>
      <c r="AF219" s="1153">
        <f t="shared" ref="AF219" si="124">X219*AD219</f>
        <v>0</v>
      </c>
      <c r="AG219" s="1151"/>
      <c r="AH219" s="1185">
        <v>283</v>
      </c>
      <c r="AI219" s="1183"/>
    </row>
    <row r="220" spans="2:37" s="1137" customFormat="1">
      <c r="B220" s="1185">
        <f t="shared" si="116"/>
        <v>80</v>
      </c>
      <c r="C220" s="1190" t="s">
        <v>1683</v>
      </c>
      <c r="D220" s="1188"/>
      <c r="E220" s="1188"/>
      <c r="F220" s="1160">
        <f>SUM(F199:F219)</f>
        <v>-1402089607.54</v>
      </c>
      <c r="G220" s="1160">
        <f>SUM(G199:G219)</f>
        <v>-294438817.58340001</v>
      </c>
      <c r="H220" s="1160">
        <f>SUM(H199:H219)</f>
        <v>-138791180.24364603</v>
      </c>
      <c r="I220" s="1160">
        <f>SUM(I199:I219)</f>
        <v>29146147.851165652</v>
      </c>
      <c r="J220" s="1160">
        <f>SUM(J199:J219)</f>
        <v>-404083849.97588038</v>
      </c>
      <c r="K220" s="1149"/>
      <c r="L220" s="1160">
        <f>SUM(L199:L219)</f>
        <v>-973343953.03333557</v>
      </c>
      <c r="M220" s="1160">
        <f>SUM(M199:M219)</f>
        <v>-204402230.13700044</v>
      </c>
      <c r="N220" s="1160">
        <f>SUM(N199:N219)</f>
        <v>-47931716.906763449</v>
      </c>
      <c r="O220" s="1160">
        <f>SUM(O199:O219)</f>
        <v>10065660.550420323</v>
      </c>
      <c r="P220" s="1160">
        <f>SUM(P199:P219)</f>
        <v>-242268286.49334356</v>
      </c>
      <c r="R220" s="1160">
        <f>SUM(R199:R219)</f>
        <v>-161815563.48253679</v>
      </c>
      <c r="S220" s="1160">
        <f>SUM(S199:S219)</f>
        <v>0</v>
      </c>
      <c r="T220" s="1160">
        <f>SUM(T199:T219)</f>
        <v>-4649626.8869449766</v>
      </c>
      <c r="U220" s="1160">
        <f>SUM(U199:U219)</f>
        <v>0</v>
      </c>
      <c r="V220" s="1160">
        <f>SUM(V199:V219)</f>
        <v>-141522570.3730368</v>
      </c>
      <c r="W220" s="1149"/>
      <c r="X220" s="1160">
        <f>SUM(X199:X219)</f>
        <v>-15643366.222555032</v>
      </c>
      <c r="Y220" s="1149"/>
      <c r="Z220" s="1188"/>
      <c r="AA220" s="1151"/>
      <c r="AB220" s="1188"/>
      <c r="AC220" s="1151"/>
      <c r="AD220" s="1151"/>
      <c r="AE220" s="1151"/>
      <c r="AF220" s="1160">
        <f>SUM(AF199:AF219)</f>
        <v>-1483776.9159398007</v>
      </c>
      <c r="AG220" s="1151"/>
      <c r="AI220" s="1164"/>
    </row>
    <row r="221" spans="2:37" s="1137" customFormat="1" ht="12.75">
      <c r="B221" s="1185"/>
      <c r="C221" s="1138"/>
      <c r="D221" s="1164"/>
      <c r="E221" s="1138"/>
      <c r="F221" s="1148"/>
      <c r="G221" s="1148"/>
      <c r="H221" s="1148"/>
      <c r="I221" s="1148"/>
      <c r="J221" s="1148"/>
      <c r="K221" s="1151"/>
      <c r="P221" s="1148"/>
      <c r="R221" s="1148"/>
      <c r="S221" s="1151"/>
      <c r="T221" s="1148"/>
      <c r="U221" s="1151"/>
      <c r="V221" s="1148"/>
      <c r="W221" s="1151"/>
      <c r="X221" s="1148"/>
      <c r="Y221" s="1151"/>
      <c r="Z221" s="1138"/>
      <c r="AA221" s="1151"/>
      <c r="AB221" s="1138"/>
      <c r="AC221" s="1151"/>
      <c r="AD221" s="1151"/>
      <c r="AE221" s="1151"/>
      <c r="AF221" s="1148"/>
      <c r="AG221" s="1151"/>
      <c r="AI221" s="1164"/>
    </row>
    <row r="222" spans="2:37" s="1137" customFormat="1" ht="13.5" thickBot="1">
      <c r="B222" s="1185">
        <f>+B220+1</f>
        <v>81</v>
      </c>
      <c r="C222" s="1190" t="s">
        <v>1684</v>
      </c>
      <c r="D222" s="1164"/>
      <c r="E222" s="1165"/>
      <c r="F222" s="1193">
        <f>F164+F196+F220</f>
        <v>-15392271567.228981</v>
      </c>
      <c r="G222" s="1193">
        <f>G164+G196+G220</f>
        <v>-1862078779.6316996</v>
      </c>
      <c r="H222" s="1193">
        <f>H164+H196+H220</f>
        <v>-728141995.63339865</v>
      </c>
      <c r="I222" s="1193">
        <f>I164+I196+I220</f>
        <v>152909819.08301374</v>
      </c>
      <c r="J222" s="1193">
        <f>J164+J196+J220</f>
        <v>-2437310956.1820846</v>
      </c>
      <c r="K222" s="1151"/>
      <c r="L222" s="1193">
        <f>L164+L196+L220</f>
        <v>-14963525912.722317</v>
      </c>
      <c r="M222" s="1193">
        <f>M164+M196+M220</f>
        <v>-1772042192.1852999</v>
      </c>
      <c r="N222" s="1193">
        <f>N164+N196+N220</f>
        <v>-342312154.22356683</v>
      </c>
      <c r="O222" s="1193">
        <f>O164+O196+O220</f>
        <v>71885552.386949033</v>
      </c>
      <c r="P222" s="1193">
        <f>P164+P196+P220</f>
        <v>-2042468794.0219176</v>
      </c>
      <c r="R222" s="1193">
        <f>R164+R196+R220</f>
        <v>-394842162.16016674</v>
      </c>
      <c r="S222" s="1151"/>
      <c r="T222" s="1193">
        <f>T164+T196+T220</f>
        <v>-229198201.31468135</v>
      </c>
      <c r="U222" s="1151"/>
      <c r="V222" s="1193">
        <f>V164+V196+V220</f>
        <v>-141505667.99676681</v>
      </c>
      <c r="W222" s="1151"/>
      <c r="X222" s="1193">
        <f>X164+X196+X220</f>
        <v>-24138292.848718584</v>
      </c>
      <c r="Y222" s="1151"/>
      <c r="Z222" s="1165"/>
      <c r="AA222" s="1151"/>
      <c r="AB222" s="1165"/>
      <c r="AC222" s="1151"/>
      <c r="AD222" s="1166"/>
      <c r="AE222" s="1151"/>
      <c r="AF222" s="1193">
        <f>AF164+AF196+AF220</f>
        <v>-30124457.359248269</v>
      </c>
      <c r="AG222" s="1151"/>
      <c r="AI222" s="1164"/>
    </row>
    <row r="223" spans="2:37" s="1137" customFormat="1" ht="15.75" customHeight="1" thickTop="1">
      <c r="B223" s="1138"/>
      <c r="C223" s="1138"/>
      <c r="D223" s="1138"/>
      <c r="E223" s="1138"/>
      <c r="F223" s="1148"/>
      <c r="G223" s="1148"/>
      <c r="H223" s="1148"/>
      <c r="I223" s="1148"/>
      <c r="M223" s="1167"/>
      <c r="N223" s="1167"/>
      <c r="O223" s="1167"/>
      <c r="P223" s="1168"/>
      <c r="R223" s="1167"/>
      <c r="T223" s="1167"/>
      <c r="Z223" s="1138"/>
      <c r="AB223" s="1138"/>
      <c r="AI223" s="1138"/>
    </row>
    <row r="224" spans="2:37" s="1137" customFormat="1" ht="12.75">
      <c r="B224" s="1138"/>
      <c r="C224" s="1138"/>
      <c r="D224" s="1138"/>
      <c r="E224" s="1138"/>
      <c r="F224" s="1148"/>
      <c r="G224" s="1153"/>
      <c r="H224" s="1153"/>
      <c r="I224" s="1153"/>
      <c r="J224" s="1153"/>
      <c r="L224" s="1148"/>
      <c r="M224" s="1153"/>
      <c r="N224" s="1153"/>
      <c r="O224" s="1153"/>
      <c r="P224" s="1138"/>
      <c r="Q224" s="1138"/>
      <c r="R224" s="1138"/>
      <c r="S224" s="1138"/>
      <c r="T224" s="1138"/>
      <c r="U224" s="1138"/>
      <c r="V224" s="1138"/>
      <c r="W224" s="1138"/>
      <c r="X224" s="1138"/>
      <c r="Y224" s="1138"/>
      <c r="Z224" s="1138"/>
      <c r="AB224" s="1138"/>
      <c r="AD224" s="1194" t="s">
        <v>1134</v>
      </c>
      <c r="AF224" s="1169">
        <f>SUMIF($E$132:$E$223,AD224,$AF$132:$AF$223)</f>
        <v>0</v>
      </c>
      <c r="AI224" s="1138"/>
    </row>
    <row r="225" spans="1:35" s="1137" customFormat="1" ht="12.75">
      <c r="B225" s="1138"/>
      <c r="C225" s="1138"/>
      <c r="D225" s="1138"/>
      <c r="E225" s="1138"/>
      <c r="G225" s="1167"/>
      <c r="H225" s="1167"/>
      <c r="I225" s="1167"/>
      <c r="J225" s="1168"/>
      <c r="M225" s="1167"/>
      <c r="N225" s="1167"/>
      <c r="O225" s="1167"/>
      <c r="P225" s="1138"/>
      <c r="Q225" s="1138"/>
      <c r="R225" s="1138"/>
      <c r="S225" s="1138"/>
      <c r="T225" s="1138"/>
      <c r="U225" s="1138"/>
      <c r="V225" s="1138"/>
      <c r="W225" s="1138"/>
      <c r="X225" s="1138"/>
      <c r="Y225" s="1138"/>
      <c r="Z225" s="1138"/>
      <c r="AB225" s="1138"/>
      <c r="AD225" s="1194" t="s">
        <v>1656</v>
      </c>
      <c r="AF225" s="1170">
        <f>SUMIF($E$132:$E$223,AD225,$AF$132:$AF$223)</f>
        <v>-30345216.269541342</v>
      </c>
      <c r="AI225" s="1138"/>
    </row>
    <row r="226" spans="1:35" s="1137" customFormat="1" ht="12.75">
      <c r="B226" s="1138"/>
      <c r="C226" s="1138"/>
      <c r="D226" s="1138"/>
      <c r="E226" s="1138"/>
      <c r="M226" s="1167"/>
      <c r="N226" s="1167"/>
      <c r="O226" s="1167"/>
      <c r="P226" s="1138"/>
      <c r="Q226" s="1138"/>
      <c r="R226" s="1138"/>
      <c r="S226" s="1138"/>
      <c r="T226" s="1138"/>
      <c r="U226" s="1138"/>
      <c r="V226" s="1138"/>
      <c r="W226" s="1138"/>
      <c r="X226" s="1138"/>
      <c r="Y226" s="1138"/>
      <c r="Z226" s="1138"/>
      <c r="AB226" s="1138"/>
      <c r="AD226" s="1194" t="s">
        <v>1608</v>
      </c>
      <c r="AF226" s="1170">
        <f>SUMIF($E$132:$E$223,AD226,$AF$132:$AF$223)</f>
        <v>220758.91029307363</v>
      </c>
      <c r="AI226" s="1138"/>
    </row>
    <row r="227" spans="1:35" s="1137" customFormat="1" ht="5.0999999999999996" customHeight="1">
      <c r="B227" s="1138"/>
      <c r="C227" s="1138"/>
      <c r="D227" s="1138"/>
      <c r="E227" s="1138"/>
      <c r="P227" s="1138"/>
      <c r="Q227" s="1138"/>
      <c r="R227" s="1138"/>
      <c r="S227" s="1138"/>
      <c r="T227" s="1138"/>
      <c r="U227" s="1138"/>
      <c r="V227" s="1138"/>
      <c r="W227" s="1138"/>
      <c r="X227" s="1138"/>
      <c r="Y227" s="1138"/>
      <c r="Z227" s="1138"/>
      <c r="AB227" s="1138"/>
      <c r="AD227" s="1183"/>
      <c r="AI227" s="1138"/>
    </row>
    <row r="228" spans="1:35" s="1137" customFormat="1" ht="15.75" customHeight="1">
      <c r="B228" s="1138"/>
      <c r="C228" s="1138"/>
      <c r="D228" s="1138"/>
      <c r="E228" s="1138"/>
      <c r="O228" s="1171"/>
      <c r="P228" s="1138"/>
      <c r="Q228" s="1138"/>
      <c r="R228" s="1138"/>
      <c r="S228" s="1138"/>
      <c r="T228" s="1138"/>
      <c r="U228" s="1138"/>
      <c r="V228" s="1138"/>
      <c r="W228" s="1138"/>
      <c r="X228" s="1138"/>
      <c r="Y228" s="1138"/>
      <c r="Z228" s="1138"/>
      <c r="AB228" s="1138"/>
      <c r="AD228" s="1195" t="s">
        <v>1685</v>
      </c>
      <c r="AF228" s="1172">
        <f>SUM(AF225:AF227)</f>
        <v>-30124457.359248269</v>
      </c>
      <c r="AI228" s="1138"/>
    </row>
    <row r="229" spans="1:35" s="1137" customFormat="1" ht="12.75">
      <c r="B229" s="1138"/>
      <c r="C229" s="1138"/>
      <c r="D229" s="1138"/>
      <c r="E229" s="1138"/>
      <c r="O229" s="1171"/>
      <c r="P229" s="1138"/>
      <c r="Q229" s="1138"/>
      <c r="R229" s="1138"/>
      <c r="S229" s="1138"/>
      <c r="T229" s="1138"/>
      <c r="U229" s="1138"/>
      <c r="V229" s="1138"/>
      <c r="W229" s="1138"/>
      <c r="X229" s="1138"/>
      <c r="Y229" s="1138"/>
      <c r="Z229" s="1138"/>
      <c r="AB229" s="1138"/>
      <c r="AD229" s="1196"/>
      <c r="AF229" s="1173"/>
      <c r="AI229" s="1138"/>
    </row>
    <row r="230" spans="1:35" s="1137" customFormat="1" ht="15.75" customHeight="1" thickBot="1">
      <c r="B230" s="1138"/>
      <c r="C230" s="1138"/>
      <c r="D230" s="1138"/>
      <c r="E230" s="1138"/>
      <c r="O230" s="1171"/>
      <c r="P230" s="1138"/>
      <c r="Q230" s="1138"/>
      <c r="R230" s="1138"/>
      <c r="S230" s="1138"/>
      <c r="T230" s="1138"/>
      <c r="U230" s="1138"/>
      <c r="V230" s="1138"/>
      <c r="W230" s="1138"/>
      <c r="X230" s="1138"/>
      <c r="Y230" s="1138"/>
      <c r="Z230" s="1138"/>
      <c r="AB230" s="1138"/>
      <c r="AD230" s="1195" t="s">
        <v>1860</v>
      </c>
      <c r="AF230" s="1174">
        <f>AF224+AF228</f>
        <v>-30124457.359248269</v>
      </c>
      <c r="AI230" s="1138"/>
    </row>
    <row r="231" spans="1:35" s="1137" customFormat="1" ht="15.75" customHeight="1" thickTop="1">
      <c r="B231" s="1138"/>
      <c r="C231" s="1138"/>
      <c r="D231" s="1138"/>
      <c r="E231" s="1138"/>
      <c r="P231" s="1175"/>
      <c r="R231" s="1175"/>
      <c r="T231" s="1171"/>
      <c r="V231" s="1197"/>
      <c r="X231" s="1153"/>
      <c r="Z231" s="1138"/>
      <c r="AB231" s="1138"/>
      <c r="AF231" s="1153"/>
      <c r="AH231" s="1176"/>
      <c r="AI231" s="1138"/>
    </row>
    <row r="232" spans="1:35" ht="15.75" customHeight="1">
      <c r="A232" s="1048"/>
      <c r="B232" s="1048" t="s">
        <v>1687</v>
      </c>
      <c r="C232" s="1048"/>
      <c r="D232" s="1048"/>
      <c r="E232" s="1048"/>
      <c r="F232" s="1048"/>
      <c r="G232" s="1048"/>
      <c r="H232" s="1048"/>
      <c r="I232" s="1048"/>
      <c r="J232" s="1048"/>
      <c r="K232" s="1048"/>
      <c r="L232" s="1048"/>
      <c r="M232" s="1048"/>
      <c r="N232" s="1048"/>
      <c r="O232" s="1048"/>
      <c r="P232" s="1048"/>
      <c r="Q232" s="1048"/>
      <c r="R232" s="1048"/>
      <c r="S232" s="1048"/>
      <c r="T232" s="1048"/>
      <c r="U232" s="1048"/>
      <c r="V232" s="1048"/>
      <c r="W232" s="1048"/>
      <c r="X232" s="1048"/>
      <c r="Y232" s="1048"/>
      <c r="Z232" s="1048"/>
      <c r="AA232" s="1048"/>
      <c r="AB232" s="1048"/>
      <c r="AC232" s="1048"/>
      <c r="AD232" s="1048"/>
      <c r="AE232" s="1048"/>
      <c r="AF232" s="1048"/>
      <c r="AG232" s="1048"/>
      <c r="AH232" s="1048"/>
      <c r="AI232" s="1048"/>
    </row>
    <row r="233" spans="1:35" ht="15.75" customHeight="1">
      <c r="V233" s="1045"/>
      <c r="X233" s="1021"/>
      <c r="AF233" s="1021"/>
    </row>
    <row r="234" spans="1:35" ht="12.75" customHeight="1">
      <c r="B234" s="1285" t="s">
        <v>1688</v>
      </c>
      <c r="C234" s="1285"/>
      <c r="D234" s="1285"/>
      <c r="E234" s="1285"/>
      <c r="F234" s="1285"/>
      <c r="V234" s="1045"/>
      <c r="X234" s="1021"/>
      <c r="AF234" s="1021"/>
    </row>
    <row r="235" spans="1:35">
      <c r="B235" s="1285"/>
      <c r="C235" s="1285"/>
      <c r="D235" s="1285"/>
      <c r="E235" s="1285"/>
      <c r="F235" s="1285"/>
      <c r="V235" s="1045"/>
      <c r="X235" s="1021"/>
      <c r="AF235" s="1021"/>
    </row>
    <row r="236" spans="1:35">
      <c r="B236" s="1285"/>
      <c r="C236" s="1285"/>
      <c r="D236" s="1285"/>
      <c r="E236" s="1285"/>
      <c r="F236" s="1285"/>
      <c r="V236" s="1045"/>
      <c r="X236" s="1021"/>
      <c r="AF236" s="1021"/>
    </row>
    <row r="237" spans="1:35">
      <c r="B237" s="1285"/>
      <c r="C237" s="1285"/>
      <c r="D237" s="1285"/>
      <c r="E237" s="1285"/>
      <c r="F237" s="1285"/>
      <c r="V237" s="1045"/>
      <c r="X237" s="1021"/>
      <c r="AF237" s="1021"/>
    </row>
    <row r="238" spans="1:35">
      <c r="B238" s="1285"/>
      <c r="C238" s="1285"/>
      <c r="D238" s="1285"/>
      <c r="E238" s="1285"/>
      <c r="F238" s="1285"/>
      <c r="V238" s="1045"/>
      <c r="X238" s="1021"/>
      <c r="AF238" s="1021"/>
    </row>
    <row r="239" spans="1:35">
      <c r="B239" s="1285"/>
      <c r="C239" s="1285"/>
      <c r="D239" s="1285"/>
      <c r="E239" s="1285"/>
      <c r="F239" s="1285"/>
      <c r="V239" s="1045"/>
      <c r="X239" s="1021"/>
      <c r="AF239" s="1021"/>
    </row>
    <row r="240" spans="1:35">
      <c r="B240" s="1285"/>
      <c r="C240" s="1285"/>
      <c r="D240" s="1285"/>
      <c r="E240" s="1285"/>
      <c r="F240" s="1285"/>
      <c r="V240" s="1045"/>
      <c r="X240" s="1021"/>
      <c r="AF240" s="1021"/>
    </row>
    <row r="241" spans="1:35">
      <c r="B241" s="1285"/>
      <c r="C241" s="1285"/>
      <c r="D241" s="1285"/>
      <c r="E241" s="1285"/>
      <c r="F241" s="1285"/>
      <c r="V241" s="1045"/>
      <c r="X241" s="1021"/>
      <c r="AF241" s="1021"/>
    </row>
    <row r="242" spans="1:35">
      <c r="B242" s="1285"/>
      <c r="C242" s="1285"/>
      <c r="D242" s="1285"/>
      <c r="E242" s="1285"/>
      <c r="F242" s="1285"/>
      <c r="V242" s="1045"/>
      <c r="X242" s="1021"/>
      <c r="AF242" s="1021"/>
    </row>
    <row r="243" spans="1:35">
      <c r="B243" s="1285"/>
      <c r="C243" s="1285"/>
      <c r="D243" s="1285"/>
      <c r="E243" s="1285"/>
      <c r="F243" s="1285"/>
      <c r="V243" s="1045"/>
      <c r="X243" s="1021"/>
      <c r="AF243" s="1021"/>
    </row>
    <row r="244" spans="1:35">
      <c r="B244" s="1285"/>
      <c r="C244" s="1285"/>
      <c r="D244" s="1285"/>
      <c r="E244" s="1285"/>
      <c r="F244" s="1285"/>
      <c r="V244" s="1045"/>
      <c r="X244" s="1021"/>
      <c r="AF244" s="1021"/>
    </row>
    <row r="245" spans="1:35">
      <c r="B245" s="1285"/>
      <c r="C245" s="1285"/>
      <c r="D245" s="1285"/>
      <c r="E245" s="1285"/>
      <c r="F245" s="1285"/>
      <c r="V245" s="1045"/>
      <c r="X245" s="1021"/>
      <c r="AF245" s="1021"/>
    </row>
    <row r="246" spans="1:35">
      <c r="B246" s="1285"/>
      <c r="C246" s="1285"/>
      <c r="D246" s="1285"/>
      <c r="E246" s="1285"/>
      <c r="F246" s="1285"/>
      <c r="V246" s="1045"/>
      <c r="X246" s="1021"/>
      <c r="AF246" s="1021"/>
    </row>
    <row r="247" spans="1:35" ht="12.75" customHeight="1">
      <c r="B247" s="1286" t="s">
        <v>1689</v>
      </c>
      <c r="C247" s="1286"/>
      <c r="D247" s="1286"/>
      <c r="E247" s="1286"/>
      <c r="F247" s="1286"/>
      <c r="G247" s="1049"/>
      <c r="H247" s="1049"/>
      <c r="I247" s="1049"/>
      <c r="J247" s="1049"/>
      <c r="K247" s="1049"/>
      <c r="L247" s="1049"/>
      <c r="M247" s="1049"/>
      <c r="N247" s="1049"/>
      <c r="O247" s="1049"/>
      <c r="AH247" s="992"/>
      <c r="AI247" s="992"/>
    </row>
    <row r="248" spans="1:35">
      <c r="B248" s="1286"/>
      <c r="C248" s="1286"/>
      <c r="D248" s="1286"/>
      <c r="E248" s="1286"/>
      <c r="F248" s="1286"/>
      <c r="G248" s="1049"/>
      <c r="H248" s="1049"/>
      <c r="I248" s="1049"/>
      <c r="J248" s="1049"/>
      <c r="K248" s="1049"/>
      <c r="L248" s="1049"/>
      <c r="M248" s="1049"/>
      <c r="N248" s="1049"/>
      <c r="O248" s="1049"/>
      <c r="AH248" s="992"/>
      <c r="AI248" s="992"/>
    </row>
    <row r="249" spans="1:35">
      <c r="B249" s="1050"/>
      <c r="C249" s="1050"/>
      <c r="D249" s="1050"/>
      <c r="AH249" s="992"/>
      <c r="AI249" s="992"/>
    </row>
    <row r="250" spans="1:35" ht="15.75" customHeight="1">
      <c r="A250" s="1048"/>
      <c r="B250" s="1048" t="s">
        <v>1690</v>
      </c>
      <c r="C250" s="1048"/>
      <c r="D250" s="1048"/>
      <c r="E250" s="1048"/>
      <c r="F250" s="1048"/>
      <c r="G250" s="1048"/>
      <c r="H250" s="1048"/>
      <c r="I250" s="1048"/>
      <c r="J250" s="1048"/>
      <c r="K250" s="1048"/>
      <c r="L250" s="1048"/>
      <c r="M250" s="1048"/>
      <c r="N250" s="1048"/>
      <c r="O250" s="1048"/>
      <c r="P250" s="1048"/>
      <c r="Q250" s="1048"/>
      <c r="R250" s="1048"/>
      <c r="S250" s="1048"/>
      <c r="T250" s="1048"/>
      <c r="U250" s="1048"/>
      <c r="V250" s="1048"/>
      <c r="W250" s="1048"/>
      <c r="X250" s="1048"/>
      <c r="Y250" s="1048"/>
      <c r="Z250" s="1048"/>
      <c r="AA250" s="1048"/>
      <c r="AB250" s="1048"/>
      <c r="AC250" s="1048"/>
      <c r="AD250" s="1048"/>
      <c r="AE250" s="1048"/>
      <c r="AF250" s="1048"/>
      <c r="AG250" s="1048"/>
      <c r="AH250" s="1048"/>
      <c r="AI250" s="1048"/>
    </row>
    <row r="251" spans="1:35">
      <c r="B251" s="1050"/>
      <c r="C251" s="1050"/>
      <c r="D251" s="1050"/>
      <c r="AH251" s="992"/>
      <c r="AI251" s="992"/>
    </row>
    <row r="252" spans="1:35" ht="15.75" customHeight="1">
      <c r="B252" s="1051" t="s">
        <v>58</v>
      </c>
      <c r="C252" s="1287" t="s">
        <v>1861</v>
      </c>
      <c r="D252" s="1287"/>
      <c r="E252" s="1287"/>
      <c r="F252" s="1287"/>
      <c r="X252" s="995"/>
      <c r="AH252" s="992"/>
      <c r="AI252" s="992"/>
    </row>
    <row r="253" spans="1:35" ht="15.75" customHeight="1">
      <c r="B253" s="1051"/>
      <c r="C253" s="1287"/>
      <c r="D253" s="1287"/>
      <c r="E253" s="1287"/>
      <c r="F253" s="1287"/>
      <c r="X253" s="995"/>
      <c r="AH253" s="992"/>
      <c r="AI253" s="992"/>
    </row>
    <row r="254" spans="1:35" ht="15.75" customHeight="1">
      <c r="B254" s="1051"/>
      <c r="C254" s="1287"/>
      <c r="D254" s="1287"/>
      <c r="E254" s="1287"/>
      <c r="F254" s="1287"/>
      <c r="X254" s="995"/>
      <c r="AH254" s="992"/>
      <c r="AI254" s="992"/>
    </row>
    <row r="255" spans="1:35">
      <c r="B255" s="1050"/>
      <c r="C255" s="1287"/>
      <c r="D255" s="1287"/>
      <c r="E255" s="1287"/>
      <c r="F255" s="1287"/>
      <c r="AH255" s="992"/>
      <c r="AI255" s="992"/>
    </row>
    <row r="256" spans="1:35" ht="15.75" customHeight="1">
      <c r="B256" s="1052" t="s">
        <v>59</v>
      </c>
      <c r="C256" s="1285" t="s">
        <v>1691</v>
      </c>
      <c r="D256" s="1285"/>
      <c r="E256" s="1285"/>
      <c r="F256" s="1285"/>
      <c r="AH256" s="992"/>
      <c r="AI256" s="992"/>
    </row>
    <row r="257" spans="1:35">
      <c r="C257" s="1285"/>
      <c r="D257" s="1285"/>
      <c r="E257" s="1285"/>
      <c r="F257" s="1285"/>
      <c r="AH257" s="992"/>
      <c r="AI257" s="992"/>
    </row>
    <row r="258" spans="1:35">
      <c r="B258" s="1052" t="s">
        <v>60</v>
      </c>
      <c r="C258" s="1285" t="s">
        <v>1692</v>
      </c>
      <c r="D258" s="1285"/>
      <c r="E258" s="1285"/>
      <c r="F258" s="1285"/>
      <c r="AH258" s="992"/>
      <c r="AI258" s="992"/>
    </row>
    <row r="259" spans="1:35">
      <c r="C259" s="1285"/>
      <c r="D259" s="1285"/>
      <c r="E259" s="1285"/>
      <c r="F259" s="1285"/>
      <c r="AH259" s="992"/>
      <c r="AI259" s="992"/>
    </row>
    <row r="260" spans="1:35" ht="15.75" customHeight="1">
      <c r="C260" s="994" t="s">
        <v>2</v>
      </c>
      <c r="AH260" s="992"/>
      <c r="AI260" s="992"/>
    </row>
    <row r="261" spans="1:35">
      <c r="AH261" s="992"/>
      <c r="AI261" s="992"/>
    </row>
    <row r="262" spans="1:35" ht="15.75" customHeight="1">
      <c r="A262" s="1053" t="s">
        <v>1693</v>
      </c>
      <c r="B262" s="1053"/>
      <c r="C262" s="1054"/>
      <c r="D262" s="1055"/>
      <c r="E262" s="1055"/>
      <c r="F262" s="1056"/>
      <c r="G262" s="1055"/>
      <c r="H262" s="1055"/>
      <c r="I262" s="1055"/>
      <c r="J262" s="1055"/>
      <c r="K262" s="1055"/>
      <c r="L262" s="1055"/>
      <c r="M262" s="1055"/>
      <c r="N262" s="1055"/>
      <c r="O262" s="1055"/>
      <c r="P262" s="1055"/>
      <c r="Q262" s="1055"/>
      <c r="R262" s="1055"/>
      <c r="S262" s="1055"/>
      <c r="T262" s="1055"/>
      <c r="U262" s="1055"/>
      <c r="V262" s="1055"/>
      <c r="W262" s="1055"/>
      <c r="X262" s="1055"/>
      <c r="Y262" s="1055"/>
      <c r="Z262" s="1055"/>
      <c r="AA262" s="1055"/>
      <c r="AB262" s="1055"/>
      <c r="AC262" s="1055"/>
      <c r="AD262" s="1055"/>
      <c r="AE262" s="1055"/>
      <c r="AF262" s="1055"/>
      <c r="AG262" s="1055"/>
      <c r="AH262" s="1055"/>
      <c r="AI262" s="1055"/>
    </row>
    <row r="263" spans="1:35" s="1008" customFormat="1" ht="13.9">
      <c r="V263" s="989"/>
      <c r="X263" s="1023"/>
      <c r="AH263" s="1030"/>
    </row>
    <row r="265" spans="1:35" ht="15.75" customHeight="1">
      <c r="X265" s="995"/>
    </row>
    <row r="266" spans="1:35">
      <c r="D266" s="994" t="s">
        <v>2</v>
      </c>
    </row>
    <row r="267" spans="1:35" ht="15.75" customHeight="1">
      <c r="X267" s="995"/>
    </row>
    <row r="269" spans="1:35" ht="15.75" customHeight="1"/>
    <row r="271" spans="1:35" ht="15.75" customHeight="1"/>
    <row r="273" ht="15.75" customHeight="1"/>
    <row r="275" ht="15.75" customHeight="1"/>
    <row r="277" ht="15.75" customHeight="1"/>
    <row r="279" ht="15.75" customHeight="1"/>
    <row r="281" ht="15.75" customHeight="1"/>
    <row r="283" ht="15.75" customHeight="1"/>
    <row r="285" ht="15.75" customHeight="1"/>
    <row r="287" ht="15.75" customHeight="1"/>
    <row r="289" ht="15.75" customHeight="1"/>
    <row r="291" ht="15.75" customHeight="1"/>
    <row r="293" ht="15.75" customHeight="1"/>
    <row r="295" ht="15.75" customHeight="1"/>
    <row r="297" ht="15.75" customHeight="1"/>
    <row r="299" ht="15.75" customHeight="1"/>
    <row r="301" ht="15.75" customHeight="1"/>
    <row r="303" ht="15.75" customHeight="1"/>
    <row r="305" ht="15.75" customHeight="1"/>
    <row r="307" ht="15.75" customHeight="1"/>
    <row r="309" ht="15.75" customHeight="1"/>
    <row r="311" ht="15.75" customHeight="1"/>
    <row r="313" ht="15.75" customHeight="1"/>
    <row r="315" ht="15.75" customHeight="1"/>
    <row r="317" ht="15.75" customHeight="1"/>
    <row r="319" ht="15.75" customHeight="1"/>
    <row r="321" ht="15.75" customHeight="1"/>
    <row r="323" ht="15.75" customHeight="1"/>
    <row r="325" ht="15.75" customHeight="1"/>
    <row r="327" ht="15.75" customHeight="1"/>
    <row r="329" ht="15.75" customHeight="1"/>
    <row r="331" ht="15.75" customHeight="1"/>
    <row r="333" ht="15.75" customHeight="1"/>
    <row r="335" ht="15.75" customHeight="1"/>
    <row r="337" ht="15.75" customHeight="1"/>
    <row r="339" ht="15.75" customHeight="1"/>
    <row r="341" ht="15.75" customHeight="1"/>
    <row r="343" ht="15.75" customHeight="1"/>
    <row r="345" ht="15.75" customHeight="1"/>
    <row r="347" ht="15.75" customHeight="1"/>
    <row r="349" ht="15.75" customHeight="1"/>
    <row r="351" ht="15.75" customHeight="1"/>
    <row r="353" ht="15.75" customHeight="1"/>
    <row r="355" ht="15.75" customHeight="1"/>
    <row r="357" ht="15.75" customHeight="1"/>
    <row r="359" ht="15.75" customHeight="1"/>
    <row r="361" ht="15.75" customHeight="1"/>
    <row r="363" ht="15.75" customHeight="1"/>
    <row r="365" ht="15.75" customHeight="1"/>
    <row r="367" ht="15.75" customHeight="1"/>
    <row r="369" ht="15.75" customHeight="1"/>
    <row r="371" ht="15.75" customHeight="1"/>
    <row r="373" ht="15.75" customHeight="1"/>
    <row r="375" ht="15.75" customHeight="1"/>
    <row r="377" ht="15.75" customHeight="1"/>
    <row r="379" ht="15.75" customHeight="1"/>
    <row r="381" ht="15.75" customHeight="1"/>
    <row r="383" ht="15.75" customHeight="1"/>
    <row r="385" ht="15.75" customHeight="1"/>
    <row r="387" ht="15.75" customHeight="1"/>
    <row r="389" ht="15.75" customHeight="1"/>
    <row r="391" ht="15.75" customHeight="1"/>
    <row r="393" ht="15.75" customHeight="1"/>
    <row r="395" ht="15.75" customHeight="1"/>
    <row r="397" ht="15.75" customHeight="1"/>
    <row r="399" ht="15.75" customHeight="1"/>
    <row r="401" ht="15.75" customHeight="1"/>
    <row r="403" ht="15.75" customHeight="1"/>
    <row r="405" ht="15.75" customHeight="1"/>
    <row r="407" ht="15.75" customHeight="1"/>
    <row r="409" ht="15.75" customHeight="1"/>
    <row r="411" ht="15.75" customHeight="1"/>
    <row r="413" ht="15.75" customHeight="1"/>
    <row r="415" ht="15.75" customHeight="1"/>
    <row r="417" ht="15.75" customHeight="1"/>
    <row r="419" ht="15.75" customHeight="1"/>
    <row r="421" ht="15.75" customHeight="1"/>
    <row r="423" ht="15.75" customHeight="1"/>
    <row r="425" ht="15.75" customHeight="1"/>
    <row r="427" ht="15.75" customHeight="1"/>
    <row r="429" ht="15.75" customHeight="1"/>
    <row r="431" ht="15.75" customHeight="1"/>
    <row r="433" ht="15.75" customHeight="1"/>
    <row r="435" ht="15.75" customHeight="1"/>
    <row r="437" ht="15.75" customHeight="1"/>
    <row r="439" ht="15.75" customHeight="1"/>
    <row r="441" ht="15.75" customHeight="1"/>
    <row r="443" ht="15.75" customHeight="1"/>
    <row r="445" ht="15.75" customHeight="1"/>
    <row r="447" ht="15.75" customHeight="1"/>
    <row r="449" ht="15.75" customHeight="1"/>
    <row r="451" ht="15.75" customHeight="1"/>
    <row r="453" ht="15.75" customHeight="1"/>
    <row r="455" ht="15.75" customHeight="1"/>
    <row r="457" ht="15.75" customHeight="1"/>
    <row r="459" ht="15.75" customHeight="1"/>
    <row r="461" ht="15.75" customHeight="1"/>
    <row r="463" ht="15.75" customHeight="1"/>
    <row r="465" ht="15.75" customHeight="1"/>
    <row r="467" ht="15.75" customHeight="1"/>
    <row r="469" ht="15.75" customHeight="1"/>
    <row r="471" ht="15.75" customHeight="1"/>
  </sheetData>
  <sheetProtection algorithmName="SHA-512" hashValue="GucJVXSj7vxgNI8InF3bYjR4Z4mn4dIzgjsqUCJdtrcIHZmZFQOaAd7MCNxZeIPPaRpjICilezNl6OajpoisgQ==" saltValue="qGLNDtPNUBUpP3oPuo3W0A==" spinCount="100000" sheet="1" objects="1" scenarios="1"/>
  <mergeCells count="13">
    <mergeCell ref="B234:F246"/>
    <mergeCell ref="B247:F248"/>
    <mergeCell ref="C252:F255"/>
    <mergeCell ref="C256:F257"/>
    <mergeCell ref="C258:F259"/>
    <mergeCell ref="F128:J128"/>
    <mergeCell ref="L128:P128"/>
    <mergeCell ref="R128:AF128"/>
    <mergeCell ref="B5:AH5"/>
    <mergeCell ref="F7:J7"/>
    <mergeCell ref="L7:P7"/>
    <mergeCell ref="R7:AF7"/>
    <mergeCell ref="B126:AH126"/>
  </mergeCells>
  <pageMargins left="0.7" right="0.7" top="0.75" bottom="0.75" header="0.3" footer="0.3"/>
  <pageSetup paperSize="3" scale="32"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28"/>
  <sheetViews>
    <sheetView zoomScale="70" zoomScaleNormal="70" workbookViewId="0">
      <selection activeCell="I12" sqref="I12"/>
    </sheetView>
  </sheetViews>
  <sheetFormatPr defaultColWidth="8.88671875" defaultRowHeight="15.4"/>
  <cols>
    <col min="1" max="1" width="4.88671875" style="745" customWidth="1"/>
    <col min="2" max="2" width="5.109375" style="16" customWidth="1"/>
    <col min="3" max="3" width="17.33203125" style="16" customWidth="1"/>
    <col min="4" max="8" width="8.88671875" style="16"/>
    <col min="9" max="9" width="15.33203125" style="16" bestFit="1" customWidth="1"/>
    <col min="10" max="16384" width="8.88671875" style="16"/>
  </cols>
  <sheetData>
    <row r="1" spans="1:13" s="538" customFormat="1" ht="15" customHeight="1">
      <c r="A1" s="848"/>
      <c r="B1" s="1288" t="s">
        <v>1124</v>
      </c>
      <c r="C1" s="1288"/>
      <c r="D1" s="1288"/>
      <c r="E1" s="1288"/>
      <c r="F1" s="1288"/>
      <c r="G1" s="1288"/>
      <c r="H1" s="1288"/>
      <c r="I1" s="1288"/>
      <c r="J1" s="861"/>
      <c r="M1" s="862"/>
    </row>
    <row r="2" spans="1:13" s="538" customFormat="1" ht="15" customHeight="1">
      <c r="A2" s="848"/>
      <c r="B2" s="1289" t="s">
        <v>1122</v>
      </c>
      <c r="C2" s="1289"/>
      <c r="D2" s="1289"/>
      <c r="E2" s="1289"/>
      <c r="F2" s="1289"/>
      <c r="G2" s="1289"/>
      <c r="H2" s="1289"/>
      <c r="I2" s="1289"/>
      <c r="J2" s="861"/>
      <c r="K2" s="861"/>
      <c r="M2" s="863"/>
    </row>
    <row r="3" spans="1:13" s="538" customFormat="1" ht="15" customHeight="1">
      <c r="A3" s="848"/>
      <c r="B3" s="1290" t="str">
        <f>+'Attachment H-7'!D5</f>
        <v>PECO Energy Company</v>
      </c>
      <c r="C3" s="1290"/>
      <c r="D3" s="1290"/>
      <c r="E3" s="1290"/>
      <c r="F3" s="1290"/>
      <c r="G3" s="1290"/>
      <c r="H3" s="1290"/>
      <c r="I3" s="1290"/>
      <c r="J3" s="861"/>
      <c r="K3" s="861"/>
    </row>
    <row r="4" spans="1:13">
      <c r="J4" s="16" t="s">
        <v>207</v>
      </c>
    </row>
    <row r="5" spans="1:13">
      <c r="A5" s="745">
        <v>1</v>
      </c>
      <c r="B5" s="16" t="s">
        <v>1114</v>
      </c>
      <c r="I5" s="231">
        <f>IF('4- Rate Base'!J44&gt;33000000, 33000000, '4- Rate Base'!J44)</f>
        <v>33000000</v>
      </c>
      <c r="J5" s="95" t="s">
        <v>1268</v>
      </c>
    </row>
    <row r="7" spans="1:13">
      <c r="B7" s="16" t="s">
        <v>1272</v>
      </c>
    </row>
    <row r="8" spans="1:13">
      <c r="A8" s="745">
        <v>2</v>
      </c>
      <c r="C8" s="16" t="s">
        <v>1117</v>
      </c>
      <c r="I8" s="844">
        <f>'4B - ADIT BOY'!G151*'4A - ADIT Summary'!L12</f>
        <v>-12207586.64055863</v>
      </c>
      <c r="J8" s="95" t="s">
        <v>1269</v>
      </c>
    </row>
    <row r="9" spans="1:13">
      <c r="A9" s="745">
        <v>3</v>
      </c>
      <c r="C9" s="16" t="s">
        <v>1118</v>
      </c>
      <c r="I9" s="964">
        <f>'4C - ADIT EOY'!G140*'4A - ADIT Summary'!$L$12</f>
        <v>-11782022.46515237</v>
      </c>
      <c r="J9" s="95" t="s">
        <v>1270</v>
      </c>
    </row>
    <row r="10" spans="1:13">
      <c r="A10" s="745">
        <v>4</v>
      </c>
      <c r="C10" s="16" t="s">
        <v>1116</v>
      </c>
      <c r="I10" s="231">
        <f>AVERAGE(I8:I9)</f>
        <v>-11994804.552855499</v>
      </c>
      <c r="J10" s="746" t="s">
        <v>1271</v>
      </c>
    </row>
    <row r="11" spans="1:13">
      <c r="J11" s="746"/>
    </row>
    <row r="12" spans="1:13">
      <c r="A12" s="745">
        <v>5</v>
      </c>
      <c r="B12" s="16" t="s">
        <v>1273</v>
      </c>
      <c r="I12" s="817">
        <f>-'9 - EDIT'!Q47</f>
        <v>-990990.88196705305</v>
      </c>
      <c r="J12" s="95" t="s">
        <v>1267</v>
      </c>
    </row>
    <row r="13" spans="1:13">
      <c r="J13" s="746"/>
    </row>
    <row r="14" spans="1:13">
      <c r="A14" s="745">
        <v>6</v>
      </c>
      <c r="B14" s="16" t="s">
        <v>1119</v>
      </c>
      <c r="I14" s="817">
        <f>I5+I10+I12</f>
        <v>20014204.565177448</v>
      </c>
      <c r="J14" s="746" t="s">
        <v>1274</v>
      </c>
    </row>
    <row r="15" spans="1:13">
      <c r="J15" s="746"/>
    </row>
    <row r="16" spans="1:13">
      <c r="A16" s="745">
        <v>7</v>
      </c>
      <c r="B16" s="16" t="s">
        <v>1120</v>
      </c>
      <c r="I16" s="231">
        <f>I14*'Attachment H-7'!I215*(1+'Attachment H-7'!D156)</f>
        <v>1930890.6328671414</v>
      </c>
      <c r="J16" s="95" t="s">
        <v>1275</v>
      </c>
    </row>
    <row r="17" spans="1:17">
      <c r="J17" s="746"/>
    </row>
    <row r="18" spans="1:17">
      <c r="A18" s="745">
        <v>8</v>
      </c>
      <c r="B18" s="16" t="s">
        <v>1288</v>
      </c>
      <c r="I18" s="864">
        <v>0.6</v>
      </c>
    </row>
    <row r="20" spans="1:17">
      <c r="A20" s="745">
        <v>9</v>
      </c>
      <c r="B20" s="16" t="s">
        <v>1121</v>
      </c>
      <c r="I20" s="817">
        <f>I16*I18</f>
        <v>1158534.3797202848</v>
      </c>
      <c r="J20" s="16" t="s">
        <v>1276</v>
      </c>
    </row>
    <row r="27" spans="1:17" ht="15.75" thickBot="1">
      <c r="A27" s="547" t="s">
        <v>324</v>
      </c>
    </row>
    <row r="28" spans="1:17" ht="18" customHeight="1">
      <c r="A28" s="1291" t="s">
        <v>1115</v>
      </c>
      <c r="B28" s="1291"/>
      <c r="C28" s="1291"/>
      <c r="D28" s="1291"/>
      <c r="E28" s="1291"/>
      <c r="F28" s="1291"/>
      <c r="G28" s="1291"/>
      <c r="H28" s="1291"/>
      <c r="I28" s="1291"/>
      <c r="J28" s="1291"/>
      <c r="K28" s="1291"/>
      <c r="L28" s="1291"/>
      <c r="M28" s="1291"/>
      <c r="N28" s="1291"/>
      <c r="O28" s="1291"/>
      <c r="P28" s="1291"/>
      <c r="Q28" s="1291"/>
    </row>
  </sheetData>
  <sheetProtection algorithmName="SHA-512" hashValue="exobWPcanQ/n0XzNV1drar48O7iLp2ZajGsgdLpIsg627n3Ms4HjM/0YJN2ASyZRhlaRc/QZ79FYaGdBRA5S+g==" saltValue="tDMmtnvDx3CK9vbYy60lHg==" spinCount="100000" sheet="1" objects="1" scenarios="1"/>
  <mergeCells count="4">
    <mergeCell ref="B1:I1"/>
    <mergeCell ref="B2:I2"/>
    <mergeCell ref="B3:I3"/>
    <mergeCell ref="A28:Q28"/>
  </mergeCells>
  <pageMargins left="0.7" right="0.7" top="0.75" bottom="0.75" header="0.3" footer="0.3"/>
  <pageSetup scale="6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codeName="Sheet21">
    <pageSetUpPr fitToPage="1"/>
  </sheetPr>
  <dimension ref="A1:Q44"/>
  <sheetViews>
    <sheetView zoomScale="70" zoomScaleNormal="70" workbookViewId="0">
      <selection activeCell="G13" sqref="G13"/>
    </sheetView>
  </sheetViews>
  <sheetFormatPr defaultColWidth="8.88671875" defaultRowHeight="15.4"/>
  <cols>
    <col min="1" max="1" width="8.88671875" style="745"/>
    <col min="2" max="2" width="62.33203125" style="16" customWidth="1"/>
    <col min="3" max="3" width="20.44140625" style="16" customWidth="1"/>
    <col min="4" max="15" width="19.5546875" style="16" bestFit="1" customWidth="1"/>
    <col min="16" max="16" width="19.88671875" style="16" bestFit="1" customWidth="1"/>
    <col min="17" max="18" width="15.5546875" style="16" customWidth="1"/>
    <col min="19" max="16384" width="8.88671875" style="16"/>
  </cols>
  <sheetData>
    <row r="1" spans="1:17" s="746" customFormat="1" ht="20.45" customHeight="1">
      <c r="A1" s="745"/>
      <c r="B1" s="745"/>
      <c r="C1" s="1256" t="s">
        <v>1180</v>
      </c>
      <c r="D1" s="1256"/>
      <c r="E1" s="1256"/>
      <c r="F1" s="1256"/>
      <c r="G1" s="1256"/>
      <c r="H1" s="1256"/>
      <c r="I1" s="1256"/>
      <c r="J1" s="1256"/>
      <c r="K1" s="1256"/>
      <c r="L1" s="1256"/>
      <c r="M1" s="1256"/>
      <c r="N1" s="1256"/>
      <c r="O1" s="1256"/>
      <c r="P1" s="1256"/>
      <c r="Q1" s="1256"/>
    </row>
    <row r="2" spans="1:17" s="746" customFormat="1" ht="20.45" customHeight="1">
      <c r="A2" s="745"/>
      <c r="B2" s="745"/>
      <c r="C2" s="1256" t="s">
        <v>1181</v>
      </c>
      <c r="D2" s="1256"/>
      <c r="E2" s="1256"/>
      <c r="F2" s="1256"/>
      <c r="G2" s="1256"/>
      <c r="H2" s="1256"/>
      <c r="I2" s="1256"/>
      <c r="J2" s="1256"/>
      <c r="K2" s="1256"/>
      <c r="L2" s="1256"/>
      <c r="M2" s="1256"/>
      <c r="N2" s="1256"/>
      <c r="O2" s="1256"/>
      <c r="P2" s="1256"/>
      <c r="Q2" s="1256"/>
    </row>
    <row r="3" spans="1:17" s="746" customFormat="1" ht="20.45" customHeight="1">
      <c r="A3" s="745"/>
      <c r="B3" s="745"/>
      <c r="C3" s="1256" t="s">
        <v>681</v>
      </c>
      <c r="D3" s="1256"/>
      <c r="E3" s="1256"/>
      <c r="F3" s="1256"/>
      <c r="G3" s="1256"/>
      <c r="H3" s="1256"/>
      <c r="I3" s="1256"/>
      <c r="J3" s="1256"/>
      <c r="K3" s="1256"/>
      <c r="L3" s="1256"/>
      <c r="M3" s="1256"/>
      <c r="N3" s="1256"/>
      <c r="O3" s="1256"/>
      <c r="P3" s="1256"/>
      <c r="Q3" s="1256"/>
    </row>
    <row r="4" spans="1:17" ht="20.45" customHeight="1">
      <c r="A4" s="865" t="s">
        <v>8</v>
      </c>
    </row>
    <row r="5" spans="1:17" ht="20.45" customHeight="1">
      <c r="B5" s="866" t="s">
        <v>1182</v>
      </c>
    </row>
    <row r="6" spans="1:17" ht="20.45" customHeight="1">
      <c r="A6" s="745">
        <v>1</v>
      </c>
      <c r="B6" s="16" t="s">
        <v>1183</v>
      </c>
      <c r="G6" s="844">
        <v>218792254.34000003</v>
      </c>
    </row>
    <row r="7" spans="1:17" ht="20.45" customHeight="1">
      <c r="A7" s="745">
        <f>A6+1</f>
        <v>2</v>
      </c>
      <c r="B7" s="16" t="s">
        <v>1184</v>
      </c>
      <c r="G7" s="844">
        <v>2646644.330000015</v>
      </c>
    </row>
    <row r="8" spans="1:17" ht="20.45" customHeight="1">
      <c r="A8" s="745">
        <f t="shared" ref="A8:A13" si="0">A7+1</f>
        <v>3</v>
      </c>
      <c r="B8" s="16" t="s">
        <v>1458</v>
      </c>
      <c r="G8" s="844">
        <v>74346.480000000025</v>
      </c>
    </row>
    <row r="9" spans="1:17" ht="20.45" customHeight="1">
      <c r="A9" s="745">
        <f t="shared" si="0"/>
        <v>4</v>
      </c>
      <c r="B9" s="16" t="s">
        <v>1185</v>
      </c>
      <c r="G9" s="844">
        <v>0</v>
      </c>
    </row>
    <row r="10" spans="1:17" ht="20.45" customHeight="1">
      <c r="A10" s="745">
        <f t="shared" si="0"/>
        <v>5</v>
      </c>
      <c r="B10" s="16" t="s">
        <v>1459</v>
      </c>
      <c r="G10" s="844">
        <v>0</v>
      </c>
    </row>
    <row r="11" spans="1:17" ht="20.45" customHeight="1">
      <c r="A11" s="745">
        <f t="shared" si="0"/>
        <v>6</v>
      </c>
      <c r="B11" s="16" t="s">
        <v>1186</v>
      </c>
      <c r="G11" s="844">
        <v>12414338.680000002</v>
      </c>
    </row>
    <row r="12" spans="1:17" ht="20.45" customHeight="1">
      <c r="A12" s="745">
        <f t="shared" si="0"/>
        <v>7</v>
      </c>
      <c r="B12" s="16" t="s">
        <v>1187</v>
      </c>
      <c r="G12" s="844">
        <v>461044.99999999988</v>
      </c>
    </row>
    <row r="13" spans="1:17" ht="20.45" customHeight="1">
      <c r="A13" s="745">
        <f t="shared" si="0"/>
        <v>8</v>
      </c>
      <c r="B13" s="846" t="s">
        <v>1188</v>
      </c>
      <c r="G13" s="867">
        <f>G6+G7+G8-G9-G10+G11-G12</f>
        <v>233466538.83000004</v>
      </c>
    </row>
    <row r="14" spans="1:17" ht="20.45" customHeight="1"/>
    <row r="15" spans="1:17" ht="20.45" customHeight="1">
      <c r="B15" s="846" t="s">
        <v>1189</v>
      </c>
    </row>
    <row r="16" spans="1:17" ht="20.45" customHeight="1">
      <c r="B16" s="846"/>
    </row>
    <row r="17" spans="1:16" ht="20.45" customHeight="1">
      <c r="B17" s="846" t="s">
        <v>1190</v>
      </c>
      <c r="C17" s="847" t="s">
        <v>195</v>
      </c>
      <c r="D17" s="847" t="s">
        <v>84</v>
      </c>
      <c r="E17" s="847" t="s">
        <v>83</v>
      </c>
      <c r="F17" s="847" t="s">
        <v>171</v>
      </c>
      <c r="G17" s="847" t="s">
        <v>74</v>
      </c>
      <c r="H17" s="847" t="s">
        <v>73</v>
      </c>
      <c r="I17" s="847" t="s">
        <v>93</v>
      </c>
      <c r="J17" s="847" t="s">
        <v>81</v>
      </c>
      <c r="K17" s="847" t="s">
        <v>172</v>
      </c>
      <c r="L17" s="847" t="s">
        <v>79</v>
      </c>
      <c r="M17" s="847" t="s">
        <v>85</v>
      </c>
      <c r="N17" s="847" t="s">
        <v>78</v>
      </c>
      <c r="O17" s="847" t="s">
        <v>196</v>
      </c>
      <c r="P17" s="17" t="s">
        <v>1191</v>
      </c>
    </row>
    <row r="18" spans="1:16">
      <c r="A18" s="745">
        <f>A13+1</f>
        <v>9</v>
      </c>
      <c r="B18" s="16" t="s">
        <v>1192</v>
      </c>
      <c r="C18" s="844">
        <v>5200000000</v>
      </c>
      <c r="D18" s="844">
        <v>5200000000</v>
      </c>
      <c r="E18" s="844">
        <v>5200000000</v>
      </c>
      <c r="F18" s="844">
        <v>5200000000</v>
      </c>
      <c r="G18" s="844">
        <v>5200000000</v>
      </c>
      <c r="H18" s="844">
        <v>5200000000</v>
      </c>
      <c r="I18" s="844">
        <v>5200000000</v>
      </c>
      <c r="J18" s="844">
        <v>5200000000</v>
      </c>
      <c r="K18" s="844">
        <v>5200000000</v>
      </c>
      <c r="L18" s="844">
        <v>5775000000</v>
      </c>
      <c r="M18" s="844">
        <v>5775000000</v>
      </c>
      <c r="N18" s="844">
        <v>5775000000</v>
      </c>
      <c r="O18" s="844">
        <v>5775000000</v>
      </c>
      <c r="P18" s="231">
        <f>AVERAGE(C18:O18)</f>
        <v>5376923076.9230766</v>
      </c>
    </row>
    <row r="19" spans="1:16">
      <c r="A19" s="745">
        <f t="shared" ref="A19:A22" si="1">A18+1</f>
        <v>10</v>
      </c>
      <c r="B19" s="16" t="s">
        <v>1460</v>
      </c>
      <c r="C19" s="844">
        <v>0</v>
      </c>
      <c r="D19" s="844">
        <v>0</v>
      </c>
      <c r="E19" s="844">
        <v>0</v>
      </c>
      <c r="F19" s="844">
        <v>0</v>
      </c>
      <c r="G19" s="844">
        <v>0</v>
      </c>
      <c r="H19" s="844">
        <v>0</v>
      </c>
      <c r="I19" s="844">
        <v>0</v>
      </c>
      <c r="J19" s="844">
        <v>0</v>
      </c>
      <c r="K19" s="844">
        <v>0</v>
      </c>
      <c r="L19" s="844">
        <v>0</v>
      </c>
      <c r="M19" s="844">
        <v>0</v>
      </c>
      <c r="N19" s="844">
        <v>0</v>
      </c>
      <c r="O19" s="844">
        <v>0</v>
      </c>
      <c r="P19" s="231">
        <f t="shared" ref="P19:P21" si="2">AVERAGE(C19:O19)</f>
        <v>0</v>
      </c>
    </row>
    <row r="20" spans="1:16">
      <c r="A20" s="745">
        <f t="shared" si="1"/>
        <v>11</v>
      </c>
      <c r="B20" s="16" t="s">
        <v>1193</v>
      </c>
      <c r="C20" s="844">
        <v>184418609</v>
      </c>
      <c r="D20" s="844">
        <v>184418609</v>
      </c>
      <c r="E20" s="844">
        <v>184418609</v>
      </c>
      <c r="F20" s="844">
        <v>184418609</v>
      </c>
      <c r="G20" s="844">
        <v>184418609</v>
      </c>
      <c r="H20" s="844">
        <v>184418609</v>
      </c>
      <c r="I20" s="844">
        <v>184418609</v>
      </c>
      <c r="J20" s="844">
        <v>184418609</v>
      </c>
      <c r="K20" s="844">
        <v>184418609</v>
      </c>
      <c r="L20" s="844">
        <v>184418608.99999994</v>
      </c>
      <c r="M20" s="844">
        <v>184418609</v>
      </c>
      <c r="N20" s="844">
        <v>184418609</v>
      </c>
      <c r="O20" s="844">
        <v>184418609</v>
      </c>
      <c r="P20" s="231">
        <f t="shared" si="2"/>
        <v>184418609</v>
      </c>
    </row>
    <row r="21" spans="1:16">
      <c r="A21" s="745">
        <f t="shared" si="1"/>
        <v>12</v>
      </c>
      <c r="B21" s="16" t="s">
        <v>1194</v>
      </c>
      <c r="C21" s="964">
        <v>0</v>
      </c>
      <c r="D21" s="964">
        <v>0</v>
      </c>
      <c r="E21" s="964">
        <v>0</v>
      </c>
      <c r="F21" s="964">
        <v>0</v>
      </c>
      <c r="G21" s="964">
        <v>0</v>
      </c>
      <c r="H21" s="964">
        <v>0</v>
      </c>
      <c r="I21" s="964">
        <v>0</v>
      </c>
      <c r="J21" s="964">
        <v>0</v>
      </c>
      <c r="K21" s="964">
        <v>0</v>
      </c>
      <c r="L21" s="964">
        <v>0</v>
      </c>
      <c r="M21" s="964">
        <v>0</v>
      </c>
      <c r="N21" s="964">
        <v>0</v>
      </c>
      <c r="O21" s="964">
        <v>0</v>
      </c>
      <c r="P21" s="273">
        <f t="shared" si="2"/>
        <v>0</v>
      </c>
    </row>
    <row r="22" spans="1:16">
      <c r="A22" s="745">
        <f t="shared" si="1"/>
        <v>13</v>
      </c>
      <c r="B22" s="846" t="s">
        <v>1195</v>
      </c>
      <c r="C22" s="868">
        <f>C18+C20+C21-C19</f>
        <v>5384418609</v>
      </c>
      <c r="D22" s="868">
        <f t="shared" ref="D22:O22" si="3">D18+D20+D21-D19</f>
        <v>5384418609</v>
      </c>
      <c r="E22" s="868">
        <f t="shared" si="3"/>
        <v>5384418609</v>
      </c>
      <c r="F22" s="868">
        <f t="shared" si="3"/>
        <v>5384418609</v>
      </c>
      <c r="G22" s="868">
        <f t="shared" si="3"/>
        <v>5384418609</v>
      </c>
      <c r="H22" s="868">
        <f t="shared" si="3"/>
        <v>5384418609</v>
      </c>
      <c r="I22" s="868">
        <f t="shared" si="3"/>
        <v>5384418609</v>
      </c>
      <c r="J22" s="868">
        <f t="shared" si="3"/>
        <v>5384418609</v>
      </c>
      <c r="K22" s="868">
        <f t="shared" si="3"/>
        <v>5384418609</v>
      </c>
      <c r="L22" s="868">
        <f t="shared" si="3"/>
        <v>5959418609</v>
      </c>
      <c r="M22" s="868">
        <f t="shared" si="3"/>
        <v>5959418609</v>
      </c>
      <c r="N22" s="868">
        <f t="shared" si="3"/>
        <v>5959418609</v>
      </c>
      <c r="O22" s="868">
        <f t="shared" si="3"/>
        <v>5959418609</v>
      </c>
      <c r="P22" s="868">
        <f>AVERAGE(C22:O22)</f>
        <v>5561341685.9230766</v>
      </c>
    </row>
    <row r="27" spans="1:16">
      <c r="B27" s="846" t="s">
        <v>1196</v>
      </c>
    </row>
    <row r="28" spans="1:16">
      <c r="A28" s="745">
        <f>A22+1</f>
        <v>14</v>
      </c>
      <c r="B28" s="16" t="s">
        <v>1197</v>
      </c>
      <c r="C28" s="844">
        <v>1423004250.6500001</v>
      </c>
      <c r="D28" s="844">
        <v>1423004250.6500001</v>
      </c>
      <c r="E28" s="844">
        <v>1423004250.6500001</v>
      </c>
      <c r="F28" s="844">
        <v>1423004250.6500001</v>
      </c>
      <c r="G28" s="844">
        <v>1423004250.6500001</v>
      </c>
      <c r="H28" s="844">
        <v>1423004250.6500001</v>
      </c>
      <c r="I28" s="844">
        <v>1423004250.6500001</v>
      </c>
      <c r="J28" s="844">
        <v>1423004250.6500001</v>
      </c>
      <c r="K28" s="844">
        <v>1423004250.6500001</v>
      </c>
      <c r="L28" s="844">
        <v>1423004250.6500001</v>
      </c>
      <c r="M28" s="844">
        <v>1423004250.6500001</v>
      </c>
      <c r="N28" s="844">
        <v>1423004250.6500001</v>
      </c>
      <c r="O28" s="844">
        <v>1423004250.6500001</v>
      </c>
      <c r="P28" s="265">
        <f t="shared" ref="P28:P42" si="4">AVERAGE(C28:O28)</f>
        <v>1423004250.6499999</v>
      </c>
    </row>
    <row r="29" spans="1:16">
      <c r="A29" s="745">
        <f t="shared" ref="A29:A42" si="5">A28+1</f>
        <v>15</v>
      </c>
      <c r="B29" s="869" t="s">
        <v>1198</v>
      </c>
      <c r="C29" s="844">
        <v>0</v>
      </c>
      <c r="D29" s="844">
        <v>0</v>
      </c>
      <c r="E29" s="844">
        <v>0</v>
      </c>
      <c r="F29" s="844">
        <v>0</v>
      </c>
      <c r="G29" s="844">
        <v>0</v>
      </c>
      <c r="H29" s="844">
        <v>0</v>
      </c>
      <c r="I29" s="844">
        <v>0</v>
      </c>
      <c r="J29" s="844">
        <v>0</v>
      </c>
      <c r="K29" s="844">
        <v>0</v>
      </c>
      <c r="L29" s="844">
        <v>0</v>
      </c>
      <c r="M29" s="844">
        <v>0</v>
      </c>
      <c r="N29" s="844">
        <v>0</v>
      </c>
      <c r="O29" s="844">
        <v>0</v>
      </c>
      <c r="P29" s="265">
        <f t="shared" si="4"/>
        <v>0</v>
      </c>
    </row>
    <row r="30" spans="1:16">
      <c r="A30" s="745">
        <f t="shared" si="5"/>
        <v>16</v>
      </c>
      <c r="B30" s="869" t="s">
        <v>1199</v>
      </c>
      <c r="C30" s="844">
        <v>0</v>
      </c>
      <c r="D30" s="844">
        <v>0</v>
      </c>
      <c r="E30" s="844">
        <v>0</v>
      </c>
      <c r="F30" s="844">
        <v>0</v>
      </c>
      <c r="G30" s="844">
        <v>0</v>
      </c>
      <c r="H30" s="844">
        <v>0</v>
      </c>
      <c r="I30" s="844">
        <v>0</v>
      </c>
      <c r="J30" s="844">
        <v>0</v>
      </c>
      <c r="K30" s="844">
        <v>0</v>
      </c>
      <c r="L30" s="844">
        <v>0</v>
      </c>
      <c r="M30" s="844">
        <v>0</v>
      </c>
      <c r="N30" s="844">
        <v>0</v>
      </c>
      <c r="O30" s="844">
        <v>0</v>
      </c>
      <c r="P30" s="265">
        <f t="shared" si="4"/>
        <v>0</v>
      </c>
    </row>
    <row r="31" spans="1:16">
      <c r="A31" s="745">
        <f t="shared" si="5"/>
        <v>17</v>
      </c>
      <c r="B31" s="869" t="s">
        <v>1200</v>
      </c>
      <c r="C31" s="844">
        <v>0</v>
      </c>
      <c r="D31" s="844">
        <v>0</v>
      </c>
      <c r="E31" s="844">
        <v>0</v>
      </c>
      <c r="F31" s="844">
        <v>0</v>
      </c>
      <c r="G31" s="844">
        <v>0</v>
      </c>
      <c r="H31" s="844">
        <v>0</v>
      </c>
      <c r="I31" s="844">
        <v>0</v>
      </c>
      <c r="J31" s="844">
        <v>0</v>
      </c>
      <c r="K31" s="844">
        <v>0</v>
      </c>
      <c r="L31" s="844">
        <v>0</v>
      </c>
      <c r="M31" s="844">
        <v>0</v>
      </c>
      <c r="N31" s="844">
        <v>0</v>
      </c>
      <c r="O31" s="844">
        <v>0</v>
      </c>
      <c r="P31" s="265">
        <f t="shared" si="4"/>
        <v>0</v>
      </c>
    </row>
    <row r="32" spans="1:16">
      <c r="A32" s="745">
        <f t="shared" si="5"/>
        <v>18</v>
      </c>
      <c r="B32" s="869" t="s">
        <v>1201</v>
      </c>
      <c r="C32" s="844">
        <v>0</v>
      </c>
      <c r="D32" s="844">
        <v>0</v>
      </c>
      <c r="E32" s="844">
        <v>0</v>
      </c>
      <c r="F32" s="844">
        <v>0</v>
      </c>
      <c r="G32" s="844">
        <v>0</v>
      </c>
      <c r="H32" s="844">
        <v>0</v>
      </c>
      <c r="I32" s="844">
        <v>0</v>
      </c>
      <c r="J32" s="844">
        <v>0</v>
      </c>
      <c r="K32" s="844">
        <v>0</v>
      </c>
      <c r="L32" s="844">
        <v>0</v>
      </c>
      <c r="M32" s="844">
        <v>0</v>
      </c>
      <c r="N32" s="844">
        <v>0</v>
      </c>
      <c r="O32" s="844">
        <v>0</v>
      </c>
      <c r="P32" s="265">
        <f t="shared" si="4"/>
        <v>0</v>
      </c>
    </row>
    <row r="33" spans="1:16">
      <c r="A33" s="745">
        <f t="shared" si="5"/>
        <v>19</v>
      </c>
      <c r="B33" s="16" t="s">
        <v>1202</v>
      </c>
      <c r="C33" s="844">
        <v>2627435471.4400001</v>
      </c>
      <c r="D33" s="844">
        <v>2627435471.4400001</v>
      </c>
      <c r="E33" s="844">
        <v>2627435471.4400001</v>
      </c>
      <c r="F33" s="844">
        <v>3207435471.4400001</v>
      </c>
      <c r="G33" s="844">
        <v>3207435471.4400001</v>
      </c>
      <c r="H33" s="844">
        <v>3207435471.4400001</v>
      </c>
      <c r="I33" s="844">
        <v>3207435471.4400001</v>
      </c>
      <c r="J33" s="844">
        <v>3207435471.4400001</v>
      </c>
      <c r="K33" s="844">
        <v>3207435471.4400001</v>
      </c>
      <c r="L33" s="844">
        <v>3222327062.4400001</v>
      </c>
      <c r="M33" s="844">
        <v>3222327062.4400001</v>
      </c>
      <c r="N33" s="844">
        <v>3222327062.4400001</v>
      </c>
      <c r="O33" s="844">
        <v>3222327062.4400001</v>
      </c>
      <c r="P33" s="265">
        <f t="shared" si="4"/>
        <v>3078171345.5938458</v>
      </c>
    </row>
    <row r="34" spans="1:16">
      <c r="A34" s="745">
        <f t="shared" si="5"/>
        <v>20</v>
      </c>
      <c r="B34" s="16" t="s">
        <v>1203</v>
      </c>
      <c r="C34" s="844">
        <v>0</v>
      </c>
      <c r="D34" s="844">
        <v>0</v>
      </c>
      <c r="E34" s="844">
        <v>0</v>
      </c>
      <c r="F34" s="844">
        <v>0</v>
      </c>
      <c r="G34" s="844">
        <v>0</v>
      </c>
      <c r="H34" s="844">
        <v>0</v>
      </c>
      <c r="I34" s="844">
        <v>0</v>
      </c>
      <c r="J34" s="844">
        <v>0</v>
      </c>
      <c r="K34" s="844">
        <v>0</v>
      </c>
      <c r="L34" s="844">
        <v>0</v>
      </c>
      <c r="M34" s="844">
        <v>0</v>
      </c>
      <c r="N34" s="844">
        <v>0</v>
      </c>
      <c r="O34" s="844">
        <v>0</v>
      </c>
      <c r="P34" s="265">
        <f t="shared" si="4"/>
        <v>0</v>
      </c>
    </row>
    <row r="35" spans="1:16">
      <c r="A35" s="745">
        <f t="shared" si="5"/>
        <v>21</v>
      </c>
      <c r="B35" s="16" t="s">
        <v>1204</v>
      </c>
      <c r="C35" s="844">
        <v>0</v>
      </c>
      <c r="D35" s="844">
        <v>0</v>
      </c>
      <c r="E35" s="844">
        <v>0</v>
      </c>
      <c r="F35" s="844">
        <v>0</v>
      </c>
      <c r="G35" s="844">
        <v>0</v>
      </c>
      <c r="H35" s="844">
        <v>0</v>
      </c>
      <c r="I35" s="844">
        <v>0</v>
      </c>
      <c r="J35" s="844">
        <v>0</v>
      </c>
      <c r="K35" s="844">
        <v>0</v>
      </c>
      <c r="L35" s="844">
        <v>0</v>
      </c>
      <c r="M35" s="844">
        <v>0</v>
      </c>
      <c r="N35" s="844">
        <v>0</v>
      </c>
      <c r="O35" s="844">
        <v>0</v>
      </c>
      <c r="P35" s="265">
        <f t="shared" si="4"/>
        <v>0</v>
      </c>
    </row>
    <row r="36" spans="1:16">
      <c r="A36" s="745">
        <f t="shared" si="5"/>
        <v>22</v>
      </c>
      <c r="B36" s="16" t="s">
        <v>1205</v>
      </c>
      <c r="C36" s="844">
        <v>86741.79</v>
      </c>
      <c r="D36" s="844">
        <v>86741.79</v>
      </c>
      <c r="E36" s="844">
        <v>86741.79</v>
      </c>
      <c r="F36" s="844">
        <v>86741.79</v>
      </c>
      <c r="G36" s="844">
        <v>86741.79</v>
      </c>
      <c r="H36" s="844">
        <v>86741.79</v>
      </c>
      <c r="I36" s="844">
        <v>86741.79</v>
      </c>
      <c r="J36" s="844">
        <v>86741.79</v>
      </c>
      <c r="K36" s="844">
        <v>86741.79</v>
      </c>
      <c r="L36" s="844">
        <v>86741.79</v>
      </c>
      <c r="M36" s="844">
        <v>86741.79</v>
      </c>
      <c r="N36" s="844">
        <v>86741.79</v>
      </c>
      <c r="O36" s="844">
        <v>86741.79</v>
      </c>
      <c r="P36" s="265">
        <f t="shared" si="4"/>
        <v>86741.790000000008</v>
      </c>
    </row>
    <row r="37" spans="1:16">
      <c r="A37" s="745">
        <f t="shared" si="5"/>
        <v>23</v>
      </c>
      <c r="B37" s="16" t="s">
        <v>1206</v>
      </c>
      <c r="C37" s="844">
        <v>5436967566.2600021</v>
      </c>
      <c r="D37" s="844">
        <v>5494733151.3403025</v>
      </c>
      <c r="E37" s="844">
        <v>5559754942.196002</v>
      </c>
      <c r="F37" s="844">
        <v>5497326074.6800013</v>
      </c>
      <c r="G37" s="844">
        <v>5512635217.0691013</v>
      </c>
      <c r="H37" s="844">
        <v>5538666748.4581013</v>
      </c>
      <c r="I37" s="844">
        <v>5498738339.0800018</v>
      </c>
      <c r="J37" s="844">
        <v>5563381698.7791014</v>
      </c>
      <c r="K37" s="844">
        <v>5613655186.7687016</v>
      </c>
      <c r="L37" s="844">
        <v>5526652356.4800014</v>
      </c>
      <c r="M37" s="844">
        <v>5569966419.1824017</v>
      </c>
      <c r="N37" s="844">
        <v>5611798773.6323013</v>
      </c>
      <c r="O37" s="844">
        <v>5633316706.1800013</v>
      </c>
      <c r="P37" s="265">
        <f t="shared" si="4"/>
        <v>5542891783.0850782</v>
      </c>
    </row>
    <row r="38" spans="1:16">
      <c r="A38" s="745">
        <f t="shared" si="5"/>
        <v>24</v>
      </c>
      <c r="B38" s="16" t="s">
        <v>1207</v>
      </c>
      <c r="C38" s="844">
        <v>-3419975569.4700007</v>
      </c>
      <c r="D38" s="844">
        <v>-3423841977.7603006</v>
      </c>
      <c r="E38" s="844">
        <v>-3427705064.7560005</v>
      </c>
      <c r="F38" s="844">
        <v>-3431586424.1700006</v>
      </c>
      <c r="G38" s="844">
        <v>-3435398816.9091005</v>
      </c>
      <c r="H38" s="844">
        <v>-3439250840.1581006</v>
      </c>
      <c r="I38" s="844">
        <v>-3443087560.6000004</v>
      </c>
      <c r="J38" s="844">
        <v>-3446943287.0191002</v>
      </c>
      <c r="K38" s="844">
        <v>-3450785714.1187</v>
      </c>
      <c r="L38" s="844">
        <v>-3454622800.9099998</v>
      </c>
      <c r="M38" s="844">
        <v>-3458486445.9323997</v>
      </c>
      <c r="N38" s="844">
        <v>-3462415478.6322999</v>
      </c>
      <c r="O38" s="844">
        <v>-3466341166.1999998</v>
      </c>
      <c r="P38" s="265">
        <f>AVERAGE(C38:O38)</f>
        <v>-3443110857.4335394</v>
      </c>
    </row>
    <row r="39" spans="1:16">
      <c r="A39" s="745">
        <f t="shared" si="5"/>
        <v>25</v>
      </c>
      <c r="B39" s="16" t="s">
        <v>1461</v>
      </c>
      <c r="C39" s="844">
        <v>0</v>
      </c>
      <c r="D39" s="844">
        <v>0</v>
      </c>
      <c r="E39" s="844">
        <v>0</v>
      </c>
      <c r="F39" s="844">
        <v>0</v>
      </c>
      <c r="G39" s="844">
        <v>0</v>
      </c>
      <c r="H39" s="844">
        <v>0</v>
      </c>
      <c r="I39" s="844">
        <v>0</v>
      </c>
      <c r="J39" s="844">
        <v>0</v>
      </c>
      <c r="K39" s="844">
        <v>0</v>
      </c>
      <c r="L39" s="844">
        <v>0</v>
      </c>
      <c r="M39" s="844">
        <v>0</v>
      </c>
      <c r="N39" s="844">
        <v>0</v>
      </c>
      <c r="O39" s="844">
        <v>0</v>
      </c>
      <c r="P39" s="265">
        <f t="shared" si="4"/>
        <v>0</v>
      </c>
    </row>
    <row r="40" spans="1:16">
      <c r="A40" s="745">
        <f t="shared" si="5"/>
        <v>26</v>
      </c>
      <c r="B40" s="16" t="s">
        <v>1208</v>
      </c>
      <c r="C40" s="844">
        <v>0</v>
      </c>
      <c r="D40" s="844">
        <v>0</v>
      </c>
      <c r="E40" s="844">
        <v>0</v>
      </c>
      <c r="F40" s="844">
        <v>0</v>
      </c>
      <c r="G40" s="844">
        <v>0</v>
      </c>
      <c r="H40" s="844">
        <v>0</v>
      </c>
      <c r="I40" s="844">
        <v>0</v>
      </c>
      <c r="J40" s="844">
        <v>0</v>
      </c>
      <c r="K40" s="844">
        <v>0</v>
      </c>
      <c r="L40" s="844">
        <v>0</v>
      </c>
      <c r="M40" s="844">
        <v>0</v>
      </c>
      <c r="N40" s="844">
        <v>0</v>
      </c>
      <c r="O40" s="844">
        <v>0</v>
      </c>
      <c r="P40" s="265">
        <f t="shared" si="4"/>
        <v>0</v>
      </c>
    </row>
    <row r="41" spans="1:16">
      <c r="A41" s="745">
        <f t="shared" si="5"/>
        <v>27</v>
      </c>
      <c r="B41" s="16" t="s">
        <v>1209</v>
      </c>
      <c r="C41" s="964">
        <v>2175627.4500000002</v>
      </c>
      <c r="D41" s="964">
        <v>2185062.3899999997</v>
      </c>
      <c r="E41" s="964">
        <v>2185062.3899999997</v>
      </c>
      <c r="F41" s="964">
        <v>2496009.4299999997</v>
      </c>
      <c r="G41" s="964">
        <v>2532788.0699999998</v>
      </c>
      <c r="H41" s="964">
        <v>2532788.0699999998</v>
      </c>
      <c r="I41" s="964">
        <v>2673685.2699999996</v>
      </c>
      <c r="J41" s="964">
        <v>2710463.9099999997</v>
      </c>
      <c r="K41" s="964">
        <v>2710463.9099999997</v>
      </c>
      <c r="L41" s="964">
        <v>3137521.8999999994</v>
      </c>
      <c r="M41" s="964">
        <v>3174300.5399999996</v>
      </c>
      <c r="N41" s="964">
        <v>3174300.5399999996</v>
      </c>
      <c r="O41" s="964">
        <v>3527297.2399999998</v>
      </c>
      <c r="P41" s="273">
        <f t="shared" si="4"/>
        <v>2708874.7007692307</v>
      </c>
    </row>
    <row r="42" spans="1:16" ht="62.45" customHeight="1">
      <c r="A42" s="745">
        <f t="shared" si="5"/>
        <v>28</v>
      </c>
      <c r="B42" s="870" t="s">
        <v>1210</v>
      </c>
      <c r="C42" s="231">
        <f>C28+C29+C30+C31+C32+C33+C34-C35-C36+C37+C38-C39+C40+C41</f>
        <v>6069520604.54</v>
      </c>
      <c r="D42" s="240">
        <f t="shared" ref="D42:O42" si="6">D28+D29+D30+D31+D32+D33+D34-D35-D36+D37+D38-D39+D40+D41</f>
        <v>6123429216.2700024</v>
      </c>
      <c r="E42" s="240">
        <f t="shared" si="6"/>
        <v>6184587920.130002</v>
      </c>
      <c r="F42" s="240">
        <f t="shared" si="6"/>
        <v>6698588640.2400017</v>
      </c>
      <c r="G42" s="240">
        <f t="shared" si="6"/>
        <v>6710122168.5300016</v>
      </c>
      <c r="H42" s="240">
        <f t="shared" si="6"/>
        <v>6732301676.670002</v>
      </c>
      <c r="I42" s="240">
        <f t="shared" si="6"/>
        <v>6688677444.0500011</v>
      </c>
      <c r="J42" s="240">
        <f t="shared" si="6"/>
        <v>6749501855.9700012</v>
      </c>
      <c r="K42" s="240">
        <f t="shared" si="6"/>
        <v>6795932916.8600025</v>
      </c>
      <c r="L42" s="240">
        <f t="shared" si="6"/>
        <v>6720411648.7700024</v>
      </c>
      <c r="M42" s="240">
        <f t="shared" si="6"/>
        <v>6759898845.090003</v>
      </c>
      <c r="N42" s="240">
        <f t="shared" si="6"/>
        <v>6797802166.8400011</v>
      </c>
      <c r="O42" s="240">
        <f t="shared" si="6"/>
        <v>6815747408.5200014</v>
      </c>
      <c r="P42" s="231">
        <f t="shared" si="4"/>
        <v>6603578654.8061543</v>
      </c>
    </row>
    <row r="43" spans="1:16">
      <c r="A43" s="745">
        <v>29</v>
      </c>
      <c r="B43" s="846" t="s">
        <v>1211</v>
      </c>
      <c r="C43" s="868">
        <f>+C29</f>
        <v>0</v>
      </c>
      <c r="D43" s="868">
        <f t="shared" ref="D43:P43" si="7">+D29</f>
        <v>0</v>
      </c>
      <c r="E43" s="868">
        <f t="shared" si="7"/>
        <v>0</v>
      </c>
      <c r="F43" s="868">
        <f t="shared" si="7"/>
        <v>0</v>
      </c>
      <c r="G43" s="868">
        <f t="shared" si="7"/>
        <v>0</v>
      </c>
      <c r="H43" s="868">
        <f t="shared" si="7"/>
        <v>0</v>
      </c>
      <c r="I43" s="868">
        <f t="shared" si="7"/>
        <v>0</v>
      </c>
      <c r="J43" s="868">
        <f t="shared" si="7"/>
        <v>0</v>
      </c>
      <c r="K43" s="868">
        <f t="shared" si="7"/>
        <v>0</v>
      </c>
      <c r="L43" s="868">
        <f t="shared" si="7"/>
        <v>0</v>
      </c>
      <c r="M43" s="868">
        <f t="shared" si="7"/>
        <v>0</v>
      </c>
      <c r="N43" s="868">
        <f t="shared" si="7"/>
        <v>0</v>
      </c>
      <c r="O43" s="868">
        <f t="shared" si="7"/>
        <v>0</v>
      </c>
      <c r="P43" s="868">
        <f t="shared" si="7"/>
        <v>0</v>
      </c>
    </row>
    <row r="44" spans="1:16">
      <c r="A44" s="745">
        <v>30</v>
      </c>
      <c r="B44" s="846" t="s">
        <v>1212</v>
      </c>
      <c r="C44" s="868">
        <f>+C42-C43</f>
        <v>6069520604.54</v>
      </c>
      <c r="D44" s="868">
        <f t="shared" ref="D44:P44" si="8">+D42-D43</f>
        <v>6123429216.2700024</v>
      </c>
      <c r="E44" s="868">
        <f t="shared" si="8"/>
        <v>6184587920.130002</v>
      </c>
      <c r="F44" s="868">
        <f t="shared" si="8"/>
        <v>6698588640.2400017</v>
      </c>
      <c r="G44" s="868">
        <f t="shared" si="8"/>
        <v>6710122168.5300016</v>
      </c>
      <c r="H44" s="868">
        <f t="shared" si="8"/>
        <v>6732301676.670002</v>
      </c>
      <c r="I44" s="868">
        <f t="shared" si="8"/>
        <v>6688677444.0500011</v>
      </c>
      <c r="J44" s="868">
        <f t="shared" si="8"/>
        <v>6749501855.9700012</v>
      </c>
      <c r="K44" s="868">
        <f t="shared" si="8"/>
        <v>6795932916.8600025</v>
      </c>
      <c r="L44" s="868">
        <f t="shared" si="8"/>
        <v>6720411648.7700024</v>
      </c>
      <c r="M44" s="868">
        <f t="shared" si="8"/>
        <v>6759898845.090003</v>
      </c>
      <c r="N44" s="868">
        <f t="shared" si="8"/>
        <v>6797802166.8400011</v>
      </c>
      <c r="O44" s="868">
        <f t="shared" si="8"/>
        <v>6815747408.5200014</v>
      </c>
      <c r="P44" s="868">
        <f t="shared" si="8"/>
        <v>6603578654.8061543</v>
      </c>
    </row>
  </sheetData>
  <sheetProtection algorithmName="SHA-512" hashValue="jN6pVkDA/XUOACzswGxGiybzpJqXt/BoAojRiFx69fo5VfBbIctYgCRbDokVRpqNu85ughF+o83insU5IlomHw==" saltValue="LYZ+AWcPpUIVxj8Tggn01Q==" spinCount="100000" sheet="1" objects="1" scenarios="1"/>
  <mergeCells count="3">
    <mergeCell ref="C1:Q1"/>
    <mergeCell ref="C2:Q2"/>
    <mergeCell ref="C3:Q3"/>
  </mergeCells>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19"/>
  <sheetViews>
    <sheetView view="pageBreakPreview" topLeftCell="E68" zoomScale="90" zoomScaleNormal="65" zoomScaleSheetLayoutView="90" workbookViewId="0">
      <selection activeCell="T95" sqref="T95"/>
    </sheetView>
  </sheetViews>
  <sheetFormatPr defaultColWidth="8.88671875" defaultRowHeight="13.15"/>
  <cols>
    <col min="1" max="1" width="6" style="147" customWidth="1"/>
    <col min="2" max="2" width="1.44140625" style="147" customWidth="1"/>
    <col min="3" max="3" width="42.88671875" style="147" customWidth="1"/>
    <col min="4" max="4" width="14.5546875" style="147" customWidth="1"/>
    <col min="5" max="5" width="17.5546875" style="147" customWidth="1"/>
    <col min="6" max="6" width="13.109375" style="147" customWidth="1"/>
    <col min="7" max="7" width="14.44140625" style="147" customWidth="1"/>
    <col min="8" max="8" width="16.33203125" style="147" customWidth="1"/>
    <col min="9" max="9" width="13.88671875" style="147" customWidth="1"/>
    <col min="10" max="10" width="14.44140625" style="147" customWidth="1"/>
    <col min="11" max="11" width="13.5546875" style="147" customWidth="1"/>
    <col min="12" max="13" width="15.88671875" style="147" customWidth="1"/>
    <col min="14" max="14" width="14.44140625" style="147" customWidth="1"/>
    <col min="15" max="15" width="13.109375" style="147" bestFit="1" customWidth="1"/>
    <col min="16" max="16" width="12.88671875" style="147" customWidth="1"/>
    <col min="17" max="17" width="13.88671875" style="147" customWidth="1"/>
    <col min="18" max="18" width="10.109375" style="147" customWidth="1"/>
    <col min="19" max="19" width="10.33203125" style="147" bestFit="1" customWidth="1"/>
    <col min="20" max="20" width="13" style="147" customWidth="1"/>
    <col min="21" max="21" width="11.33203125" style="53" bestFit="1" customWidth="1"/>
    <col min="22" max="16384" width="8.88671875" style="147"/>
  </cols>
  <sheetData>
    <row r="1" spans="1:22">
      <c r="Q1" s="148"/>
    </row>
    <row r="2" spans="1:22">
      <c r="Q2" s="148"/>
    </row>
    <row r="4" spans="1:22">
      <c r="Q4" s="148"/>
    </row>
    <row r="5" spans="1:22">
      <c r="D5" s="149"/>
      <c r="E5" s="149"/>
      <c r="F5" s="149"/>
      <c r="G5" s="150" t="s">
        <v>189</v>
      </c>
      <c r="H5" s="149"/>
      <c r="I5" s="149"/>
      <c r="J5" s="149"/>
      <c r="K5" s="151"/>
      <c r="L5" s="18"/>
      <c r="M5" s="152"/>
      <c r="N5" s="152"/>
      <c r="O5" s="152"/>
      <c r="P5" s="152"/>
      <c r="Q5" s="152"/>
      <c r="R5" s="151"/>
      <c r="S5" s="151"/>
      <c r="T5" s="151" t="s">
        <v>422</v>
      </c>
      <c r="U5" s="153"/>
      <c r="V5" s="151"/>
    </row>
    <row r="6" spans="1:22">
      <c r="D6" s="149"/>
      <c r="E6" s="154" t="s">
        <v>2</v>
      </c>
      <c r="F6" s="154"/>
      <c r="G6" s="150" t="s">
        <v>188</v>
      </c>
      <c r="H6" s="154"/>
      <c r="I6" s="154"/>
      <c r="J6" s="154"/>
      <c r="K6" s="151"/>
      <c r="P6" s="151"/>
      <c r="Q6" s="151"/>
      <c r="R6" s="151"/>
      <c r="S6" s="151"/>
      <c r="T6" s="155"/>
      <c r="U6" s="153"/>
      <c r="V6" s="151"/>
    </row>
    <row r="7" spans="1:22">
      <c r="C7" s="151"/>
      <c r="D7" s="151"/>
      <c r="E7" s="151"/>
      <c r="F7" s="151"/>
      <c r="G7" s="24" t="str">
        <f>+'Attachment H-7'!D5</f>
        <v>PECO Energy Company</v>
      </c>
      <c r="H7" s="151"/>
      <c r="I7" s="151"/>
      <c r="J7" s="151"/>
      <c r="K7" s="151"/>
      <c r="P7" s="151"/>
      <c r="Q7" s="151"/>
      <c r="R7" s="151"/>
      <c r="S7" s="151"/>
      <c r="T7" s="156"/>
      <c r="U7" s="153"/>
      <c r="V7" s="151"/>
    </row>
    <row r="8" spans="1:22">
      <c r="A8" s="150"/>
      <c r="C8" s="151"/>
      <c r="D8" s="151"/>
      <c r="E8" s="151"/>
      <c r="F8" s="151"/>
      <c r="H8" s="151"/>
      <c r="I8" s="151"/>
      <c r="J8" s="151"/>
      <c r="K8" s="151"/>
      <c r="L8" s="151"/>
      <c r="M8" s="151"/>
      <c r="N8" s="151"/>
      <c r="O8" s="151"/>
      <c r="P8" s="151"/>
      <c r="Q8" s="151"/>
      <c r="R8" s="151"/>
      <c r="S8" s="151"/>
      <c r="T8" s="156"/>
      <c r="U8" s="153"/>
      <c r="V8" s="151"/>
    </row>
    <row r="9" spans="1:22">
      <c r="A9" s="150"/>
      <c r="C9" s="151"/>
      <c r="D9" s="151"/>
      <c r="E9" s="151"/>
      <c r="F9" s="151"/>
      <c r="G9" s="157"/>
      <c r="H9" s="151"/>
      <c r="I9" s="151"/>
      <c r="J9" s="151"/>
      <c r="K9" s="151"/>
      <c r="L9" s="151"/>
      <c r="M9" s="151"/>
      <c r="N9" s="151"/>
      <c r="O9" s="151"/>
      <c r="P9" s="151"/>
      <c r="Q9" s="151"/>
      <c r="R9" s="151"/>
      <c r="S9" s="151"/>
      <c r="T9" s="156"/>
      <c r="U9" s="153"/>
      <c r="V9" s="151"/>
    </row>
    <row r="10" spans="1:22">
      <c r="A10" s="150"/>
      <c r="C10" s="151" t="s">
        <v>892</v>
      </c>
      <c r="D10" s="151"/>
      <c r="E10" s="151"/>
      <c r="F10" s="151"/>
      <c r="G10" s="157"/>
      <c r="H10" s="151"/>
      <c r="I10" s="151"/>
      <c r="J10" s="151"/>
      <c r="K10" s="151"/>
      <c r="L10" s="151"/>
      <c r="M10" s="151"/>
      <c r="N10" s="151"/>
      <c r="O10" s="151"/>
      <c r="P10" s="151"/>
      <c r="Q10" s="151"/>
      <c r="R10" s="151"/>
      <c r="S10" s="151"/>
      <c r="T10" s="156"/>
      <c r="U10" s="153"/>
      <c r="V10" s="151"/>
    </row>
    <row r="11" spans="1:22">
      <c r="A11" s="150"/>
      <c r="C11" s="151"/>
      <c r="D11" s="151"/>
      <c r="E11" s="151"/>
      <c r="F11" s="151"/>
      <c r="G11" s="157"/>
      <c r="L11" s="151"/>
      <c r="M11" s="151"/>
      <c r="N11" s="151"/>
      <c r="O11" s="151"/>
      <c r="P11" s="151"/>
      <c r="Q11" s="151"/>
      <c r="R11" s="151"/>
      <c r="S11" s="151"/>
      <c r="T11" s="151"/>
      <c r="U11" s="56"/>
      <c r="V11" s="151"/>
    </row>
    <row r="12" spans="1:22">
      <c r="A12" s="150"/>
      <c r="C12" s="151"/>
      <c r="D12" s="151"/>
      <c r="E12" s="151"/>
      <c r="F12" s="151"/>
      <c r="G12" s="151"/>
      <c r="L12" s="158"/>
      <c r="M12" s="158"/>
      <c r="N12" s="158"/>
      <c r="O12" s="158"/>
      <c r="P12" s="151"/>
      <c r="Q12" s="151"/>
      <c r="R12" s="151"/>
      <c r="S12" s="151"/>
      <c r="T12" s="151"/>
      <c r="U12" s="56"/>
      <c r="V12" s="151"/>
    </row>
    <row r="13" spans="1:22">
      <c r="C13" s="150" t="s">
        <v>3</v>
      </c>
      <c r="D13" s="150"/>
      <c r="E13" s="150" t="s">
        <v>4</v>
      </c>
      <c r="F13" s="150"/>
      <c r="I13" s="150" t="s">
        <v>5</v>
      </c>
      <c r="L13" s="159" t="s">
        <v>6</v>
      </c>
      <c r="M13" s="159"/>
      <c r="N13" s="159"/>
      <c r="O13" s="159"/>
      <c r="P13" s="154"/>
      <c r="Q13" s="159"/>
      <c r="R13" s="154"/>
      <c r="S13" s="154"/>
      <c r="T13" s="159"/>
      <c r="V13" s="149"/>
    </row>
    <row r="14" spans="1:22">
      <c r="C14" s="149"/>
      <c r="D14" s="149"/>
      <c r="E14" s="160" t="s">
        <v>891</v>
      </c>
      <c r="F14" s="160"/>
      <c r="I14" s="154"/>
      <c r="P14" s="154"/>
      <c r="R14" s="154"/>
      <c r="S14" s="154"/>
      <c r="T14" s="150"/>
      <c r="U14" s="161"/>
      <c r="V14" s="149"/>
    </row>
    <row r="15" spans="1:22">
      <c r="A15" s="150" t="s">
        <v>8</v>
      </c>
      <c r="C15" s="149"/>
      <c r="D15" s="149"/>
      <c r="E15" s="162" t="s">
        <v>18</v>
      </c>
      <c r="F15" s="162"/>
      <c r="I15" s="163" t="s">
        <v>17</v>
      </c>
      <c r="L15" s="163" t="s">
        <v>14</v>
      </c>
      <c r="M15" s="163"/>
      <c r="N15" s="163"/>
      <c r="O15" s="163"/>
      <c r="P15" s="154"/>
      <c r="R15" s="151"/>
      <c r="S15" s="151"/>
      <c r="T15" s="163"/>
      <c r="U15" s="161"/>
      <c r="V15" s="149"/>
    </row>
    <row r="16" spans="1:22">
      <c r="A16" s="150" t="s">
        <v>10</v>
      </c>
      <c r="C16" s="164"/>
      <c r="D16" s="164"/>
      <c r="E16" s="154"/>
      <c r="F16" s="154"/>
      <c r="I16" s="154"/>
      <c r="L16" s="154"/>
      <c r="M16" s="154"/>
      <c r="N16" s="154"/>
      <c r="O16" s="154"/>
      <c r="P16" s="154"/>
      <c r="Q16" s="154"/>
      <c r="R16" s="151"/>
      <c r="S16" s="151"/>
      <c r="T16" s="154"/>
      <c r="V16" s="149"/>
    </row>
    <row r="17" spans="1:22">
      <c r="A17" s="165"/>
      <c r="C17" s="149"/>
      <c r="D17" s="149"/>
      <c r="E17" s="154"/>
      <c r="F17" s="154"/>
      <c r="I17" s="154"/>
      <c r="L17" s="154"/>
      <c r="M17" s="154"/>
      <c r="N17" s="154"/>
      <c r="O17" s="154"/>
      <c r="P17" s="154"/>
      <c r="Q17" s="154"/>
      <c r="R17" s="151"/>
      <c r="S17" s="151"/>
      <c r="T17" s="154"/>
      <c r="V17" s="149"/>
    </row>
    <row r="18" spans="1:22">
      <c r="A18" s="166">
        <v>1</v>
      </c>
      <c r="C18" s="149" t="s">
        <v>126</v>
      </c>
      <c r="D18" s="149"/>
      <c r="E18" s="167" t="s">
        <v>1018</v>
      </c>
      <c r="F18" s="166"/>
      <c r="I18" s="53">
        <f>+'Attachment H-7'!I47</f>
        <v>2103854685.3006194</v>
      </c>
      <c r="P18" s="154"/>
      <c r="Q18" s="154"/>
      <c r="R18" s="151"/>
      <c r="S18" s="151"/>
      <c r="T18" s="154"/>
      <c r="V18" s="149"/>
    </row>
    <row r="19" spans="1:22">
      <c r="A19" s="166">
        <v>2</v>
      </c>
      <c r="C19" s="149" t="s">
        <v>127</v>
      </c>
      <c r="D19" s="149"/>
      <c r="E19" s="167" t="s">
        <v>1019</v>
      </c>
      <c r="F19" s="166"/>
      <c r="I19" s="53">
        <f>+'Attachment H-7'!I69+'Attachment H-7'!I88+'Attachment H-7'!I91</f>
        <v>1480903914.1985221</v>
      </c>
      <c r="P19" s="154"/>
      <c r="Q19" s="154"/>
      <c r="R19" s="151"/>
      <c r="S19" s="151"/>
      <c r="T19" s="154"/>
      <c r="V19" s="149"/>
    </row>
    <row r="20" spans="1:22">
      <c r="A20" s="166"/>
      <c r="E20" s="167"/>
      <c r="F20" s="166"/>
      <c r="P20" s="154"/>
      <c r="Q20" s="154"/>
      <c r="R20" s="151"/>
      <c r="S20" s="151"/>
      <c r="T20" s="154"/>
      <c r="V20" s="149"/>
    </row>
    <row r="21" spans="1:22">
      <c r="A21" s="166"/>
      <c r="C21" s="149" t="s">
        <v>128</v>
      </c>
      <c r="D21" s="149"/>
      <c r="E21" s="167"/>
      <c r="F21" s="166"/>
      <c r="I21" s="154"/>
      <c r="L21" s="154"/>
      <c r="M21" s="154"/>
      <c r="N21" s="154"/>
      <c r="O21" s="154"/>
      <c r="P21" s="154"/>
      <c r="Q21" s="154"/>
      <c r="R21" s="154"/>
      <c r="S21" s="154"/>
      <c r="T21" s="154"/>
      <c r="V21" s="149"/>
    </row>
    <row r="22" spans="1:22">
      <c r="A22" s="166">
        <v>3</v>
      </c>
      <c r="C22" s="149" t="s">
        <v>129</v>
      </c>
      <c r="D22" s="149"/>
      <c r="E22" s="167" t="s">
        <v>1020</v>
      </c>
      <c r="F22" s="166"/>
      <c r="I22" s="53">
        <f>+'Attachment H-7'!I128</f>
        <v>90803115.339391872</v>
      </c>
      <c r="P22" s="154"/>
      <c r="Q22" s="154"/>
      <c r="R22" s="154"/>
      <c r="S22" s="154"/>
      <c r="T22" s="154"/>
      <c r="V22" s="149"/>
    </row>
    <row r="23" spans="1:22">
      <c r="A23" s="166">
        <v>4</v>
      </c>
      <c r="C23" s="149" t="s">
        <v>130</v>
      </c>
      <c r="D23" s="149"/>
      <c r="E23" s="167" t="s">
        <v>131</v>
      </c>
      <c r="F23" s="166"/>
      <c r="I23" s="168">
        <f>IF(I18=0,0,I22/I18)</f>
        <v>4.3160355120447413E-2</v>
      </c>
      <c r="L23" s="169">
        <f>I23</f>
        <v>4.3160355120447413E-2</v>
      </c>
      <c r="M23" s="170"/>
      <c r="N23" s="170"/>
      <c r="O23" s="170"/>
      <c r="P23" s="154"/>
      <c r="Q23" s="171"/>
      <c r="R23" s="172"/>
      <c r="S23" s="172"/>
      <c r="T23" s="173"/>
      <c r="V23" s="149"/>
    </row>
    <row r="24" spans="1:22">
      <c r="A24" s="166"/>
      <c r="C24" s="149"/>
      <c r="D24" s="149"/>
      <c r="E24" s="167"/>
      <c r="F24" s="166"/>
      <c r="I24" s="174"/>
      <c r="L24" s="169"/>
      <c r="M24" s="170"/>
      <c r="N24" s="170"/>
      <c r="O24" s="170"/>
      <c r="P24" s="154"/>
      <c r="Q24" s="171"/>
      <c r="R24" s="172"/>
      <c r="S24" s="172"/>
      <c r="T24" s="173"/>
      <c r="V24" s="149"/>
    </row>
    <row r="25" spans="1:22">
      <c r="A25" s="159"/>
      <c r="C25" s="149" t="s">
        <v>370</v>
      </c>
      <c r="D25" s="149"/>
      <c r="E25" s="175"/>
      <c r="F25" s="176"/>
      <c r="I25" s="154"/>
      <c r="L25" s="168"/>
      <c r="M25" s="154"/>
      <c r="N25" s="154"/>
      <c r="O25" s="154"/>
      <c r="P25" s="154"/>
      <c r="Q25" s="171"/>
      <c r="R25" s="172"/>
      <c r="S25" s="172"/>
      <c r="T25" s="173"/>
      <c r="V25" s="149"/>
    </row>
    <row r="26" spans="1:22">
      <c r="A26" s="159" t="s">
        <v>132</v>
      </c>
      <c r="C26" s="149" t="s">
        <v>372</v>
      </c>
      <c r="D26" s="149"/>
      <c r="E26" s="167" t="s">
        <v>1024</v>
      </c>
      <c r="F26" s="166"/>
      <c r="I26" s="53">
        <f>+'Attachment H-7'!I132+'Attachment H-7'!I136+'Attachment H-7'!I133+'Attachment H-7'!I137+'Attachment H-7'!I134</f>
        <v>14302552.002805246</v>
      </c>
      <c r="L26" s="168"/>
      <c r="P26" s="154"/>
      <c r="Q26" s="171"/>
      <c r="R26" s="172"/>
      <c r="S26" s="172"/>
      <c r="T26" s="173"/>
      <c r="V26" s="149"/>
    </row>
    <row r="27" spans="1:22">
      <c r="A27" s="159" t="s">
        <v>133</v>
      </c>
      <c r="C27" s="149" t="s">
        <v>371</v>
      </c>
      <c r="D27" s="149"/>
      <c r="E27" s="167" t="s">
        <v>134</v>
      </c>
      <c r="F27" s="166"/>
      <c r="I27" s="59">
        <f>IF(I26=0,0,I26/I18)</f>
        <v>6.7982604039791639E-3</v>
      </c>
      <c r="J27" s="59"/>
      <c r="K27" s="59"/>
      <c r="L27" s="169">
        <f>I27</f>
        <v>6.7982604039791639E-3</v>
      </c>
      <c r="M27" s="170"/>
      <c r="N27" s="170"/>
      <c r="O27" s="170"/>
      <c r="P27" s="154"/>
      <c r="Q27" s="171"/>
      <c r="R27" s="172"/>
      <c r="S27" s="172"/>
      <c r="T27" s="173"/>
      <c r="V27" s="149"/>
    </row>
    <row r="28" spans="1:22">
      <c r="A28" s="166"/>
      <c r="C28" s="149"/>
      <c r="D28" s="149"/>
      <c r="E28" s="167"/>
      <c r="F28" s="166"/>
      <c r="I28" s="59"/>
      <c r="J28" s="59"/>
      <c r="K28" s="59"/>
      <c r="L28" s="169"/>
      <c r="M28" s="170"/>
      <c r="N28" s="170"/>
      <c r="O28" s="170"/>
      <c r="P28" s="154"/>
      <c r="Q28" s="171"/>
      <c r="R28" s="172"/>
      <c r="S28" s="172"/>
      <c r="T28" s="173"/>
      <c r="V28" s="149"/>
    </row>
    <row r="29" spans="1:22">
      <c r="A29" s="159"/>
      <c r="C29" s="149" t="s">
        <v>135</v>
      </c>
      <c r="D29" s="149"/>
      <c r="E29" s="175"/>
      <c r="F29" s="176"/>
      <c r="I29" s="59"/>
      <c r="J29" s="59"/>
      <c r="K29" s="59"/>
      <c r="L29" s="168"/>
      <c r="M29" s="154"/>
      <c r="N29" s="154"/>
      <c r="O29" s="154"/>
      <c r="P29" s="154"/>
      <c r="Q29" s="154"/>
      <c r="R29" s="154"/>
      <c r="S29" s="154"/>
      <c r="T29" s="154"/>
      <c r="V29" s="149"/>
    </row>
    <row r="30" spans="1:22">
      <c r="A30" s="159" t="s">
        <v>136</v>
      </c>
      <c r="C30" s="149" t="s">
        <v>137</v>
      </c>
      <c r="D30" s="149"/>
      <c r="E30" s="167" t="s">
        <v>1021</v>
      </c>
      <c r="F30" s="166"/>
      <c r="I30" s="53">
        <f>+'Attachment H-7'!I150</f>
        <v>4617182.7122369818</v>
      </c>
      <c r="J30" s="59"/>
      <c r="K30" s="59"/>
      <c r="L30" s="168"/>
      <c r="P30" s="154"/>
      <c r="Q30" s="163"/>
      <c r="R30" s="154"/>
      <c r="S30" s="154"/>
      <c r="T30" s="166"/>
      <c r="U30" s="161"/>
      <c r="V30" s="149"/>
    </row>
    <row r="31" spans="1:22">
      <c r="A31" s="159" t="s">
        <v>138</v>
      </c>
      <c r="C31" s="149" t="s">
        <v>139</v>
      </c>
      <c r="D31" s="149"/>
      <c r="E31" s="167" t="s">
        <v>140</v>
      </c>
      <c r="F31" s="166"/>
      <c r="I31" s="59">
        <f>IF(I30=0,0,I30/I18)</f>
        <v>2.1946300495450967E-3</v>
      </c>
      <c r="J31" s="59"/>
      <c r="K31" s="59"/>
      <c r="L31" s="169">
        <f>I31</f>
        <v>2.1946300495450967E-3</v>
      </c>
      <c r="M31" s="170"/>
      <c r="N31" s="170"/>
      <c r="O31" s="170"/>
      <c r="P31" s="154"/>
      <c r="Q31" s="171"/>
      <c r="R31" s="154"/>
      <c r="S31" s="154"/>
      <c r="T31" s="173"/>
      <c r="U31" s="161"/>
      <c r="V31" s="149"/>
    </row>
    <row r="32" spans="1:22">
      <c r="A32" s="159"/>
      <c r="C32" s="149"/>
      <c r="D32" s="149"/>
      <c r="E32" s="167"/>
      <c r="F32" s="166"/>
      <c r="I32" s="154"/>
      <c r="L32" s="168"/>
      <c r="M32" s="154"/>
      <c r="N32" s="154"/>
      <c r="O32" s="154"/>
      <c r="P32" s="154"/>
      <c r="V32" s="149"/>
    </row>
    <row r="33" spans="1:22">
      <c r="A33" s="159" t="s">
        <v>141</v>
      </c>
      <c r="C33" s="149" t="s">
        <v>181</v>
      </c>
      <c r="D33" s="149"/>
      <c r="E33" s="167" t="s">
        <v>1022</v>
      </c>
      <c r="F33" s="166"/>
      <c r="I33" s="53">
        <f>'Attachment H-7'!I14</f>
        <v>12257441.357022554</v>
      </c>
      <c r="L33" s="168"/>
      <c r="M33" s="154"/>
      <c r="N33" s="154"/>
      <c r="O33" s="154"/>
      <c r="P33" s="154"/>
      <c r="V33" s="149"/>
    </row>
    <row r="34" spans="1:22">
      <c r="A34" s="159" t="s">
        <v>144</v>
      </c>
      <c r="C34" s="149" t="s">
        <v>356</v>
      </c>
      <c r="D34" s="149"/>
      <c r="E34" s="167" t="s">
        <v>177</v>
      </c>
      <c r="F34" s="166"/>
      <c r="I34" s="177">
        <f>IF(L18=0,0,I33/I18)</f>
        <v>0</v>
      </c>
      <c r="L34" s="168">
        <f>+I34</f>
        <v>0</v>
      </c>
      <c r="M34" s="154"/>
      <c r="N34" s="154"/>
      <c r="O34" s="154"/>
      <c r="P34" s="154"/>
      <c r="V34" s="149"/>
    </row>
    <row r="35" spans="1:22">
      <c r="A35" s="159"/>
      <c r="C35" s="149"/>
      <c r="D35" s="149"/>
      <c r="E35" s="167"/>
      <c r="F35" s="166"/>
      <c r="I35" s="154"/>
      <c r="L35" s="168"/>
      <c r="M35" s="154"/>
      <c r="N35" s="154"/>
      <c r="O35" s="154"/>
      <c r="P35" s="154"/>
      <c r="V35" s="149"/>
    </row>
    <row r="36" spans="1:22">
      <c r="A36" s="178" t="s">
        <v>145</v>
      </c>
      <c r="B36" s="179"/>
      <c r="C36" s="164" t="s">
        <v>142</v>
      </c>
      <c r="D36" s="164"/>
      <c r="E36" s="180" t="s">
        <v>1060</v>
      </c>
      <c r="F36" s="160"/>
      <c r="I36" s="172"/>
      <c r="L36" s="181">
        <f>L23+L27+L31+L34</f>
        <v>5.2153245573971677E-2</v>
      </c>
      <c r="M36" s="182"/>
      <c r="N36" s="182"/>
      <c r="O36" s="182"/>
      <c r="P36" s="154"/>
      <c r="V36" s="149"/>
    </row>
    <row r="37" spans="1:22">
      <c r="A37" s="159"/>
      <c r="C37" s="149"/>
      <c r="D37" s="149"/>
      <c r="E37" s="167"/>
      <c r="F37" s="166"/>
      <c r="I37" s="154"/>
      <c r="L37" s="168"/>
      <c r="M37" s="154"/>
      <c r="N37" s="154"/>
      <c r="O37" s="154"/>
      <c r="P37" s="154"/>
      <c r="Q37" s="154"/>
      <c r="R37" s="154"/>
      <c r="S37" s="154"/>
      <c r="T37" s="183"/>
      <c r="V37" s="149"/>
    </row>
    <row r="38" spans="1:22">
      <c r="A38" s="159"/>
      <c r="B38" s="184"/>
      <c r="C38" s="154" t="s">
        <v>143</v>
      </c>
      <c r="D38" s="154"/>
      <c r="E38" s="167"/>
      <c r="F38" s="166"/>
      <c r="I38" s="154"/>
      <c r="L38" s="168"/>
      <c r="M38" s="154"/>
      <c r="N38" s="154"/>
      <c r="O38" s="154"/>
      <c r="P38" s="185"/>
      <c r="Q38" s="184"/>
      <c r="U38" s="161"/>
      <c r="V38" s="154" t="s">
        <v>2</v>
      </c>
    </row>
    <row r="39" spans="1:22">
      <c r="A39" s="159" t="s">
        <v>147</v>
      </c>
      <c r="B39" s="184"/>
      <c r="C39" s="154" t="s">
        <v>38</v>
      </c>
      <c r="D39" s="154"/>
      <c r="E39" s="167" t="s">
        <v>1023</v>
      </c>
      <c r="F39" s="166"/>
      <c r="I39" s="53">
        <f>+'Attachment H-7'!I167</f>
        <v>17408312.087360356</v>
      </c>
      <c r="L39" s="168"/>
      <c r="M39" s="154"/>
      <c r="N39" s="154"/>
      <c r="O39" s="154"/>
      <c r="P39" s="185"/>
      <c r="Q39" s="184"/>
      <c r="U39" s="161"/>
      <c r="V39" s="154"/>
    </row>
    <row r="40" spans="1:22">
      <c r="A40" s="159" t="s">
        <v>149</v>
      </c>
      <c r="B40" s="184"/>
      <c r="C40" s="154" t="s">
        <v>146</v>
      </c>
      <c r="D40" s="154"/>
      <c r="E40" s="167" t="s">
        <v>151</v>
      </c>
      <c r="F40" s="166"/>
      <c r="I40" s="59">
        <f>IF(I19=0,0,I39/I19)</f>
        <v>1.175519351421384E-2</v>
      </c>
      <c r="L40" s="169">
        <f>I40</f>
        <v>1.175519351421384E-2</v>
      </c>
      <c r="M40" s="170"/>
      <c r="N40" s="170"/>
      <c r="O40" s="170"/>
      <c r="P40" s="185"/>
      <c r="Q40" s="184"/>
      <c r="R40" s="154"/>
      <c r="S40" s="154"/>
      <c r="T40" s="154"/>
      <c r="U40" s="161"/>
      <c r="V40" s="154"/>
    </row>
    <row r="41" spans="1:22">
      <c r="A41" s="159"/>
      <c r="C41" s="154"/>
      <c r="D41" s="154"/>
      <c r="E41" s="167"/>
      <c r="F41" s="166"/>
      <c r="I41" s="154"/>
      <c r="L41" s="168"/>
      <c r="M41" s="154"/>
      <c r="N41" s="154"/>
      <c r="O41" s="154"/>
      <c r="P41" s="154"/>
      <c r="R41" s="151"/>
      <c r="S41" s="151"/>
      <c r="T41" s="154"/>
      <c r="U41" s="56"/>
      <c r="V41" s="149"/>
    </row>
    <row r="42" spans="1:22">
      <c r="A42" s="159"/>
      <c r="C42" s="149" t="s">
        <v>39</v>
      </c>
      <c r="D42" s="149"/>
      <c r="E42" s="186"/>
      <c r="F42" s="187"/>
      <c r="L42" s="168"/>
      <c r="P42" s="154"/>
      <c r="R42" s="154"/>
      <c r="S42" s="154"/>
      <c r="T42" s="154"/>
      <c r="V42" s="149"/>
    </row>
    <row r="43" spans="1:22">
      <c r="A43" s="159" t="s">
        <v>152</v>
      </c>
      <c r="C43" s="149" t="s">
        <v>148</v>
      </c>
      <c r="D43" s="149"/>
      <c r="E43" s="167" t="s">
        <v>1163</v>
      </c>
      <c r="F43" s="166"/>
      <c r="I43" s="53">
        <f>+'Attachment H-7'!I170+'Attachment H-7'!I172</f>
        <v>100440540.4701373</v>
      </c>
      <c r="L43" s="168"/>
      <c r="M43" s="154"/>
      <c r="N43" s="154"/>
      <c r="O43" s="154"/>
      <c r="P43" s="154"/>
      <c r="R43" s="154"/>
      <c r="S43" s="154"/>
      <c r="T43" s="154"/>
      <c r="V43" s="149"/>
    </row>
    <row r="44" spans="1:22">
      <c r="A44" s="159" t="s">
        <v>175</v>
      </c>
      <c r="B44" s="184"/>
      <c r="C44" s="154" t="s">
        <v>150</v>
      </c>
      <c r="D44" s="154"/>
      <c r="E44" s="167" t="s">
        <v>373</v>
      </c>
      <c r="F44" s="166"/>
      <c r="I44" s="59">
        <f>IF(I19=0,0,I43/I19)</f>
        <v>6.7823806465186223E-2</v>
      </c>
      <c r="L44" s="169">
        <f>I44</f>
        <v>6.7823806465186223E-2</v>
      </c>
      <c r="M44" s="170"/>
      <c r="N44" s="170"/>
      <c r="O44" s="170"/>
      <c r="P44" s="154"/>
      <c r="T44" s="188"/>
      <c r="U44" s="161"/>
      <c r="V44" s="154"/>
    </row>
    <row r="45" spans="1:22">
      <c r="A45" s="159"/>
      <c r="C45" s="149"/>
      <c r="D45" s="149"/>
      <c r="E45" s="167"/>
      <c r="F45" s="166"/>
      <c r="I45" s="154"/>
      <c r="L45" s="168"/>
      <c r="M45" s="154"/>
      <c r="N45" s="154"/>
      <c r="O45" s="154"/>
      <c r="P45" s="154"/>
      <c r="Q45" s="187"/>
      <c r="R45" s="154"/>
      <c r="S45" s="154"/>
      <c r="T45" s="154"/>
      <c r="V45" s="149"/>
    </row>
    <row r="46" spans="1:22">
      <c r="A46" s="178" t="s">
        <v>176</v>
      </c>
      <c r="B46" s="179"/>
      <c r="C46" s="164" t="s">
        <v>153</v>
      </c>
      <c r="D46" s="164"/>
      <c r="E46" s="180" t="s">
        <v>1061</v>
      </c>
      <c r="F46" s="160"/>
      <c r="I46" s="59">
        <f>+I44+I40</f>
        <v>7.9578999979400059E-2</v>
      </c>
      <c r="L46" s="181">
        <f>L40+L44</f>
        <v>7.9578999979400059E-2</v>
      </c>
      <c r="M46" s="182"/>
      <c r="N46" s="182"/>
      <c r="O46" s="182"/>
      <c r="P46" s="154"/>
      <c r="Q46" s="187"/>
      <c r="R46" s="154"/>
      <c r="S46" s="154"/>
      <c r="T46" s="154"/>
      <c r="V46" s="149"/>
    </row>
    <row r="47" spans="1:22">
      <c r="P47" s="189"/>
      <c r="Q47" s="189"/>
      <c r="R47" s="154"/>
      <c r="S47" s="154"/>
      <c r="T47" s="154"/>
      <c r="V47" s="149"/>
    </row>
    <row r="48" spans="1:22">
      <c r="P48" s="189"/>
      <c r="Q48" s="189"/>
      <c r="R48" s="154"/>
      <c r="S48" s="154"/>
      <c r="T48" s="154"/>
      <c r="V48" s="149"/>
    </row>
    <row r="49" spans="1:22">
      <c r="A49" s="190"/>
      <c r="C49" s="159"/>
      <c r="D49" s="159"/>
      <c r="E49" s="176"/>
      <c r="F49" s="176"/>
      <c r="G49" s="154"/>
      <c r="J49" s="174"/>
      <c r="P49" s="154"/>
      <c r="Q49" s="171"/>
      <c r="R49" s="191"/>
      <c r="S49" s="191"/>
      <c r="T49" s="154"/>
      <c r="U49" s="161"/>
      <c r="V49" s="154"/>
    </row>
    <row r="50" spans="1:22">
      <c r="A50" s="150"/>
      <c r="G50" s="154"/>
      <c r="P50" s="154"/>
      <c r="Q50" s="154"/>
      <c r="R50" s="154"/>
      <c r="S50" s="154"/>
      <c r="T50" s="154"/>
      <c r="U50" s="161"/>
      <c r="V50" s="154" t="s">
        <v>2</v>
      </c>
    </row>
    <row r="51" spans="1:22">
      <c r="Q51" s="148"/>
    </row>
    <row r="52" spans="1:22">
      <c r="Q52" s="148"/>
    </row>
    <row r="54" spans="1:22">
      <c r="A54" s="150"/>
      <c r="G54" s="154"/>
      <c r="P54" s="154"/>
      <c r="Q54" s="148"/>
      <c r="R54" s="154"/>
      <c r="S54" s="154"/>
      <c r="T54" s="151"/>
      <c r="V54" s="149"/>
    </row>
    <row r="55" spans="1:22">
      <c r="A55" s="150"/>
      <c r="C55" s="149"/>
      <c r="D55" s="149"/>
      <c r="G55" s="176" t="str">
        <f>+G5</f>
        <v>Attachment 1</v>
      </c>
      <c r="H55" s="176"/>
      <c r="P55" s="154"/>
      <c r="Q55" s="148"/>
      <c r="R55" s="154"/>
      <c r="S55" s="154"/>
      <c r="T55" s="147" t="s">
        <v>154</v>
      </c>
      <c r="V55" s="149"/>
    </row>
    <row r="56" spans="1:22">
      <c r="A56" s="150"/>
      <c r="C56" s="149"/>
      <c r="D56" s="149"/>
      <c r="G56" s="176" t="str">
        <f>+G6</f>
        <v>Project Revenue Requirement Worksheet</v>
      </c>
      <c r="H56" s="176"/>
      <c r="L56" s="154"/>
      <c r="M56" s="154"/>
      <c r="N56" s="154"/>
      <c r="O56" s="154"/>
      <c r="P56" s="154"/>
      <c r="R56" s="154"/>
      <c r="S56" s="154"/>
      <c r="T56" s="151"/>
      <c r="V56" s="149"/>
    </row>
    <row r="57" spans="1:22" ht="14.25" customHeight="1">
      <c r="A57" s="150"/>
      <c r="G57" s="176" t="str">
        <f>+G7</f>
        <v>PECO Energy Company</v>
      </c>
      <c r="P57" s="154"/>
      <c r="R57" s="154"/>
      <c r="S57" s="154"/>
      <c r="T57" s="151"/>
      <c r="V57" s="149"/>
    </row>
    <row r="58" spans="1:22">
      <c r="A58" s="150"/>
      <c r="H58" s="176"/>
      <c r="P58" s="154"/>
      <c r="Q58" s="154"/>
      <c r="R58" s="154"/>
      <c r="S58" s="154"/>
      <c r="T58" s="151"/>
      <c r="V58" s="149"/>
    </row>
    <row r="59" spans="1:22">
      <c r="A59" s="150"/>
      <c r="E59" s="149"/>
      <c r="F59" s="149"/>
      <c r="G59" s="149"/>
      <c r="H59" s="149"/>
      <c r="I59" s="149"/>
      <c r="J59" s="149"/>
      <c r="K59" s="149"/>
      <c r="L59" s="149"/>
      <c r="M59" s="149"/>
      <c r="N59" s="149"/>
      <c r="O59" s="149"/>
      <c r="P59" s="149"/>
      <c r="Q59" s="149"/>
      <c r="R59" s="154"/>
      <c r="S59" s="154"/>
      <c r="T59" s="151"/>
      <c r="V59" s="149"/>
    </row>
    <row r="60" spans="1:22">
      <c r="A60" s="150"/>
      <c r="E60" s="164"/>
      <c r="F60" s="164"/>
      <c r="H60" s="151"/>
      <c r="I60" s="151"/>
      <c r="J60" s="151"/>
      <c r="K60" s="151"/>
      <c r="L60" s="151"/>
      <c r="M60" s="151"/>
      <c r="N60" s="151"/>
      <c r="O60" s="151"/>
      <c r="P60" s="154"/>
      <c r="Q60" s="154"/>
      <c r="R60" s="154"/>
      <c r="S60" s="154"/>
      <c r="T60" s="151"/>
      <c r="V60" s="149"/>
    </row>
    <row r="61" spans="1:22">
      <c r="A61" s="150"/>
      <c r="E61" s="164"/>
      <c r="F61" s="164"/>
      <c r="H61" s="151"/>
      <c r="I61" s="151"/>
      <c r="J61" s="151"/>
      <c r="K61" s="151"/>
      <c r="L61" s="151"/>
      <c r="M61" s="151"/>
      <c r="N61" s="151"/>
      <c r="O61" s="151"/>
      <c r="P61" s="154"/>
      <c r="Q61" s="154"/>
      <c r="R61" s="154"/>
      <c r="S61" s="154"/>
      <c r="T61" s="151"/>
      <c r="V61" s="149"/>
    </row>
    <row r="62" spans="1:22">
      <c r="A62" s="150"/>
      <c r="C62" s="192">
        <v>-1</v>
      </c>
      <c r="D62" s="192">
        <v>-2</v>
      </c>
      <c r="E62" s="192">
        <v>-3</v>
      </c>
      <c r="F62" s="192">
        <v>-4</v>
      </c>
      <c r="G62" s="192">
        <v>-5</v>
      </c>
      <c r="H62" s="192">
        <v>-6</v>
      </c>
      <c r="I62" s="192">
        <v>-7</v>
      </c>
      <c r="J62" s="192">
        <v>-8</v>
      </c>
      <c r="K62" s="192">
        <v>-9</v>
      </c>
      <c r="L62" s="192">
        <v>-10</v>
      </c>
      <c r="M62" s="192">
        <v>-11</v>
      </c>
      <c r="N62" s="192">
        <v>-12</v>
      </c>
      <c r="O62" s="192" t="s">
        <v>321</v>
      </c>
      <c r="P62" s="192">
        <v>-13</v>
      </c>
      <c r="Q62" s="193" t="s">
        <v>274</v>
      </c>
      <c r="R62" s="193" t="s">
        <v>275</v>
      </c>
      <c r="S62" s="193" t="s">
        <v>1126</v>
      </c>
      <c r="T62" s="193" t="s">
        <v>293</v>
      </c>
      <c r="V62" s="149"/>
    </row>
    <row r="63" spans="1:22" ht="53.25" customHeight="1">
      <c r="A63" s="194" t="s">
        <v>155</v>
      </c>
      <c r="B63" s="195"/>
      <c r="C63" s="196" t="s">
        <v>426</v>
      </c>
      <c r="D63" s="197" t="s">
        <v>446</v>
      </c>
      <c r="E63" s="198" t="s">
        <v>156</v>
      </c>
      <c r="F63" s="198" t="s">
        <v>142</v>
      </c>
      <c r="G63" s="199" t="s">
        <v>157</v>
      </c>
      <c r="H63" s="198" t="s">
        <v>424</v>
      </c>
      <c r="I63" s="198" t="s">
        <v>153</v>
      </c>
      <c r="J63" s="199" t="s">
        <v>158</v>
      </c>
      <c r="K63" s="198" t="s">
        <v>178</v>
      </c>
      <c r="L63" s="200" t="s">
        <v>159</v>
      </c>
      <c r="M63" s="200" t="s">
        <v>180</v>
      </c>
      <c r="N63" s="200" t="s">
        <v>179</v>
      </c>
      <c r="O63" s="200" t="s">
        <v>319</v>
      </c>
      <c r="P63" s="200" t="s">
        <v>428</v>
      </c>
      <c r="Q63" s="200" t="s">
        <v>187</v>
      </c>
      <c r="R63" s="200" t="s">
        <v>160</v>
      </c>
      <c r="S63" s="200" t="s">
        <v>1127</v>
      </c>
      <c r="T63" s="200" t="s">
        <v>376</v>
      </c>
      <c r="V63" s="149"/>
    </row>
    <row r="64" spans="1:22" ht="46.5" customHeight="1">
      <c r="A64" s="201"/>
      <c r="B64" s="202"/>
      <c r="C64" s="202"/>
      <c r="D64" s="202"/>
      <c r="E64" s="203" t="s">
        <v>103</v>
      </c>
      <c r="F64" s="203" t="s">
        <v>284</v>
      </c>
      <c r="G64" s="204" t="s">
        <v>161</v>
      </c>
      <c r="H64" s="203" t="s">
        <v>317</v>
      </c>
      <c r="I64" s="203" t="s">
        <v>285</v>
      </c>
      <c r="J64" s="204" t="s">
        <v>162</v>
      </c>
      <c r="K64" s="203" t="s">
        <v>318</v>
      </c>
      <c r="L64" s="204" t="s">
        <v>163</v>
      </c>
      <c r="M64" s="203" t="s">
        <v>312</v>
      </c>
      <c r="N64" s="205" t="s">
        <v>668</v>
      </c>
      <c r="O64" s="206" t="s">
        <v>320</v>
      </c>
      <c r="P64" s="207" t="s">
        <v>295</v>
      </c>
      <c r="Q64" s="206" t="s">
        <v>294</v>
      </c>
      <c r="R64" s="208" t="s">
        <v>164</v>
      </c>
      <c r="S64" s="1062"/>
      <c r="T64" s="206" t="s">
        <v>1128</v>
      </c>
      <c r="V64" s="149"/>
    </row>
    <row r="65" spans="1:22">
      <c r="A65" s="209"/>
      <c r="B65" s="151"/>
      <c r="C65" s="151"/>
      <c r="D65" s="151"/>
      <c r="E65" s="151"/>
      <c r="F65" s="151"/>
      <c r="G65" s="210"/>
      <c r="H65" s="151"/>
      <c r="I65" s="151"/>
      <c r="J65" s="210"/>
      <c r="K65" s="151"/>
      <c r="L65" s="210"/>
      <c r="M65" s="211"/>
      <c r="N65" s="210"/>
      <c r="O65" s="210"/>
      <c r="P65" s="151"/>
      <c r="Q65" s="212"/>
      <c r="R65" s="213"/>
      <c r="S65" s="154"/>
      <c r="T65" s="213"/>
      <c r="V65" s="149"/>
    </row>
    <row r="66" spans="1:22">
      <c r="A66" s="214" t="s">
        <v>631</v>
      </c>
      <c r="B66" s="215"/>
      <c r="C66" s="215" t="s">
        <v>445</v>
      </c>
      <c r="D66" s="216" t="s">
        <v>447</v>
      </c>
      <c r="E66" s="217">
        <f>+'Attachment H-7'!I47-SUM(E67:E93)</f>
        <v>1881222885.4289331</v>
      </c>
      <c r="F66" s="59">
        <f t="shared" ref="F66:F92" si="0">$L$36</f>
        <v>5.2153245573971677E-2</v>
      </c>
      <c r="G66" s="965">
        <f t="shared" ref="G66:G85" si="1">E66*F66</f>
        <v>98111879.123150736</v>
      </c>
      <c r="H66" s="217">
        <f>+'Attachment H-7'!I69-SUM(H67:H93)</f>
        <v>1303497469.93575</v>
      </c>
      <c r="I66" s="59">
        <f>$L$46</f>
        <v>7.9578999979400059E-2</v>
      </c>
      <c r="J66" s="218">
        <f>H66*I66</f>
        <v>103731025.13316508</v>
      </c>
      <c r="K66" s="53">
        <f>+'Attachment H-7'!I131-SUM(K67:K93)</f>
        <v>27736809.258057751</v>
      </c>
      <c r="L66" s="218">
        <f>G66+J66+K66</f>
        <v>229579713.51437357</v>
      </c>
      <c r="M66" s="219">
        <v>0</v>
      </c>
      <c r="N66" s="218">
        <f>+'2-Incentive ROE'!K$40*'1-Project Rev Req'!M66/100*H66</f>
        <v>0</v>
      </c>
      <c r="O66" s="218">
        <f>+L66+N66</f>
        <v>229579713.51437357</v>
      </c>
      <c r="P66" s="53">
        <v>0</v>
      </c>
      <c r="Q66" s="218">
        <f t="shared" ref="Q66:Q84" si="2">+L66+N66-P66</f>
        <v>229579713.51437357</v>
      </c>
      <c r="R66" s="218">
        <f>+'3-Project True-up'!K18</f>
        <v>4448021.6024977081</v>
      </c>
      <c r="S66" s="53">
        <f>$S$64*Q66/$Q$95</f>
        <v>0</v>
      </c>
      <c r="T66" s="220"/>
    </row>
    <row r="67" spans="1:22">
      <c r="A67" s="214" t="s">
        <v>633</v>
      </c>
      <c r="B67" s="215"/>
      <c r="C67" s="1059" t="s">
        <v>1558</v>
      </c>
      <c r="D67" s="1060" t="s">
        <v>720</v>
      </c>
      <c r="E67" s="1061">
        <v>34383727.91090063</v>
      </c>
      <c r="F67" s="59">
        <f t="shared" si="0"/>
        <v>5.2153245573971677E-2</v>
      </c>
      <c r="G67" s="965">
        <f t="shared" si="1"/>
        <v>1793223.0054858248</v>
      </c>
      <c r="H67" s="1061">
        <v>24705527.119670343</v>
      </c>
      <c r="I67" s="59">
        <f t="shared" ref="I67:I92" si="3">$L$46</f>
        <v>7.9578999979400059E-2</v>
      </c>
      <c r="J67" s="218">
        <f t="shared" ref="J67:J85" si="4">H67*I67</f>
        <v>1966041.1421473138</v>
      </c>
      <c r="K67" s="877">
        <v>570013.49333842669</v>
      </c>
      <c r="L67" s="218">
        <f>G67+J67+K67</f>
        <v>4329277.6409715656</v>
      </c>
      <c r="M67" s="881">
        <v>0</v>
      </c>
      <c r="N67" s="218">
        <f>+'2-Incentive ROE'!K$40*'1-Project Rev Req'!M67/100*H67</f>
        <v>0</v>
      </c>
      <c r="O67" s="218">
        <f>+L67+N67</f>
        <v>4329277.6409715656</v>
      </c>
      <c r="P67" s="879">
        <v>0</v>
      </c>
      <c r="Q67" s="218">
        <f t="shared" si="2"/>
        <v>4329277.6409715656</v>
      </c>
      <c r="R67" s="884">
        <f>+'3-Project True-up'!K19</f>
        <v>34527.588263138561</v>
      </c>
      <c r="S67" s="879">
        <f>$S$64*Q67/$Q$95</f>
        <v>0</v>
      </c>
      <c r="T67" s="218">
        <f>+Q67+R67+S67</f>
        <v>4363805.2292347038</v>
      </c>
    </row>
    <row r="68" spans="1:22">
      <c r="A68" s="214" t="s">
        <v>635</v>
      </c>
      <c r="B68" s="215"/>
      <c r="C68" s="1059" t="s">
        <v>1559</v>
      </c>
      <c r="D68" s="1060" t="s">
        <v>1560</v>
      </c>
      <c r="E68" s="1061">
        <v>17191863.955450315</v>
      </c>
      <c r="F68" s="59">
        <f t="shared" si="0"/>
        <v>5.2153245573971677E-2</v>
      </c>
      <c r="G68" s="965">
        <f t="shared" si="1"/>
        <v>896611.50274291239</v>
      </c>
      <c r="H68" s="1061">
        <v>12352763.559835171</v>
      </c>
      <c r="I68" s="59">
        <f t="shared" si="3"/>
        <v>7.9578999979400059E-2</v>
      </c>
      <c r="J68" s="218">
        <f>H68*I68</f>
        <v>983020.5710736569</v>
      </c>
      <c r="K68" s="877">
        <v>285006.74666921335</v>
      </c>
      <c r="L68" s="218">
        <f>G68+J68+K68</f>
        <v>2164638.8204857828</v>
      </c>
      <c r="M68" s="881">
        <v>0</v>
      </c>
      <c r="N68" s="218">
        <f>+'2-Incentive ROE'!K$40*'1-Project Rev Req'!M68/100*H68</f>
        <v>0</v>
      </c>
      <c r="O68" s="218">
        <f t="shared" ref="O68:O84" si="5">+L68+N68</f>
        <v>2164638.8204857828</v>
      </c>
      <c r="P68" s="879">
        <v>0</v>
      </c>
      <c r="Q68" s="218">
        <f t="shared" si="2"/>
        <v>2164638.8204857828</v>
      </c>
      <c r="R68" s="884">
        <f>+'3-Project True-up'!K20</f>
        <v>-154081.82778432584</v>
      </c>
      <c r="S68" s="879">
        <f t="shared" ref="S68:S87" si="6">$S$64*Q68/$Q$95</f>
        <v>0</v>
      </c>
      <c r="T68" s="218">
        <f t="shared" ref="T68:T92" si="7">+Q68+R68+S68</f>
        <v>2010556.9927014569</v>
      </c>
    </row>
    <row r="69" spans="1:22">
      <c r="A69" s="214" t="s">
        <v>637</v>
      </c>
      <c r="B69" s="215"/>
      <c r="C69" s="1059" t="s">
        <v>798</v>
      </c>
      <c r="D69" s="1060" t="s">
        <v>722</v>
      </c>
      <c r="E69" s="1061">
        <v>4605740.7975000003</v>
      </c>
      <c r="F69" s="59">
        <f t="shared" si="0"/>
        <v>5.2153245573971677E-2</v>
      </c>
      <c r="G69" s="965">
        <f t="shared" si="1"/>
        <v>240204.33086207768</v>
      </c>
      <c r="H69" s="1061">
        <v>3671990.1377998544</v>
      </c>
      <c r="I69" s="59">
        <f t="shared" si="3"/>
        <v>7.9578999979400059E-2</v>
      </c>
      <c r="J69" s="218">
        <f t="shared" si="4"/>
        <v>292213.3031003318</v>
      </c>
      <c r="K69" s="877">
        <v>90278.776400453746</v>
      </c>
      <c r="L69" s="218">
        <f t="shared" ref="L69:L85" si="8">G69+J69+K69</f>
        <v>622696.41036286321</v>
      </c>
      <c r="M69" s="881">
        <v>0</v>
      </c>
      <c r="N69" s="218">
        <f>+'2-Incentive ROE'!K$40*'1-Project Rev Req'!M69/100*H69</f>
        <v>0</v>
      </c>
      <c r="O69" s="218">
        <f t="shared" si="5"/>
        <v>622696.41036286321</v>
      </c>
      <c r="P69" s="879">
        <v>0</v>
      </c>
      <c r="Q69" s="218">
        <f t="shared" si="2"/>
        <v>622696.41036286321</v>
      </c>
      <c r="R69" s="884">
        <f>+'3-Project True-up'!K21</f>
        <v>-3626.9470758094412</v>
      </c>
      <c r="S69" s="879">
        <f t="shared" si="6"/>
        <v>0</v>
      </c>
      <c r="T69" s="218">
        <f t="shared" si="7"/>
        <v>619069.46328705375</v>
      </c>
    </row>
    <row r="70" spans="1:22">
      <c r="A70" s="214" t="s">
        <v>639</v>
      </c>
      <c r="B70" s="215"/>
      <c r="C70" s="1059" t="s">
        <v>798</v>
      </c>
      <c r="D70" s="1060" t="s">
        <v>1511</v>
      </c>
      <c r="E70" s="1061">
        <v>1535246.9325000001</v>
      </c>
      <c r="F70" s="59">
        <f t="shared" si="0"/>
        <v>5.2153245573971677E-2</v>
      </c>
      <c r="G70" s="965">
        <f t="shared" si="1"/>
        <v>80068.110287359217</v>
      </c>
      <c r="H70" s="1061">
        <v>1223996.7125999515</v>
      </c>
      <c r="I70" s="59">
        <f t="shared" si="3"/>
        <v>7.9578999979400059E-2</v>
      </c>
      <c r="J70" s="218">
        <f t="shared" si="4"/>
        <v>97404.434366777277</v>
      </c>
      <c r="K70" s="877">
        <v>30092.925466817916</v>
      </c>
      <c r="L70" s="218">
        <f t="shared" si="8"/>
        <v>207565.47012095441</v>
      </c>
      <c r="M70" s="881">
        <v>0</v>
      </c>
      <c r="N70" s="218">
        <f>+'2-Incentive ROE'!K$40*'1-Project Rev Req'!M70/100*H70</f>
        <v>0</v>
      </c>
      <c r="O70" s="218">
        <f t="shared" si="5"/>
        <v>207565.47012095441</v>
      </c>
      <c r="P70" s="879">
        <v>0</v>
      </c>
      <c r="Q70" s="218">
        <f t="shared" si="2"/>
        <v>207565.47012095441</v>
      </c>
      <c r="R70" s="884">
        <f>+'3-Project True-up'!K22</f>
        <v>-11444.411431536413</v>
      </c>
      <c r="S70" s="879">
        <f t="shared" si="6"/>
        <v>0</v>
      </c>
      <c r="T70" s="218">
        <f t="shared" si="7"/>
        <v>196121.05868941802</v>
      </c>
    </row>
    <row r="71" spans="1:22">
      <c r="A71" s="214" t="s">
        <v>641</v>
      </c>
      <c r="B71" s="215"/>
      <c r="C71" s="1059" t="s">
        <v>799</v>
      </c>
      <c r="D71" s="1060" t="s">
        <v>723</v>
      </c>
      <c r="E71" s="1061">
        <v>3258302.26</v>
      </c>
      <c r="F71" s="59">
        <f t="shared" si="0"/>
        <v>5.2153245573971677E-2</v>
      </c>
      <c r="G71" s="965">
        <f t="shared" si="1"/>
        <v>169931.0379200069</v>
      </c>
      <c r="H71" s="1061">
        <v>2333105.2571504931</v>
      </c>
      <c r="I71" s="59">
        <f t="shared" si="3"/>
        <v>7.9578999979400059E-2</v>
      </c>
      <c r="J71" s="218">
        <f t="shared" si="4"/>
        <v>185666.18321071725</v>
      </c>
      <c r="K71" s="877">
        <v>55254.470710856331</v>
      </c>
      <c r="L71" s="218">
        <f t="shared" si="8"/>
        <v>410851.6918415805</v>
      </c>
      <c r="M71" s="881">
        <v>0</v>
      </c>
      <c r="N71" s="218">
        <f>+'2-Incentive ROE'!K$40*'1-Project Rev Req'!M71/100*H71</f>
        <v>0</v>
      </c>
      <c r="O71" s="218">
        <f t="shared" si="5"/>
        <v>410851.6918415805</v>
      </c>
      <c r="P71" s="879">
        <v>0</v>
      </c>
      <c r="Q71" s="218">
        <f t="shared" si="2"/>
        <v>410851.6918415805</v>
      </c>
      <c r="R71" s="884">
        <f>+'3-Project True-up'!K23</f>
        <v>-8662.7596213419929</v>
      </c>
      <c r="S71" s="879">
        <f t="shared" si="6"/>
        <v>0</v>
      </c>
      <c r="T71" s="218">
        <f t="shared" si="7"/>
        <v>402188.93222023849</v>
      </c>
    </row>
    <row r="72" spans="1:22">
      <c r="A72" s="214" t="s">
        <v>643</v>
      </c>
      <c r="B72" s="215"/>
      <c r="C72" s="1059" t="s">
        <v>800</v>
      </c>
      <c r="D72" s="1060" t="s">
        <v>724</v>
      </c>
      <c r="E72" s="1061">
        <v>4456731.2699999996</v>
      </c>
      <c r="F72" s="59">
        <f t="shared" si="0"/>
        <v>5.2153245573971677E-2</v>
      </c>
      <c r="G72" s="965">
        <f t="shared" si="1"/>
        <v>232433.00038150864</v>
      </c>
      <c r="H72" s="1061">
        <v>3116888.3425936881</v>
      </c>
      <c r="I72" s="59">
        <f t="shared" si="3"/>
        <v>7.9578999979400059E-2</v>
      </c>
      <c r="J72" s="218">
        <f t="shared" si="4"/>
        <v>248038.8573510554</v>
      </c>
      <c r="K72" s="877">
        <v>73816.650623467183</v>
      </c>
      <c r="L72" s="218">
        <f t="shared" si="8"/>
        <v>554288.50835603126</v>
      </c>
      <c r="M72" s="881">
        <v>0</v>
      </c>
      <c r="N72" s="218">
        <f>+'2-Incentive ROE'!K$40*'1-Project Rev Req'!M72/100*H72</f>
        <v>0</v>
      </c>
      <c r="O72" s="218">
        <f t="shared" si="5"/>
        <v>554288.50835603126</v>
      </c>
      <c r="P72" s="879">
        <v>0</v>
      </c>
      <c r="Q72" s="218">
        <f t="shared" si="2"/>
        <v>554288.50835603126</v>
      </c>
      <c r="R72" s="884">
        <f>+'3-Project True-up'!K24</f>
        <v>-11175.357047040994</v>
      </c>
      <c r="S72" s="879">
        <f t="shared" si="6"/>
        <v>0</v>
      </c>
      <c r="T72" s="218">
        <f t="shared" si="7"/>
        <v>543113.15130899032</v>
      </c>
    </row>
    <row r="73" spans="1:22">
      <c r="A73" s="214" t="s">
        <v>739</v>
      </c>
      <c r="B73" s="215"/>
      <c r="C73" s="1059" t="s">
        <v>801</v>
      </c>
      <c r="D73" s="1060" t="s">
        <v>1561</v>
      </c>
      <c r="E73" s="1061">
        <v>13644700.661636751</v>
      </c>
      <c r="F73" s="59">
        <f t="shared" si="0"/>
        <v>5.2153245573971677E-2</v>
      </c>
      <c r="G73" s="965">
        <f t="shared" si="1"/>
        <v>711615.42438967526</v>
      </c>
      <c r="H73" s="1061">
        <v>10656661.051590919</v>
      </c>
      <c r="I73" s="59">
        <f t="shared" si="3"/>
        <v>7.9578999979400059E-2</v>
      </c>
      <c r="J73" s="218">
        <f t="shared" si="4"/>
        <v>848046.4296050272</v>
      </c>
      <c r="K73" s="877">
        <v>256016.2860643621</v>
      </c>
      <c r="L73" s="218">
        <f t="shared" si="8"/>
        <v>1815678.1400590646</v>
      </c>
      <c r="M73" s="881">
        <v>0</v>
      </c>
      <c r="N73" s="218">
        <f>+'2-Incentive ROE'!K$40*'1-Project Rev Req'!M73/100*H73</f>
        <v>0</v>
      </c>
      <c r="O73" s="218">
        <f t="shared" si="5"/>
        <v>1815678.1400590646</v>
      </c>
      <c r="P73" s="879">
        <v>0</v>
      </c>
      <c r="Q73" s="218">
        <f t="shared" si="2"/>
        <v>1815678.1400590646</v>
      </c>
      <c r="R73" s="884">
        <f>+'3-Project True-up'!K25</f>
        <v>-52190.058715018313</v>
      </c>
      <c r="S73" s="879">
        <f t="shared" si="6"/>
        <v>0</v>
      </c>
      <c r="T73" s="218">
        <f t="shared" si="7"/>
        <v>1763488.0813440464</v>
      </c>
    </row>
    <row r="74" spans="1:22">
      <c r="A74" s="214" t="s">
        <v>740</v>
      </c>
      <c r="B74" s="215"/>
      <c r="C74" s="1059" t="s">
        <v>876</v>
      </c>
      <c r="D74" s="1060" t="s">
        <v>877</v>
      </c>
      <c r="E74" s="1061">
        <v>23835043.219999984</v>
      </c>
      <c r="F74" s="59">
        <f t="shared" si="0"/>
        <v>5.2153245573971677E-2</v>
      </c>
      <c r="G74" s="965">
        <f t="shared" si="1"/>
        <v>1243074.8623188878</v>
      </c>
      <c r="H74" s="1061">
        <v>27370485.994311623</v>
      </c>
      <c r="I74" s="59">
        <f t="shared" si="3"/>
        <v>7.9578999979400059E-2</v>
      </c>
      <c r="J74" s="218">
        <f t="shared" si="4"/>
        <v>2178115.9043774945</v>
      </c>
      <c r="K74" s="877">
        <v>665322.87601375789</v>
      </c>
      <c r="L74" s="218">
        <f t="shared" si="8"/>
        <v>4086513.64271014</v>
      </c>
      <c r="M74" s="881">
        <v>0</v>
      </c>
      <c r="N74" s="218">
        <f>+'2-Incentive ROE'!K$40*'1-Project Rev Req'!M74/100*H74</f>
        <v>0</v>
      </c>
      <c r="O74" s="218">
        <f t="shared" si="5"/>
        <v>4086513.64271014</v>
      </c>
      <c r="P74" s="879">
        <v>0</v>
      </c>
      <c r="Q74" s="218">
        <f t="shared" si="2"/>
        <v>4086513.64271014</v>
      </c>
      <c r="R74" s="884">
        <f>+'3-Project True-up'!K26</f>
        <v>-206740.1389912611</v>
      </c>
      <c r="S74" s="879">
        <f t="shared" si="6"/>
        <v>0</v>
      </c>
      <c r="T74" s="218">
        <f t="shared" si="7"/>
        <v>3879773.5037188791</v>
      </c>
    </row>
    <row r="75" spans="1:22">
      <c r="A75" s="214" t="s">
        <v>741</v>
      </c>
      <c r="B75" s="215"/>
      <c r="C75" s="1059" t="s">
        <v>802</v>
      </c>
      <c r="D75" s="1060" t="s">
        <v>725</v>
      </c>
      <c r="E75" s="1061">
        <v>18054938.12539361</v>
      </c>
      <c r="F75" s="59">
        <f t="shared" si="0"/>
        <v>5.2153245573971677E-2</v>
      </c>
      <c r="G75" s="965">
        <f t="shared" si="1"/>
        <v>941623.62187651685</v>
      </c>
      <c r="H75" s="1061">
        <v>13544913.091075758</v>
      </c>
      <c r="I75" s="59">
        <f t="shared" si="3"/>
        <v>7.9578999979400059E-2</v>
      </c>
      <c r="J75" s="218">
        <f t="shared" si="4"/>
        <v>1077890.6385956933</v>
      </c>
      <c r="K75" s="877">
        <v>369795.80024756677</v>
      </c>
      <c r="L75" s="218">
        <f t="shared" si="8"/>
        <v>2389310.0607197769</v>
      </c>
      <c r="M75" s="881">
        <v>0</v>
      </c>
      <c r="N75" s="218">
        <f>+'2-Incentive ROE'!K$40*'1-Project Rev Req'!M75/100*H75</f>
        <v>0</v>
      </c>
      <c r="O75" s="218">
        <f t="shared" si="5"/>
        <v>2389310.0607197769</v>
      </c>
      <c r="P75" s="879">
        <v>0</v>
      </c>
      <c r="Q75" s="218">
        <f t="shared" si="2"/>
        <v>2389310.0607197769</v>
      </c>
      <c r="R75" s="884">
        <f>+'3-Project True-up'!K27</f>
        <v>-35244.209711773183</v>
      </c>
      <c r="S75" s="879">
        <f t="shared" si="6"/>
        <v>0</v>
      </c>
      <c r="T75" s="218">
        <f t="shared" si="7"/>
        <v>2354065.8510080036</v>
      </c>
    </row>
    <row r="76" spans="1:22">
      <c r="A76" s="214" t="s">
        <v>742</v>
      </c>
      <c r="B76" s="215"/>
      <c r="C76" s="1059" t="s">
        <v>803</v>
      </c>
      <c r="D76" s="1060" t="s">
        <v>726</v>
      </c>
      <c r="E76" s="1061">
        <v>16739502.841800349</v>
      </c>
      <c r="F76" s="59">
        <f t="shared" si="0"/>
        <v>5.2153245573971677E-2</v>
      </c>
      <c r="G76" s="965">
        <f t="shared" si="1"/>
        <v>873019.40249461029</v>
      </c>
      <c r="H76" s="1061">
        <v>13510088.548097083</v>
      </c>
      <c r="I76" s="59">
        <f t="shared" si="3"/>
        <v>7.9578999979400059E-2</v>
      </c>
      <c r="J76" s="218">
        <f t="shared" si="4"/>
        <v>1075119.3362907108</v>
      </c>
      <c r="K76" s="877">
        <v>318829.6792238304</v>
      </c>
      <c r="L76" s="218">
        <f t="shared" si="8"/>
        <v>2266968.4180091517</v>
      </c>
      <c r="M76" s="881">
        <v>0</v>
      </c>
      <c r="N76" s="218">
        <f>+'2-Incentive ROE'!K$40*'1-Project Rev Req'!M76/100*H76</f>
        <v>0</v>
      </c>
      <c r="O76" s="218">
        <f t="shared" si="5"/>
        <v>2266968.4180091517</v>
      </c>
      <c r="P76" s="879">
        <v>0</v>
      </c>
      <c r="Q76" s="218">
        <f t="shared" si="2"/>
        <v>2266968.4180091517</v>
      </c>
      <c r="R76" s="884">
        <f>+'3-Project True-up'!K28</f>
        <v>-48916.764997101818</v>
      </c>
      <c r="S76" s="879">
        <f t="shared" si="6"/>
        <v>0</v>
      </c>
      <c r="T76" s="218">
        <f t="shared" si="7"/>
        <v>2218051.6530120499</v>
      </c>
    </row>
    <row r="77" spans="1:22">
      <c r="A77" s="214" t="s">
        <v>743</v>
      </c>
      <c r="B77" s="215"/>
      <c r="C77" s="1059" t="s">
        <v>804</v>
      </c>
      <c r="D77" s="1060" t="s">
        <v>727</v>
      </c>
      <c r="E77" s="1061">
        <v>17916930.613482423</v>
      </c>
      <c r="F77" s="59">
        <f t="shared" si="0"/>
        <v>5.2153245573971677E-2</v>
      </c>
      <c r="G77" s="965">
        <f t="shared" si="1"/>
        <v>934426.08221675979</v>
      </c>
      <c r="H77" s="1061">
        <v>13057873.910570024</v>
      </c>
      <c r="I77" s="59">
        <f t="shared" si="3"/>
        <v>7.9578999979400059E-2</v>
      </c>
      <c r="J77" s="218">
        <f t="shared" si="4"/>
        <v>1039132.5476602605</v>
      </c>
      <c r="K77" s="877">
        <v>320766.82029013854</v>
      </c>
      <c r="L77" s="218">
        <f t="shared" si="8"/>
        <v>2294325.4501671586</v>
      </c>
      <c r="M77" s="881">
        <v>0</v>
      </c>
      <c r="N77" s="218">
        <f>+'2-Incentive ROE'!K$40*'1-Project Rev Req'!M77/100*H77</f>
        <v>0</v>
      </c>
      <c r="O77" s="218">
        <f t="shared" si="5"/>
        <v>2294325.4501671586</v>
      </c>
      <c r="P77" s="879">
        <v>0</v>
      </c>
      <c r="Q77" s="218">
        <f t="shared" si="2"/>
        <v>2294325.4501671586</v>
      </c>
      <c r="R77" s="884">
        <f>+'3-Project True-up'!K29</f>
        <v>-44413.066370083223</v>
      </c>
      <c r="S77" s="879">
        <f t="shared" si="6"/>
        <v>0</v>
      </c>
      <c r="T77" s="218">
        <f t="shared" si="7"/>
        <v>2249912.3837970756</v>
      </c>
    </row>
    <row r="78" spans="1:22">
      <c r="A78" s="214" t="s">
        <v>744</v>
      </c>
      <c r="B78" s="215"/>
      <c r="C78" s="1059" t="s">
        <v>805</v>
      </c>
      <c r="D78" s="1060" t="s">
        <v>728</v>
      </c>
      <c r="E78" s="1061">
        <v>11072876.18839247</v>
      </c>
      <c r="F78" s="59">
        <f t="shared" si="0"/>
        <v>5.2153245573971677E-2</v>
      </c>
      <c r="G78" s="965">
        <f t="shared" si="1"/>
        <v>577486.43106341595</v>
      </c>
      <c r="H78" s="1061">
        <v>9020377.9903980456</v>
      </c>
      <c r="I78" s="59">
        <f t="shared" si="3"/>
        <v>7.9578999979400059E-2</v>
      </c>
      <c r="J78" s="218">
        <f t="shared" si="4"/>
        <v>717832.65991206677</v>
      </c>
      <c r="K78" s="877">
        <v>214293.88841979663</v>
      </c>
      <c r="L78" s="218">
        <f t="shared" si="8"/>
        <v>1509612.9793952794</v>
      </c>
      <c r="M78" s="881">
        <v>0</v>
      </c>
      <c r="N78" s="218">
        <f>+'2-Incentive ROE'!K$40*'1-Project Rev Req'!M78/100*H78</f>
        <v>0</v>
      </c>
      <c r="O78" s="218">
        <f t="shared" si="5"/>
        <v>1509612.9793952794</v>
      </c>
      <c r="P78" s="879">
        <v>0</v>
      </c>
      <c r="Q78" s="218">
        <f t="shared" si="2"/>
        <v>1509612.9793952794</v>
      </c>
      <c r="R78" s="884">
        <f>+'3-Project True-up'!K30</f>
        <v>-33173.334566860642</v>
      </c>
      <c r="S78" s="879">
        <f t="shared" si="6"/>
        <v>0</v>
      </c>
      <c r="T78" s="218">
        <f t="shared" si="7"/>
        <v>1476439.6448284187</v>
      </c>
    </row>
    <row r="79" spans="1:22">
      <c r="A79" s="214" t="s">
        <v>1516</v>
      </c>
      <c r="B79" s="215"/>
      <c r="C79" s="1059" t="s">
        <v>806</v>
      </c>
      <c r="D79" s="1060" t="s">
        <v>729</v>
      </c>
      <c r="E79" s="1061">
        <v>8328561.1146296561</v>
      </c>
      <c r="F79" s="59">
        <f t="shared" si="0"/>
        <v>5.2153245573971677E-2</v>
      </c>
      <c r="G79" s="965">
        <f t="shared" si="1"/>
        <v>434361.4930891117</v>
      </c>
      <c r="H79" s="1061">
        <v>6221105.1856397577</v>
      </c>
      <c r="I79" s="59">
        <f t="shared" si="3"/>
        <v>7.9578999979400059E-2</v>
      </c>
      <c r="J79" s="218">
        <f t="shared" si="4"/>
        <v>495069.32943987189</v>
      </c>
      <c r="K79" s="877">
        <v>147333.05707775563</v>
      </c>
      <c r="L79" s="218">
        <f t="shared" si="8"/>
        <v>1076763.8796067392</v>
      </c>
      <c r="M79" s="881">
        <v>0</v>
      </c>
      <c r="N79" s="218">
        <f>+'2-Incentive ROE'!K$40*'1-Project Rev Req'!M79/100*H79</f>
        <v>0</v>
      </c>
      <c r="O79" s="218">
        <f t="shared" si="5"/>
        <v>1076763.8796067392</v>
      </c>
      <c r="P79" s="879">
        <v>0</v>
      </c>
      <c r="Q79" s="218">
        <f t="shared" si="2"/>
        <v>1076763.8796067392</v>
      </c>
      <c r="R79" s="884">
        <f>+'3-Project True-up'!K31</f>
        <v>-23143.33046755907</v>
      </c>
      <c r="S79" s="879">
        <f t="shared" si="6"/>
        <v>0</v>
      </c>
      <c r="T79" s="218">
        <f t="shared" si="7"/>
        <v>1053620.54913918</v>
      </c>
    </row>
    <row r="80" spans="1:22">
      <c r="A80" s="214" t="s">
        <v>745</v>
      </c>
      <c r="B80" s="215"/>
      <c r="C80" s="1059" t="s">
        <v>1562</v>
      </c>
      <c r="D80" s="1060" t="s">
        <v>730</v>
      </c>
      <c r="E80" s="1061">
        <v>1712754.3099999998</v>
      </c>
      <c r="F80" s="59">
        <f t="shared" si="0"/>
        <v>5.2153245573971677E-2</v>
      </c>
      <c r="G80" s="965">
        <f t="shared" si="1"/>
        <v>89325.696137308405</v>
      </c>
      <c r="H80" s="1061">
        <v>1348792.3104393187</v>
      </c>
      <c r="I80" s="59">
        <f t="shared" si="3"/>
        <v>7.9578999979400059E-2</v>
      </c>
      <c r="J80" s="218">
        <f t="shared" si="4"/>
        <v>107335.5432446655</v>
      </c>
      <c r="K80" s="877">
        <v>31943.181724779912</v>
      </c>
      <c r="L80" s="218">
        <f t="shared" si="8"/>
        <v>228604.42110675384</v>
      </c>
      <c r="M80" s="881">
        <v>0</v>
      </c>
      <c r="N80" s="218">
        <f>+'2-Incentive ROE'!K$40*'1-Project Rev Req'!M80/100*H80</f>
        <v>0</v>
      </c>
      <c r="O80" s="218">
        <f t="shared" si="5"/>
        <v>228604.42110675384</v>
      </c>
      <c r="P80" s="879">
        <v>0</v>
      </c>
      <c r="Q80" s="218">
        <f t="shared" si="2"/>
        <v>228604.42110675384</v>
      </c>
      <c r="R80" s="884">
        <f>+'3-Project True-up'!K32</f>
        <v>-5391.6971256548813</v>
      </c>
      <c r="S80" s="879">
        <f t="shared" si="6"/>
        <v>0</v>
      </c>
      <c r="T80" s="218">
        <f t="shared" si="7"/>
        <v>223212.72398109897</v>
      </c>
    </row>
    <row r="81" spans="1:20">
      <c r="A81" s="214" t="s">
        <v>746</v>
      </c>
      <c r="B81" s="215"/>
      <c r="C81" s="1059" t="s">
        <v>808</v>
      </c>
      <c r="D81" s="1060" t="s">
        <v>731</v>
      </c>
      <c r="E81" s="1061">
        <v>2229231.8699999996</v>
      </c>
      <c r="F81" s="59">
        <f t="shared" si="0"/>
        <v>5.2153245573971677E-2</v>
      </c>
      <c r="G81" s="965">
        <f t="shared" si="1"/>
        <v>116261.67715743408</v>
      </c>
      <c r="H81" s="1061">
        <v>1552617.9446146837</v>
      </c>
      <c r="I81" s="59">
        <f t="shared" si="3"/>
        <v>7.9578999979400059E-2</v>
      </c>
      <c r="J81" s="218">
        <f t="shared" si="4"/>
        <v>123555.78338250807</v>
      </c>
      <c r="K81" s="877">
        <v>35695.315351504411</v>
      </c>
      <c r="L81" s="218">
        <f t="shared" si="8"/>
        <v>275512.77589144657</v>
      </c>
      <c r="M81" s="881">
        <v>0</v>
      </c>
      <c r="N81" s="218">
        <f>+'2-Incentive ROE'!K$40*'1-Project Rev Req'!M81/100*H81</f>
        <v>0</v>
      </c>
      <c r="O81" s="218">
        <f t="shared" si="5"/>
        <v>275512.77589144657</v>
      </c>
      <c r="P81" s="879">
        <v>0</v>
      </c>
      <c r="Q81" s="218">
        <f t="shared" si="2"/>
        <v>275512.77589144657</v>
      </c>
      <c r="R81" s="884">
        <f>+'3-Project True-up'!K33</f>
        <v>-4835.4920763247483</v>
      </c>
      <c r="S81" s="879">
        <f t="shared" si="6"/>
        <v>0</v>
      </c>
      <c r="T81" s="218">
        <f t="shared" si="7"/>
        <v>270677.2838151218</v>
      </c>
    </row>
    <row r="82" spans="1:20">
      <c r="A82" s="214" t="s">
        <v>747</v>
      </c>
      <c r="B82" s="215"/>
      <c r="C82" s="1059" t="s">
        <v>967</v>
      </c>
      <c r="D82" s="1060" t="s">
        <v>732</v>
      </c>
      <c r="E82" s="1061">
        <v>2546903.0100000002</v>
      </c>
      <c r="F82" s="59">
        <f t="shared" si="0"/>
        <v>5.2153245573971677E-2</v>
      </c>
      <c r="G82" s="965">
        <f t="shared" si="1"/>
        <v>132829.25813361767</v>
      </c>
      <c r="H82" s="1061">
        <v>1716824.5465632626</v>
      </c>
      <c r="I82" s="59">
        <f t="shared" si="3"/>
        <v>7.9578999979400059E-2</v>
      </c>
      <c r="J82" s="218">
        <f t="shared" si="4"/>
        <v>136623.18055559139</v>
      </c>
      <c r="K82" s="877">
        <v>39470.491633399142</v>
      </c>
      <c r="L82" s="218">
        <f t="shared" si="8"/>
        <v>308922.93032260821</v>
      </c>
      <c r="M82" s="881">
        <v>0</v>
      </c>
      <c r="N82" s="218">
        <f>+'2-Incentive ROE'!K$40*'1-Project Rev Req'!M82/100*H82</f>
        <v>0</v>
      </c>
      <c r="O82" s="218">
        <f t="shared" si="5"/>
        <v>308922.93032260821</v>
      </c>
      <c r="P82" s="879">
        <v>0</v>
      </c>
      <c r="Q82" s="218">
        <f t="shared" si="2"/>
        <v>308922.93032260821</v>
      </c>
      <c r="R82" s="884">
        <f>+'3-Project True-up'!K34</f>
        <v>-5222.871554979567</v>
      </c>
      <c r="S82" s="879">
        <f t="shared" si="6"/>
        <v>0</v>
      </c>
      <c r="T82" s="218">
        <f t="shared" si="7"/>
        <v>303700.05876762862</v>
      </c>
    </row>
    <row r="83" spans="1:20">
      <c r="A83" s="214" t="s">
        <v>748</v>
      </c>
      <c r="B83" s="215"/>
      <c r="C83" s="1059" t="s">
        <v>807</v>
      </c>
      <c r="D83" s="1060" t="s">
        <v>733</v>
      </c>
      <c r="E83" s="1061">
        <v>2359200.13</v>
      </c>
      <c r="F83" s="59">
        <f t="shared" si="0"/>
        <v>5.2153245573971677E-2</v>
      </c>
      <c r="G83" s="965">
        <f t="shared" si="1"/>
        <v>123039.9437380359</v>
      </c>
      <c r="H83" s="1061">
        <v>1840100.7899764779</v>
      </c>
      <c r="I83" s="59">
        <f t="shared" si="3"/>
        <v>7.9578999979400059E-2</v>
      </c>
      <c r="J83" s="218">
        <f t="shared" si="4"/>
        <v>146433.38072763217</v>
      </c>
      <c r="K83" s="877">
        <v>43578.743347806274</v>
      </c>
      <c r="L83" s="218">
        <f t="shared" si="8"/>
        <v>313052.06781347434</v>
      </c>
      <c r="M83" s="881">
        <v>0</v>
      </c>
      <c r="N83" s="218">
        <f>+'2-Incentive ROE'!K$40*'1-Project Rev Req'!M83/100*H83</f>
        <v>0</v>
      </c>
      <c r="O83" s="218">
        <f t="shared" si="5"/>
        <v>313052.06781347434</v>
      </c>
      <c r="P83" s="879">
        <v>0</v>
      </c>
      <c r="Q83" s="218">
        <f t="shared" si="2"/>
        <v>313052.06781347434</v>
      </c>
      <c r="R83" s="884">
        <f>+'3-Project True-up'!K35</f>
        <v>-7296.3552860119617</v>
      </c>
      <c r="S83" s="879">
        <f t="shared" si="6"/>
        <v>0</v>
      </c>
      <c r="T83" s="218">
        <f t="shared" si="7"/>
        <v>305755.7125274624</v>
      </c>
    </row>
    <row r="84" spans="1:20">
      <c r="A84" s="214" t="s">
        <v>749</v>
      </c>
      <c r="B84" s="215"/>
      <c r="C84" s="1059" t="s">
        <v>809</v>
      </c>
      <c r="D84" s="1060" t="s">
        <v>734</v>
      </c>
      <c r="E84" s="1061">
        <v>3631395.7</v>
      </c>
      <c r="F84" s="59">
        <f t="shared" si="0"/>
        <v>5.2153245573971677E-2</v>
      </c>
      <c r="G84" s="965">
        <f t="shared" si="1"/>
        <v>189389.07171836478</v>
      </c>
      <c r="H84" s="1061">
        <v>2338183.0514582898</v>
      </c>
      <c r="I84" s="59">
        <f t="shared" si="3"/>
        <v>7.9578999979400059E-2</v>
      </c>
      <c r="J84" s="218">
        <f t="shared" si="4"/>
        <v>186070.2690038328</v>
      </c>
      <c r="K84" s="877">
        <v>55374.727109917621</v>
      </c>
      <c r="L84" s="218">
        <f t="shared" si="8"/>
        <v>430834.06783211516</v>
      </c>
      <c r="M84" s="881">
        <v>0</v>
      </c>
      <c r="N84" s="218">
        <f>+'2-Incentive ROE'!K$40*'1-Project Rev Req'!M84/100*H84</f>
        <v>0</v>
      </c>
      <c r="O84" s="218">
        <f t="shared" si="5"/>
        <v>430834.06783211516</v>
      </c>
      <c r="P84" s="879">
        <v>0</v>
      </c>
      <c r="Q84" s="218">
        <f t="shared" si="2"/>
        <v>430834.06783211516</v>
      </c>
      <c r="R84" s="884">
        <f>+'3-Project True-up'!K36</f>
        <v>-7753.2636380764216</v>
      </c>
      <c r="S84" s="879">
        <f t="shared" si="6"/>
        <v>0</v>
      </c>
      <c r="T84" s="218">
        <f t="shared" si="7"/>
        <v>423080.80419403873</v>
      </c>
    </row>
    <row r="85" spans="1:20">
      <c r="A85" s="214" t="s">
        <v>1512</v>
      </c>
      <c r="B85" s="215"/>
      <c r="C85" s="1059" t="s">
        <v>810</v>
      </c>
      <c r="D85" s="1060" t="s">
        <v>735</v>
      </c>
      <c r="E85" s="1061">
        <v>4811873.2300000004</v>
      </c>
      <c r="F85" s="59">
        <f t="shared" si="0"/>
        <v>5.2153245573971677E-2</v>
      </c>
      <c r="G85" s="965">
        <f t="shared" si="1"/>
        <v>250954.80623501033</v>
      </c>
      <c r="H85" s="1061">
        <v>3183517.5340049383</v>
      </c>
      <c r="I85" s="59">
        <f t="shared" si="3"/>
        <v>7.9578999979400059E-2</v>
      </c>
      <c r="J85" s="218">
        <f t="shared" si="4"/>
        <v>253341.1417729987</v>
      </c>
      <c r="K85" s="877">
        <v>75394.616595657106</v>
      </c>
      <c r="L85" s="218">
        <f t="shared" si="8"/>
        <v>579690.56460366608</v>
      </c>
      <c r="M85" s="881">
        <v>0</v>
      </c>
      <c r="N85" s="218">
        <f>+'2-Incentive ROE'!K$40*'1-Project Rev Req'!M85/100*H85</f>
        <v>0</v>
      </c>
      <c r="O85" s="218">
        <f t="shared" ref="O85" si="9">+L85+N85</f>
        <v>579690.56460366608</v>
      </c>
      <c r="P85" s="879">
        <v>0</v>
      </c>
      <c r="Q85" s="218">
        <f t="shared" ref="Q85" si="10">+L85+N85-P85</f>
        <v>579690.56460366608</v>
      </c>
      <c r="R85" s="884">
        <f>+'3-Project True-up'!K37</f>
        <v>-10892.575467437258</v>
      </c>
      <c r="S85" s="879">
        <f t="shared" si="6"/>
        <v>0</v>
      </c>
      <c r="T85" s="218">
        <f t="shared" si="7"/>
        <v>568797.9891362288</v>
      </c>
    </row>
    <row r="86" spans="1:20">
      <c r="A86" s="214" t="s">
        <v>750</v>
      </c>
      <c r="B86" s="215"/>
      <c r="C86" s="1059" t="s">
        <v>811</v>
      </c>
      <c r="D86" s="1060" t="s">
        <v>737</v>
      </c>
      <c r="E86" s="1061">
        <v>2699443.66</v>
      </c>
      <c r="F86" s="59">
        <f t="shared" si="0"/>
        <v>5.2153245573971677E-2</v>
      </c>
      <c r="G86" s="965">
        <f t="shared" ref="G86" si="11">E86*F86</f>
        <v>140784.74811308092</v>
      </c>
      <c r="H86" s="1061">
        <v>1814590.611821756</v>
      </c>
      <c r="I86" s="59">
        <f t="shared" si="3"/>
        <v>7.9578999979400059E-2</v>
      </c>
      <c r="J86" s="218">
        <f t="shared" ref="J86:J87" si="12">H86*I86</f>
        <v>144403.30626078305</v>
      </c>
      <c r="K86" s="877">
        <v>42974.590840173434</v>
      </c>
      <c r="L86" s="218">
        <f t="shared" ref="L86:L92" si="13">G86+J86+K86</f>
        <v>328162.64521403739</v>
      </c>
      <c r="M86" s="881">
        <v>0</v>
      </c>
      <c r="N86" s="218">
        <f>+'2-Incentive ROE'!K$40*'1-Project Rev Req'!M86/100*H86</f>
        <v>0</v>
      </c>
      <c r="O86" s="218">
        <f t="shared" ref="O86" si="14">+L86+N86</f>
        <v>328162.64521403739</v>
      </c>
      <c r="P86" s="879">
        <v>0</v>
      </c>
      <c r="Q86" s="218">
        <f t="shared" ref="Q86" si="15">+L86+N86-P86</f>
        <v>328162.64521403739</v>
      </c>
      <c r="R86" s="884">
        <f>+'3-Project True-up'!K38</f>
        <v>-6318.3794325210147</v>
      </c>
      <c r="S86" s="879">
        <f t="shared" si="6"/>
        <v>0</v>
      </c>
      <c r="T86" s="218">
        <f t="shared" si="7"/>
        <v>321844.26578151638</v>
      </c>
    </row>
    <row r="87" spans="1:20">
      <c r="A87" s="214" t="s">
        <v>751</v>
      </c>
      <c r="B87" s="215"/>
      <c r="C87" s="1059" t="s">
        <v>968</v>
      </c>
      <c r="D87" s="1060" t="s">
        <v>1563</v>
      </c>
      <c r="E87" s="1061">
        <v>2221241.1800000002</v>
      </c>
      <c r="F87" s="59">
        <f t="shared" si="0"/>
        <v>5.2153245573971677E-2</v>
      </c>
      <c r="G87" s="965">
        <f t="shared" ref="G87" si="16">E87*F87</f>
        <v>115844.93673955863</v>
      </c>
      <c r="H87" s="1061">
        <v>1440042.0470103531</v>
      </c>
      <c r="I87" s="59">
        <f t="shared" si="3"/>
        <v>7.9578999979400059E-2</v>
      </c>
      <c r="J87" s="218">
        <f t="shared" si="12"/>
        <v>114597.10602937211</v>
      </c>
      <c r="K87" s="877">
        <v>33107.149872737828</v>
      </c>
      <c r="L87" s="218">
        <f t="shared" si="13"/>
        <v>263549.19264166855</v>
      </c>
      <c r="M87" s="881">
        <v>0</v>
      </c>
      <c r="N87" s="218">
        <f>+'2-Incentive ROE'!K$40*'1-Project Rev Req'!M87/100*H87</f>
        <v>0</v>
      </c>
      <c r="O87" s="218">
        <f t="shared" ref="O87" si="17">+L87+N87</f>
        <v>263549.19264166855</v>
      </c>
      <c r="P87" s="879">
        <v>0</v>
      </c>
      <c r="Q87" s="218">
        <f t="shared" ref="Q87:Q90" si="18">+L87+N87-P87</f>
        <v>263549.19264166855</v>
      </c>
      <c r="R87" s="884">
        <f>+'3-Project True-up'!K39</f>
        <v>-4160.9951495305477</v>
      </c>
      <c r="S87" s="879">
        <f t="shared" si="6"/>
        <v>0</v>
      </c>
      <c r="T87" s="218">
        <f t="shared" si="7"/>
        <v>259388.19749213799</v>
      </c>
    </row>
    <row r="88" spans="1:20">
      <c r="A88" s="214" t="s">
        <v>752</v>
      </c>
      <c r="B88" s="215"/>
      <c r="C88" s="1059" t="s">
        <v>812</v>
      </c>
      <c r="D88" s="1060" t="s">
        <v>738</v>
      </c>
      <c r="E88" s="1061">
        <v>1723078.310000001</v>
      </c>
      <c r="F88" s="59">
        <f t="shared" si="0"/>
        <v>5.2153245573971677E-2</v>
      </c>
      <c r="G88" s="965">
        <f t="shared" ref="G88:G90" si="19">E88*F88</f>
        <v>89864.126244614148</v>
      </c>
      <c r="H88" s="1061">
        <v>1600162.068521179</v>
      </c>
      <c r="I88" s="59">
        <f t="shared" si="3"/>
        <v>7.9578999979400059E-2</v>
      </c>
      <c r="J88" s="218">
        <f t="shared" ref="J88:J90" si="20">H88*I88</f>
        <v>127339.29721788366</v>
      </c>
      <c r="K88" s="877">
        <v>38917.487645462701</v>
      </c>
      <c r="L88" s="218">
        <f t="shared" si="13"/>
        <v>256120.91110796054</v>
      </c>
      <c r="M88" s="881">
        <v>0</v>
      </c>
      <c r="N88" s="218">
        <f>+'2-Incentive ROE'!K$40*'1-Project Rev Req'!M88/100*H88</f>
        <v>0</v>
      </c>
      <c r="O88" s="218">
        <f t="shared" ref="O88:O90" si="21">+L88+N88</f>
        <v>256120.91110796054</v>
      </c>
      <c r="P88" s="879">
        <v>0</v>
      </c>
      <c r="Q88" s="218">
        <f t="shared" si="18"/>
        <v>256120.91110796054</v>
      </c>
      <c r="R88" s="884">
        <f>+'3-Project True-up'!K40</f>
        <v>-5855.5128976612023</v>
      </c>
      <c r="S88" s="879">
        <f t="shared" ref="S88:S90" si="22">$S$64*Q88/$Q$95</f>
        <v>0</v>
      </c>
      <c r="T88" s="218">
        <f t="shared" si="7"/>
        <v>250265.39821029935</v>
      </c>
    </row>
    <row r="89" spans="1:20">
      <c r="A89" s="214" t="s">
        <v>753</v>
      </c>
      <c r="B89" s="215"/>
      <c r="C89" s="1059" t="s">
        <v>1148</v>
      </c>
      <c r="D89" s="1060" t="s">
        <v>721</v>
      </c>
      <c r="E89" s="1061">
        <v>5325224.6100000031</v>
      </c>
      <c r="F89" s="59">
        <f t="shared" si="0"/>
        <v>5.2153245573971677E-2</v>
      </c>
      <c r="G89" s="965">
        <f t="shared" si="19"/>
        <v>277727.74682188773</v>
      </c>
      <c r="H89" s="1061">
        <v>4008220.232676161</v>
      </c>
      <c r="I89" s="59">
        <f t="shared" si="3"/>
        <v>7.9578999979400059E-2</v>
      </c>
      <c r="J89" s="218">
        <f t="shared" si="20"/>
        <v>318970.15781356709</v>
      </c>
      <c r="K89" s="877">
        <v>94925.887621357746</v>
      </c>
      <c r="L89" s="218">
        <f t="shared" si="13"/>
        <v>691623.79225681257</v>
      </c>
      <c r="M89" s="881">
        <v>0</v>
      </c>
      <c r="N89" s="218">
        <f>+'2-Incentive ROE'!K$40*'1-Project Rev Req'!M89/100*H89</f>
        <v>0</v>
      </c>
      <c r="O89" s="218">
        <f t="shared" si="21"/>
        <v>691623.79225681257</v>
      </c>
      <c r="P89" s="879">
        <v>0</v>
      </c>
      <c r="Q89" s="218">
        <f t="shared" si="18"/>
        <v>691623.79225681257</v>
      </c>
      <c r="R89" s="884">
        <f>+'3-Project True-up'!K41</f>
        <v>-25438.516664963961</v>
      </c>
      <c r="S89" s="879">
        <f t="shared" si="22"/>
        <v>0</v>
      </c>
      <c r="T89" s="218">
        <f t="shared" si="7"/>
        <v>666185.27559184865</v>
      </c>
    </row>
    <row r="90" spans="1:20">
      <c r="A90" s="214" t="s">
        <v>754</v>
      </c>
      <c r="C90" s="1059" t="s">
        <v>1149</v>
      </c>
      <c r="D90" s="1060" t="s">
        <v>736</v>
      </c>
      <c r="E90" s="1061">
        <v>4315230.49</v>
      </c>
      <c r="F90" s="59">
        <f t="shared" si="0"/>
        <v>5.2153245573971677E-2</v>
      </c>
      <c r="G90" s="965">
        <f t="shared" si="19"/>
        <v>225053.27545326014</v>
      </c>
      <c r="H90" s="1061">
        <v>2854940.5338734831</v>
      </c>
      <c r="I90" s="59">
        <f t="shared" si="3"/>
        <v>7.9578999979400059E-2</v>
      </c>
      <c r="J90" s="218">
        <f t="shared" si="20"/>
        <v>227193.31268630631</v>
      </c>
      <c r="K90" s="877">
        <v>67612.992438589165</v>
      </c>
      <c r="L90" s="218">
        <f t="shared" si="13"/>
        <v>519859.58057815564</v>
      </c>
      <c r="M90" s="881">
        <v>0</v>
      </c>
      <c r="N90" s="218">
        <f>+'2-Incentive ROE'!K$40*'1-Project Rev Req'!M90/100*H90</f>
        <v>0</v>
      </c>
      <c r="O90" s="218">
        <f t="shared" si="21"/>
        <v>519859.58057815564</v>
      </c>
      <c r="P90" s="879">
        <v>0</v>
      </c>
      <c r="Q90" s="218">
        <f t="shared" si="18"/>
        <v>519859.58057815564</v>
      </c>
      <c r="R90" s="884">
        <f>+'3-Project True-up'!K42</f>
        <v>-17095.990924290065</v>
      </c>
      <c r="S90" s="879">
        <f t="shared" si="22"/>
        <v>0</v>
      </c>
      <c r="T90" s="218">
        <f t="shared" si="7"/>
        <v>502763.58965386555</v>
      </c>
    </row>
    <row r="91" spans="1:20">
      <c r="A91" s="214" t="s">
        <v>755</v>
      </c>
      <c r="C91" s="1059" t="s">
        <v>1508</v>
      </c>
      <c r="D91" s="1060" t="s">
        <v>1509</v>
      </c>
      <c r="E91" s="1061">
        <v>13038203.109999998</v>
      </c>
      <c r="F91" s="59">
        <f t="shared" si="0"/>
        <v>5.2153245573971677E-2</v>
      </c>
      <c r="G91" s="965">
        <f t="shared" ref="G91:G92" si="23">E91*F91</f>
        <v>679984.60863915109</v>
      </c>
      <c r="H91" s="1061">
        <v>12004803.404675106</v>
      </c>
      <c r="I91" s="59">
        <f t="shared" si="3"/>
        <v>7.9578999979400059E-2</v>
      </c>
      <c r="J91" s="218">
        <f t="shared" ref="J91" si="24">H91*I91</f>
        <v>955330.24989334203</v>
      </c>
      <c r="K91" s="877">
        <v>284307.38651000452</v>
      </c>
      <c r="L91" s="218">
        <f t="shared" si="13"/>
        <v>1919622.2450424975</v>
      </c>
      <c r="M91" s="881">
        <v>0</v>
      </c>
      <c r="N91" s="218">
        <f>+'2-Incentive ROE'!K$40*'1-Project Rev Req'!M91/100*H91</f>
        <v>0</v>
      </c>
      <c r="O91" s="218">
        <f t="shared" ref="O91:O92" si="25">+L91+N91</f>
        <v>1919622.2450424975</v>
      </c>
      <c r="P91" s="879">
        <v>0</v>
      </c>
      <c r="Q91" s="218">
        <f t="shared" ref="Q91:Q92" si="26">+L91+N91-P91</f>
        <v>1919622.2450424975</v>
      </c>
      <c r="R91" s="884">
        <f>+'3-Project True-up'!K43</f>
        <v>-231999.99960631225</v>
      </c>
      <c r="S91" s="879">
        <f t="shared" ref="S91:S92" si="27">$S$64*Q91/$Q$95</f>
        <v>0</v>
      </c>
      <c r="T91" s="218">
        <f t="shared" si="7"/>
        <v>1687622.2454361853</v>
      </c>
    </row>
    <row r="92" spans="1:20">
      <c r="A92" s="214" t="s">
        <v>1519</v>
      </c>
      <c r="C92" s="1059" t="s">
        <v>1520</v>
      </c>
      <c r="D92" s="1060" t="s">
        <v>1521</v>
      </c>
      <c r="E92" s="1061">
        <v>993854.37</v>
      </c>
      <c r="F92" s="59">
        <f t="shared" si="0"/>
        <v>5.2153245573971677E-2</v>
      </c>
      <c r="G92" s="965">
        <f t="shared" si="23"/>
        <v>51832.731023374909</v>
      </c>
      <c r="H92" s="1061">
        <v>917872.28580447473</v>
      </c>
      <c r="I92" s="59">
        <f t="shared" si="3"/>
        <v>7.9578999979400059E-2</v>
      </c>
      <c r="J92" s="218">
        <f t="shared" ref="J92" si="28">H92*I92</f>
        <v>73043.358613126184</v>
      </c>
      <c r="K92" s="877">
        <v>22185.021969411817</v>
      </c>
      <c r="L92" s="218">
        <f t="shared" si="13"/>
        <v>147061.11160591291</v>
      </c>
      <c r="M92" s="881">
        <v>0</v>
      </c>
      <c r="N92" s="218">
        <f>+'2-Incentive ROE'!K$40*'1-Project Rev Req'!M92/100*H92</f>
        <v>0</v>
      </c>
      <c r="O92" s="218">
        <f t="shared" si="25"/>
        <v>147061.11160591291</v>
      </c>
      <c r="P92" s="879">
        <v>0</v>
      </c>
      <c r="Q92" s="218">
        <f t="shared" si="26"/>
        <v>147061.11160591291</v>
      </c>
      <c r="R92" s="884">
        <f>+'3-Project True-up'!K44</f>
        <v>-21030.005131059384</v>
      </c>
      <c r="S92" s="879">
        <f t="shared" si="27"/>
        <v>0</v>
      </c>
      <c r="T92" s="218">
        <f t="shared" si="7"/>
        <v>126031.10647485353</v>
      </c>
    </row>
    <row r="93" spans="1:20">
      <c r="A93" s="221"/>
      <c r="C93" s="876"/>
      <c r="D93" s="876"/>
      <c r="E93" s="877"/>
      <c r="F93" s="59"/>
      <c r="G93" s="965"/>
      <c r="H93" s="877"/>
      <c r="I93" s="59"/>
      <c r="J93" s="218"/>
      <c r="K93" s="879"/>
      <c r="L93" s="218"/>
      <c r="M93" s="881"/>
      <c r="N93" s="218"/>
      <c r="O93" s="218"/>
      <c r="P93" s="879"/>
      <c r="Q93" s="218"/>
      <c r="R93" s="884"/>
      <c r="S93" s="879"/>
      <c r="T93" s="218"/>
    </row>
    <row r="94" spans="1:20">
      <c r="A94" s="222"/>
      <c r="B94" s="223"/>
      <c r="C94" s="878"/>
      <c r="D94" s="878"/>
      <c r="E94" s="878"/>
      <c r="F94" s="223"/>
      <c r="G94" s="966"/>
      <c r="H94" s="878"/>
      <c r="I94" s="223"/>
      <c r="J94" s="225"/>
      <c r="K94" s="880"/>
      <c r="L94" s="225"/>
      <c r="M94" s="882"/>
      <c r="N94" s="226"/>
      <c r="O94" s="226"/>
      <c r="P94" s="883"/>
      <c r="Q94" s="226"/>
      <c r="R94" s="885"/>
      <c r="S94" s="880"/>
      <c r="T94" s="225"/>
    </row>
    <row r="95" spans="1:20">
      <c r="A95" s="178" t="s">
        <v>243</v>
      </c>
      <c r="B95" s="184"/>
      <c r="C95" s="149" t="s">
        <v>166</v>
      </c>
      <c r="D95" s="149"/>
      <c r="E95" s="53">
        <f>SUM(E66:E94)</f>
        <v>2103854685.3006191</v>
      </c>
      <c r="F95" s="176"/>
      <c r="G95" s="154"/>
      <c r="H95" s="53">
        <f t="shared" ref="H95:S95" si="29">SUM(H66:H94)</f>
        <v>1480903914.1985221</v>
      </c>
      <c r="I95" s="154"/>
      <c r="J95" s="53">
        <f t="shared" si="29"/>
        <v>117848852.55749768</v>
      </c>
      <c r="K95" s="53">
        <f t="shared" si="29"/>
        <v>31999118.321264986</v>
      </c>
      <c r="L95" s="53">
        <f t="shared" si="29"/>
        <v>259570820.93319681</v>
      </c>
      <c r="M95" s="53"/>
      <c r="N95" s="53">
        <f t="shared" si="29"/>
        <v>0</v>
      </c>
      <c r="O95" s="53">
        <f t="shared" si="29"/>
        <v>259570820.93319681</v>
      </c>
      <c r="P95" s="53">
        <f t="shared" si="29"/>
        <v>0</v>
      </c>
      <c r="Q95" s="53">
        <f t="shared" si="29"/>
        <v>259570820.93319681</v>
      </c>
      <c r="R95" s="53">
        <f t="shared" si="29"/>
        <v>3496445.3290263126</v>
      </c>
      <c r="S95" s="53">
        <f t="shared" si="29"/>
        <v>0</v>
      </c>
      <c r="T95" s="53">
        <f>SUM(T66:T94)</f>
        <v>29039531.145351801</v>
      </c>
    </row>
    <row r="96" spans="1:20">
      <c r="E96" s="53"/>
      <c r="F96" s="53"/>
      <c r="G96" s="53"/>
      <c r="H96" s="53"/>
      <c r="I96" s="53"/>
      <c r="J96" s="53"/>
      <c r="K96" s="53"/>
      <c r="L96" s="59"/>
    </row>
    <row r="97" spans="1:17">
      <c r="A97" s="227"/>
      <c r="E97" s="53"/>
      <c r="F97" s="53"/>
      <c r="G97" s="53"/>
      <c r="H97" s="53"/>
      <c r="I97" s="53"/>
      <c r="J97" s="53"/>
      <c r="K97" s="53"/>
      <c r="L97" s="59"/>
      <c r="M97" s="188"/>
      <c r="N97" s="188"/>
      <c r="O97" s="188"/>
    </row>
    <row r="98" spans="1:17">
      <c r="K98" s="184"/>
      <c r="L98" s="184"/>
      <c r="M98" s="184"/>
      <c r="N98" s="184"/>
      <c r="O98" s="184"/>
    </row>
    <row r="99" spans="1:17">
      <c r="K99" s="184"/>
      <c r="L99" s="184"/>
      <c r="M99" s="184"/>
      <c r="N99" s="184"/>
      <c r="O99" s="184"/>
    </row>
    <row r="101" spans="1:17" ht="13.5" thickBot="1">
      <c r="A101" s="228" t="s">
        <v>182</v>
      </c>
    </row>
    <row r="102" spans="1:17">
      <c r="A102" s="229" t="s">
        <v>58</v>
      </c>
      <c r="C102" s="1219" t="s">
        <v>374</v>
      </c>
      <c r="D102" s="1219"/>
      <c r="E102" s="1219"/>
      <c r="F102" s="1219"/>
      <c r="G102" s="1219"/>
      <c r="H102" s="1219"/>
      <c r="I102" s="1219"/>
      <c r="J102" s="1219"/>
      <c r="K102" s="1219"/>
      <c r="L102" s="1219"/>
      <c r="M102" s="1219"/>
      <c r="N102" s="1219"/>
      <c r="O102" s="1219"/>
      <c r="P102" s="1219"/>
      <c r="Q102" s="1219"/>
    </row>
    <row r="103" spans="1:17">
      <c r="A103" s="229" t="s">
        <v>59</v>
      </c>
      <c r="C103" s="1219" t="s">
        <v>357</v>
      </c>
      <c r="D103" s="1219"/>
      <c r="E103" s="1219"/>
      <c r="F103" s="1219"/>
      <c r="G103" s="1219"/>
      <c r="H103" s="1219"/>
      <c r="I103" s="1219"/>
      <c r="J103" s="1219"/>
      <c r="K103" s="1219"/>
      <c r="L103" s="1219"/>
      <c r="M103" s="1219"/>
      <c r="N103" s="1219"/>
      <c r="O103" s="1219"/>
      <c r="P103" s="1219"/>
      <c r="Q103" s="1219"/>
    </row>
    <row r="104" spans="1:17">
      <c r="A104" s="229" t="s">
        <v>60</v>
      </c>
      <c r="C104" s="1220" t="s">
        <v>364</v>
      </c>
      <c r="D104" s="1220"/>
      <c r="E104" s="1220"/>
      <c r="F104" s="1220"/>
      <c r="G104" s="1220"/>
      <c r="H104" s="1220"/>
      <c r="I104" s="1220"/>
      <c r="J104" s="1220"/>
      <c r="K104" s="1220"/>
      <c r="L104" s="1220"/>
      <c r="M104" s="1220"/>
      <c r="N104" s="1220"/>
      <c r="O104" s="1220"/>
      <c r="P104" s="1220"/>
      <c r="Q104" s="1220"/>
    </row>
    <row r="105" spans="1:17">
      <c r="C105" s="147" t="s">
        <v>358</v>
      </c>
    </row>
    <row r="106" spans="1:17">
      <c r="A106" s="229" t="s">
        <v>61</v>
      </c>
      <c r="C106" s="1220" t="s">
        <v>1062</v>
      </c>
      <c r="D106" s="1220"/>
      <c r="E106" s="1220"/>
      <c r="F106" s="1220"/>
      <c r="G106" s="1220"/>
      <c r="H106" s="1220"/>
      <c r="I106" s="1220"/>
      <c r="J106" s="1220"/>
      <c r="K106" s="1220"/>
      <c r="L106" s="1220"/>
      <c r="M106" s="1220"/>
      <c r="N106" s="1220"/>
      <c r="O106" s="1220"/>
      <c r="P106" s="1220"/>
      <c r="Q106" s="1220"/>
    </row>
    <row r="107" spans="1:17">
      <c r="A107" s="176" t="s">
        <v>62</v>
      </c>
      <c r="C107" s="1218" t="s">
        <v>882</v>
      </c>
      <c r="D107" s="1218"/>
      <c r="E107" s="1218"/>
      <c r="F107" s="1218"/>
      <c r="G107" s="1218"/>
      <c r="H107" s="1218"/>
      <c r="I107" s="1218"/>
      <c r="J107" s="1218"/>
      <c r="K107" s="1218"/>
      <c r="L107" s="1218"/>
      <c r="M107" s="1218"/>
      <c r="N107" s="1218"/>
      <c r="O107" s="1218"/>
      <c r="P107" s="1218"/>
      <c r="Q107" s="1218"/>
    </row>
    <row r="108" spans="1:17">
      <c r="A108" s="176" t="s">
        <v>63</v>
      </c>
      <c r="C108" s="1218" t="s">
        <v>1285</v>
      </c>
      <c r="D108" s="1218"/>
      <c r="E108" s="1218"/>
      <c r="F108" s="1218"/>
      <c r="G108" s="1218"/>
      <c r="H108" s="1218"/>
      <c r="I108" s="1218"/>
      <c r="J108" s="1218"/>
      <c r="K108" s="1218"/>
      <c r="L108" s="1218"/>
      <c r="M108" s="1218"/>
      <c r="N108" s="1218"/>
      <c r="O108" s="1218"/>
      <c r="P108" s="1218"/>
      <c r="Q108" s="1218"/>
    </row>
    <row r="109" spans="1:17">
      <c r="A109" s="176" t="s">
        <v>64</v>
      </c>
      <c r="C109" s="1218" t="s">
        <v>1286</v>
      </c>
      <c r="D109" s="1218"/>
      <c r="E109" s="1218"/>
      <c r="F109" s="1218"/>
      <c r="G109" s="1218"/>
      <c r="H109" s="1218"/>
      <c r="I109" s="1218"/>
      <c r="J109" s="1218"/>
      <c r="K109" s="1218"/>
      <c r="L109" s="1218"/>
      <c r="M109" s="1218"/>
      <c r="N109" s="1218"/>
      <c r="O109" s="1218"/>
      <c r="P109" s="1218"/>
      <c r="Q109" s="1218"/>
    </row>
    <row r="110" spans="1:17">
      <c r="A110" s="176" t="s">
        <v>65</v>
      </c>
      <c r="C110" s="1218" t="s">
        <v>375</v>
      </c>
      <c r="D110" s="1218"/>
      <c r="E110" s="1218"/>
      <c r="F110" s="1218"/>
      <c r="G110" s="1218"/>
      <c r="H110" s="1218"/>
      <c r="I110" s="1218"/>
      <c r="J110" s="1218"/>
      <c r="K110" s="1218"/>
      <c r="L110" s="1218"/>
      <c r="M110" s="1218"/>
      <c r="N110" s="1218"/>
      <c r="O110" s="1218"/>
      <c r="P110" s="1218"/>
      <c r="Q110" s="1218"/>
    </row>
    <row r="111" spans="1:17">
      <c r="A111" s="176" t="s">
        <v>66</v>
      </c>
      <c r="C111" s="147" t="s">
        <v>315</v>
      </c>
    </row>
    <row r="112" spans="1:17">
      <c r="A112" s="159" t="s">
        <v>67</v>
      </c>
      <c r="C112" s="147" t="s">
        <v>429</v>
      </c>
      <c r="P112" s="154"/>
      <c r="Q112" s="191"/>
    </row>
    <row r="113" spans="1:17">
      <c r="A113" s="159" t="s">
        <v>99</v>
      </c>
      <c r="C113" s="147" t="s">
        <v>311</v>
      </c>
      <c r="D113" s="159"/>
      <c r="E113" s="176"/>
      <c r="F113" s="176"/>
      <c r="G113" s="154"/>
      <c r="J113" s="174"/>
      <c r="P113" s="154"/>
      <c r="Q113" s="171"/>
    </row>
    <row r="114" spans="1:17">
      <c r="A114" s="176" t="s">
        <v>117</v>
      </c>
      <c r="C114" s="21" t="s">
        <v>1034</v>
      </c>
      <c r="G114" s="230"/>
    </row>
    <row r="115" spans="1:17">
      <c r="A115" s="176" t="s">
        <v>406</v>
      </c>
      <c r="C115" s="147" t="s">
        <v>407</v>
      </c>
      <c r="K115" s="230"/>
    </row>
    <row r="116" spans="1:17">
      <c r="A116" s="176" t="s">
        <v>120</v>
      </c>
      <c r="C116" s="147" t="s">
        <v>410</v>
      </c>
    </row>
    <row r="117" spans="1:17">
      <c r="C117" s="147" t="s">
        <v>408</v>
      </c>
    </row>
    <row r="118" spans="1:17">
      <c r="A118" s="176" t="s">
        <v>121</v>
      </c>
      <c r="C118" s="1217" t="s">
        <v>767</v>
      </c>
      <c r="D118" s="1217"/>
      <c r="E118" s="1217"/>
      <c r="F118" s="1217"/>
      <c r="G118" s="1217"/>
    </row>
    <row r="119" spans="1:17">
      <c r="A119" s="176" t="s">
        <v>122</v>
      </c>
      <c r="C119" s="1217" t="s">
        <v>1140</v>
      </c>
      <c r="D119" s="1217"/>
      <c r="E119" s="1217"/>
      <c r="F119" s="1217"/>
      <c r="G119" s="1217"/>
    </row>
  </sheetData>
  <sheetProtection algorithmName="SHA-512" hashValue="68r/wSFWW1L6tMIrzx/+2NODH1xOY4Ko1yfJ6PhYNOWzkCi22Ei9WxebqYEk/JzgtFV7SH6+wRD5wg4eux8E0Q==" saltValue="bIv7k9YSt/nBHzD40oNqDg=="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9" man="1"/>
  </rowBreaks>
  <ignoredErrors>
    <ignoredError sqref="R68:S90 K93:K94 R67 R93:S9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8"/>
  <sheetViews>
    <sheetView view="pageBreakPreview" zoomScale="70" zoomScaleNormal="100" zoomScaleSheetLayoutView="70" workbookViewId="0">
      <selection activeCell="E12" sqref="E12"/>
    </sheetView>
  </sheetViews>
  <sheetFormatPr defaultColWidth="8.88671875" defaultRowHeight="15.4"/>
  <cols>
    <col min="1" max="1" width="5.5546875" style="11" customWidth="1"/>
    <col min="2" max="2" width="21.5546875" style="7" customWidth="1"/>
    <col min="3" max="3" width="38.44140625" style="7" customWidth="1"/>
    <col min="4" max="4" width="25.109375" style="7" customWidth="1"/>
    <col min="5" max="5" width="14.21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88671875" style="7"/>
  </cols>
  <sheetData>
    <row r="1" spans="1:11">
      <c r="A1" s="231"/>
      <c r="B1" s="16"/>
      <c r="C1" s="232"/>
      <c r="D1" s="232"/>
      <c r="E1" s="232"/>
      <c r="F1" s="233"/>
      <c r="G1" s="232"/>
      <c r="H1" s="232"/>
      <c r="I1" s="232"/>
      <c r="J1" s="234"/>
      <c r="K1" s="16"/>
    </row>
    <row r="2" spans="1:11">
      <c r="A2" s="231"/>
      <c r="B2" s="231"/>
      <c r="C2" s="232"/>
      <c r="D2" s="232"/>
      <c r="E2" s="232"/>
      <c r="F2" s="233"/>
      <c r="G2" s="232"/>
      <c r="H2" s="232"/>
      <c r="I2" s="232"/>
      <c r="J2" s="234"/>
      <c r="K2" s="16"/>
    </row>
    <row r="3" spans="1:11">
      <c r="A3" s="231"/>
      <c r="B3" s="16"/>
      <c r="C3" s="232"/>
      <c r="D3" s="235" t="s">
        <v>2</v>
      </c>
      <c r="E3" s="235"/>
      <c r="F3" s="233" t="s">
        <v>251</v>
      </c>
      <c r="G3" s="16"/>
      <c r="H3" s="235"/>
      <c r="I3" s="235"/>
      <c r="J3" s="236"/>
      <c r="K3" s="237" t="s">
        <v>419</v>
      </c>
    </row>
    <row r="4" spans="1:11">
      <c r="A4" s="238"/>
      <c r="B4" s="236"/>
      <c r="C4" s="236"/>
      <c r="D4" s="236"/>
      <c r="E4" s="236"/>
      <c r="F4" s="233" t="s">
        <v>316</v>
      </c>
      <c r="G4" s="16"/>
      <c r="H4" s="236"/>
      <c r="I4" s="236"/>
      <c r="J4" s="236"/>
      <c r="K4" s="237"/>
    </row>
    <row r="5" spans="1:11">
      <c r="A5" s="231"/>
      <c r="B5" s="236"/>
      <c r="C5" s="236"/>
      <c r="D5" s="236"/>
      <c r="E5" s="16"/>
      <c r="F5" s="239" t="str">
        <f>+'Attachment H-7'!D5</f>
        <v>PECO Energy Company</v>
      </c>
      <c r="G5" s="16"/>
      <c r="H5" s="236"/>
      <c r="I5" s="236"/>
      <c r="J5" s="236"/>
      <c r="K5" s="236"/>
    </row>
    <row r="6" spans="1:11">
      <c r="A6" s="231"/>
      <c r="B6" s="16"/>
      <c r="C6" s="16"/>
      <c r="D6" s="16"/>
      <c r="E6" s="16"/>
      <c r="F6" s="16"/>
      <c r="G6" s="16"/>
      <c r="H6" s="16"/>
      <c r="I6" s="16"/>
      <c r="J6" s="240"/>
      <c r="K6" s="16"/>
    </row>
    <row r="7" spans="1:11">
      <c r="A7" s="231">
        <v>1</v>
      </c>
      <c r="B7" s="16" t="s">
        <v>304</v>
      </c>
      <c r="C7" s="16" t="s">
        <v>1027</v>
      </c>
      <c r="D7" s="16"/>
      <c r="E7" s="16"/>
      <c r="F7" s="16"/>
      <c r="G7" s="16"/>
      <c r="H7" s="16"/>
      <c r="I7" s="16"/>
      <c r="J7" s="16"/>
      <c r="K7" s="231">
        <f>+'Attachment H-7'!I104</f>
        <v>1348017878.836998</v>
      </c>
    </row>
    <row r="8" spans="1:11">
      <c r="A8" s="231"/>
      <c r="B8" s="16"/>
      <c r="C8" s="16"/>
      <c r="D8" s="16"/>
      <c r="E8" s="16"/>
      <c r="F8" s="16"/>
      <c r="G8" s="16"/>
      <c r="H8" s="16"/>
      <c r="I8" s="16"/>
      <c r="J8" s="16"/>
      <c r="K8" s="240"/>
    </row>
    <row r="9" spans="1:11" ht="15.75" thickBot="1">
      <c r="A9" s="241">
        <f>+A7+1</f>
        <v>2</v>
      </c>
      <c r="B9" s="242" t="s">
        <v>252</v>
      </c>
      <c r="C9" s="243"/>
      <c r="D9" s="243"/>
      <c r="E9" s="243"/>
      <c r="F9" s="243"/>
      <c r="G9" s="243"/>
      <c r="H9" s="243"/>
      <c r="I9" s="243"/>
      <c r="J9" s="244" t="s">
        <v>44</v>
      </c>
      <c r="K9" s="240"/>
    </row>
    <row r="10" spans="1:11">
      <c r="A10" s="241"/>
      <c r="B10" s="242"/>
      <c r="C10" s="243"/>
      <c r="D10" s="243"/>
      <c r="E10" s="243"/>
      <c r="F10" s="243"/>
      <c r="G10" s="243"/>
      <c r="H10" s="245" t="s">
        <v>52</v>
      </c>
      <c r="I10" s="243"/>
      <c r="J10" s="243"/>
      <c r="K10" s="240"/>
    </row>
    <row r="11" spans="1:11" ht="15.75" thickBot="1">
      <c r="A11" s="241"/>
      <c r="B11" s="242"/>
      <c r="C11" s="243"/>
      <c r="D11" s="243"/>
      <c r="E11" s="246" t="s">
        <v>44</v>
      </c>
      <c r="F11" s="246" t="s">
        <v>53</v>
      </c>
      <c r="G11" s="243"/>
      <c r="H11" s="246"/>
      <c r="I11" s="243"/>
      <c r="J11" s="246" t="s">
        <v>54</v>
      </c>
      <c r="K11" s="240"/>
    </row>
    <row r="12" spans="1:11">
      <c r="A12" s="241">
        <f>+A9+1</f>
        <v>3</v>
      </c>
      <c r="B12" s="242" t="s">
        <v>235</v>
      </c>
      <c r="C12" s="247" t="s">
        <v>1025</v>
      </c>
      <c r="D12" s="247"/>
      <c r="E12" s="248">
        <f>+'Attachment H-7'!D212</f>
        <v>5561341685.9230766</v>
      </c>
      <c r="F12" s="249">
        <f>+'Attachment H-7'!E212</f>
        <v>0.45726401826321128</v>
      </c>
      <c r="G12" s="250"/>
      <c r="H12" s="251">
        <f>+'Attachment H-7'!G212</f>
        <v>4.1980254408923098E-2</v>
      </c>
      <c r="I12" s="250"/>
      <c r="J12" s="252">
        <f>F12*H12</f>
        <v>1.9196059818736066E-2</v>
      </c>
      <c r="K12" s="240"/>
    </row>
    <row r="13" spans="1:11">
      <c r="A13" s="241">
        <f>+A12+1</f>
        <v>4</v>
      </c>
      <c r="B13" s="242" t="s">
        <v>305</v>
      </c>
      <c r="C13" s="247" t="s">
        <v>1025</v>
      </c>
      <c r="D13" s="247"/>
      <c r="E13" s="248">
        <f>+'Attachment H-7'!D213</f>
        <v>0</v>
      </c>
      <c r="F13" s="249">
        <f>+'Attachment H-7'!E213</f>
        <v>0</v>
      </c>
      <c r="G13" s="250"/>
      <c r="H13" s="251">
        <f>+'Attachment H-7'!G213</f>
        <v>0</v>
      </c>
      <c r="I13" s="250"/>
      <c r="J13" s="252">
        <f>F13*H13</f>
        <v>0</v>
      </c>
      <c r="K13" s="240"/>
    </row>
    <row r="14" spans="1:11" ht="31.15" thickBot="1">
      <c r="A14" s="248">
        <f>+A13+1</f>
        <v>5</v>
      </c>
      <c r="B14" s="242" t="s">
        <v>279</v>
      </c>
      <c r="C14" s="247" t="s">
        <v>1026</v>
      </c>
      <c r="D14" s="253" t="s">
        <v>1038</v>
      </c>
      <c r="E14" s="248">
        <f>+'Attachment H-7'!D214</f>
        <v>6600869780.1053848</v>
      </c>
      <c r="F14" s="249">
        <f>+'Attachment H-7'!E214</f>
        <v>0.54273598173678872</v>
      </c>
      <c r="G14" s="250"/>
      <c r="H14" s="251">
        <f>+'Attachment H-7'!G214+0.01</f>
        <v>0.11349999999999999</v>
      </c>
      <c r="I14" s="250"/>
      <c r="J14" s="254">
        <f>F14*H14</f>
        <v>6.1600533927125514E-2</v>
      </c>
      <c r="K14" s="240"/>
    </row>
    <row r="15" spans="1:11">
      <c r="A15" s="241">
        <f>+A14+1</f>
        <v>6</v>
      </c>
      <c r="B15" s="242" t="s">
        <v>377</v>
      </c>
      <c r="C15" s="255"/>
      <c r="D15" s="255"/>
      <c r="E15" s="248">
        <f>SUM(E12:E14)</f>
        <v>12162211466.028461</v>
      </c>
      <c r="F15" s="250" t="s">
        <v>2</v>
      </c>
      <c r="G15" s="250"/>
      <c r="H15" s="250"/>
      <c r="I15" s="250"/>
      <c r="J15" s="252">
        <f>SUM(J12:J14)</f>
        <v>8.0796593745861581E-2</v>
      </c>
      <c r="K15" s="240"/>
    </row>
    <row r="16" spans="1:11">
      <c r="A16" s="241">
        <f t="shared" ref="A16:A40" si="0">+A15+1</f>
        <v>7</v>
      </c>
      <c r="B16" s="242" t="s">
        <v>259</v>
      </c>
      <c r="C16" s="255"/>
      <c r="D16" s="255"/>
      <c r="E16" s="256"/>
      <c r="F16" s="243"/>
      <c r="G16" s="243"/>
      <c r="H16" s="243"/>
      <c r="I16" s="243"/>
      <c r="J16" s="250"/>
      <c r="K16" s="250">
        <f>+J15*K7</f>
        <v>108915252.91855098</v>
      </c>
    </row>
    <row r="17" spans="1:11">
      <c r="A17" s="241"/>
      <c r="B17" s="16"/>
      <c r="C17" s="16"/>
      <c r="D17" s="16"/>
      <c r="E17" s="16"/>
      <c r="F17" s="16"/>
      <c r="G17" s="16"/>
      <c r="H17" s="16"/>
      <c r="I17" s="16"/>
      <c r="J17" s="16"/>
      <c r="K17" s="240"/>
    </row>
    <row r="18" spans="1:11">
      <c r="A18" s="241">
        <f>+A16+1</f>
        <v>8</v>
      </c>
      <c r="B18" s="242" t="s">
        <v>36</v>
      </c>
      <c r="C18" s="257"/>
      <c r="D18" s="257"/>
      <c r="E18" s="243"/>
      <c r="F18" s="243"/>
      <c r="G18" s="255"/>
      <c r="H18" s="258"/>
      <c r="I18" s="243"/>
      <c r="J18" s="255"/>
      <c r="K18" s="240"/>
    </row>
    <row r="19" spans="1:11">
      <c r="A19" s="241">
        <f t="shared" si="0"/>
        <v>9</v>
      </c>
      <c r="B19" s="259" t="s">
        <v>310</v>
      </c>
      <c r="C19" s="243"/>
      <c r="D19" s="4"/>
      <c r="E19" s="260">
        <f>IF('Attachment H-7'!D241&gt;0,1-(((1-'Attachment H-7'!D242)*(1-'Attachment H-7'!D241))/(1-'Attachment H-7'!D241*'Attachment H-7'!D242*'Attachment H-7'!D243)),0)</f>
        <v>0.27312099999999995</v>
      </c>
      <c r="F19" s="261"/>
      <c r="G19" s="255"/>
      <c r="H19" s="258"/>
      <c r="I19" s="243"/>
      <c r="J19" s="255"/>
      <c r="K19" s="240"/>
    </row>
    <row r="20" spans="1:11">
      <c r="A20" s="241">
        <f t="shared" si="0"/>
        <v>10</v>
      </c>
      <c r="B20" s="255" t="s">
        <v>37</v>
      </c>
      <c r="C20" s="243"/>
      <c r="D20" s="4"/>
      <c r="E20" s="260">
        <f>IF(J15&gt;0,(E19/(1-E19))*(1-J12/J15),0)</f>
        <v>0.28647346190790995</v>
      </c>
      <c r="F20" s="243"/>
      <c r="G20" s="255"/>
      <c r="H20" s="258"/>
      <c r="I20" s="243"/>
      <c r="J20" s="255"/>
      <c r="K20" s="240"/>
    </row>
    <row r="21" spans="1:11">
      <c r="A21" s="241">
        <f t="shared" si="0"/>
        <v>11</v>
      </c>
      <c r="B21" s="257" t="s">
        <v>306</v>
      </c>
      <c r="C21" s="257"/>
      <c r="D21" s="4"/>
      <c r="E21" s="243"/>
      <c r="F21" s="243"/>
      <c r="G21" s="255"/>
      <c r="H21" s="258"/>
      <c r="I21" s="243"/>
      <c r="J21" s="255"/>
      <c r="K21" s="240"/>
    </row>
    <row r="22" spans="1:11">
      <c r="A22" s="241">
        <f t="shared" si="0"/>
        <v>12</v>
      </c>
      <c r="B22" s="262" t="s">
        <v>307</v>
      </c>
      <c r="C22" s="257"/>
      <c r="D22" s="257"/>
      <c r="E22" s="243"/>
      <c r="F22" s="243"/>
      <c r="G22" s="255"/>
      <c r="H22" s="258"/>
      <c r="I22" s="243"/>
      <c r="J22" s="255"/>
      <c r="K22" s="240"/>
    </row>
    <row r="23" spans="1:11">
      <c r="A23" s="241">
        <f t="shared" si="0"/>
        <v>13</v>
      </c>
      <c r="B23" s="263" t="str">
        <f>"      1 / (1 - T)  =  (from line "&amp;A19&amp;")"</f>
        <v xml:space="preserve">      1 / (1 - T)  =  (from line 9)</v>
      </c>
      <c r="C23" s="257"/>
      <c r="D23" s="257"/>
      <c r="E23" s="261">
        <f>IF(E19&gt;0,1/(1-E19),0)</f>
        <v>1.3757447938377638</v>
      </c>
      <c r="F23" s="243"/>
      <c r="G23" s="255"/>
      <c r="H23" s="258"/>
      <c r="I23" s="243"/>
      <c r="J23" s="255"/>
      <c r="K23" s="240"/>
    </row>
    <row r="24" spans="1:11">
      <c r="A24" s="241">
        <f t="shared" si="0"/>
        <v>14</v>
      </c>
      <c r="B24" s="262" t="s">
        <v>253</v>
      </c>
      <c r="C24" s="257"/>
      <c r="D24" s="257" t="s">
        <v>1028</v>
      </c>
      <c r="E24" s="264">
        <f>+'Attachment H-7'!D160</f>
        <v>-2271.533656401617</v>
      </c>
      <c r="F24" s="243"/>
      <c r="G24" s="255"/>
      <c r="H24" s="258"/>
      <c r="I24" s="243"/>
      <c r="J24" s="255"/>
      <c r="K24" s="240"/>
    </row>
    <row r="25" spans="1:11">
      <c r="A25" s="241">
        <f t="shared" si="0"/>
        <v>15</v>
      </c>
      <c r="B25" s="262" t="s">
        <v>254</v>
      </c>
      <c r="C25" s="257"/>
      <c r="D25" s="257" t="s">
        <v>1029</v>
      </c>
      <c r="E25" s="264">
        <f>+'Attachment H-7'!D161</f>
        <v>-8287220.5408883775</v>
      </c>
      <c r="F25" s="243"/>
      <c r="G25" s="255"/>
      <c r="H25" s="265"/>
      <c r="I25" s="243"/>
      <c r="J25" s="255"/>
      <c r="K25" s="240"/>
    </row>
    <row r="26" spans="1:11">
      <c r="A26" s="241">
        <f t="shared" si="0"/>
        <v>16</v>
      </c>
      <c r="B26" s="262" t="s">
        <v>308</v>
      </c>
      <c r="C26" s="257"/>
      <c r="D26" s="257" t="s">
        <v>1030</v>
      </c>
      <c r="E26" s="264">
        <f>+'Attachment H-7'!D162</f>
        <v>261839.198692178</v>
      </c>
      <c r="F26" s="243"/>
      <c r="G26" s="255"/>
      <c r="H26" s="258"/>
      <c r="I26" s="243"/>
      <c r="J26" s="255"/>
      <c r="K26" s="240"/>
    </row>
    <row r="27" spans="1:11">
      <c r="A27" s="241">
        <f t="shared" si="0"/>
        <v>17</v>
      </c>
      <c r="B27" s="263" t="str">
        <f>"Income Tax Calculation = line "&amp;A20&amp;" * line "&amp;A16&amp;""</f>
        <v>Income Tax Calculation = line 10 * line 7</v>
      </c>
      <c r="C27" s="266"/>
      <c r="D27" s="16"/>
      <c r="E27" s="267">
        <f>+E20*K16</f>
        <v>31201329.558152892</v>
      </c>
      <c r="F27" s="268"/>
      <c r="G27" s="268" t="s">
        <v>22</v>
      </c>
      <c r="H27" s="269"/>
      <c r="I27" s="268"/>
      <c r="J27" s="267">
        <f>+E20*K16</f>
        <v>31201329.558152892</v>
      </c>
      <c r="K27" s="240"/>
    </row>
    <row r="28" spans="1:11">
      <c r="A28" s="241">
        <f t="shared" si="0"/>
        <v>18</v>
      </c>
      <c r="B28" s="247" t="str">
        <f>"ITC adjustment (line "&amp;A23&amp;" * line "&amp;A24&amp;")"</f>
        <v>ITC adjustment (line 13 * line 14)</v>
      </c>
      <c r="C28" s="266"/>
      <c r="D28" s="266"/>
      <c r="E28" s="267">
        <f>+E$23*E24</f>
        <v>-3125.0506018217843</v>
      </c>
      <c r="F28" s="268"/>
      <c r="G28" s="270" t="s">
        <v>15</v>
      </c>
      <c r="H28" s="252">
        <v>1</v>
      </c>
      <c r="I28" s="268"/>
      <c r="J28" s="267">
        <f>+E28*H28</f>
        <v>-3125.0506018217843</v>
      </c>
      <c r="K28" s="240"/>
    </row>
    <row r="29" spans="1:11">
      <c r="A29" s="241">
        <f t="shared" si="0"/>
        <v>19</v>
      </c>
      <c r="B29" s="247" t="str">
        <f>"Excess Deferred Income Tax Adjustment (line "&amp;A23&amp;" * line "&amp;A25&amp;")"</f>
        <v>Excess Deferred Income Tax Adjustment (line 13 * line 15)</v>
      </c>
      <c r="C29" s="266"/>
      <c r="D29" s="266"/>
      <c r="E29" s="267">
        <f>+E$23*E25</f>
        <v>-11401100.514512563</v>
      </c>
      <c r="F29" s="268"/>
      <c r="G29" s="270" t="s">
        <v>15</v>
      </c>
      <c r="H29" s="252">
        <f>H28</f>
        <v>1</v>
      </c>
      <c r="I29" s="268"/>
      <c r="J29" s="267">
        <f>+E29*H29</f>
        <v>-11401100.514512563</v>
      </c>
      <c r="K29" s="240"/>
    </row>
    <row r="30" spans="1:11">
      <c r="A30" s="241">
        <f t="shared" si="0"/>
        <v>20</v>
      </c>
      <c r="B30" s="247" t="str">
        <f>"Permanent Differences Tax Adjustment (line "&amp;A23&amp;" * "&amp;A26&amp;")"</f>
        <v>Permanent Differences Tax Adjustment (line 13 * 16)</v>
      </c>
      <c r="C30" s="266"/>
      <c r="D30" s="266"/>
      <c r="E30" s="271">
        <f>+E$23*E26</f>
        <v>360223.91442341573</v>
      </c>
      <c r="F30" s="268"/>
      <c r="G30" s="270" t="s">
        <v>15</v>
      </c>
      <c r="H30" s="252">
        <f>H29</f>
        <v>1</v>
      </c>
      <c r="I30" s="268"/>
      <c r="J30" s="271">
        <f>+E30*H30</f>
        <v>360223.91442341573</v>
      </c>
      <c r="K30" s="240"/>
    </row>
    <row r="31" spans="1:11">
      <c r="A31" s="241">
        <f t="shared" si="0"/>
        <v>21</v>
      </c>
      <c r="B31" s="263" t="str">
        <f>"Total Income Taxes (sum lines "&amp;A27&amp;" - "&amp;A30&amp;")"</f>
        <v>Total Income Taxes (sum lines 17 - 20)</v>
      </c>
      <c r="C31" s="247"/>
      <c r="D31" s="247"/>
      <c r="E31" s="264">
        <f>SUM(E27:E30)</f>
        <v>20157327.907461923</v>
      </c>
      <c r="F31" s="268"/>
      <c r="G31" s="268" t="s">
        <v>2</v>
      </c>
      <c r="H31" s="269" t="s">
        <v>2</v>
      </c>
      <c r="I31" s="268"/>
      <c r="J31" s="264">
        <f>SUM(J27:J30)</f>
        <v>20157327.907461923</v>
      </c>
      <c r="K31" s="231">
        <f>+J31</f>
        <v>20157327.907461923</v>
      </c>
    </row>
    <row r="32" spans="1:11">
      <c r="A32" s="241"/>
      <c r="B32" s="16"/>
      <c r="C32" s="16"/>
      <c r="D32" s="16"/>
      <c r="E32" s="16"/>
      <c r="F32" s="16"/>
      <c r="G32" s="16"/>
      <c r="H32" s="16"/>
      <c r="I32" s="16"/>
      <c r="J32" s="16"/>
      <c r="K32" s="272"/>
    </row>
    <row r="33" spans="1:11">
      <c r="A33" s="241">
        <f>+A31+1</f>
        <v>22</v>
      </c>
      <c r="B33" s="247" t="s">
        <v>255</v>
      </c>
      <c r="C33" s="16"/>
      <c r="D33" s="16" t="s">
        <v>431</v>
      </c>
      <c r="E33" s="16"/>
      <c r="F33" s="16"/>
      <c r="G33" s="16"/>
      <c r="H33" s="16"/>
      <c r="I33" s="16"/>
      <c r="J33" s="16"/>
      <c r="K33" s="231">
        <f>+K31+K16</f>
        <v>129072580.82601291</v>
      </c>
    </row>
    <row r="34" spans="1:11">
      <c r="A34" s="241"/>
      <c r="B34" s="16"/>
      <c r="C34" s="16"/>
      <c r="D34" s="16"/>
      <c r="E34" s="16"/>
      <c r="F34" s="16"/>
      <c r="G34" s="16"/>
      <c r="H34" s="16"/>
      <c r="I34" s="16"/>
      <c r="J34" s="16"/>
      <c r="K34" s="272"/>
    </row>
    <row r="35" spans="1:11">
      <c r="A35" s="241">
        <f>+A33+1</f>
        <v>23</v>
      </c>
      <c r="B35" s="16" t="s">
        <v>1032</v>
      </c>
      <c r="C35" s="16"/>
      <c r="D35" s="16"/>
      <c r="E35" s="16"/>
      <c r="F35" s="16"/>
      <c r="G35" s="16"/>
      <c r="H35" s="16"/>
      <c r="I35" s="16"/>
      <c r="J35" s="16"/>
      <c r="K35" s="231">
        <f>+'Attachment H-7'!I170</f>
        <v>101599074.84985758</v>
      </c>
    </row>
    <row r="36" spans="1:11">
      <c r="A36" s="241">
        <f t="shared" si="0"/>
        <v>24</v>
      </c>
      <c r="B36" s="16" t="s">
        <v>1033</v>
      </c>
      <c r="C36" s="16"/>
      <c r="D36" s="16"/>
      <c r="E36" s="16"/>
      <c r="F36" s="16"/>
      <c r="G36" s="16"/>
      <c r="H36" s="16"/>
      <c r="I36" s="16"/>
      <c r="J36" s="16"/>
      <c r="K36" s="231">
        <f>+'Attachment H-7'!I167</f>
        <v>17408312.087360356</v>
      </c>
    </row>
    <row r="37" spans="1:11">
      <c r="A37" s="241">
        <f t="shared" si="0"/>
        <v>25</v>
      </c>
      <c r="B37" s="247" t="s">
        <v>256</v>
      </c>
      <c r="C37" s="16"/>
      <c r="D37" s="16" t="s">
        <v>432</v>
      </c>
      <c r="E37" s="16"/>
      <c r="F37" s="16"/>
      <c r="G37" s="16"/>
      <c r="H37" s="16"/>
      <c r="I37" s="16"/>
      <c r="J37" s="16"/>
      <c r="K37" s="273">
        <f>SUM(K35:K36)</f>
        <v>119007386.93721794</v>
      </c>
    </row>
    <row r="38" spans="1:11">
      <c r="A38" s="241">
        <f t="shared" si="0"/>
        <v>26</v>
      </c>
      <c r="B38" s="247" t="s">
        <v>257</v>
      </c>
      <c r="C38" s="16"/>
      <c r="D38" s="16" t="s">
        <v>433</v>
      </c>
      <c r="E38" s="16"/>
      <c r="F38" s="16"/>
      <c r="G38" s="16"/>
      <c r="H38" s="16"/>
      <c r="I38" s="16"/>
      <c r="J38" s="16"/>
      <c r="K38" s="231">
        <f>+K33-K37</f>
        <v>10065193.888794973</v>
      </c>
    </row>
    <row r="39" spans="1:11">
      <c r="A39" s="241">
        <f t="shared" si="0"/>
        <v>27</v>
      </c>
      <c r="B39" s="16" t="s">
        <v>309</v>
      </c>
      <c r="C39" s="16"/>
      <c r="D39" s="16"/>
      <c r="E39" s="16"/>
      <c r="F39" s="16"/>
      <c r="G39" s="16"/>
      <c r="H39" s="16"/>
      <c r="I39" s="16"/>
      <c r="J39" s="16"/>
      <c r="K39" s="274">
        <f>+K7</f>
        <v>1348017878.836998</v>
      </c>
    </row>
    <row r="40" spans="1:11">
      <c r="A40" s="241">
        <f t="shared" si="0"/>
        <v>28</v>
      </c>
      <c r="B40" s="16" t="s">
        <v>258</v>
      </c>
      <c r="C40" s="16"/>
      <c r="D40" s="16"/>
      <c r="E40" s="16" t="s">
        <v>434</v>
      </c>
      <c r="F40" s="16"/>
      <c r="G40" s="16"/>
      <c r="H40" s="16"/>
      <c r="I40" s="16"/>
      <c r="J40" s="16"/>
      <c r="K40" s="275">
        <f>IF(K39=0,0,K38/K39)</f>
        <v>7.466662013028133E-3</v>
      </c>
    </row>
    <row r="41" spans="1:11">
      <c r="A41" s="231"/>
      <c r="B41" s="16"/>
      <c r="C41" s="16"/>
      <c r="D41" s="16"/>
      <c r="E41" s="16"/>
      <c r="F41" s="16"/>
      <c r="G41" s="16"/>
      <c r="H41" s="16"/>
      <c r="I41" s="16"/>
      <c r="J41" s="16"/>
      <c r="K41" s="240"/>
    </row>
    <row r="42" spans="1:11" ht="15.75" thickBot="1">
      <c r="A42" s="276" t="s">
        <v>288</v>
      </c>
      <c r="B42" s="16"/>
      <c r="C42" s="16"/>
      <c r="D42" s="16"/>
      <c r="E42" s="16"/>
      <c r="F42" s="16"/>
      <c r="G42" s="16"/>
      <c r="H42" s="16"/>
      <c r="I42" s="16"/>
      <c r="J42" s="16"/>
      <c r="K42" s="240"/>
    </row>
    <row r="43" spans="1:11">
      <c r="A43" s="241" t="s">
        <v>58</v>
      </c>
      <c r="B43" s="231" t="s">
        <v>287</v>
      </c>
      <c r="C43" s="16"/>
      <c r="D43" s="16"/>
      <c r="E43" s="16"/>
      <c r="F43" s="16"/>
      <c r="G43" s="16"/>
      <c r="H43" s="16"/>
      <c r="I43" s="16"/>
      <c r="J43" s="16"/>
      <c r="K43" s="240"/>
    </row>
    <row r="44" spans="1:11">
      <c r="A44" s="241"/>
      <c r="B44" s="16" t="s">
        <v>379</v>
      </c>
      <c r="C44" s="16"/>
      <c r="D44" s="16"/>
      <c r="E44" s="16"/>
      <c r="F44" s="16"/>
      <c r="G44" s="16"/>
      <c r="H44" s="16"/>
      <c r="I44" s="16"/>
      <c r="J44" s="16"/>
      <c r="K44" s="240"/>
    </row>
    <row r="45" spans="1:11">
      <c r="A45" s="241"/>
      <c r="B45" s="16" t="s">
        <v>290</v>
      </c>
      <c r="C45" s="16"/>
      <c r="D45" s="16"/>
      <c r="E45" s="16"/>
      <c r="F45" s="16"/>
      <c r="G45" s="16"/>
      <c r="H45" s="16"/>
      <c r="I45" s="16"/>
      <c r="J45" s="16"/>
      <c r="K45" s="240"/>
    </row>
    <row r="46" spans="1:11">
      <c r="A46" s="241"/>
      <c r="B46" s="16" t="s">
        <v>378</v>
      </c>
      <c r="C46" s="16"/>
      <c r="D46" s="16"/>
      <c r="E46" s="16"/>
      <c r="F46" s="16"/>
      <c r="G46" s="16"/>
      <c r="H46" s="16"/>
      <c r="I46" s="16"/>
      <c r="J46" s="16"/>
      <c r="K46" s="240"/>
    </row>
    <row r="47" spans="1:11">
      <c r="A47" s="241" t="s">
        <v>59</v>
      </c>
      <c r="B47" s="16" t="s">
        <v>289</v>
      </c>
      <c r="C47" s="16"/>
      <c r="D47" s="16"/>
      <c r="E47" s="16"/>
      <c r="F47" s="16"/>
      <c r="G47" s="16"/>
      <c r="H47" s="16"/>
      <c r="I47" s="16"/>
      <c r="J47" s="16"/>
      <c r="K47" s="240"/>
    </row>
    <row r="48" spans="1:11">
      <c r="A48" s="231"/>
      <c r="B48" s="16" t="s">
        <v>893</v>
      </c>
      <c r="C48" s="16"/>
      <c r="D48" s="16"/>
      <c r="E48" s="16"/>
      <c r="F48" s="16"/>
      <c r="G48" s="16"/>
      <c r="H48" s="16"/>
      <c r="I48" s="16"/>
      <c r="J48" s="16"/>
      <c r="K48" s="240"/>
    </row>
    <row r="68" ht="24" customHeight="1"/>
  </sheetData>
  <sheetProtection algorithmName="SHA-512" hashValue="S4ssxmXV2D/w5Ta2bbQfV1jXV0oBJ5pOdvC4IFbc7ubV26o0h0wEctkdPQ/ZNBxWiDKt5ZNGCIgNvOUsjmKc4w==" saltValue="6iWGjmCF32IIuC2XF5239w==" spinCount="100000" sheet="1" objects="1" scenarios="1"/>
  <phoneticPr fontId="0" type="noConversion"/>
  <pageMargins left="0.7" right="0.7" top="0.75" bottom="0.75" header="0.3" footer="0.3"/>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8"/>
  <sheetViews>
    <sheetView view="pageBreakPreview" topLeftCell="A9" zoomScale="70" zoomScaleNormal="65" zoomScaleSheetLayoutView="70" workbookViewId="0">
      <selection activeCell="H24" sqref="H24"/>
    </sheetView>
  </sheetViews>
  <sheetFormatPr defaultColWidth="8.88671875" defaultRowHeight="13.15"/>
  <cols>
    <col min="1" max="1" width="6" style="13" customWidth="1"/>
    <col min="2" max="2" width="37.5546875" style="13" customWidth="1"/>
    <col min="3" max="3" width="11.109375" style="13" customWidth="1"/>
    <col min="4" max="4" width="18.6640625" style="13" customWidth="1"/>
    <col min="5" max="5" width="22.109375" style="13" customWidth="1"/>
    <col min="6" max="6" width="15.109375" style="13" customWidth="1"/>
    <col min="7" max="7" width="18.33203125" style="13" customWidth="1"/>
    <col min="8" max="8" width="14.44140625" style="13" customWidth="1"/>
    <col min="9" max="9" width="18.5546875" style="13" customWidth="1"/>
    <col min="10" max="10" width="13.88671875" style="13" customWidth="1"/>
    <col min="11" max="11" width="14.44140625" style="13" customWidth="1"/>
    <col min="12" max="12" width="13.5546875" style="13" customWidth="1"/>
    <col min="13" max="13" width="9.5546875" style="13" bestFit="1" customWidth="1"/>
    <col min="14" max="16384" width="8.88671875" style="13"/>
  </cols>
  <sheetData>
    <row r="1" spans="1:13">
      <c r="A1" s="147"/>
      <c r="B1" s="147"/>
      <c r="C1" s="147"/>
      <c r="D1" s="147"/>
      <c r="E1" s="147"/>
      <c r="F1" s="147"/>
      <c r="G1" s="147"/>
      <c r="H1" s="147"/>
      <c r="I1" s="147"/>
      <c r="J1" s="149" t="s">
        <v>419</v>
      </c>
      <c r="K1" s="147"/>
    </row>
    <row r="2" spans="1:13">
      <c r="A2" s="147"/>
      <c r="B2" s="147"/>
      <c r="C2" s="147"/>
      <c r="D2" s="147"/>
      <c r="E2" s="147"/>
      <c r="F2" s="147"/>
      <c r="G2" s="147"/>
      <c r="H2" s="147"/>
      <c r="I2" s="147"/>
      <c r="J2" s="147"/>
      <c r="K2" s="147"/>
    </row>
    <row r="3" spans="1:13">
      <c r="A3" s="147"/>
      <c r="B3" s="147"/>
      <c r="C3" s="147"/>
      <c r="D3" s="147"/>
      <c r="E3" s="147"/>
      <c r="F3" s="147"/>
      <c r="G3" s="147"/>
      <c r="H3" s="147"/>
      <c r="I3" s="147"/>
      <c r="J3" s="147"/>
      <c r="K3" s="147"/>
    </row>
    <row r="4" spans="1:13">
      <c r="A4" s="147"/>
      <c r="B4" s="147"/>
      <c r="C4" s="147"/>
      <c r="D4" s="147"/>
      <c r="E4" s="147"/>
      <c r="F4" s="147"/>
      <c r="G4" s="147"/>
      <c r="H4" s="147"/>
      <c r="I4" s="147"/>
      <c r="J4" s="147"/>
      <c r="K4" s="147"/>
    </row>
    <row r="5" spans="1:13">
      <c r="A5" s="277"/>
      <c r="B5" s="147"/>
      <c r="C5" s="147"/>
      <c r="D5" s="149"/>
      <c r="E5" s="150" t="s">
        <v>190</v>
      </c>
      <c r="F5" s="149"/>
      <c r="G5" s="149"/>
      <c r="H5" s="147"/>
      <c r="I5" s="149"/>
      <c r="J5" s="149"/>
      <c r="K5" s="149"/>
      <c r="L5" s="1"/>
    </row>
    <row r="6" spans="1:13">
      <c r="A6" s="277"/>
      <c r="B6" s="147"/>
      <c r="C6" s="147"/>
      <c r="D6" s="149"/>
      <c r="E6" s="278" t="s">
        <v>292</v>
      </c>
      <c r="F6" s="154"/>
      <c r="G6" s="154"/>
      <c r="H6" s="147"/>
      <c r="I6" s="154"/>
      <c r="J6" s="154"/>
      <c r="K6" s="154"/>
      <c r="L6" s="1"/>
    </row>
    <row r="7" spans="1:13">
      <c r="A7" s="277"/>
      <c r="B7" s="147"/>
      <c r="C7" s="151"/>
      <c r="D7" s="151"/>
      <c r="E7" s="24" t="str">
        <f>+'2-Incentive ROE'!F5</f>
        <v>PECO Energy Company</v>
      </c>
      <c r="F7" s="151"/>
      <c r="G7" s="151"/>
      <c r="H7" s="147"/>
      <c r="I7" s="151"/>
      <c r="J7" s="151"/>
      <c r="K7" s="151"/>
      <c r="L7" s="2"/>
    </row>
    <row r="8" spans="1:13">
      <c r="A8" s="277"/>
      <c r="B8" s="147"/>
      <c r="C8" s="147"/>
      <c r="D8" s="147"/>
      <c r="E8" s="164"/>
      <c r="F8" s="164"/>
      <c r="G8" s="164"/>
      <c r="H8" s="147"/>
      <c r="I8" s="151"/>
      <c r="J8" s="151"/>
      <c r="K8" s="151"/>
      <c r="L8" s="2"/>
    </row>
    <row r="9" spans="1:13">
      <c r="A9" s="279"/>
      <c r="B9" s="88"/>
      <c r="C9" s="88"/>
      <c r="D9" s="88"/>
      <c r="E9" s="88"/>
      <c r="F9" s="88"/>
      <c r="G9" s="88"/>
      <c r="H9" s="88"/>
      <c r="I9" s="88"/>
      <c r="J9" s="88"/>
      <c r="K9" s="280"/>
      <c r="L9" s="6"/>
    </row>
    <row r="10" spans="1:13">
      <c r="A10" s="279"/>
      <c r="B10" s="88"/>
      <c r="C10" s="88"/>
      <c r="D10" s="1224" t="s">
        <v>417</v>
      </c>
      <c r="E10" s="1225"/>
      <c r="F10" s="281"/>
      <c r="G10" s="282" t="s">
        <v>342</v>
      </c>
      <c r="H10" s="281"/>
      <c r="I10" s="283"/>
      <c r="J10" s="283"/>
      <c r="K10" s="284"/>
    </row>
    <row r="11" spans="1:13" ht="15">
      <c r="A11" s="279">
        <v>1</v>
      </c>
      <c r="B11" s="88" t="s">
        <v>416</v>
      </c>
      <c r="C11" s="88"/>
      <c r="D11" s="1226" t="s">
        <v>418</v>
      </c>
      <c r="E11" s="1227"/>
      <c r="F11" s="285" t="s">
        <v>380</v>
      </c>
      <c r="G11" s="286" t="s">
        <v>1168</v>
      </c>
      <c r="H11" s="287" t="s">
        <v>344</v>
      </c>
      <c r="I11" s="288"/>
      <c r="J11" s="288"/>
      <c r="K11" s="289"/>
    </row>
    <row r="12" spans="1:13">
      <c r="A12" s="279">
        <v>2</v>
      </c>
      <c r="B12" s="88"/>
      <c r="C12" s="88"/>
      <c r="D12" s="290"/>
      <c r="E12" s="290"/>
      <c r="F12" s="291"/>
      <c r="G12" s="292"/>
      <c r="H12" s="290"/>
      <c r="I12" s="290"/>
      <c r="J12" s="290"/>
      <c r="K12" s="281"/>
    </row>
    <row r="13" spans="1:13">
      <c r="A13" s="147"/>
      <c r="B13" s="293" t="s">
        <v>58</v>
      </c>
      <c r="C13" s="293" t="s">
        <v>59</v>
      </c>
      <c r="D13" s="286" t="s">
        <v>60</v>
      </c>
      <c r="E13" s="286" t="s">
        <v>61</v>
      </c>
      <c r="F13" s="282" t="s">
        <v>62</v>
      </c>
      <c r="G13" s="293" t="s">
        <v>63</v>
      </c>
      <c r="H13" s="294" t="s">
        <v>64</v>
      </c>
      <c r="I13" s="294" t="s">
        <v>65</v>
      </c>
      <c r="J13" s="294" t="s">
        <v>66</v>
      </c>
      <c r="K13" s="295" t="s">
        <v>67</v>
      </c>
      <c r="M13" s="14"/>
    </row>
    <row r="14" spans="1:13">
      <c r="A14" s="279"/>
      <c r="B14" s="290"/>
      <c r="C14" s="282"/>
      <c r="D14" s="282"/>
      <c r="E14" s="296" t="s">
        <v>381</v>
      </c>
      <c r="F14" s="282"/>
      <c r="G14" s="282"/>
      <c r="H14" s="290"/>
      <c r="I14" s="282"/>
      <c r="J14" s="290"/>
      <c r="K14" s="290"/>
    </row>
    <row r="15" spans="1:13">
      <c r="A15" s="279"/>
      <c r="B15" s="290"/>
      <c r="C15" s="282"/>
      <c r="D15" s="294" t="s">
        <v>412</v>
      </c>
      <c r="E15" s="295" t="s">
        <v>13</v>
      </c>
      <c r="F15" s="294" t="s">
        <v>347</v>
      </c>
      <c r="G15" s="294" t="s">
        <v>411</v>
      </c>
      <c r="H15" s="294" t="s">
        <v>345</v>
      </c>
      <c r="I15" s="294"/>
      <c r="J15" s="294" t="s">
        <v>297</v>
      </c>
      <c r="K15" s="294"/>
    </row>
    <row r="16" spans="1:13" ht="25.5" customHeight="1">
      <c r="A16" s="279"/>
      <c r="B16" s="1222" t="s">
        <v>426</v>
      </c>
      <c r="C16" s="1228" t="s">
        <v>699</v>
      </c>
      <c r="D16" s="294" t="s">
        <v>346</v>
      </c>
      <c r="E16" s="295" t="s">
        <v>382</v>
      </c>
      <c r="F16" s="294" t="s">
        <v>350</v>
      </c>
      <c r="G16" s="294" t="s">
        <v>346</v>
      </c>
      <c r="H16" s="294" t="s">
        <v>303</v>
      </c>
      <c r="I16" s="282" t="s">
        <v>365</v>
      </c>
      <c r="J16" s="294" t="s">
        <v>348</v>
      </c>
      <c r="K16" s="294" t="s">
        <v>383</v>
      </c>
    </row>
    <row r="17" spans="1:13" ht="15">
      <c r="A17" s="279"/>
      <c r="B17" s="1223"/>
      <c r="C17" s="1229"/>
      <c r="D17" s="286" t="s">
        <v>349</v>
      </c>
      <c r="E17" s="295" t="s">
        <v>343</v>
      </c>
      <c r="F17" s="297"/>
      <c r="G17" s="286" t="s">
        <v>384</v>
      </c>
      <c r="H17" s="286" t="s">
        <v>413</v>
      </c>
      <c r="I17" s="286" t="s">
        <v>385</v>
      </c>
      <c r="J17" s="286" t="s">
        <v>386</v>
      </c>
      <c r="K17" s="286" t="s">
        <v>414</v>
      </c>
    </row>
    <row r="18" spans="1:13">
      <c r="A18" s="279">
        <v>3</v>
      </c>
      <c r="B18" s="292" t="s">
        <v>447</v>
      </c>
      <c r="C18" s="292" t="s">
        <v>447</v>
      </c>
      <c r="D18" s="887">
        <v>222767466.17520225</v>
      </c>
      <c r="E18" s="888">
        <f>IF(D$48=0,0,D18/D$48)</f>
        <v>0.8786664040311688</v>
      </c>
      <c r="F18" s="887">
        <v>200877896.11994511</v>
      </c>
      <c r="G18" s="319">
        <v>210468813.18590999</v>
      </c>
      <c r="H18" s="887">
        <f>+G18-F18</f>
        <v>9590917.0659648776</v>
      </c>
      <c r="I18" s="887">
        <v>-5610940.6857772358</v>
      </c>
      <c r="J18" s="298">
        <f>+'6-True-Up Interest'!G41</f>
        <v>468045.22231006669</v>
      </c>
      <c r="K18" s="887">
        <f>+H18+J18+I18</f>
        <v>4448021.6024977081</v>
      </c>
      <c r="M18" s="967"/>
    </row>
    <row r="19" spans="1:13">
      <c r="A19" s="214" t="s">
        <v>387</v>
      </c>
      <c r="B19" s="886" t="s">
        <v>1558</v>
      </c>
      <c r="C19" s="886" t="s">
        <v>720</v>
      </c>
      <c r="D19" s="887">
        <v>4442489.4358787145</v>
      </c>
      <c r="E19" s="889">
        <f t="shared" ref="E19:E44" si="0">IF(D$48=0,0,D19/D$48)</f>
        <v>1.7522604555281002E-2</v>
      </c>
      <c r="F19" s="887">
        <v>4299700.1236192351</v>
      </c>
      <c r="G19" s="319">
        <v>4442489.4358787145</v>
      </c>
      <c r="H19" s="887">
        <f t="shared" ref="H19:H44" si="1">+G19-F19</f>
        <v>142789.31225947943</v>
      </c>
      <c r="I19" s="887">
        <v>-111894.90615430892</v>
      </c>
      <c r="J19" s="298">
        <f>+'6-True-Up Interest'!G42</f>
        <v>3633.1821579680513</v>
      </c>
      <c r="K19" s="887">
        <f t="shared" ref="K19:K44" si="2">+H19+J19+I19</f>
        <v>34527.588263138561</v>
      </c>
      <c r="M19" s="967"/>
    </row>
    <row r="20" spans="1:13">
      <c r="A20" s="214" t="s">
        <v>388</v>
      </c>
      <c r="B20" s="886" t="s">
        <v>1559</v>
      </c>
      <c r="C20" s="886" t="s">
        <v>1560</v>
      </c>
      <c r="D20" s="887">
        <v>2221244.7179393573</v>
      </c>
      <c r="E20" s="889">
        <f t="shared" si="0"/>
        <v>8.7613022776405012E-3</v>
      </c>
      <c r="F20" s="887">
        <v>2303165.7578689368</v>
      </c>
      <c r="G20" s="319">
        <v>2221244.7179393573</v>
      </c>
      <c r="H20" s="887">
        <f t="shared" si="1"/>
        <v>-81921.039929579478</v>
      </c>
      <c r="I20" s="887">
        <v>-55947.45307715446</v>
      </c>
      <c r="J20" s="298">
        <f>+'6-True-Up Interest'!G43</f>
        <v>-16213.334777591914</v>
      </c>
      <c r="K20" s="887">
        <f t="shared" si="2"/>
        <v>-154081.82778432584</v>
      </c>
      <c r="M20" s="967"/>
    </row>
    <row r="21" spans="1:13">
      <c r="A21" s="214" t="s">
        <v>389</v>
      </c>
      <c r="B21" s="886" t="s">
        <v>798</v>
      </c>
      <c r="C21" s="886" t="s">
        <v>722</v>
      </c>
      <c r="D21" s="887">
        <v>636690.22056955844</v>
      </c>
      <c r="E21" s="889">
        <f t="shared" si="0"/>
        <v>2.5113106334372828E-3</v>
      </c>
      <c r="F21" s="887">
        <v>623898.92795185011</v>
      </c>
      <c r="G21" s="319">
        <v>636690.22056955844</v>
      </c>
      <c r="H21" s="887">
        <f t="shared" si="1"/>
        <v>12791.292617708328</v>
      </c>
      <c r="I21" s="887">
        <v>-16036.59243500382</v>
      </c>
      <c r="J21" s="298">
        <f>+'6-True-Up Interest'!G44</f>
        <v>-381.64725851394985</v>
      </c>
      <c r="K21" s="887">
        <f t="shared" si="2"/>
        <v>-3626.9470758094412</v>
      </c>
      <c r="M21" s="967"/>
    </row>
    <row r="22" spans="1:13">
      <c r="A22" s="214" t="s">
        <v>816</v>
      </c>
      <c r="B22" s="886" t="s">
        <v>798</v>
      </c>
      <c r="C22" s="886" t="s">
        <v>1511</v>
      </c>
      <c r="D22" s="887">
        <v>212230.07352318615</v>
      </c>
      <c r="E22" s="889">
        <f t="shared" si="0"/>
        <v>8.3710354447909426E-4</v>
      </c>
      <c r="F22" s="887">
        <v>217124.71042048064</v>
      </c>
      <c r="G22" s="319">
        <v>212230.07352318615</v>
      </c>
      <c r="H22" s="887">
        <f t="shared" si="1"/>
        <v>-4894.6368972944911</v>
      </c>
      <c r="I22" s="887">
        <v>-5345.5308116679407</v>
      </c>
      <c r="J22" s="298">
        <f>+'6-True-Up Interest'!G45</f>
        <v>-1204.2437225739818</v>
      </c>
      <c r="K22" s="887">
        <f t="shared" si="2"/>
        <v>-11444.411431536413</v>
      </c>
      <c r="M22" s="967"/>
    </row>
    <row r="23" spans="1:13">
      <c r="A23" s="214" t="s">
        <v>817</v>
      </c>
      <c r="B23" s="886" t="s">
        <v>799</v>
      </c>
      <c r="C23" s="886" t="s">
        <v>723</v>
      </c>
      <c r="D23" s="887">
        <v>420913.33148846158</v>
      </c>
      <c r="E23" s="889">
        <f t="shared" si="0"/>
        <v>1.660217309725434E-3</v>
      </c>
      <c r="F23" s="887">
        <v>418062.82159978937</v>
      </c>
      <c r="G23" s="319">
        <v>420913.33148846158</v>
      </c>
      <c r="H23" s="887">
        <f t="shared" si="1"/>
        <v>2850.5098886722117</v>
      </c>
      <c r="I23" s="887">
        <v>-10601.726443201555</v>
      </c>
      <c r="J23" s="298">
        <f>+'6-True-Up Interest'!G46</f>
        <v>-911.54306681265075</v>
      </c>
      <c r="K23" s="887">
        <f t="shared" si="2"/>
        <v>-8662.7596213419929</v>
      </c>
      <c r="M23" s="967"/>
    </row>
    <row r="24" spans="1:13">
      <c r="A24" s="214" t="s">
        <v>818</v>
      </c>
      <c r="B24" s="886" t="s">
        <v>800</v>
      </c>
      <c r="C24" s="886" t="s">
        <v>724</v>
      </c>
      <c r="D24" s="887">
        <v>567975.31214554782</v>
      </c>
      <c r="E24" s="889">
        <f t="shared" si="0"/>
        <v>2.2402769743267072E-3</v>
      </c>
      <c r="F24" s="887">
        <v>563668.89658220601</v>
      </c>
      <c r="G24" s="319">
        <v>567975.31214554782</v>
      </c>
      <c r="H24" s="887">
        <f t="shared" si="1"/>
        <v>4306.4155633418122</v>
      </c>
      <c r="I24" s="887">
        <v>-14305.840265418579</v>
      </c>
      <c r="J24" s="298">
        <f>+'6-True-Up Interest'!G47</f>
        <v>-1175.9323449642277</v>
      </c>
      <c r="K24" s="887">
        <f t="shared" si="2"/>
        <v>-11175.357047040994</v>
      </c>
      <c r="M24" s="967"/>
    </row>
    <row r="25" spans="1:13">
      <c r="A25" s="214" t="s">
        <v>819</v>
      </c>
      <c r="B25" s="886" t="s">
        <v>801</v>
      </c>
      <c r="C25" s="886" t="s">
        <v>1561</v>
      </c>
      <c r="D25" s="887">
        <v>1862467.1956586137</v>
      </c>
      <c r="E25" s="889">
        <f t="shared" si="0"/>
        <v>7.3461685475575871E-3</v>
      </c>
      <c r="F25" s="887">
        <v>1862254.7620470969</v>
      </c>
      <c r="G25" s="319">
        <v>1862467.1956586137</v>
      </c>
      <c r="H25" s="887">
        <f t="shared" si="1"/>
        <v>212.43361151684076</v>
      </c>
      <c r="I25" s="887">
        <v>-46910.768181146683</v>
      </c>
      <c r="J25" s="298">
        <f>+'6-True-Up Interest'!G48</f>
        <v>-5491.7241453884699</v>
      </c>
      <c r="K25" s="887">
        <f t="shared" si="2"/>
        <v>-52190.058715018313</v>
      </c>
      <c r="M25" s="967"/>
    </row>
    <row r="26" spans="1:13">
      <c r="A26" s="214" t="s">
        <v>820</v>
      </c>
      <c r="B26" s="886" t="s">
        <v>876</v>
      </c>
      <c r="C26" s="886" t="s">
        <v>877</v>
      </c>
      <c r="D26" s="887">
        <v>4182544.7549369885</v>
      </c>
      <c r="E26" s="889">
        <f t="shared" si="0"/>
        <v>1.6497299280809459E-2</v>
      </c>
      <c r="F26" s="887">
        <v>4262182.9960575821</v>
      </c>
      <c r="G26" s="319">
        <v>4182544.7549369885</v>
      </c>
      <c r="H26" s="887">
        <f t="shared" si="1"/>
        <v>-79638.241120593622</v>
      </c>
      <c r="I26" s="887">
        <v>-105347.56685297572</v>
      </c>
      <c r="J26" s="298">
        <f>+'6-True-Up Interest'!G49</f>
        <v>-21754.331017691755</v>
      </c>
      <c r="K26" s="887">
        <f t="shared" si="2"/>
        <v>-206740.1389912611</v>
      </c>
      <c r="M26" s="967"/>
    </row>
    <row r="27" spans="1:13">
      <c r="A27" s="214" t="s">
        <v>821</v>
      </c>
      <c r="B27" s="886" t="s">
        <v>802</v>
      </c>
      <c r="C27" s="886" t="s">
        <v>725</v>
      </c>
      <c r="D27" s="887">
        <v>2456155.3574223095</v>
      </c>
      <c r="E27" s="889">
        <f t="shared" si="0"/>
        <v>9.687865255650999E-3</v>
      </c>
      <c r="F27" s="887">
        <v>2425826.7290077959</v>
      </c>
      <c r="G27" s="319">
        <v>2456155.3574223095</v>
      </c>
      <c r="H27" s="887">
        <f t="shared" si="1"/>
        <v>30328.628414513543</v>
      </c>
      <c r="I27" s="887">
        <v>-61864.249130130207</v>
      </c>
      <c r="J27" s="298">
        <f>+'6-True-Up Interest'!G50</f>
        <v>-3708.5889961565194</v>
      </c>
      <c r="K27" s="887">
        <f t="shared" si="2"/>
        <v>-35244.209711773183</v>
      </c>
      <c r="M27" s="967"/>
    </row>
    <row r="28" spans="1:13" ht="12.75" customHeight="1">
      <c r="A28" s="214" t="s">
        <v>822</v>
      </c>
      <c r="B28" s="886" t="s">
        <v>803</v>
      </c>
      <c r="C28" s="886" t="s">
        <v>726</v>
      </c>
      <c r="D28" s="887">
        <v>2325540.1499501318</v>
      </c>
      <c r="E28" s="889">
        <f t="shared" si="0"/>
        <v>9.1726769445755318E-3</v>
      </c>
      <c r="F28" s="887">
        <v>2310735.2374051213</v>
      </c>
      <c r="G28" s="319">
        <v>2325540.1499501318</v>
      </c>
      <c r="H28" s="887">
        <f t="shared" si="1"/>
        <v>14804.912545010448</v>
      </c>
      <c r="I28" s="887">
        <v>-58574.387309775855</v>
      </c>
      <c r="J28" s="298">
        <f>+'6-True-Up Interest'!G51</f>
        <v>-5147.2902323364115</v>
      </c>
      <c r="K28" s="887">
        <f t="shared" si="2"/>
        <v>-48916.764997101818</v>
      </c>
      <c r="M28" s="967"/>
    </row>
    <row r="29" spans="1:13">
      <c r="A29" s="214" t="s">
        <v>823</v>
      </c>
      <c r="B29" s="886" t="s">
        <v>804</v>
      </c>
      <c r="C29" s="886" t="s">
        <v>727</v>
      </c>
      <c r="D29" s="887">
        <v>2363552.158636881</v>
      </c>
      <c r="E29" s="889">
        <f t="shared" si="0"/>
        <v>9.3226085102401483E-3</v>
      </c>
      <c r="F29" s="887">
        <v>2343760.0263972655</v>
      </c>
      <c r="G29" s="319">
        <v>2363552.158636881</v>
      </c>
      <c r="H29" s="887">
        <f t="shared" si="1"/>
        <v>19792.132239615545</v>
      </c>
      <c r="I29" s="887">
        <v>-59531.812241479558</v>
      </c>
      <c r="J29" s="298">
        <f>+'6-True-Up Interest'!G52</f>
        <v>-4673.3863682192077</v>
      </c>
      <c r="K29" s="887">
        <f t="shared" si="2"/>
        <v>-44413.066370083223</v>
      </c>
      <c r="M29" s="967"/>
    </row>
    <row r="30" spans="1:13">
      <c r="A30" s="214" t="s">
        <v>824</v>
      </c>
      <c r="B30" s="886" t="s">
        <v>805</v>
      </c>
      <c r="C30" s="886" t="s">
        <v>728</v>
      </c>
      <c r="D30" s="887">
        <v>1545199.8478110423</v>
      </c>
      <c r="E30" s="889">
        <f t="shared" si="0"/>
        <v>6.0947642718969632E-3</v>
      </c>
      <c r="F30" s="887">
        <v>1535962.8841863745</v>
      </c>
      <c r="G30" s="319">
        <v>1545199.8478110423</v>
      </c>
      <c r="H30" s="887">
        <f t="shared" si="1"/>
        <v>9236.9636246678419</v>
      </c>
      <c r="I30" s="887">
        <v>-38919.618033097191</v>
      </c>
      <c r="J30" s="298">
        <f>+'6-True-Up Interest'!G53</f>
        <v>-3490.6801584312911</v>
      </c>
      <c r="K30" s="887">
        <f t="shared" si="2"/>
        <v>-33173.334566860642</v>
      </c>
      <c r="M30" s="967"/>
    </row>
    <row r="31" spans="1:13">
      <c r="A31" s="214" t="s">
        <v>825</v>
      </c>
      <c r="B31" s="886" t="s">
        <v>806</v>
      </c>
      <c r="C31" s="886" t="s">
        <v>729</v>
      </c>
      <c r="D31" s="887">
        <v>1102745.7482864412</v>
      </c>
      <c r="E31" s="889">
        <f t="shared" si="0"/>
        <v>4.3495832575724995E-3</v>
      </c>
      <c r="F31" s="887">
        <v>1095678.4756904838</v>
      </c>
      <c r="G31" s="319">
        <v>1102745.7482864412</v>
      </c>
      <c r="H31" s="887">
        <f t="shared" si="1"/>
        <v>7067.2725959573872</v>
      </c>
      <c r="I31" s="887">
        <v>-27775.334932713893</v>
      </c>
      <c r="J31" s="298">
        <f>+'6-True-Up Interest'!G54</f>
        <v>-2435.2681308025649</v>
      </c>
      <c r="K31" s="887">
        <f t="shared" si="2"/>
        <v>-23143.33046755907</v>
      </c>
      <c r="M31" s="967"/>
    </row>
    <row r="32" spans="1:13">
      <c r="A32" s="214" t="s">
        <v>1515</v>
      </c>
      <c r="B32" s="886" t="s">
        <v>1562</v>
      </c>
      <c r="C32" s="886" t="s">
        <v>730</v>
      </c>
      <c r="D32" s="887">
        <v>234017.81472296923</v>
      </c>
      <c r="E32" s="889">
        <f t="shared" si="0"/>
        <v>9.2304139052398597E-4</v>
      </c>
      <c r="F32" s="887">
        <v>232947.8598245015</v>
      </c>
      <c r="G32" s="319">
        <v>234017.81472296923</v>
      </c>
      <c r="H32" s="887">
        <f t="shared" si="1"/>
        <v>1069.954898467724</v>
      </c>
      <c r="I32" s="887">
        <v>-5894.3080889248477</v>
      </c>
      <c r="J32" s="298">
        <f>+'6-True-Up Interest'!G55</f>
        <v>-567.34393519775779</v>
      </c>
      <c r="K32" s="887">
        <f t="shared" si="2"/>
        <v>-5391.6971256548813</v>
      </c>
      <c r="M32" s="967"/>
    </row>
    <row r="33" spans="1:13">
      <c r="A33" s="214" t="s">
        <v>826</v>
      </c>
      <c r="B33" s="886" t="s">
        <v>808</v>
      </c>
      <c r="C33" s="886" t="s">
        <v>731</v>
      </c>
      <c r="D33" s="887">
        <v>284651.35351090843</v>
      </c>
      <c r="E33" s="889">
        <f t="shared" si="0"/>
        <v>1.1227563229332846E-3</v>
      </c>
      <c r="F33" s="887">
        <v>281808.39162946324</v>
      </c>
      <c r="G33" s="319">
        <v>284651.35351090843</v>
      </c>
      <c r="H33" s="887">
        <f t="shared" si="1"/>
        <v>2842.9618814451969</v>
      </c>
      <c r="I33" s="887">
        <v>-7169.6369676341274</v>
      </c>
      <c r="J33" s="298">
        <f>+'6-True-Up Interest'!G56</f>
        <v>-508.81699013581823</v>
      </c>
      <c r="K33" s="887">
        <f t="shared" si="2"/>
        <v>-4835.4920763247483</v>
      </c>
      <c r="M33" s="967"/>
    </row>
    <row r="34" spans="1:13">
      <c r="A34" s="214" t="s">
        <v>827</v>
      </c>
      <c r="B34" s="886" t="s">
        <v>967</v>
      </c>
      <c r="C34" s="886" t="s">
        <v>732</v>
      </c>
      <c r="D34" s="887">
        <v>319221.31542633648</v>
      </c>
      <c r="E34" s="889">
        <f t="shared" si="0"/>
        <v>1.2591113510945059E-3</v>
      </c>
      <c r="F34" s="887">
        <v>315854.24222234247</v>
      </c>
      <c r="G34" s="319">
        <v>319221.31542633648</v>
      </c>
      <c r="H34" s="887">
        <f t="shared" si="1"/>
        <v>3367.0732039940194</v>
      </c>
      <c r="I34" s="887">
        <v>-8040.3655760229803</v>
      </c>
      <c r="J34" s="298">
        <f>+'6-True-Up Interest'!G57</f>
        <v>-549.57918295060574</v>
      </c>
      <c r="K34" s="887">
        <f t="shared" si="2"/>
        <v>-5222.871554979567</v>
      </c>
      <c r="M34" s="967"/>
    </row>
    <row r="35" spans="1:13">
      <c r="A35" s="214" t="s">
        <v>828</v>
      </c>
      <c r="B35" s="886" t="s">
        <v>807</v>
      </c>
      <c r="C35" s="886" t="s">
        <v>733</v>
      </c>
      <c r="D35" s="887">
        <v>320490.57972854836</v>
      </c>
      <c r="E35" s="889">
        <f t="shared" si="0"/>
        <v>1.2641177369880031E-3</v>
      </c>
      <c r="F35" s="887">
        <v>318946.83741823112</v>
      </c>
      <c r="G35" s="319">
        <v>320490.57972854836</v>
      </c>
      <c r="H35" s="887">
        <f t="shared" si="1"/>
        <v>1543.7423103172332</v>
      </c>
      <c r="I35" s="887">
        <v>-8072.3350859184875</v>
      </c>
      <c r="J35" s="298">
        <f>+'6-True-Up Interest'!G58</f>
        <v>-767.76251041070748</v>
      </c>
      <c r="K35" s="887">
        <f t="shared" si="2"/>
        <v>-7296.3552860119617</v>
      </c>
      <c r="M35" s="967"/>
    </row>
    <row r="36" spans="1:13">
      <c r="A36" s="214" t="s">
        <v>829</v>
      </c>
      <c r="B36" s="886" t="s">
        <v>809</v>
      </c>
      <c r="C36" s="886" t="s">
        <v>734</v>
      </c>
      <c r="D36" s="887">
        <v>441781.39430117712</v>
      </c>
      <c r="E36" s="889">
        <f t="shared" si="0"/>
        <v>1.7425276489574848E-3</v>
      </c>
      <c r="F36" s="887">
        <v>437591.47764426097</v>
      </c>
      <c r="G36" s="319">
        <v>441781.39430117712</v>
      </c>
      <c r="H36" s="887">
        <f t="shared" si="1"/>
        <v>4189.9166569161462</v>
      </c>
      <c r="I36" s="887">
        <v>-11127.339382467704</v>
      </c>
      <c r="J36" s="298">
        <f>+'6-True-Up Interest'!G59</f>
        <v>-815.84091252486314</v>
      </c>
      <c r="K36" s="887">
        <f t="shared" si="2"/>
        <v>-7753.2636380764216</v>
      </c>
      <c r="M36" s="967"/>
    </row>
    <row r="37" spans="1:13">
      <c r="A37" s="214" t="s">
        <v>830</v>
      </c>
      <c r="B37" s="886" t="s">
        <v>810</v>
      </c>
      <c r="C37" s="886" t="s">
        <v>735</v>
      </c>
      <c r="D37" s="887">
        <v>594283.2617077966</v>
      </c>
      <c r="E37" s="889">
        <f t="shared" si="0"/>
        <v>2.3440439733242819E-3</v>
      </c>
      <c r="F37" s="887">
        <v>589061.19066951144</v>
      </c>
      <c r="G37" s="319">
        <v>594283.2617077966</v>
      </c>
      <c r="H37" s="887">
        <f t="shared" si="1"/>
        <v>5222.0710382851539</v>
      </c>
      <c r="I37" s="887">
        <v>-14968.469989105894</v>
      </c>
      <c r="J37" s="298">
        <f>+'6-True-Up Interest'!G60</f>
        <v>-1146.1765166165189</v>
      </c>
      <c r="K37" s="887">
        <f t="shared" si="2"/>
        <v>-10892.575467437258</v>
      </c>
      <c r="M37" s="967"/>
    </row>
    <row r="38" spans="1:13">
      <c r="A38" s="214" t="s">
        <v>1510</v>
      </c>
      <c r="B38" s="886" t="s">
        <v>811</v>
      </c>
      <c r="C38" s="886" t="s">
        <v>737</v>
      </c>
      <c r="D38" s="887">
        <v>336378.2202984512</v>
      </c>
      <c r="E38" s="889">
        <f t="shared" si="0"/>
        <v>1.3267836919758694E-3</v>
      </c>
      <c r="F38" s="887">
        <v>333559.24122992199</v>
      </c>
      <c r="G38" s="319">
        <v>336378.2202984512</v>
      </c>
      <c r="H38" s="887">
        <f t="shared" si="1"/>
        <v>2818.9790685292101</v>
      </c>
      <c r="I38" s="887">
        <v>-8472.5039723597529</v>
      </c>
      <c r="J38" s="298">
        <f>+'6-True-Up Interest'!G61</f>
        <v>-664.85452869047185</v>
      </c>
      <c r="K38" s="887">
        <f t="shared" si="2"/>
        <v>-6318.3794325210147</v>
      </c>
      <c r="M38" s="967"/>
    </row>
    <row r="39" spans="1:13">
      <c r="A39" s="214" t="s">
        <v>831</v>
      </c>
      <c r="B39" s="886" t="s">
        <v>968</v>
      </c>
      <c r="C39" s="886" t="s">
        <v>1563</v>
      </c>
      <c r="D39" s="887">
        <v>272387.76918829494</v>
      </c>
      <c r="E39" s="889">
        <f t="shared" si="0"/>
        <v>1.0743848092544918E-3</v>
      </c>
      <c r="F39" s="887">
        <v>269250.17285667831</v>
      </c>
      <c r="G39" s="319">
        <v>272387.76918829494</v>
      </c>
      <c r="H39" s="887">
        <f t="shared" si="1"/>
        <v>3137.5963316166308</v>
      </c>
      <c r="I39" s="887">
        <v>-6860.7487560355175</v>
      </c>
      <c r="J39" s="298">
        <f>+'6-True-Up Interest'!G62</f>
        <v>-437.84272511166108</v>
      </c>
      <c r="K39" s="887">
        <f t="shared" si="2"/>
        <v>-4160.9951495305477</v>
      </c>
      <c r="M39" s="967"/>
    </row>
    <row r="40" spans="1:13">
      <c r="A40" s="214" t="s">
        <v>832</v>
      </c>
      <c r="B40" s="886" t="s">
        <v>812</v>
      </c>
      <c r="C40" s="886" t="s">
        <v>738</v>
      </c>
      <c r="D40" s="887">
        <v>264379.28728502011</v>
      </c>
      <c r="E40" s="889">
        <f t="shared" si="0"/>
        <v>1.0427967855788762E-3</v>
      </c>
      <c r="F40" s="887">
        <v>262959.61535614933</v>
      </c>
      <c r="G40" s="319">
        <v>264379.28728502011</v>
      </c>
      <c r="H40" s="887">
        <f t="shared" si="1"/>
        <v>1419.6719288707827</v>
      </c>
      <c r="I40" s="887">
        <v>-6659.0356526191745</v>
      </c>
      <c r="J40" s="298">
        <f>+'6-True-Up Interest'!G63</f>
        <v>-616.14917391281085</v>
      </c>
      <c r="K40" s="887">
        <f t="shared" si="2"/>
        <v>-5855.5128976612023</v>
      </c>
      <c r="M40" s="967"/>
    </row>
    <row r="41" spans="1:13">
      <c r="A41" s="214" t="s">
        <v>833</v>
      </c>
      <c r="B41" s="886" t="s">
        <v>1148</v>
      </c>
      <c r="C41" s="886" t="s">
        <v>721</v>
      </c>
      <c r="D41" s="887">
        <v>708266.42470626906</v>
      </c>
      <c r="E41" s="889">
        <f t="shared" si="0"/>
        <v>2.7936301614312916E-3</v>
      </c>
      <c r="F41" s="887">
        <v>713188.74786444765</v>
      </c>
      <c r="G41" s="319">
        <v>708266.42470626906</v>
      </c>
      <c r="H41" s="887">
        <f t="shared" si="1"/>
        <v>-4922.3231581785949</v>
      </c>
      <c r="I41" s="887">
        <v>-17839.413299376847</v>
      </c>
      <c r="J41" s="298">
        <f>+'6-True-Up Interest'!G64</f>
        <v>-2676.7802074085198</v>
      </c>
      <c r="K41" s="887">
        <f t="shared" si="2"/>
        <v>-25438.516664963961</v>
      </c>
      <c r="M41" s="967"/>
    </row>
    <row r="42" spans="1:13">
      <c r="A42" s="214" t="s">
        <v>834</v>
      </c>
      <c r="B42" s="886" t="s">
        <v>1149</v>
      </c>
      <c r="C42" s="886" t="s">
        <v>736</v>
      </c>
      <c r="D42" s="887">
        <v>532946.13719865878</v>
      </c>
      <c r="E42" s="889">
        <f t="shared" si="0"/>
        <v>2.102110662543304E-3</v>
      </c>
      <c r="F42" s="887">
        <v>534819.64895807987</v>
      </c>
      <c r="G42" s="319">
        <v>532946.13719865878</v>
      </c>
      <c r="H42" s="887">
        <f t="shared" si="1"/>
        <v>-1873.5117594210897</v>
      </c>
      <c r="I42" s="887">
        <v>-13423.545259449762</v>
      </c>
      <c r="J42" s="298">
        <f>+'6-True-Up Interest'!G65</f>
        <v>-1798.9339054192119</v>
      </c>
      <c r="K42" s="887">
        <f t="shared" si="2"/>
        <v>-17095.990924290065</v>
      </c>
      <c r="M42" s="967"/>
    </row>
    <row r="43" spans="1:13">
      <c r="A43" s="214" t="s">
        <v>835</v>
      </c>
      <c r="B43" s="886" t="s">
        <v>1508</v>
      </c>
      <c r="C43" s="886" t="s">
        <v>1509</v>
      </c>
      <c r="D43" s="887">
        <v>1962597.3338914202</v>
      </c>
      <c r="E43" s="889">
        <f t="shared" si="0"/>
        <v>7.7411139586032402E-3</v>
      </c>
      <c r="F43" s="890">
        <v>2120752.2320870608</v>
      </c>
      <c r="G43" s="319">
        <v>1962597.3338914202</v>
      </c>
      <c r="H43" s="887">
        <f t="shared" si="1"/>
        <v>-158154.89819564065</v>
      </c>
      <c r="I43" s="887">
        <v>-49432.789354746106</v>
      </c>
      <c r="J43" s="298">
        <f>+'6-True-Up Interest'!G66</f>
        <v>-24412.312055925482</v>
      </c>
      <c r="K43" s="887">
        <f t="shared" si="2"/>
        <v>-231999.99960631225</v>
      </c>
      <c r="M43" s="967"/>
    </row>
    <row r="44" spans="1:13" ht="13.5" customHeight="1">
      <c r="A44" s="214" t="s">
        <v>1522</v>
      </c>
      <c r="B44" s="886" t="s">
        <v>1520</v>
      </c>
      <c r="C44" s="886" t="s">
        <v>1521</v>
      </c>
      <c r="D44" s="887">
        <v>150443.15771902679</v>
      </c>
      <c r="E44" s="889">
        <f t="shared" si="0"/>
        <v>5.9339611242921312E-4</v>
      </c>
      <c r="F44" s="890">
        <v>165470.99340514003</v>
      </c>
      <c r="G44" s="319">
        <v>150443.15771902679</v>
      </c>
      <c r="H44" s="887">
        <f t="shared" si="1"/>
        <v>-15027.835686113249</v>
      </c>
      <c r="I44" s="887">
        <v>-3789.2769937895655</v>
      </c>
      <c r="J44" s="298">
        <f>+'6-True-Up Interest'!G67</f>
        <v>-2212.8924511565706</v>
      </c>
      <c r="K44" s="887">
        <f t="shared" si="2"/>
        <v>-21030.005131059384</v>
      </c>
      <c r="M44" s="967"/>
    </row>
    <row r="45" spans="1:13" ht="13.5" customHeight="1">
      <c r="A45" s="279"/>
      <c r="B45" s="886"/>
      <c r="C45" s="886"/>
      <c r="D45" s="891"/>
      <c r="E45" s="889"/>
      <c r="F45" s="889"/>
      <c r="G45" s="320"/>
      <c r="H45" s="892"/>
      <c r="I45" s="889"/>
      <c r="J45" s="299"/>
      <c r="K45" s="893"/>
      <c r="M45" s="967"/>
    </row>
    <row r="46" spans="1:13">
      <c r="A46" s="279"/>
      <c r="B46" s="886"/>
      <c r="C46" s="886"/>
      <c r="D46" s="891"/>
      <c r="E46" s="889"/>
      <c r="F46" s="889"/>
      <c r="G46" s="320"/>
      <c r="H46" s="892"/>
      <c r="I46" s="889"/>
      <c r="J46" s="299"/>
      <c r="K46" s="893"/>
      <c r="M46" s="967"/>
    </row>
    <row r="47" spans="1:13">
      <c r="A47" s="279"/>
      <c r="B47" s="300"/>
      <c r="C47" s="300"/>
      <c r="D47" s="301"/>
      <c r="E47" s="302"/>
      <c r="F47" s="300"/>
      <c r="G47" s="303"/>
      <c r="H47" s="304"/>
      <c r="I47" s="300"/>
      <c r="J47" s="300"/>
      <c r="K47" s="300"/>
      <c r="M47" s="967"/>
    </row>
    <row r="48" spans="1:13">
      <c r="A48" s="279">
        <v>4</v>
      </c>
      <c r="B48" s="88" t="s">
        <v>359</v>
      </c>
      <c r="C48" s="88"/>
      <c r="D48" s="32">
        <f>SUM(D18:D47)</f>
        <v>253529058.52913439</v>
      </c>
      <c r="E48" s="305">
        <f>SUM(E18:E47)</f>
        <v>0.99999999999999967</v>
      </c>
      <c r="F48" s="32">
        <f>SUM(F18:F47)</f>
        <v>231716129.11994514</v>
      </c>
      <c r="G48" s="32">
        <f>SUM(G18:G47)</f>
        <v>241230405.53984213</v>
      </c>
      <c r="H48" s="32">
        <f>SUM(H18:H47)</f>
        <v>9514276.4198969826</v>
      </c>
      <c r="I48" s="32"/>
      <c r="J48" s="32">
        <f>SUM(J18:J47)</f>
        <v>367915.14915309078</v>
      </c>
      <c r="K48" s="32">
        <f>SUM(K18:K47)</f>
        <v>3496445.3290263126</v>
      </c>
      <c r="M48" s="56"/>
    </row>
    <row r="49" spans="1:12">
      <c r="A49" s="279"/>
      <c r="B49" s="88"/>
      <c r="C49" s="88"/>
      <c r="D49" s="305"/>
      <c r="E49" s="305"/>
      <c r="F49" s="305"/>
      <c r="G49" s="305"/>
      <c r="H49" s="305"/>
      <c r="I49" s="305"/>
      <c r="J49" s="305"/>
      <c r="K49" s="305"/>
    </row>
    <row r="50" spans="1:12">
      <c r="A50" s="279"/>
      <c r="B50" s="88"/>
      <c r="C50" s="88"/>
      <c r="D50" s="305"/>
      <c r="E50" s="305"/>
      <c r="F50" s="305"/>
      <c r="G50" s="305" t="s">
        <v>351</v>
      </c>
      <c r="H50" s="305"/>
      <c r="I50" s="305"/>
      <c r="J50" s="1100">
        <f>'6-True-Up Interest'!E26</f>
        <v>6.9176470588235292E-3</v>
      </c>
      <c r="K50" s="305"/>
    </row>
    <row r="51" spans="1:12">
      <c r="A51" s="279"/>
      <c r="B51" s="88"/>
      <c r="C51" s="88"/>
      <c r="D51" s="305"/>
      <c r="E51" s="305"/>
      <c r="F51" s="305"/>
      <c r="G51" s="305" t="s">
        <v>352</v>
      </c>
      <c r="H51" s="305"/>
      <c r="I51" s="305"/>
      <c r="J51" s="32">
        <f>+J48</f>
        <v>367915.14915309078</v>
      </c>
      <c r="K51" s="305"/>
    </row>
    <row r="52" spans="1:12">
      <c r="A52" s="279"/>
      <c r="B52" s="306" t="s">
        <v>182</v>
      </c>
      <c r="C52" s="88"/>
      <c r="D52" s="88"/>
      <c r="E52" s="88"/>
      <c r="F52" s="88"/>
      <c r="G52" s="88"/>
      <c r="H52" s="88"/>
      <c r="I52" s="88"/>
      <c r="J52" s="88"/>
      <c r="K52" s="88"/>
      <c r="L52" s="6"/>
    </row>
    <row r="53" spans="1:12">
      <c r="A53" s="279"/>
      <c r="B53" s="88" t="s">
        <v>1063</v>
      </c>
      <c r="C53" s="88"/>
      <c r="D53" s="88"/>
      <c r="E53" s="88"/>
      <c r="F53" s="88"/>
      <c r="G53" s="88"/>
      <c r="H53" s="88"/>
      <c r="I53" s="88"/>
      <c r="J53" s="88"/>
      <c r="K53" s="88"/>
      <c r="L53" s="6"/>
    </row>
    <row r="54" spans="1:12">
      <c r="A54" s="279"/>
      <c r="B54" s="88" t="s">
        <v>1179</v>
      </c>
      <c r="C54" s="88"/>
      <c r="D54" s="88"/>
      <c r="E54" s="88"/>
      <c r="F54" s="88"/>
      <c r="G54" s="88"/>
      <c r="H54" s="88"/>
      <c r="I54" s="88"/>
      <c r="J54" s="88"/>
      <c r="K54" s="88"/>
      <c r="L54" s="6"/>
    </row>
    <row r="55" spans="1:12">
      <c r="A55" s="279"/>
      <c r="B55" s="88" t="s">
        <v>1103</v>
      </c>
      <c r="C55" s="88"/>
      <c r="D55" s="88"/>
      <c r="E55" s="88"/>
      <c r="F55" s="88"/>
      <c r="G55" s="88"/>
      <c r="H55" s="88"/>
      <c r="I55" s="88"/>
      <c r="J55" s="88"/>
      <c r="K55" s="88"/>
      <c r="L55" s="6"/>
    </row>
    <row r="56" spans="1:12">
      <c r="A56" s="279"/>
      <c r="B56" s="147" t="s">
        <v>1104</v>
      </c>
      <c r="C56" s="88"/>
      <c r="D56" s="88"/>
      <c r="E56" s="88"/>
      <c r="F56" s="88"/>
      <c r="G56" s="88"/>
      <c r="H56" s="88"/>
      <c r="I56" s="88"/>
      <c r="J56" s="88"/>
      <c r="K56" s="88"/>
      <c r="L56" s="6"/>
    </row>
    <row r="57" spans="1:12">
      <c r="A57" s="279"/>
      <c r="B57" s="147"/>
      <c r="C57" s="88"/>
      <c r="D57" s="88"/>
      <c r="E57" s="88"/>
      <c r="F57" s="88"/>
      <c r="G57" s="88"/>
      <c r="H57" s="88"/>
      <c r="I57" s="88"/>
      <c r="J57" s="88"/>
      <c r="K57" s="88"/>
      <c r="L57" s="6"/>
    </row>
    <row r="58" spans="1:12">
      <c r="A58" s="279"/>
      <c r="B58" s="88" t="s">
        <v>409</v>
      </c>
      <c r="C58" s="88"/>
      <c r="D58" s="88"/>
      <c r="E58" s="88"/>
      <c r="F58" s="88"/>
      <c r="G58" s="88"/>
      <c r="H58" s="88"/>
      <c r="I58" s="88"/>
      <c r="J58" s="88"/>
      <c r="K58" s="88"/>
      <c r="L58" s="6"/>
    </row>
    <row r="59" spans="1:12">
      <c r="A59" s="279"/>
      <c r="B59" s="12" t="s">
        <v>415</v>
      </c>
      <c r="C59" s="88"/>
      <c r="D59" s="88"/>
      <c r="E59" s="88"/>
      <c r="F59" s="88"/>
      <c r="G59" s="88"/>
      <c r="H59" s="88"/>
      <c r="I59" s="88"/>
      <c r="J59" s="88"/>
      <c r="K59" s="88"/>
      <c r="L59" s="6"/>
    </row>
    <row r="60" spans="1:12">
      <c r="A60" s="279"/>
      <c r="B60" s="147"/>
      <c r="C60" s="147"/>
      <c r="D60" s="147"/>
      <c r="E60" s="147"/>
      <c r="F60" s="147"/>
      <c r="G60" s="147"/>
      <c r="H60" s="147"/>
      <c r="I60" s="147"/>
      <c r="J60" s="88"/>
      <c r="K60" s="88"/>
      <c r="L60" s="6"/>
    </row>
    <row r="61" spans="1:12">
      <c r="A61" s="279"/>
      <c r="B61" s="147"/>
      <c r="C61" s="88"/>
      <c r="D61" s="88"/>
      <c r="E61" s="88"/>
      <c r="F61" s="88"/>
      <c r="G61" s="88"/>
      <c r="H61" s="88"/>
      <c r="I61" s="88"/>
      <c r="J61" s="88"/>
      <c r="K61" s="88"/>
      <c r="L61" s="6"/>
    </row>
    <row r="62" spans="1:12">
      <c r="A62" s="279"/>
      <c r="B62" s="147"/>
      <c r="C62" s="88"/>
      <c r="D62" s="88"/>
      <c r="E62" s="88"/>
      <c r="F62" s="88"/>
      <c r="G62" s="88"/>
      <c r="H62" s="88"/>
      <c r="I62" s="88"/>
      <c r="J62" s="88"/>
      <c r="K62" s="88"/>
      <c r="L62" s="6"/>
    </row>
    <row r="63" spans="1:12">
      <c r="A63" s="279"/>
      <c r="B63" s="307"/>
      <c r="C63" s="307"/>
      <c r="D63" s="41"/>
      <c r="E63" s="41"/>
      <c r="F63" s="41"/>
      <c r="G63" s="41"/>
      <c r="H63" s="41"/>
      <c r="I63" s="307"/>
      <c r="J63" s="307"/>
      <c r="K63" s="147"/>
    </row>
    <row r="64" spans="1:12">
      <c r="A64" s="308" t="s">
        <v>896</v>
      </c>
      <c r="B64" s="147"/>
      <c r="C64" s="307"/>
      <c r="D64" s="41"/>
      <c r="E64" s="41"/>
      <c r="F64" s="41"/>
      <c r="G64" s="41"/>
      <c r="H64" s="41"/>
      <c r="I64" s="307"/>
      <c r="J64" s="307"/>
      <c r="K64" s="147"/>
    </row>
    <row r="65" spans="1:11">
      <c r="A65" s="279"/>
      <c r="B65" s="176" t="s">
        <v>198</v>
      </c>
      <c r="C65" s="309" t="s">
        <v>199</v>
      </c>
      <c r="D65" s="310" t="s">
        <v>200</v>
      </c>
      <c r="E65" s="310" t="s">
        <v>201</v>
      </c>
      <c r="F65" s="176"/>
      <c r="G65" s="147"/>
      <c r="H65" s="147"/>
      <c r="I65" s="147"/>
      <c r="J65" s="307"/>
      <c r="K65" s="147"/>
    </row>
    <row r="66" spans="1:11">
      <c r="A66" s="279"/>
      <c r="B66" s="311" t="str">
        <f>+A64</f>
        <v>Prior Period Adjustments</v>
      </c>
      <c r="C66" s="312" t="s">
        <v>11</v>
      </c>
      <c r="D66" s="312" t="s">
        <v>297</v>
      </c>
      <c r="E66" s="312" t="s">
        <v>13</v>
      </c>
      <c r="F66" s="147"/>
      <c r="G66" s="147"/>
      <c r="H66" s="147"/>
      <c r="I66" s="147"/>
      <c r="J66" s="307"/>
      <c r="K66" s="147"/>
    </row>
    <row r="67" spans="1:11">
      <c r="A67" s="279"/>
      <c r="B67" s="313" t="s">
        <v>390</v>
      </c>
      <c r="C67" s="314" t="s">
        <v>353</v>
      </c>
      <c r="D67" s="313" t="s">
        <v>390</v>
      </c>
      <c r="E67" s="314" t="s">
        <v>354</v>
      </c>
      <c r="F67" s="147"/>
      <c r="G67" s="147"/>
      <c r="H67" s="147"/>
      <c r="I67" s="147"/>
      <c r="J67" s="307"/>
      <c r="K67" s="147"/>
    </row>
    <row r="68" spans="1:11">
      <c r="A68" s="279" t="s">
        <v>132</v>
      </c>
      <c r="B68" s="894">
        <v>0</v>
      </c>
      <c r="C68" s="884">
        <v>-6385746.240023762</v>
      </c>
      <c r="D68" s="895">
        <v>0</v>
      </c>
      <c r="E68" s="884">
        <f>+C68+D68</f>
        <v>-6385746.240023762</v>
      </c>
      <c r="F68" s="147"/>
      <c r="G68" s="147"/>
      <c r="H68" s="147"/>
      <c r="I68" s="147"/>
      <c r="J68" s="307"/>
      <c r="K68" s="147"/>
    </row>
    <row r="69" spans="1:11">
      <c r="A69" s="279"/>
      <c r="B69" s="315"/>
      <c r="C69" s="224"/>
      <c r="D69" s="224"/>
      <c r="E69" s="225"/>
      <c r="F69" s="147"/>
      <c r="G69" s="147"/>
      <c r="H69" s="147"/>
      <c r="I69" s="147"/>
      <c r="J69" s="307"/>
      <c r="K69" s="147"/>
    </row>
    <row r="70" spans="1:11">
      <c r="A70" s="279"/>
      <c r="B70" s="147"/>
      <c r="C70" s="307"/>
      <c r="D70" s="307"/>
      <c r="E70" s="307"/>
      <c r="F70" s="307"/>
      <c r="G70" s="307"/>
      <c r="H70" s="39"/>
      <c r="I70" s="147"/>
      <c r="J70" s="307"/>
      <c r="K70" s="147"/>
    </row>
    <row r="71" spans="1:11" ht="66" customHeight="1" thickBot="1">
      <c r="A71" s="316" t="s">
        <v>182</v>
      </c>
      <c r="B71" s="147"/>
      <c r="C71" s="21"/>
      <c r="D71" s="317"/>
      <c r="E71" s="317"/>
      <c r="F71" s="317"/>
      <c r="G71" s="317"/>
      <c r="H71" s="317"/>
      <c r="I71" s="317"/>
      <c r="J71" s="307"/>
      <c r="K71" s="147"/>
    </row>
    <row r="72" spans="1:11" ht="50.1" customHeight="1">
      <c r="A72" s="229" t="s">
        <v>58</v>
      </c>
      <c r="B72" s="1230" t="s">
        <v>425</v>
      </c>
      <c r="C72" s="1230"/>
      <c r="D72" s="1230"/>
      <c r="E72" s="1230"/>
      <c r="F72" s="1230"/>
      <c r="G72" s="1230"/>
      <c r="H72" s="1230"/>
      <c r="I72" s="1230"/>
      <c r="J72" s="1230"/>
      <c r="K72" s="1230"/>
    </row>
    <row r="73" spans="1:11" ht="27" customHeight="1">
      <c r="A73" s="318" t="s">
        <v>59</v>
      </c>
      <c r="B73" s="1221" t="s">
        <v>1293</v>
      </c>
      <c r="C73" s="1221"/>
      <c r="D73" s="1221"/>
      <c r="E73" s="1221"/>
      <c r="F73" s="1221"/>
      <c r="G73" s="1221"/>
      <c r="H73" s="1221"/>
      <c r="I73" s="1221"/>
      <c r="J73" s="1221"/>
      <c r="K73" s="1221"/>
    </row>
    <row r="74" spans="1:11">
      <c r="A74" s="318" t="s">
        <v>60</v>
      </c>
      <c r="B74" s="1221" t="s">
        <v>1438</v>
      </c>
      <c r="C74" s="1221"/>
      <c r="D74" s="1221"/>
      <c r="E74" s="1221"/>
      <c r="F74" s="1221"/>
      <c r="G74" s="1221"/>
      <c r="H74" s="1221"/>
      <c r="I74" s="1221"/>
      <c r="J74" s="1221"/>
      <c r="K74" s="1221"/>
    </row>
    <row r="78" spans="1:11" ht="24" customHeight="1"/>
  </sheetData>
  <sheetProtection algorithmName="SHA-512" hashValue="AnXVA9QFdtr7RmpbUHdZDm7PYDPqCNoLEE75rQFwhjxqIRIifaphXWQHUE4vjinhUUDNfMflJmTH1DWn5pV5Rg==" saltValue="jbA9f1TudtSmwUoWGSw5Tg=="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24"/>
  <sheetViews>
    <sheetView view="pageBreakPreview" zoomScale="80" zoomScaleNormal="85" zoomScaleSheetLayoutView="80" workbookViewId="0">
      <selection activeCell="G35" sqref="G35"/>
    </sheetView>
  </sheetViews>
  <sheetFormatPr defaultColWidth="8.88671875" defaultRowHeight="13.15"/>
  <cols>
    <col min="1" max="1" width="4.88671875" style="321" customWidth="1"/>
    <col min="2" max="2" width="34.33203125" style="21" customWidth="1"/>
    <col min="3" max="3" width="35.5546875" style="21" customWidth="1"/>
    <col min="4" max="4" width="19.109375" style="21" customWidth="1"/>
    <col min="5" max="5" width="20.33203125" style="21" customWidth="1"/>
    <col min="6" max="6" width="19.6640625" style="21" customWidth="1"/>
    <col min="7" max="7" width="21.109375" style="21" customWidth="1"/>
    <col min="8" max="8" width="22.88671875" style="21" customWidth="1"/>
    <col min="9" max="9" width="21.44140625" style="21" customWidth="1"/>
    <col min="10" max="12" width="18.44140625" style="21" customWidth="1"/>
    <col min="13" max="14" width="11.88671875" style="21" customWidth="1"/>
    <col min="15" max="16384" width="8.88671875" style="21"/>
  </cols>
  <sheetData>
    <row r="1" spans="1:12">
      <c r="C1" s="322"/>
      <c r="D1" s="322"/>
      <c r="E1" s="322"/>
      <c r="G1" s="150" t="s">
        <v>191</v>
      </c>
      <c r="H1" s="322"/>
      <c r="I1" s="322"/>
      <c r="L1" s="323" t="s">
        <v>422</v>
      </c>
    </row>
    <row r="2" spans="1:12">
      <c r="A2" s="324"/>
      <c r="C2" s="322"/>
      <c r="D2" s="322"/>
      <c r="E2" s="322"/>
      <c r="F2" s="322"/>
      <c r="G2" s="325" t="s">
        <v>260</v>
      </c>
      <c r="H2" s="322"/>
      <c r="I2" s="322"/>
      <c r="J2" s="322"/>
      <c r="L2" s="326"/>
    </row>
    <row r="3" spans="1:12">
      <c r="A3" s="324"/>
      <c r="C3" s="322"/>
      <c r="D3" s="322"/>
      <c r="E3" s="322"/>
      <c r="F3" s="322"/>
      <c r="G3" s="24" t="str">
        <f>+'Attachment H-7'!D5</f>
        <v>PECO Energy Company</v>
      </c>
      <c r="H3" s="322"/>
      <c r="I3" s="322"/>
      <c r="J3" s="322"/>
    </row>
    <row r="4" spans="1:12">
      <c r="A4" s="324"/>
      <c r="C4" s="322"/>
      <c r="D4" s="322"/>
      <c r="E4" s="322"/>
      <c r="F4" s="322"/>
      <c r="G4" s="322"/>
      <c r="H4" s="322"/>
      <c r="I4" s="322"/>
      <c r="J4" s="322"/>
    </row>
    <row r="5" spans="1:12">
      <c r="A5" s="324"/>
      <c r="B5" s="327"/>
      <c r="C5" s="327"/>
      <c r="D5" s="327"/>
      <c r="E5" s="327"/>
      <c r="F5" s="327"/>
      <c r="G5" s="327"/>
      <c r="H5" s="327"/>
      <c r="I5" s="327"/>
      <c r="J5" s="327"/>
    </row>
    <row r="6" spans="1:12">
      <c r="A6" s="324"/>
      <c r="B6" s="327"/>
      <c r="C6" s="1235" t="s">
        <v>209</v>
      </c>
      <c r="D6" s="1236"/>
      <c r="E6" s="1237"/>
      <c r="F6" s="328" t="s">
        <v>211</v>
      </c>
      <c r="G6" s="328" t="s">
        <v>212</v>
      </c>
      <c r="H6" s="328" t="s">
        <v>210</v>
      </c>
      <c r="I6" s="328"/>
      <c r="J6" s="1232" t="s">
        <v>208</v>
      </c>
      <c r="K6" s="1233"/>
      <c r="L6" s="1234"/>
    </row>
    <row r="7" spans="1:12" s="332" customFormat="1" ht="26.25">
      <c r="A7" s="329" t="s">
        <v>197</v>
      </c>
      <c r="B7" s="330" t="s">
        <v>167</v>
      </c>
      <c r="C7" s="330" t="s">
        <v>17</v>
      </c>
      <c r="D7" s="330" t="s">
        <v>660</v>
      </c>
      <c r="E7" s="331" t="s">
        <v>702</v>
      </c>
      <c r="F7" s="330" t="s">
        <v>391</v>
      </c>
      <c r="G7" s="330" t="s">
        <v>168</v>
      </c>
      <c r="H7" s="330" t="s">
        <v>169</v>
      </c>
      <c r="I7" s="330" t="s">
        <v>170</v>
      </c>
      <c r="J7" s="330" t="s">
        <v>17</v>
      </c>
      <c r="K7" s="330" t="s">
        <v>660</v>
      </c>
      <c r="L7" s="331" t="s">
        <v>702</v>
      </c>
    </row>
    <row r="8" spans="1:12" s="126" customFormat="1">
      <c r="A8" s="324"/>
      <c r="B8" s="328" t="s">
        <v>198</v>
      </c>
      <c r="C8" s="328" t="s">
        <v>199</v>
      </c>
      <c r="D8" s="328" t="s">
        <v>200</v>
      </c>
      <c r="E8" s="330" t="s">
        <v>1066</v>
      </c>
      <c r="F8" s="330" t="s">
        <v>203</v>
      </c>
      <c r="G8" s="330" t="s">
        <v>202</v>
      </c>
      <c r="H8" s="330" t="s">
        <v>204</v>
      </c>
      <c r="I8" s="333" t="s">
        <v>1065</v>
      </c>
      <c r="J8" s="333" t="s">
        <v>1067</v>
      </c>
      <c r="K8" s="333" t="s">
        <v>1068</v>
      </c>
      <c r="L8" s="333" t="s">
        <v>1069</v>
      </c>
    </row>
    <row r="9" spans="1:12" s="126" customFormat="1">
      <c r="A9" s="324"/>
      <c r="B9" s="334" t="s">
        <v>393</v>
      </c>
      <c r="C9" s="325">
        <v>2</v>
      </c>
      <c r="D9" s="325">
        <v>4</v>
      </c>
      <c r="E9" s="335">
        <v>5</v>
      </c>
      <c r="F9" s="336">
        <v>27</v>
      </c>
      <c r="G9" s="336">
        <v>31</v>
      </c>
      <c r="H9" s="336">
        <v>34</v>
      </c>
      <c r="I9" s="336">
        <v>35</v>
      </c>
      <c r="J9" s="337">
        <v>9</v>
      </c>
      <c r="K9" s="337">
        <v>11</v>
      </c>
      <c r="L9" s="335">
        <v>12</v>
      </c>
    </row>
    <row r="10" spans="1:12" s="126" customFormat="1" ht="77.25" customHeight="1">
      <c r="A10" s="324"/>
      <c r="B10" s="328"/>
      <c r="C10" s="338" t="s">
        <v>667</v>
      </c>
      <c r="D10" s="339" t="s">
        <v>666</v>
      </c>
      <c r="E10" s="340" t="s">
        <v>1039</v>
      </c>
      <c r="F10" s="340" t="s">
        <v>103</v>
      </c>
      <c r="G10" s="1102" t="s">
        <v>1917</v>
      </c>
      <c r="H10" s="339" t="s">
        <v>1444</v>
      </c>
      <c r="I10" s="339" t="s">
        <v>302</v>
      </c>
      <c r="J10" s="339" t="s">
        <v>449</v>
      </c>
      <c r="K10" s="339" t="s">
        <v>659</v>
      </c>
      <c r="L10" s="340" t="s">
        <v>1039</v>
      </c>
    </row>
    <row r="11" spans="1:12">
      <c r="A11" s="324">
        <v>1</v>
      </c>
      <c r="B11" s="341" t="s">
        <v>195</v>
      </c>
      <c r="C11" s="908">
        <v>2060766358.7799995</v>
      </c>
      <c r="D11" s="908">
        <v>344752330.72607142</v>
      </c>
      <c r="E11" s="908">
        <v>846837576.18337691</v>
      </c>
      <c r="F11" s="908">
        <v>0</v>
      </c>
      <c r="G11" s="908">
        <v>14094401.075999999</v>
      </c>
      <c r="H11" s="908">
        <v>15612656.845361345</v>
      </c>
      <c r="I11" s="908">
        <v>1896971.593221918</v>
      </c>
      <c r="J11" s="908">
        <v>606406877.46800709</v>
      </c>
      <c r="K11" s="908">
        <v>141674853.66922912</v>
      </c>
      <c r="L11" s="908">
        <v>308501065.41578197</v>
      </c>
    </row>
    <row r="12" spans="1:12">
      <c r="A12" s="324">
        <v>2</v>
      </c>
      <c r="B12" s="341" t="s">
        <v>84</v>
      </c>
      <c r="C12" s="908">
        <v>2091245919.8562994</v>
      </c>
      <c r="D12" s="908">
        <v>345564215.72607142</v>
      </c>
      <c r="E12" s="908">
        <v>852811507.98659778</v>
      </c>
      <c r="F12" s="908">
        <v>0</v>
      </c>
      <c r="G12" s="873">
        <v>14795892.816000002</v>
      </c>
      <c r="H12" s="908">
        <v>19735505.371572755</v>
      </c>
      <c r="I12" s="873">
        <v>2013794.8472214579</v>
      </c>
      <c r="J12" s="908">
        <v>609153830.92861199</v>
      </c>
      <c r="K12" s="908">
        <v>143537859.25325793</v>
      </c>
      <c r="L12" s="908">
        <v>312283524.07860631</v>
      </c>
    </row>
    <row r="13" spans="1:12">
      <c r="A13" s="324">
        <v>3</v>
      </c>
      <c r="B13" s="322" t="s">
        <v>83</v>
      </c>
      <c r="C13" s="908">
        <v>2093450073.6816053</v>
      </c>
      <c r="D13" s="908">
        <v>346448345.72607142</v>
      </c>
      <c r="E13" s="908">
        <v>859741068.05577767</v>
      </c>
      <c r="F13" s="908">
        <v>0</v>
      </c>
      <c r="G13" s="873">
        <v>14795892.816</v>
      </c>
      <c r="H13" s="908">
        <v>19693452.122927412</v>
      </c>
      <c r="I13" s="873">
        <v>4102163.0024722172</v>
      </c>
      <c r="J13" s="908">
        <v>611919451.56338072</v>
      </c>
      <c r="K13" s="908">
        <v>145377237.28396308</v>
      </c>
      <c r="L13" s="908">
        <v>316093172.49914271</v>
      </c>
    </row>
    <row r="14" spans="1:12">
      <c r="A14" s="324">
        <v>4</v>
      </c>
      <c r="B14" s="322" t="s">
        <v>171</v>
      </c>
      <c r="C14" s="908">
        <v>2094913616.6667283</v>
      </c>
      <c r="D14" s="908">
        <v>347375633.72607142</v>
      </c>
      <c r="E14" s="908">
        <v>864834998.77075565</v>
      </c>
      <c r="F14" s="908">
        <v>0</v>
      </c>
      <c r="G14" s="873">
        <v>14834211.816</v>
      </c>
      <c r="H14" s="908">
        <v>19788960.688797932</v>
      </c>
      <c r="I14" s="873">
        <v>3652253.9954352351</v>
      </c>
      <c r="J14" s="908">
        <v>614683137.61676979</v>
      </c>
      <c r="K14" s="908">
        <v>147194092.26920319</v>
      </c>
      <c r="L14" s="908">
        <v>319868446.13119835</v>
      </c>
    </row>
    <row r="15" spans="1:12">
      <c r="A15" s="324">
        <v>5</v>
      </c>
      <c r="B15" s="322" t="s">
        <v>74</v>
      </c>
      <c r="C15" s="908">
        <v>2096356240.7527804</v>
      </c>
      <c r="D15" s="908">
        <v>348261236.72607142</v>
      </c>
      <c r="E15" s="908">
        <v>871189177.23195565</v>
      </c>
      <c r="F15" s="908">
        <v>0</v>
      </c>
      <c r="G15" s="873">
        <v>14834211.816000002</v>
      </c>
      <c r="H15" s="908">
        <v>19816418.618011288</v>
      </c>
      <c r="I15" s="873">
        <v>2653152.6351854485</v>
      </c>
      <c r="J15" s="908">
        <v>617444129.98146474</v>
      </c>
      <c r="K15" s="908">
        <v>148988840.65192148</v>
      </c>
      <c r="L15" s="908">
        <v>323623781.98346466</v>
      </c>
    </row>
    <row r="16" spans="1:12">
      <c r="A16" s="324">
        <v>6</v>
      </c>
      <c r="B16" s="322" t="s">
        <v>73</v>
      </c>
      <c r="C16" s="908">
        <v>2097884556.7655914</v>
      </c>
      <c r="D16" s="908">
        <v>349126545.72607142</v>
      </c>
      <c r="E16" s="908">
        <v>875824672.86315572</v>
      </c>
      <c r="F16" s="908">
        <v>0</v>
      </c>
      <c r="G16" s="873">
        <v>14852261.816</v>
      </c>
      <c r="H16" s="908">
        <v>19796106.541322894</v>
      </c>
      <c r="I16" s="873">
        <v>2765334.1620663796</v>
      </c>
      <c r="J16" s="908">
        <v>620202499.29728019</v>
      </c>
      <c r="K16" s="908">
        <v>150761709.70025504</v>
      </c>
      <c r="L16" s="908">
        <v>327411421.80884361</v>
      </c>
    </row>
    <row r="17" spans="1:12">
      <c r="A17" s="324">
        <v>7</v>
      </c>
      <c r="B17" s="322" t="s">
        <v>93</v>
      </c>
      <c r="C17" s="908">
        <v>2099203324.3231661</v>
      </c>
      <c r="D17" s="908">
        <v>349998755.72607142</v>
      </c>
      <c r="E17" s="908">
        <v>880303066.90392971</v>
      </c>
      <c r="F17" s="908">
        <v>0</v>
      </c>
      <c r="G17" s="873">
        <v>14852261.816</v>
      </c>
      <c r="H17" s="908">
        <v>19788798.360218082</v>
      </c>
      <c r="I17" s="873">
        <v>2015387.9664220689</v>
      </c>
      <c r="J17" s="908">
        <v>622958126.96403003</v>
      </c>
      <c r="K17" s="908">
        <v>152513121.04409164</v>
      </c>
      <c r="L17" s="908">
        <v>331210890.64345908</v>
      </c>
    </row>
    <row r="18" spans="1:12">
      <c r="A18" s="324">
        <v>8</v>
      </c>
      <c r="B18" s="322" t="s">
        <v>81</v>
      </c>
      <c r="C18" s="908">
        <v>2100494366.2263813</v>
      </c>
      <c r="D18" s="908">
        <v>350823203.72607142</v>
      </c>
      <c r="E18" s="908">
        <v>884951858.33372974</v>
      </c>
      <c r="F18" s="908">
        <v>0</v>
      </c>
      <c r="G18" s="873">
        <v>14852261.615999999</v>
      </c>
      <c r="H18" s="908">
        <v>19744324.233534645</v>
      </c>
      <c r="I18" s="873">
        <v>2289573.4644798022</v>
      </c>
      <c r="J18" s="908">
        <v>625710780.62130475</v>
      </c>
      <c r="K18" s="908">
        <v>154243351.48305616</v>
      </c>
      <c r="L18" s="908">
        <v>335067660.55820656</v>
      </c>
    </row>
    <row r="19" spans="1:12">
      <c r="A19" s="324">
        <v>9</v>
      </c>
      <c r="B19" s="322" t="s">
        <v>172</v>
      </c>
      <c r="C19" s="908">
        <v>2101480631.7872772</v>
      </c>
      <c r="D19" s="908">
        <v>351702533.72607142</v>
      </c>
      <c r="E19" s="908">
        <v>890345109.52032971</v>
      </c>
      <c r="F19" s="908">
        <v>0</v>
      </c>
      <c r="G19" s="873">
        <v>14852261.615999999</v>
      </c>
      <c r="H19" s="908">
        <v>19596144.267798539</v>
      </c>
      <c r="I19" s="873">
        <v>2214278.4919913439</v>
      </c>
      <c r="J19" s="908">
        <v>628460133.23578286</v>
      </c>
      <c r="K19" s="908">
        <v>155953003.21830881</v>
      </c>
      <c r="L19" s="908">
        <v>338950509.40963608</v>
      </c>
    </row>
    <row r="20" spans="1:12">
      <c r="A20" s="324">
        <v>10</v>
      </c>
      <c r="B20" s="322" t="s">
        <v>79</v>
      </c>
      <c r="C20" s="908">
        <v>2104341189.9082303</v>
      </c>
      <c r="D20" s="908">
        <v>352542428.72607142</v>
      </c>
      <c r="E20" s="908">
        <v>897006678.17012978</v>
      </c>
      <c r="F20" s="908">
        <v>0</v>
      </c>
      <c r="G20" s="873">
        <v>14852261.615999999</v>
      </c>
      <c r="H20" s="908">
        <v>19908068.535194397</v>
      </c>
      <c r="I20" s="873">
        <v>1501564.8606714609</v>
      </c>
      <c r="J20" s="908">
        <v>631206261.70962501</v>
      </c>
      <c r="K20" s="908">
        <v>157643014.04628199</v>
      </c>
      <c r="L20" s="908">
        <v>342865314.75101697</v>
      </c>
    </row>
    <row r="21" spans="1:12">
      <c r="A21" s="324">
        <v>11</v>
      </c>
      <c r="B21" s="322" t="s">
        <v>85</v>
      </c>
      <c r="C21" s="908">
        <v>2116880822.1561193</v>
      </c>
      <c r="D21" s="908">
        <v>353320040.72607142</v>
      </c>
      <c r="E21" s="908">
        <v>902007232.11412978</v>
      </c>
      <c r="F21" s="908">
        <v>0</v>
      </c>
      <c r="G21" s="873">
        <v>14852261.616</v>
      </c>
      <c r="H21" s="908">
        <v>19909429.024976034</v>
      </c>
      <c r="I21" s="873">
        <v>3077964.8723181309</v>
      </c>
      <c r="J21" s="908">
        <v>633957946.88830018</v>
      </c>
      <c r="K21" s="908">
        <v>159313749.90460333</v>
      </c>
      <c r="L21" s="908">
        <v>346803892.92210454</v>
      </c>
    </row>
    <row r="22" spans="1:12">
      <c r="A22" s="324">
        <v>12</v>
      </c>
      <c r="B22" s="322" t="s">
        <v>78</v>
      </c>
      <c r="C22" s="908">
        <v>2121456414.2608769</v>
      </c>
      <c r="D22" s="908">
        <v>354254006.72607142</v>
      </c>
      <c r="E22" s="908">
        <v>917889016.84792972</v>
      </c>
      <c r="F22" s="908">
        <v>0</v>
      </c>
      <c r="G22" s="873">
        <v>14852261.616</v>
      </c>
      <c r="H22" s="908">
        <v>20038879.302122556</v>
      </c>
      <c r="I22" s="873">
        <v>2648112.9935327368</v>
      </c>
      <c r="J22" s="908">
        <v>636718400.5651468</v>
      </c>
      <c r="K22" s="908">
        <v>160966330.24764255</v>
      </c>
      <c r="L22" s="908">
        <v>350807330.07799274</v>
      </c>
    </row>
    <row r="23" spans="1:12">
      <c r="A23" s="324">
        <v>13</v>
      </c>
      <c r="B23" s="322" t="s">
        <v>196</v>
      </c>
      <c r="C23" s="908">
        <v>2171637393.7429967</v>
      </c>
      <c r="D23" s="908">
        <v>355069686.72607142</v>
      </c>
      <c r="E23" s="908">
        <v>933823346.39660943</v>
      </c>
      <c r="F23" s="908">
        <v>0</v>
      </c>
      <c r="G23" s="908">
        <v>14852261.615999999</v>
      </c>
      <c r="H23" s="908">
        <v>20388975.275959346</v>
      </c>
      <c r="I23" s="908">
        <v>2481592.2761817314</v>
      </c>
      <c r="J23" s="908">
        <v>639528142.55281043</v>
      </c>
      <c r="K23" s="908">
        <v>162601537.45402062</v>
      </c>
      <c r="L23" s="908">
        <v>354920217.07757348</v>
      </c>
    </row>
    <row r="24" spans="1:12" ht="13.5" thickBot="1">
      <c r="A24" s="324">
        <v>14</v>
      </c>
      <c r="B24" s="323" t="s">
        <v>261</v>
      </c>
      <c r="C24" s="342">
        <f t="shared" ref="C24:E24" si="0">SUM(C11:C23)/13</f>
        <v>2103854685.3006194</v>
      </c>
      <c r="D24" s="342">
        <f t="shared" si="0"/>
        <v>349941458.80299449</v>
      </c>
      <c r="E24" s="342">
        <f t="shared" si="0"/>
        <v>882889639.18295431</v>
      </c>
      <c r="F24" s="342">
        <f t="shared" ref="F24:L24" si="1">SUM(F11:F23)/13</f>
        <v>0</v>
      </c>
      <c r="G24" s="342">
        <f t="shared" si="1"/>
        <v>14782515.666769229</v>
      </c>
      <c r="H24" s="342">
        <f t="shared" si="1"/>
        <v>19524439.937522862</v>
      </c>
      <c r="I24" s="342">
        <f t="shared" si="1"/>
        <v>2562472.7047076868</v>
      </c>
      <c r="J24" s="342">
        <f t="shared" si="1"/>
        <v>622949978.41480875</v>
      </c>
      <c r="K24" s="342">
        <f t="shared" si="1"/>
        <v>152366823.094295</v>
      </c>
      <c r="L24" s="342">
        <f t="shared" si="1"/>
        <v>331415940.56592518</v>
      </c>
    </row>
    <row r="25" spans="1:12" ht="13.5" thickTop="1">
      <c r="A25" s="324"/>
      <c r="B25" s="322"/>
      <c r="C25" s="343"/>
      <c r="D25" s="344"/>
      <c r="E25" s="344"/>
      <c r="F25" s="344"/>
      <c r="G25" s="343"/>
      <c r="H25" s="343"/>
      <c r="I25" s="343"/>
    </row>
    <row r="26" spans="1:12">
      <c r="A26" s="324"/>
      <c r="B26" s="345"/>
      <c r="C26" s="1238" t="s">
        <v>213</v>
      </c>
      <c r="D26" s="1238"/>
      <c r="E26" s="1238"/>
      <c r="F26" s="1238"/>
      <c r="G26" s="1238"/>
      <c r="H26" s="1238"/>
      <c r="I26" s="1238"/>
    </row>
    <row r="27" spans="1:12" ht="72" customHeight="1">
      <c r="A27" s="324" t="s">
        <v>197</v>
      </c>
      <c r="B27" s="328" t="s">
        <v>167</v>
      </c>
      <c r="C27" s="333" t="s">
        <v>173</v>
      </c>
      <c r="D27" s="333" t="s">
        <v>174</v>
      </c>
      <c r="E27" s="333" t="s">
        <v>339</v>
      </c>
      <c r="F27" s="333" t="s">
        <v>340</v>
      </c>
      <c r="G27" s="333" t="s">
        <v>341</v>
      </c>
      <c r="H27" s="333" t="s">
        <v>392</v>
      </c>
      <c r="I27" s="333" t="s">
        <v>263</v>
      </c>
      <c r="J27" s="971" t="s">
        <v>654</v>
      </c>
    </row>
    <row r="28" spans="1:12" s="126" customFormat="1">
      <c r="A28" s="324"/>
      <c r="B28" s="328" t="s">
        <v>198</v>
      </c>
      <c r="C28" s="333" t="s">
        <v>199</v>
      </c>
      <c r="D28" s="333" t="s">
        <v>200</v>
      </c>
      <c r="E28" s="333" t="s">
        <v>201</v>
      </c>
      <c r="F28" s="333" t="s">
        <v>203</v>
      </c>
      <c r="G28" s="333" t="s">
        <v>202</v>
      </c>
      <c r="H28" s="333" t="s">
        <v>204</v>
      </c>
      <c r="I28" s="333" t="s">
        <v>205</v>
      </c>
      <c r="J28" s="971" t="s">
        <v>206</v>
      </c>
    </row>
    <row r="29" spans="1:12" s="126" customFormat="1">
      <c r="A29" s="324"/>
      <c r="B29" s="334" t="s">
        <v>393</v>
      </c>
      <c r="C29" s="346">
        <v>28</v>
      </c>
      <c r="D29" s="346">
        <v>29</v>
      </c>
      <c r="E29" s="346">
        <v>22</v>
      </c>
      <c r="F29" s="346">
        <v>23</v>
      </c>
      <c r="G29" s="346">
        <v>24</v>
      </c>
      <c r="H29" s="346">
        <v>25</v>
      </c>
      <c r="I29" s="346">
        <v>26</v>
      </c>
      <c r="J29" s="280" t="s">
        <v>653</v>
      </c>
    </row>
    <row r="30" spans="1:12" s="126" customFormat="1" ht="51" customHeight="1">
      <c r="A30" s="324"/>
      <c r="B30" s="328"/>
      <c r="C30" s="330" t="s">
        <v>337</v>
      </c>
      <c r="D30" s="333" t="s">
        <v>338</v>
      </c>
      <c r="E30" s="333" t="s">
        <v>705</v>
      </c>
      <c r="F30" s="333" t="s">
        <v>706</v>
      </c>
      <c r="G30" s="333" t="s">
        <v>707</v>
      </c>
      <c r="H30" s="333" t="s">
        <v>708</v>
      </c>
      <c r="I30" s="333" t="s">
        <v>795</v>
      </c>
      <c r="J30" s="331" t="s">
        <v>1233</v>
      </c>
    </row>
    <row r="31" spans="1:12">
      <c r="A31" s="324">
        <v>15</v>
      </c>
      <c r="B31" s="341" t="s">
        <v>195</v>
      </c>
      <c r="C31" s="908">
        <v>0</v>
      </c>
      <c r="D31" s="908">
        <v>0</v>
      </c>
      <c r="E31" s="347"/>
      <c r="F31" s="347"/>
      <c r="G31" s="347"/>
      <c r="H31" s="347"/>
      <c r="I31" s="908">
        <v>0</v>
      </c>
      <c r="J31" s="908">
        <v>43851517.660481773</v>
      </c>
    </row>
    <row r="32" spans="1:12">
      <c r="A32" s="324">
        <v>16</v>
      </c>
      <c r="B32" s="341" t="s">
        <v>84</v>
      </c>
      <c r="C32" s="908">
        <v>0</v>
      </c>
      <c r="D32" s="908">
        <v>0</v>
      </c>
      <c r="E32" s="347"/>
      <c r="F32" s="347"/>
      <c r="G32" s="347"/>
      <c r="H32" s="347"/>
      <c r="I32" s="908">
        <v>0</v>
      </c>
      <c r="J32" s="908">
        <v>43896518.762816101</v>
      </c>
    </row>
    <row r="33" spans="1:15">
      <c r="A33" s="324">
        <v>17</v>
      </c>
      <c r="B33" s="322" t="s">
        <v>83</v>
      </c>
      <c r="C33" s="908">
        <v>0</v>
      </c>
      <c r="D33" s="908">
        <v>0</v>
      </c>
      <c r="E33" s="347"/>
      <c r="F33" s="347"/>
      <c r="G33" s="347"/>
      <c r="H33" s="347"/>
      <c r="I33" s="908">
        <v>0</v>
      </c>
      <c r="J33" s="908">
        <v>44173617.358236767</v>
      </c>
    </row>
    <row r="34" spans="1:15">
      <c r="A34" s="324">
        <v>18</v>
      </c>
      <c r="B34" s="322" t="s">
        <v>171</v>
      </c>
      <c r="C34" s="908">
        <v>0</v>
      </c>
      <c r="D34" s="908">
        <v>0</v>
      </c>
      <c r="E34" s="347"/>
      <c r="F34" s="347"/>
      <c r="G34" s="347"/>
      <c r="H34" s="347"/>
      <c r="I34" s="908">
        <v>0</v>
      </c>
      <c r="J34" s="908">
        <v>44167682.682385869</v>
      </c>
    </row>
    <row r="35" spans="1:15">
      <c r="A35" s="324"/>
      <c r="B35" s="322" t="s">
        <v>74</v>
      </c>
      <c r="C35" s="908">
        <v>0</v>
      </c>
      <c r="D35" s="908">
        <v>0</v>
      </c>
      <c r="E35" s="347"/>
      <c r="F35" s="347"/>
      <c r="G35" s="347"/>
      <c r="H35" s="347"/>
      <c r="I35" s="908">
        <v>0</v>
      </c>
      <c r="J35" s="908">
        <v>44214214.131198704</v>
      </c>
    </row>
    <row r="36" spans="1:15">
      <c r="A36" s="324">
        <v>20</v>
      </c>
      <c r="B36" s="322" t="s">
        <v>73</v>
      </c>
      <c r="C36" s="908">
        <v>0</v>
      </c>
      <c r="D36" s="908">
        <v>0</v>
      </c>
      <c r="E36" s="347"/>
      <c r="F36" s="347"/>
      <c r="G36" s="347"/>
      <c r="H36" s="347"/>
      <c r="I36" s="908">
        <v>0</v>
      </c>
      <c r="J36" s="908">
        <v>44242236.640123196</v>
      </c>
    </row>
    <row r="37" spans="1:15">
      <c r="A37" s="324">
        <v>21</v>
      </c>
      <c r="B37" s="322" t="s">
        <v>93</v>
      </c>
      <c r="C37" s="908">
        <v>0</v>
      </c>
      <c r="D37" s="908">
        <v>0</v>
      </c>
      <c r="E37" s="347"/>
      <c r="F37" s="347"/>
      <c r="G37" s="347"/>
      <c r="H37" s="347"/>
      <c r="I37" s="908">
        <v>0</v>
      </c>
      <c r="J37" s="908">
        <v>44270259.149047695</v>
      </c>
    </row>
    <row r="38" spans="1:15">
      <c r="A38" s="324">
        <v>22</v>
      </c>
      <c r="B38" s="322" t="s">
        <v>81</v>
      </c>
      <c r="C38" s="908">
        <v>0</v>
      </c>
      <c r="D38" s="908">
        <v>0</v>
      </c>
      <c r="E38" s="347"/>
      <c r="F38" s="347"/>
      <c r="G38" s="347"/>
      <c r="H38" s="347"/>
      <c r="I38" s="908">
        <v>0</v>
      </c>
      <c r="J38" s="908">
        <v>44304701.565134741</v>
      </c>
    </row>
    <row r="39" spans="1:15">
      <c r="A39" s="324">
        <v>23</v>
      </c>
      <c r="B39" s="322" t="s">
        <v>172</v>
      </c>
      <c r="C39" s="908">
        <v>0</v>
      </c>
      <c r="D39" s="908">
        <v>0</v>
      </c>
      <c r="E39" s="347"/>
      <c r="F39" s="347"/>
      <c r="G39" s="347"/>
      <c r="H39" s="347"/>
      <c r="I39" s="908">
        <v>0</v>
      </c>
      <c r="J39" s="908">
        <v>44332746.806308657</v>
      </c>
    </row>
    <row r="40" spans="1:15">
      <c r="A40" s="324">
        <v>24</v>
      </c>
      <c r="B40" s="322" t="s">
        <v>79</v>
      </c>
      <c r="C40" s="908">
        <v>0</v>
      </c>
      <c r="D40" s="908">
        <v>0</v>
      </c>
      <c r="E40" s="347"/>
      <c r="F40" s="347"/>
      <c r="G40" s="347"/>
      <c r="H40" s="347"/>
      <c r="I40" s="908">
        <v>0</v>
      </c>
      <c r="J40" s="908">
        <v>44403843.84409757</v>
      </c>
    </row>
    <row r="41" spans="1:15">
      <c r="A41" s="324">
        <v>25</v>
      </c>
      <c r="B41" s="322" t="s">
        <v>85</v>
      </c>
      <c r="C41" s="908">
        <v>0</v>
      </c>
      <c r="D41" s="908">
        <v>0</v>
      </c>
      <c r="E41" s="347"/>
      <c r="F41" s="347"/>
      <c r="G41" s="347"/>
      <c r="H41" s="347"/>
      <c r="I41" s="908">
        <v>0</v>
      </c>
      <c r="J41" s="908">
        <v>44431889.085271485</v>
      </c>
    </row>
    <row r="42" spans="1:15">
      <c r="A42" s="324">
        <v>26</v>
      </c>
      <c r="B42" s="322" t="s">
        <v>78</v>
      </c>
      <c r="C42" s="908">
        <v>0</v>
      </c>
      <c r="D42" s="908">
        <v>0</v>
      </c>
      <c r="E42" s="347"/>
      <c r="F42" s="347"/>
      <c r="G42" s="347"/>
      <c r="H42" s="347"/>
      <c r="I42" s="908">
        <v>0</v>
      </c>
      <c r="J42" s="908">
        <v>44460723.906188764</v>
      </c>
    </row>
    <row r="43" spans="1:15">
      <c r="A43" s="324">
        <v>27</v>
      </c>
      <c r="B43" s="322" t="s">
        <v>196</v>
      </c>
      <c r="C43" s="908">
        <v>0</v>
      </c>
      <c r="D43" s="908">
        <v>0</v>
      </c>
      <c r="E43" s="347"/>
      <c r="F43" s="347"/>
      <c r="G43" s="347"/>
      <c r="H43" s="347"/>
      <c r="I43" s="908">
        <v>0</v>
      </c>
      <c r="J43" s="908">
        <v>44463054.730398193</v>
      </c>
    </row>
    <row r="44" spans="1:15" ht="13.5" thickBot="1">
      <c r="A44" s="324">
        <v>28</v>
      </c>
      <c r="B44" s="348" t="s">
        <v>262</v>
      </c>
      <c r="C44" s="342">
        <f t="shared" ref="C44:I44" si="2">SUM(C31:C43)/13</f>
        <v>0</v>
      </c>
      <c r="D44" s="349">
        <f t="shared" si="2"/>
        <v>0</v>
      </c>
      <c r="E44" s="349" t="str">
        <f>+'4A - ADIT Summary'!M90</f>
        <v>Zero</v>
      </c>
      <c r="F44" s="342">
        <f>'4A - ADIT Summary'!M30</f>
        <v>-235466204.30760503</v>
      </c>
      <c r="G44" s="342">
        <f>'4A - ADIT Summary'!M34</f>
        <v>-13208053.19425128</v>
      </c>
      <c r="H44" s="342">
        <f>'4A - ADIT Summary'!M57</f>
        <v>26943899.768768713</v>
      </c>
      <c r="I44" s="342">
        <f t="shared" si="2"/>
        <v>0</v>
      </c>
      <c r="J44" s="342">
        <f>SUM(J31:J43)/13</f>
        <v>44247154.332437649</v>
      </c>
    </row>
    <row r="45" spans="1:15" ht="13.5" thickTop="1">
      <c r="A45" s="324"/>
      <c r="B45" s="322" t="s">
        <v>704</v>
      </c>
      <c r="E45" s="1239"/>
      <c r="F45" s="1239"/>
      <c r="G45" s="1239"/>
      <c r="H45" s="1239"/>
      <c r="I45" s="344"/>
      <c r="J45" s="326"/>
    </row>
    <row r="46" spans="1:15">
      <c r="A46" s="324"/>
      <c r="J46" s="280"/>
    </row>
    <row r="47" spans="1:15">
      <c r="F47" s="150" t="s">
        <v>191</v>
      </c>
    </row>
    <row r="48" spans="1:15">
      <c r="A48" s="324"/>
      <c r="C48" s="350"/>
      <c r="D48" s="350"/>
      <c r="E48" s="350"/>
      <c r="F48" s="325" t="s">
        <v>260</v>
      </c>
      <c r="G48" s="350"/>
      <c r="L48" s="126"/>
      <c r="M48" s="126"/>
      <c r="N48" s="126"/>
      <c r="O48" s="126"/>
    </row>
    <row r="49" spans="1:16" ht="18" customHeight="1">
      <c r="A49" s="324"/>
      <c r="C49" s="350"/>
      <c r="D49" s="350"/>
      <c r="E49" s="350"/>
      <c r="F49" s="24" t="str">
        <f>'Attachment H-7'!$D$5</f>
        <v>PECO Energy Company</v>
      </c>
      <c r="G49" s="350"/>
      <c r="K49" s="126"/>
      <c r="L49" s="126"/>
      <c r="M49" s="126"/>
      <c r="N49" s="126"/>
      <c r="O49" s="126"/>
    </row>
    <row r="50" spans="1:16">
      <c r="A50" s="324"/>
      <c r="B50" s="280" t="s">
        <v>394</v>
      </c>
      <c r="C50" s="350"/>
      <c r="D50" s="350"/>
      <c r="E50" s="350"/>
      <c r="F50" s="24"/>
      <c r="G50" s="350"/>
      <c r="K50" s="126"/>
      <c r="L50" s="126"/>
      <c r="M50" s="126"/>
      <c r="N50" s="126"/>
      <c r="O50" s="126"/>
    </row>
    <row r="51" spans="1:16">
      <c r="A51" s="324"/>
      <c r="B51" s="280" t="s">
        <v>198</v>
      </c>
      <c r="C51" s="280" t="s">
        <v>199</v>
      </c>
      <c r="D51" s="280" t="s">
        <v>200</v>
      </c>
      <c r="E51" s="280" t="s">
        <v>201</v>
      </c>
      <c r="F51" s="280" t="s">
        <v>203</v>
      </c>
      <c r="G51" s="280" t="s">
        <v>202</v>
      </c>
      <c r="H51" s="280" t="s">
        <v>204</v>
      </c>
      <c r="I51" s="280" t="s">
        <v>205</v>
      </c>
      <c r="J51" s="326" t="s">
        <v>154</v>
      </c>
      <c r="L51" s="126"/>
      <c r="M51" s="126"/>
      <c r="N51" s="126"/>
      <c r="O51" s="126"/>
      <c r="P51" s="126"/>
    </row>
    <row r="52" spans="1:16" ht="65.650000000000006">
      <c r="A52" s="324">
        <v>29</v>
      </c>
      <c r="B52" s="351" t="s">
        <v>325</v>
      </c>
      <c r="C52" s="352"/>
      <c r="D52" s="353" t="s">
        <v>11</v>
      </c>
      <c r="E52" s="353" t="s">
        <v>1171</v>
      </c>
      <c r="F52" s="353" t="s">
        <v>326</v>
      </c>
      <c r="G52" s="353" t="s">
        <v>423</v>
      </c>
      <c r="H52" s="354" t="s">
        <v>327</v>
      </c>
      <c r="I52" s="354" t="s">
        <v>328</v>
      </c>
      <c r="J52" s="351"/>
      <c r="K52" s="351"/>
      <c r="L52" s="351"/>
      <c r="M52" s="355"/>
      <c r="N52" s="126"/>
      <c r="O52" s="126"/>
      <c r="P52" s="126"/>
    </row>
    <row r="53" spans="1:16">
      <c r="A53" s="324" t="s">
        <v>329</v>
      </c>
      <c r="B53" s="62"/>
      <c r="C53" s="900" t="s">
        <v>1150</v>
      </c>
      <c r="D53" s="1063">
        <v>-1543949.4494396327</v>
      </c>
      <c r="E53" s="901">
        <v>1</v>
      </c>
      <c r="F53" s="902">
        <v>1</v>
      </c>
      <c r="G53" s="903">
        <v>1</v>
      </c>
      <c r="H53" s="356">
        <f>'Attachment H-7'!I206</f>
        <v>0.12544749445449754</v>
      </c>
      <c r="I53" s="357">
        <f>+H53*E53*D53*F53*G53</f>
        <v>-193684.58999660285</v>
      </c>
      <c r="J53" s="351"/>
      <c r="K53" s="62"/>
      <c r="L53" s="62"/>
      <c r="M53" s="355"/>
      <c r="N53" s="126"/>
      <c r="O53" s="126"/>
      <c r="P53" s="126"/>
    </row>
    <row r="54" spans="1:16">
      <c r="A54" s="324" t="s">
        <v>330</v>
      </c>
      <c r="B54" s="62"/>
      <c r="C54" s="900" t="s">
        <v>1151</v>
      </c>
      <c r="D54" s="1063">
        <v>-1128209.0474502135</v>
      </c>
      <c r="E54" s="901">
        <v>1</v>
      </c>
      <c r="F54" s="902">
        <v>1</v>
      </c>
      <c r="G54" s="903">
        <v>1</v>
      </c>
      <c r="H54" s="356">
        <f>H53</f>
        <v>0.12544749445449754</v>
      </c>
      <c r="I54" s="357">
        <f t="shared" ref="I54:I67" si="3">+H54*E54*D54*F54*G54</f>
        <v>-141530.9982235246</v>
      </c>
      <c r="J54" s="351"/>
      <c r="K54" s="62"/>
      <c r="L54" s="62"/>
      <c r="M54" s="355"/>
      <c r="N54" s="126"/>
      <c r="O54" s="126"/>
      <c r="P54" s="126"/>
    </row>
    <row r="55" spans="1:16">
      <c r="A55" s="324" t="s">
        <v>331</v>
      </c>
      <c r="B55" s="62"/>
      <c r="C55" s="900" t="s">
        <v>878</v>
      </c>
      <c r="D55" s="1063">
        <v>-1062172.4123994827</v>
      </c>
      <c r="E55" s="901">
        <v>1</v>
      </c>
      <c r="F55" s="902">
        <v>1</v>
      </c>
      <c r="G55" s="903">
        <v>1</v>
      </c>
      <c r="H55" s="356">
        <f t="shared" ref="H55:H58" si="4">H54</f>
        <v>0.12544749445449754</v>
      </c>
      <c r="I55" s="357">
        <f t="shared" si="3"/>
        <v>-133246.86781420439</v>
      </c>
      <c r="J55" s="351"/>
      <c r="K55" s="62"/>
      <c r="L55" s="62"/>
      <c r="M55" s="355"/>
      <c r="N55" s="126"/>
      <c r="O55" s="126"/>
      <c r="P55" s="126"/>
    </row>
    <row r="56" spans="1:16">
      <c r="A56" s="324" t="s">
        <v>332</v>
      </c>
      <c r="B56" s="62"/>
      <c r="C56" s="900" t="s">
        <v>879</v>
      </c>
      <c r="D56" s="1063">
        <v>-7153238.9873401113</v>
      </c>
      <c r="E56" s="901">
        <v>1</v>
      </c>
      <c r="F56" s="902">
        <v>1</v>
      </c>
      <c r="G56" s="903">
        <v>1</v>
      </c>
      <c r="H56" s="356">
        <f t="shared" si="4"/>
        <v>0.12544749445449754</v>
      </c>
      <c r="I56" s="357">
        <f t="shared" si="3"/>
        <v>-897355.90819604427</v>
      </c>
      <c r="J56" s="351"/>
      <c r="K56" s="62"/>
      <c r="L56" s="62"/>
      <c r="M56" s="355"/>
      <c r="N56" s="126"/>
      <c r="O56" s="126"/>
      <c r="P56" s="126"/>
    </row>
    <row r="57" spans="1:16">
      <c r="A57" s="324" t="s">
        <v>333</v>
      </c>
      <c r="B57" s="62"/>
      <c r="C57" s="900" t="s">
        <v>880</v>
      </c>
      <c r="D57" s="1063">
        <v>-949574.95438360388</v>
      </c>
      <c r="E57" s="901">
        <v>1</v>
      </c>
      <c r="F57" s="902">
        <v>1</v>
      </c>
      <c r="G57" s="903">
        <v>1</v>
      </c>
      <c r="H57" s="356">
        <f t="shared" si="4"/>
        <v>0.12544749445449754</v>
      </c>
      <c r="I57" s="357">
        <f t="shared" si="3"/>
        <v>-119121.79882416691</v>
      </c>
      <c r="J57" s="351"/>
      <c r="K57" s="62"/>
      <c r="L57" s="62"/>
      <c r="M57" s="355"/>
      <c r="N57" s="126"/>
      <c r="O57" s="126"/>
      <c r="P57" s="126"/>
    </row>
    <row r="58" spans="1:16">
      <c r="A58" s="324" t="s">
        <v>334</v>
      </c>
      <c r="B58" s="62"/>
      <c r="C58" s="900" t="s">
        <v>796</v>
      </c>
      <c r="D58" s="1063">
        <v>-27758967.604740653</v>
      </c>
      <c r="E58" s="901">
        <v>1</v>
      </c>
      <c r="F58" s="902">
        <v>1</v>
      </c>
      <c r="G58" s="903">
        <v>1</v>
      </c>
      <c r="H58" s="356">
        <f t="shared" si="4"/>
        <v>0.12544749445449754</v>
      </c>
      <c r="I58" s="357">
        <f t="shared" si="3"/>
        <v>-3482292.9346582801</v>
      </c>
      <c r="J58" s="351"/>
      <c r="K58" s="62"/>
      <c r="L58" s="62"/>
      <c r="M58" s="355"/>
      <c r="N58" s="126"/>
      <c r="O58" s="126"/>
      <c r="P58" s="126"/>
    </row>
    <row r="59" spans="1:16">
      <c r="A59" s="324" t="s">
        <v>1100</v>
      </c>
      <c r="B59" s="62"/>
      <c r="C59" s="900" t="s">
        <v>881</v>
      </c>
      <c r="D59" s="1063">
        <v>0</v>
      </c>
      <c r="E59" s="901">
        <v>1</v>
      </c>
      <c r="F59" s="902">
        <v>1</v>
      </c>
      <c r="G59" s="903">
        <v>1</v>
      </c>
      <c r="H59" s="356">
        <v>1</v>
      </c>
      <c r="I59" s="357">
        <f t="shared" si="3"/>
        <v>0</v>
      </c>
      <c r="J59" s="351"/>
      <c r="K59" s="62"/>
      <c r="L59" s="62"/>
      <c r="M59" s="355"/>
      <c r="N59" s="126"/>
      <c r="O59" s="126"/>
      <c r="P59" s="126"/>
    </row>
    <row r="60" spans="1:16">
      <c r="A60" s="324" t="s">
        <v>1101</v>
      </c>
      <c r="B60" s="62"/>
      <c r="C60" s="904" t="s">
        <v>1501</v>
      </c>
      <c r="D60" s="1063">
        <v>-25395222.611811239</v>
      </c>
      <c r="E60" s="901">
        <v>1</v>
      </c>
      <c r="F60" s="902">
        <v>1</v>
      </c>
      <c r="G60" s="903">
        <v>1</v>
      </c>
      <c r="H60" s="356">
        <f>H58</f>
        <v>0.12544749445449754</v>
      </c>
      <c r="I60" s="357">
        <f t="shared" si="3"/>
        <v>-3185767.0477659209</v>
      </c>
      <c r="J60" s="351"/>
      <c r="K60" s="62"/>
      <c r="L60" s="62"/>
      <c r="M60" s="355"/>
      <c r="N60" s="126"/>
      <c r="O60" s="126"/>
      <c r="P60" s="126"/>
    </row>
    <row r="61" spans="1:16">
      <c r="A61" s="324" t="s">
        <v>1158</v>
      </c>
      <c r="B61" s="62"/>
      <c r="C61" s="904" t="s">
        <v>1502</v>
      </c>
      <c r="D61" s="1063">
        <v>-3582844.8034673249</v>
      </c>
      <c r="E61" s="901">
        <v>1</v>
      </c>
      <c r="F61" s="902">
        <v>1</v>
      </c>
      <c r="G61" s="903">
        <v>1</v>
      </c>
      <c r="H61" s="356">
        <f>H60</f>
        <v>0.12544749445449754</v>
      </c>
      <c r="I61" s="357">
        <f t="shared" si="3"/>
        <v>-449458.90361429256</v>
      </c>
      <c r="J61" s="351"/>
      <c r="K61" s="62"/>
      <c r="L61" s="62"/>
      <c r="M61" s="355"/>
      <c r="N61" s="126"/>
      <c r="O61" s="126"/>
      <c r="P61" s="126"/>
    </row>
    <row r="62" spans="1:16">
      <c r="A62" s="324" t="s">
        <v>1159</v>
      </c>
      <c r="B62" s="62"/>
      <c r="C62" s="904" t="s">
        <v>1503</v>
      </c>
      <c r="D62" s="1063">
        <v>-1115347.5738082661</v>
      </c>
      <c r="E62" s="901">
        <v>1</v>
      </c>
      <c r="F62" s="902">
        <v>1</v>
      </c>
      <c r="G62" s="903">
        <v>1</v>
      </c>
      <c r="H62" s="356">
        <f>H61</f>
        <v>0.12544749445449754</v>
      </c>
      <c r="I62" s="357">
        <f t="shared" si="3"/>
        <v>-139917.55858014975</v>
      </c>
      <c r="J62" s="351"/>
      <c r="K62" s="62"/>
      <c r="L62" s="62"/>
      <c r="M62" s="355"/>
      <c r="N62" s="126"/>
      <c r="O62" s="126"/>
      <c r="P62" s="126"/>
    </row>
    <row r="63" spans="1:16">
      <c r="A63" s="324" t="s">
        <v>1467</v>
      </c>
      <c r="B63" s="62"/>
      <c r="C63" s="904" t="s">
        <v>1504</v>
      </c>
      <c r="D63" s="1063">
        <v>-52013.43772738798</v>
      </c>
      <c r="E63" s="901">
        <v>1</v>
      </c>
      <c r="F63" s="902">
        <v>1</v>
      </c>
      <c r="G63" s="903">
        <v>1</v>
      </c>
      <c r="H63" s="356">
        <f t="shared" ref="H63:H67" si="5">H62</f>
        <v>0.12544749445449754</v>
      </c>
      <c r="I63" s="357">
        <f t="shared" si="3"/>
        <v>-6524.9554408658569</v>
      </c>
      <c r="J63" s="351"/>
      <c r="K63" s="62"/>
      <c r="L63" s="62"/>
      <c r="M63" s="355"/>
      <c r="N63" s="126"/>
      <c r="O63" s="126"/>
      <c r="P63" s="126"/>
    </row>
    <row r="64" spans="1:16">
      <c r="A64" s="324" t="s">
        <v>1465</v>
      </c>
      <c r="B64" s="62"/>
      <c r="C64" s="904" t="s">
        <v>1505</v>
      </c>
      <c r="D64" s="1063">
        <v>-2683504.1535745901</v>
      </c>
      <c r="E64" s="901">
        <v>1</v>
      </c>
      <c r="F64" s="902">
        <v>1</v>
      </c>
      <c r="G64" s="903">
        <v>1</v>
      </c>
      <c r="H64" s="356">
        <f t="shared" si="5"/>
        <v>0.12544749445449754</v>
      </c>
      <c r="I64" s="357">
        <f t="shared" si="3"/>
        <v>-336638.8724241695</v>
      </c>
      <c r="J64" s="351"/>
      <c r="K64" s="62"/>
      <c r="L64" s="62"/>
      <c r="M64" s="355"/>
      <c r="N64" s="126"/>
      <c r="O64" s="126"/>
      <c r="P64" s="126"/>
    </row>
    <row r="65" spans="1:16">
      <c r="A65" s="324" t="s">
        <v>1466</v>
      </c>
      <c r="B65" s="62"/>
      <c r="C65" s="904" t="s">
        <v>1506</v>
      </c>
      <c r="D65" s="1063">
        <v>-995446.21824811003</v>
      </c>
      <c r="E65" s="901">
        <v>1</v>
      </c>
      <c r="F65" s="902">
        <v>1</v>
      </c>
      <c r="G65" s="903">
        <v>1</v>
      </c>
      <c r="H65" s="356">
        <f t="shared" si="5"/>
        <v>0.12544749445449754</v>
      </c>
      <c r="I65" s="357">
        <f t="shared" si="3"/>
        <v>-124876.23394343033</v>
      </c>
      <c r="J65" s="351"/>
      <c r="K65" s="62"/>
      <c r="L65" s="62"/>
      <c r="M65" s="355"/>
      <c r="N65" s="126"/>
      <c r="O65" s="126"/>
      <c r="P65" s="126"/>
    </row>
    <row r="66" spans="1:16">
      <c r="A66" s="324" t="s">
        <v>1527</v>
      </c>
      <c r="B66" s="62"/>
      <c r="C66" s="904" t="s">
        <v>1528</v>
      </c>
      <c r="D66" s="1063">
        <v>-6.3236019091723462E-11</v>
      </c>
      <c r="E66" s="901">
        <v>1</v>
      </c>
      <c r="F66" s="902">
        <v>1</v>
      </c>
      <c r="G66" s="903">
        <v>1</v>
      </c>
      <c r="H66" s="356">
        <f t="shared" si="5"/>
        <v>0.12544749445449754</v>
      </c>
      <c r="I66" s="357">
        <f t="shared" si="3"/>
        <v>-7.9328001543334792E-12</v>
      </c>
      <c r="J66" s="351"/>
      <c r="K66" s="62"/>
      <c r="L66" s="62"/>
      <c r="M66" s="355"/>
      <c r="N66" s="126"/>
      <c r="O66" s="126"/>
      <c r="P66" s="126"/>
    </row>
    <row r="67" spans="1:16">
      <c r="A67" s="324" t="s">
        <v>1724</v>
      </c>
      <c r="B67" s="62"/>
      <c r="C67" s="900" t="s">
        <v>1736</v>
      </c>
      <c r="D67" s="871">
        <v>-5541572.7672130577</v>
      </c>
      <c r="E67" s="901">
        <v>1</v>
      </c>
      <c r="F67" s="902">
        <v>1</v>
      </c>
      <c r="G67" s="903">
        <v>1</v>
      </c>
      <c r="H67" s="356">
        <f t="shared" si="5"/>
        <v>0.12544749445449754</v>
      </c>
      <c r="I67" s="357">
        <f t="shared" si="3"/>
        <v>-695176.4189841547</v>
      </c>
      <c r="J67" s="351"/>
      <c r="K67" s="62"/>
      <c r="L67" s="62"/>
      <c r="M67" s="355"/>
      <c r="N67" s="126"/>
      <c r="O67" s="126"/>
      <c r="P67" s="126"/>
    </row>
    <row r="68" spans="1:16" ht="50.1" hidden="1" customHeight="1">
      <c r="A68" s="324"/>
      <c r="B68" s="62"/>
      <c r="C68" s="904"/>
      <c r="D68" s="905"/>
      <c r="E68" s="901"/>
      <c r="F68" s="902"/>
      <c r="G68" s="903"/>
      <c r="H68" s="356"/>
      <c r="I68" s="357"/>
      <c r="J68" s="351"/>
      <c r="K68" s="62"/>
      <c r="L68" s="62"/>
      <c r="M68" s="355"/>
      <c r="N68" s="126"/>
      <c r="O68" s="126"/>
      <c r="P68" s="126"/>
    </row>
    <row r="69" spans="1:16" ht="50.1" hidden="1" customHeight="1">
      <c r="A69" s="324"/>
      <c r="B69" s="62"/>
      <c r="C69" s="900"/>
      <c r="D69" s="871"/>
      <c r="E69" s="901"/>
      <c r="F69" s="902"/>
      <c r="G69" s="903"/>
      <c r="H69" s="177"/>
      <c r="I69" s="357"/>
      <c r="J69" s="351"/>
      <c r="K69" s="62"/>
      <c r="L69" s="62"/>
      <c r="M69" s="355"/>
      <c r="N69" s="126"/>
      <c r="O69" s="126"/>
      <c r="P69" s="126"/>
    </row>
    <row r="70" spans="1:16">
      <c r="A70" s="324" t="s">
        <v>1051</v>
      </c>
      <c r="B70" s="62"/>
      <c r="C70" s="1096" t="s">
        <v>296</v>
      </c>
      <c r="D70" s="906">
        <v>0</v>
      </c>
      <c r="E70" s="1095"/>
      <c r="F70" s="907"/>
      <c r="G70" s="1091"/>
      <c r="H70" s="1092"/>
      <c r="I70" s="358">
        <f>+H70*E70*D70</f>
        <v>0</v>
      </c>
      <c r="J70" s="351"/>
      <c r="K70" s="62"/>
      <c r="L70" s="62"/>
      <c r="M70" s="355"/>
      <c r="N70" s="126"/>
      <c r="O70" s="126"/>
      <c r="P70" s="126"/>
    </row>
    <row r="71" spans="1:16" ht="50.1" customHeight="1">
      <c r="A71" s="324">
        <v>31</v>
      </c>
      <c r="B71" s="62"/>
      <c r="C71" s="351" t="s">
        <v>13</v>
      </c>
      <c r="D71" s="56">
        <f>SUM(D53:D70)</f>
        <v>-78962064.021603674</v>
      </c>
      <c r="E71" s="161"/>
      <c r="F71" s="126"/>
      <c r="G71" s="126"/>
      <c r="H71" s="161"/>
      <c r="I71" s="357">
        <f>SUM(I53:I70)</f>
        <v>-9905593.0884658061</v>
      </c>
      <c r="J71" s="351"/>
      <c r="K71" s="62"/>
      <c r="L71" s="62"/>
      <c r="M71" s="355"/>
      <c r="N71" s="126"/>
      <c r="O71" s="126"/>
      <c r="P71" s="126"/>
    </row>
    <row r="72" spans="1:16" ht="3.6" customHeight="1">
      <c r="A72" s="359"/>
      <c r="B72" s="360"/>
      <c r="C72" s="361"/>
      <c r="D72" s="361"/>
      <c r="E72" s="361"/>
      <c r="F72" s="361"/>
      <c r="G72" s="361"/>
      <c r="I72" s="62"/>
      <c r="J72" s="62"/>
      <c r="K72" s="62"/>
    </row>
    <row r="73" spans="1:16" ht="3.6" customHeight="1">
      <c r="A73" s="359"/>
      <c r="B73" s="360"/>
      <c r="C73" s="361"/>
      <c r="D73" s="361"/>
      <c r="E73" s="361"/>
      <c r="F73" s="361"/>
      <c r="G73" s="361"/>
      <c r="L73" s="126"/>
      <c r="M73" s="126"/>
      <c r="N73" s="126"/>
      <c r="O73" s="126"/>
      <c r="P73" s="126"/>
    </row>
    <row r="74" spans="1:16" ht="3.6" customHeight="1">
      <c r="A74" s="359"/>
      <c r="B74" s="360"/>
      <c r="C74" s="361"/>
      <c r="D74" s="361"/>
      <c r="E74" s="361"/>
      <c r="F74" s="361"/>
      <c r="G74" s="361"/>
      <c r="L74" s="126"/>
      <c r="M74" s="126"/>
      <c r="N74" s="126"/>
      <c r="O74" s="126"/>
      <c r="P74" s="126"/>
    </row>
    <row r="75" spans="1:16" ht="13.5" thickBot="1">
      <c r="A75" s="362" t="s">
        <v>182</v>
      </c>
    </row>
    <row r="76" spans="1:16" ht="12.75" customHeight="1">
      <c r="A76" s="324" t="s">
        <v>58</v>
      </c>
      <c r="B76" s="1217" t="s">
        <v>335</v>
      </c>
      <c r="C76" s="1217"/>
      <c r="D76" s="1217"/>
      <c r="E76" s="1217"/>
      <c r="F76" s="1217"/>
      <c r="G76" s="1217"/>
      <c r="H76" s="1217"/>
      <c r="I76" s="1217"/>
      <c r="J76" s="1217"/>
      <c r="K76" s="1217"/>
    </row>
    <row r="77" spans="1:16" ht="12.75" customHeight="1">
      <c r="A77" s="324" t="s">
        <v>59</v>
      </c>
      <c r="B77" s="1217" t="s">
        <v>395</v>
      </c>
      <c r="C77" s="1217"/>
      <c r="D77" s="1217"/>
      <c r="E77" s="1217"/>
      <c r="F77" s="1217"/>
      <c r="G77" s="1217"/>
      <c r="H77" s="1217"/>
      <c r="I77" s="1217"/>
      <c r="J77" s="1217"/>
      <c r="K77" s="1217"/>
      <c r="L77" s="326"/>
    </row>
    <row r="78" spans="1:16" ht="12.75" customHeight="1">
      <c r="A78" s="324" t="s">
        <v>60</v>
      </c>
      <c r="B78" s="21" t="s">
        <v>396</v>
      </c>
      <c r="C78" s="363"/>
      <c r="D78" s="363"/>
      <c r="E78" s="363"/>
      <c r="F78" s="363"/>
      <c r="G78" s="363"/>
      <c r="H78" s="363"/>
      <c r="I78" s="363"/>
      <c r="J78" s="363"/>
      <c r="K78" s="363"/>
    </row>
    <row r="79" spans="1:16">
      <c r="A79" s="324"/>
      <c r="B79" s="364" t="s">
        <v>664</v>
      </c>
      <c r="C79" s="970"/>
      <c r="D79" s="970"/>
      <c r="E79" s="970"/>
      <c r="F79" s="970"/>
      <c r="G79" s="970"/>
      <c r="H79" s="970"/>
      <c r="I79" s="970"/>
      <c r="J79" s="970"/>
      <c r="K79" s="970"/>
    </row>
    <row r="80" spans="1:16">
      <c r="A80" s="324"/>
      <c r="B80" s="364" t="s">
        <v>665</v>
      </c>
      <c r="C80" s="970"/>
      <c r="D80" s="970"/>
      <c r="E80" s="970"/>
      <c r="F80" s="970"/>
      <c r="G80" s="970"/>
      <c r="H80" s="970"/>
      <c r="I80" s="970"/>
      <c r="J80" s="970"/>
      <c r="K80" s="970"/>
    </row>
    <row r="81" spans="1:11" ht="12.75" customHeight="1">
      <c r="A81" s="324" t="s">
        <v>61</v>
      </c>
      <c r="B81" s="21" t="s">
        <v>1070</v>
      </c>
    </row>
    <row r="82" spans="1:11" ht="30" customHeight="1">
      <c r="A82" s="318" t="s">
        <v>62</v>
      </c>
      <c r="B82" s="1231" t="s">
        <v>435</v>
      </c>
      <c r="C82" s="1231"/>
      <c r="D82" s="1231"/>
      <c r="E82" s="1231"/>
      <c r="F82" s="1231"/>
      <c r="G82" s="1231"/>
      <c r="H82" s="1231"/>
      <c r="I82" s="1231"/>
      <c r="J82" s="1231"/>
      <c r="K82" s="969"/>
    </row>
    <row r="83" spans="1:11" ht="12.75" customHeight="1">
      <c r="A83" s="324" t="s">
        <v>63</v>
      </c>
      <c r="B83" s="1240" t="s">
        <v>336</v>
      </c>
      <c r="C83" s="1240"/>
      <c r="D83" s="1240"/>
      <c r="E83" s="1240"/>
      <c r="F83" s="1240"/>
      <c r="G83" s="1240"/>
      <c r="H83" s="1240"/>
      <c r="I83" s="1240"/>
      <c r="J83" s="1240"/>
      <c r="K83" s="1240"/>
    </row>
    <row r="84" spans="1:11" ht="43.5" customHeight="1">
      <c r="A84" s="318" t="s">
        <v>64</v>
      </c>
      <c r="B84" s="1231" t="s">
        <v>397</v>
      </c>
      <c r="C84" s="1231"/>
      <c r="D84" s="1231"/>
      <c r="E84" s="1231"/>
      <c r="F84" s="1231"/>
      <c r="G84" s="1231"/>
      <c r="H84" s="1231"/>
      <c r="I84" s="1231"/>
      <c r="J84" s="1231"/>
      <c r="K84" s="969"/>
    </row>
    <row r="85" spans="1:11">
      <c r="A85" s="324" t="s">
        <v>65</v>
      </c>
      <c r="B85" s="365" t="s">
        <v>1102</v>
      </c>
    </row>
    <row r="86" spans="1:11">
      <c r="A86" s="324" t="s">
        <v>66</v>
      </c>
      <c r="B86" s="21" t="s">
        <v>448</v>
      </c>
    </row>
    <row r="87" spans="1:11">
      <c r="A87" s="324" t="s">
        <v>67</v>
      </c>
      <c r="B87" s="21" t="s">
        <v>1064</v>
      </c>
    </row>
    <row r="88" spans="1:11" ht="42.6" customHeight="1">
      <c r="A88" s="318" t="s">
        <v>99</v>
      </c>
      <c r="B88" s="1231" t="s">
        <v>1105</v>
      </c>
      <c r="C88" s="1231"/>
      <c r="D88" s="1231"/>
      <c r="E88" s="1231"/>
      <c r="F88" s="1231"/>
      <c r="G88" s="1231"/>
      <c r="H88" s="1231"/>
      <c r="I88" s="1231"/>
      <c r="J88" s="1231"/>
    </row>
    <row r="89" spans="1:11" ht="30" customHeight="1">
      <c r="A89" s="318" t="s">
        <v>1445</v>
      </c>
      <c r="B89" s="1231" t="s">
        <v>1453</v>
      </c>
      <c r="C89" s="1231"/>
      <c r="D89" s="1231"/>
      <c r="E89" s="1231"/>
      <c r="F89" s="1231"/>
      <c r="G89" s="1231"/>
      <c r="H89" s="1231"/>
      <c r="I89" s="1231"/>
      <c r="J89" s="1231"/>
    </row>
    <row r="90" spans="1:11" ht="32.1" customHeight="1">
      <c r="C90" s="971" t="s">
        <v>45</v>
      </c>
      <c r="D90" s="971" t="s">
        <v>1241</v>
      </c>
      <c r="E90" s="971" t="s">
        <v>1300</v>
      </c>
      <c r="F90" s="971" t="s">
        <v>698</v>
      </c>
      <c r="G90" s="971" t="s">
        <v>1242</v>
      </c>
      <c r="H90" s="971" t="s">
        <v>1243</v>
      </c>
      <c r="J90" s="899" t="s">
        <v>1349</v>
      </c>
      <c r="K90" s="899" t="s">
        <v>1350</v>
      </c>
    </row>
    <row r="91" spans="1:11">
      <c r="A91" s="321" t="s">
        <v>1244</v>
      </c>
      <c r="B91" s="1064" t="s">
        <v>1235</v>
      </c>
      <c r="C91" s="1064" t="s">
        <v>1348</v>
      </c>
      <c r="D91" s="896">
        <v>1.5279510989785194E-10</v>
      </c>
      <c r="E91" s="896">
        <v>1.4551915228366852E-10</v>
      </c>
      <c r="F91" s="42">
        <f t="shared" ref="F91:F100" si="6">J91*K91</f>
        <v>9.6820376219981213E-2</v>
      </c>
      <c r="G91" s="896">
        <f>D91*F91</f>
        <v>1.4793680024883402E-11</v>
      </c>
      <c r="H91" s="896">
        <f>E91*F91</f>
        <v>1.4089219071317523E-11</v>
      </c>
      <c r="J91" s="974">
        <v>0.77180000000000004</v>
      </c>
      <c r="K91" s="974">
        <v>0.12544749445449754</v>
      </c>
    </row>
    <row r="92" spans="1:11">
      <c r="A92" s="321" t="s">
        <v>1245</v>
      </c>
      <c r="B92" s="1064" t="s">
        <v>1523</v>
      </c>
      <c r="C92" s="1064" t="s">
        <v>848</v>
      </c>
      <c r="D92" s="896">
        <v>3558.5049999999756</v>
      </c>
      <c r="E92" s="896">
        <v>3084.0549999999757</v>
      </c>
      <c r="F92" s="42">
        <f t="shared" si="6"/>
        <v>0</v>
      </c>
      <c r="G92" s="896">
        <f t="shared" ref="G92:G121" si="7">D92*F92</f>
        <v>0</v>
      </c>
      <c r="H92" s="896">
        <f t="shared" ref="H92:H121" si="8">E92*F92</f>
        <v>0</v>
      </c>
      <c r="J92" s="974">
        <v>0</v>
      </c>
      <c r="K92" s="974">
        <v>0</v>
      </c>
    </row>
    <row r="93" spans="1:11">
      <c r="A93" s="321" t="s">
        <v>1246</v>
      </c>
      <c r="B93" s="1064" t="s">
        <v>1524</v>
      </c>
      <c r="C93" s="1064" t="s">
        <v>849</v>
      </c>
      <c r="D93" s="896">
        <v>10675.514999999923</v>
      </c>
      <c r="E93" s="896">
        <v>9252.1649999999227</v>
      </c>
      <c r="F93" s="42">
        <f t="shared" si="6"/>
        <v>1</v>
      </c>
      <c r="G93" s="896">
        <f t="shared" si="7"/>
        <v>10675.514999999923</v>
      </c>
      <c r="H93" s="896">
        <f t="shared" si="8"/>
        <v>9252.1649999999227</v>
      </c>
      <c r="J93" s="974">
        <v>1</v>
      </c>
      <c r="K93" s="974">
        <v>1</v>
      </c>
    </row>
    <row r="94" spans="1:11">
      <c r="A94" s="321" t="s">
        <v>1247</v>
      </c>
      <c r="B94" s="1064" t="s">
        <v>1236</v>
      </c>
      <c r="C94" s="1064" t="s">
        <v>1348</v>
      </c>
      <c r="D94" s="896">
        <v>451462.45000000019</v>
      </c>
      <c r="E94" s="896">
        <v>477817.94000000029</v>
      </c>
      <c r="F94" s="42">
        <f t="shared" si="6"/>
        <v>0.10221335168569814</v>
      </c>
      <c r="G94" s="896">
        <f t="shared" si="7"/>
        <v>46145.490174736937</v>
      </c>
      <c r="H94" s="896">
        <f t="shared" si="8"/>
        <v>48839.373142955847</v>
      </c>
      <c r="J94" s="974">
        <v>0.81478990178455168</v>
      </c>
      <c r="K94" s="974">
        <v>0.12544749445449754</v>
      </c>
    </row>
    <row r="95" spans="1:11">
      <c r="A95" s="321" t="s">
        <v>1248</v>
      </c>
      <c r="B95" s="1064" t="s">
        <v>1237</v>
      </c>
      <c r="C95" s="1064" t="s">
        <v>848</v>
      </c>
      <c r="D95" s="896">
        <v>-0.12000000037369318</v>
      </c>
      <c r="E95" s="896">
        <v>441459.90999999968</v>
      </c>
      <c r="F95" s="42">
        <f t="shared" si="6"/>
        <v>0</v>
      </c>
      <c r="G95" s="896">
        <f t="shared" si="7"/>
        <v>0</v>
      </c>
      <c r="H95" s="896">
        <f t="shared" si="8"/>
        <v>0</v>
      </c>
      <c r="J95" s="974">
        <v>0</v>
      </c>
      <c r="K95" s="974">
        <v>0</v>
      </c>
    </row>
    <row r="96" spans="1:11">
      <c r="A96" s="321" t="s">
        <v>1249</v>
      </c>
      <c r="B96" s="1064" t="s">
        <v>1494</v>
      </c>
      <c r="C96" s="1064" t="s">
        <v>1348</v>
      </c>
      <c r="D96" s="896">
        <v>153391.46999999968</v>
      </c>
      <c r="E96" s="896">
        <v>27474.689999999617</v>
      </c>
      <c r="F96" s="42">
        <f t="shared" si="6"/>
        <v>9.6820376219981213E-2</v>
      </c>
      <c r="G96" s="896">
        <f t="shared" si="7"/>
        <v>14851.419834335931</v>
      </c>
      <c r="H96" s="896">
        <f>E96*F96</f>
        <v>2660.1098223273184</v>
      </c>
      <c r="J96" s="974">
        <v>0.77180000000000004</v>
      </c>
      <c r="K96" s="974">
        <v>0.12544749445449754</v>
      </c>
    </row>
    <row r="97" spans="1:11">
      <c r="A97" s="321" t="s">
        <v>1250</v>
      </c>
      <c r="B97" s="1064" t="s">
        <v>1494</v>
      </c>
      <c r="C97" s="1064" t="s">
        <v>849</v>
      </c>
      <c r="D97" s="896">
        <v>35531.032460000002</v>
      </c>
      <c r="E97" s="896">
        <v>8431.3514600000017</v>
      </c>
      <c r="F97" s="42">
        <f t="shared" si="6"/>
        <v>1</v>
      </c>
      <c r="G97" s="896">
        <f t="shared" si="7"/>
        <v>35531.032460000002</v>
      </c>
      <c r="H97" s="896">
        <f t="shared" si="8"/>
        <v>8431.3514600000017</v>
      </c>
      <c r="J97" s="974">
        <v>1</v>
      </c>
      <c r="K97" s="974">
        <v>1</v>
      </c>
    </row>
    <row r="98" spans="1:11">
      <c r="A98" s="321" t="s">
        <v>1251</v>
      </c>
      <c r="B98" s="1064" t="s">
        <v>1494</v>
      </c>
      <c r="C98" s="1064" t="s">
        <v>848</v>
      </c>
      <c r="D98" s="896">
        <v>841455.23754000035</v>
      </c>
      <c r="E98" s="896">
        <v>638541.76854000043</v>
      </c>
      <c r="F98" s="42">
        <f t="shared" si="6"/>
        <v>0</v>
      </c>
      <c r="G98" s="896">
        <f t="shared" si="7"/>
        <v>0</v>
      </c>
      <c r="H98" s="896">
        <f t="shared" si="8"/>
        <v>0</v>
      </c>
      <c r="J98" s="974">
        <v>0</v>
      </c>
      <c r="K98" s="974">
        <v>0</v>
      </c>
    </row>
    <row r="99" spans="1:11">
      <c r="A99" s="321" t="s">
        <v>1252</v>
      </c>
      <c r="B99" s="1064" t="s">
        <v>1238</v>
      </c>
      <c r="C99" s="1064" t="s">
        <v>848</v>
      </c>
      <c r="D99" s="896">
        <v>777065.33999999973</v>
      </c>
      <c r="E99" s="896">
        <v>566389.08999999985</v>
      </c>
      <c r="F99" s="42">
        <f t="shared" si="6"/>
        <v>0</v>
      </c>
      <c r="G99" s="896">
        <f t="shared" si="7"/>
        <v>0</v>
      </c>
      <c r="H99" s="896">
        <f t="shared" si="8"/>
        <v>0</v>
      </c>
      <c r="J99" s="974">
        <v>0</v>
      </c>
      <c r="K99" s="974">
        <v>0</v>
      </c>
    </row>
    <row r="100" spans="1:11">
      <c r="A100" s="321" t="s">
        <v>1253</v>
      </c>
      <c r="B100" s="1064" t="s">
        <v>1495</v>
      </c>
      <c r="C100" s="1064" t="s">
        <v>849</v>
      </c>
      <c r="D100" s="896">
        <v>1033382.21</v>
      </c>
      <c r="E100" s="896">
        <v>1064887.06</v>
      </c>
      <c r="F100" s="42">
        <f t="shared" si="6"/>
        <v>1</v>
      </c>
      <c r="G100" s="896">
        <f>D100*F100</f>
        <v>1033382.21</v>
      </c>
      <c r="H100" s="896">
        <f t="shared" si="8"/>
        <v>1064887.06</v>
      </c>
      <c r="J100" s="974">
        <v>1</v>
      </c>
      <c r="K100" s="974">
        <v>1</v>
      </c>
    </row>
    <row r="101" spans="1:11">
      <c r="A101" s="321" t="s">
        <v>1254</v>
      </c>
      <c r="B101" s="1064" t="s">
        <v>1495</v>
      </c>
      <c r="C101" s="1064" t="s">
        <v>848</v>
      </c>
      <c r="D101" s="896">
        <v>291673.41000000003</v>
      </c>
      <c r="E101" s="896">
        <v>286067.49</v>
      </c>
      <c r="F101" s="42">
        <f>J101*K101</f>
        <v>0</v>
      </c>
      <c r="G101" s="896">
        <f t="shared" si="7"/>
        <v>0</v>
      </c>
      <c r="H101" s="896">
        <f t="shared" si="8"/>
        <v>0</v>
      </c>
      <c r="J101" s="974">
        <v>0</v>
      </c>
      <c r="K101" s="974">
        <v>0</v>
      </c>
    </row>
    <row r="102" spans="1:11">
      <c r="A102" s="321" t="s">
        <v>1255</v>
      </c>
      <c r="B102" s="1064" t="s">
        <v>1470</v>
      </c>
      <c r="C102" s="1064" t="s">
        <v>848</v>
      </c>
      <c r="D102" s="896">
        <v>55482.009999976377</v>
      </c>
      <c r="E102" s="896">
        <v>99232.009999975562</v>
      </c>
      <c r="F102" s="42">
        <f t="shared" ref="F102:F117" si="9">J102*K102</f>
        <v>0</v>
      </c>
      <c r="G102" s="896">
        <f t="shared" si="7"/>
        <v>0</v>
      </c>
      <c r="H102" s="896">
        <f t="shared" si="8"/>
        <v>0</v>
      </c>
      <c r="J102" s="974">
        <v>0</v>
      </c>
      <c r="K102" s="974">
        <v>0</v>
      </c>
    </row>
    <row r="103" spans="1:11">
      <c r="A103" s="321" t="s">
        <v>1256</v>
      </c>
      <c r="B103" s="1064" t="s">
        <v>1239</v>
      </c>
      <c r="C103" s="1064" t="s">
        <v>1348</v>
      </c>
      <c r="D103" s="896">
        <v>2112944.1700000027</v>
      </c>
      <c r="E103" s="896">
        <v>1643048.4700000051</v>
      </c>
      <c r="F103" s="42">
        <f t="shared" si="9"/>
        <v>9.6820376219981213E-2</v>
      </c>
      <c r="G103" s="896">
        <f t="shared" si="7"/>
        <v>204576.04947121622</v>
      </c>
      <c r="H103" s="896">
        <f t="shared" si="8"/>
        <v>159080.571013065</v>
      </c>
      <c r="J103" s="974">
        <v>0.77180000000000004</v>
      </c>
      <c r="K103" s="974">
        <v>0.12544749445449754</v>
      </c>
    </row>
    <row r="104" spans="1:11">
      <c r="A104" s="321" t="s">
        <v>1257</v>
      </c>
      <c r="B104" s="1064" t="s">
        <v>1525</v>
      </c>
      <c r="C104" s="1064" t="s">
        <v>848</v>
      </c>
      <c r="D104" s="896">
        <v>5369998.7899999954</v>
      </c>
      <c r="E104" s="896">
        <v>5673436.8399999943</v>
      </c>
      <c r="F104" s="42">
        <f t="shared" si="9"/>
        <v>0</v>
      </c>
      <c r="G104" s="896">
        <f t="shared" si="7"/>
        <v>0</v>
      </c>
      <c r="H104" s="896">
        <f t="shared" si="8"/>
        <v>0</v>
      </c>
      <c r="J104" s="974">
        <v>0</v>
      </c>
      <c r="K104" s="974">
        <v>0</v>
      </c>
    </row>
    <row r="105" spans="1:11">
      <c r="A105" s="321" t="s">
        <v>1258</v>
      </c>
      <c r="B105" s="1064" t="s">
        <v>1240</v>
      </c>
      <c r="C105" s="1064" t="s">
        <v>1348</v>
      </c>
      <c r="D105" s="896">
        <v>56373.87</v>
      </c>
      <c r="E105" s="896">
        <v>8108.11</v>
      </c>
      <c r="F105" s="42">
        <f t="shared" si="9"/>
        <v>0.10221335168569814</v>
      </c>
      <c r="G105" s="896">
        <f t="shared" si="7"/>
        <v>5762.1622001938285</v>
      </c>
      <c r="H105" s="896">
        <f t="shared" si="8"/>
        <v>828.75709893632597</v>
      </c>
      <c r="J105" s="974">
        <v>0.81478990178455168</v>
      </c>
      <c r="K105" s="974">
        <v>0.12544749445449754</v>
      </c>
    </row>
    <row r="106" spans="1:11">
      <c r="A106" s="321" t="s">
        <v>1259</v>
      </c>
      <c r="B106" s="1064" t="s">
        <v>1471</v>
      </c>
      <c r="C106" s="1064" t="s">
        <v>848</v>
      </c>
      <c r="D106" s="896">
        <v>589535.97</v>
      </c>
      <c r="E106" s="896">
        <v>599010.67000000016</v>
      </c>
      <c r="F106" s="42">
        <f t="shared" si="9"/>
        <v>0</v>
      </c>
      <c r="G106" s="896">
        <f t="shared" si="7"/>
        <v>0</v>
      </c>
      <c r="H106" s="896">
        <f t="shared" si="8"/>
        <v>0</v>
      </c>
      <c r="J106" s="974">
        <v>0</v>
      </c>
      <c r="K106" s="974">
        <v>0</v>
      </c>
    </row>
    <row r="107" spans="1:11">
      <c r="A107" s="321" t="s">
        <v>1260</v>
      </c>
      <c r="B107" s="1064" t="s">
        <v>1526</v>
      </c>
      <c r="C107" s="1064" t="s">
        <v>1348</v>
      </c>
      <c r="D107" s="896">
        <v>4878615.07</v>
      </c>
      <c r="E107" s="896">
        <v>3449380.26</v>
      </c>
      <c r="F107" s="42">
        <f t="shared" si="9"/>
        <v>0.10221335168569814</v>
      </c>
      <c r="G107" s="896">
        <f t="shared" si="7"/>
        <v>498659.59788905689</v>
      </c>
      <c r="H107" s="896">
        <f t="shared" si="8"/>
        <v>352572.71761308488</v>
      </c>
      <c r="J107" s="974">
        <v>0.81478990178455168</v>
      </c>
      <c r="K107" s="974">
        <v>0.12544749445449754</v>
      </c>
    </row>
    <row r="108" spans="1:11">
      <c r="A108" s="321" t="s">
        <v>1261</v>
      </c>
      <c r="B108" s="1064" t="s">
        <v>1468</v>
      </c>
      <c r="C108" s="1064" t="s">
        <v>849</v>
      </c>
      <c r="D108" s="896">
        <v>21644.74</v>
      </c>
      <c r="E108" s="896">
        <v>12986.844000000001</v>
      </c>
      <c r="F108" s="42">
        <f t="shared" si="9"/>
        <v>1</v>
      </c>
      <c r="G108" s="896">
        <f t="shared" si="7"/>
        <v>21644.74</v>
      </c>
      <c r="H108" s="896">
        <f t="shared" si="8"/>
        <v>12986.844000000001</v>
      </c>
      <c r="J108" s="974">
        <v>1</v>
      </c>
      <c r="K108" s="974">
        <v>1</v>
      </c>
    </row>
    <row r="109" spans="1:11">
      <c r="A109" s="321" t="s">
        <v>1262</v>
      </c>
      <c r="B109" s="1064" t="s">
        <v>1468</v>
      </c>
      <c r="C109" s="1064" t="s">
        <v>848</v>
      </c>
      <c r="D109" s="896">
        <v>232999.26</v>
      </c>
      <c r="E109" s="896">
        <v>139799.55600000001</v>
      </c>
      <c r="F109" s="42">
        <f t="shared" si="9"/>
        <v>0</v>
      </c>
      <c r="G109" s="896">
        <f t="shared" si="7"/>
        <v>0</v>
      </c>
      <c r="H109" s="896">
        <f t="shared" si="8"/>
        <v>0</v>
      </c>
      <c r="J109" s="974">
        <v>0</v>
      </c>
      <c r="K109" s="974">
        <v>0</v>
      </c>
    </row>
    <row r="110" spans="1:11">
      <c r="A110" s="321" t="s">
        <v>1263</v>
      </c>
      <c r="B110" s="1064" t="s">
        <v>1472</v>
      </c>
      <c r="C110" s="1064" t="s">
        <v>848</v>
      </c>
      <c r="D110" s="896">
        <v>3.0013325158506632E-11</v>
      </c>
      <c r="E110" s="896">
        <v>0</v>
      </c>
      <c r="F110" s="42">
        <f t="shared" si="9"/>
        <v>0</v>
      </c>
      <c r="G110" s="896">
        <f t="shared" si="7"/>
        <v>0</v>
      </c>
      <c r="H110" s="896">
        <f t="shared" si="8"/>
        <v>0</v>
      </c>
      <c r="J110" s="974">
        <v>0</v>
      </c>
      <c r="K110" s="974">
        <v>0</v>
      </c>
    </row>
    <row r="111" spans="1:11">
      <c r="A111" s="321" t="s">
        <v>1264</v>
      </c>
      <c r="B111" s="1064" t="s">
        <v>1496</v>
      </c>
      <c r="C111" s="1064" t="s">
        <v>1348</v>
      </c>
      <c r="D111" s="896">
        <v>265887.99999999971</v>
      </c>
      <c r="E111" s="896">
        <v>227775.68000000017</v>
      </c>
      <c r="F111" s="42">
        <f t="shared" si="9"/>
        <v>9.6820376219981213E-2</v>
      </c>
      <c r="G111" s="896">
        <f t="shared" si="7"/>
        <v>25743.376192378335</v>
      </c>
      <c r="H111" s="896">
        <f t="shared" si="8"/>
        <v>22053.327031362067</v>
      </c>
      <c r="J111" s="974">
        <v>0.77180000000000004</v>
      </c>
      <c r="K111" s="974">
        <v>0.12544749445449754</v>
      </c>
    </row>
    <row r="112" spans="1:11">
      <c r="A112" s="321" t="s">
        <v>1497</v>
      </c>
      <c r="B112" s="1064" t="s">
        <v>1755</v>
      </c>
      <c r="C112" s="1064" t="s">
        <v>849</v>
      </c>
      <c r="D112" s="896">
        <v>0</v>
      </c>
      <c r="E112" s="896">
        <v>800000</v>
      </c>
      <c r="F112" s="42">
        <v>1</v>
      </c>
      <c r="G112" s="896">
        <f t="shared" ref="G112:G113" si="10">D112*F112</f>
        <v>0</v>
      </c>
      <c r="H112" s="896">
        <f t="shared" ref="H112:H113" si="11">E112*F112</f>
        <v>800000</v>
      </c>
      <c r="J112" s="974">
        <v>1</v>
      </c>
      <c r="K112" s="974">
        <v>1</v>
      </c>
    </row>
    <row r="113" spans="1:11">
      <c r="A113" s="321" t="s">
        <v>1498</v>
      </c>
      <c r="B113" s="1064" t="s">
        <v>1756</v>
      </c>
      <c r="C113" s="1064" t="s">
        <v>848</v>
      </c>
      <c r="D113" s="896">
        <v>0</v>
      </c>
      <c r="E113" s="896">
        <v>10015.76</v>
      </c>
      <c r="F113" s="42">
        <v>0</v>
      </c>
      <c r="G113" s="896">
        <f t="shared" si="10"/>
        <v>0</v>
      </c>
      <c r="H113" s="896">
        <f t="shared" si="11"/>
        <v>0</v>
      </c>
      <c r="J113" s="974">
        <v>0</v>
      </c>
      <c r="K113" s="974">
        <v>0</v>
      </c>
    </row>
    <row r="114" spans="1:11">
      <c r="A114" s="321" t="s">
        <v>1499</v>
      </c>
      <c r="B114" s="1064" t="s">
        <v>1737</v>
      </c>
      <c r="C114" s="1064" t="s">
        <v>848</v>
      </c>
      <c r="D114" s="896">
        <v>393529.74999999994</v>
      </c>
      <c r="E114" s="896">
        <v>0</v>
      </c>
      <c r="F114" s="42">
        <f t="shared" si="9"/>
        <v>0</v>
      </c>
      <c r="G114" s="896">
        <f t="shared" si="7"/>
        <v>0</v>
      </c>
      <c r="H114" s="896">
        <f t="shared" si="8"/>
        <v>0</v>
      </c>
      <c r="J114" s="974">
        <v>0</v>
      </c>
      <c r="K114" s="974">
        <v>0</v>
      </c>
    </row>
    <row r="115" spans="1:11">
      <c r="A115" s="321" t="s">
        <v>1500</v>
      </c>
      <c r="B115" s="1064" t="s">
        <v>1738</v>
      </c>
      <c r="C115" s="1064" t="s">
        <v>848</v>
      </c>
      <c r="D115" s="896">
        <v>168252.36</v>
      </c>
      <c r="E115" s="896">
        <v>142532.4</v>
      </c>
      <c r="F115" s="42">
        <f t="shared" si="9"/>
        <v>0</v>
      </c>
      <c r="G115" s="896">
        <f t="shared" si="7"/>
        <v>0</v>
      </c>
      <c r="H115" s="896">
        <f t="shared" si="8"/>
        <v>0</v>
      </c>
      <c r="J115" s="974">
        <v>0</v>
      </c>
      <c r="K115" s="974">
        <v>0</v>
      </c>
    </row>
    <row r="116" spans="1:11">
      <c r="A116" s="321" t="s">
        <v>1720</v>
      </c>
      <c r="B116" s="1064" t="s">
        <v>1739</v>
      </c>
      <c r="C116" s="1064" t="s">
        <v>848</v>
      </c>
      <c r="D116" s="896">
        <v>86716.379999999976</v>
      </c>
      <c r="E116" s="896">
        <v>86716.329999999958</v>
      </c>
      <c r="F116" s="42">
        <f t="shared" si="9"/>
        <v>0</v>
      </c>
      <c r="G116" s="896">
        <f t="shared" si="7"/>
        <v>0</v>
      </c>
      <c r="H116" s="896">
        <f t="shared" si="8"/>
        <v>0</v>
      </c>
      <c r="J116" s="974">
        <v>0</v>
      </c>
      <c r="K116" s="974">
        <v>0</v>
      </c>
    </row>
    <row r="117" spans="1:11">
      <c r="A117" s="321" t="s">
        <v>1721</v>
      </c>
      <c r="B117" s="1064" t="s">
        <v>1740</v>
      </c>
      <c r="C117" s="1064" t="s">
        <v>848</v>
      </c>
      <c r="D117" s="896">
        <v>0</v>
      </c>
      <c r="E117" s="896">
        <v>0</v>
      </c>
      <c r="F117" s="42">
        <f t="shared" si="9"/>
        <v>0</v>
      </c>
      <c r="G117" s="896">
        <f t="shared" si="7"/>
        <v>0</v>
      </c>
      <c r="H117" s="896">
        <f t="shared" si="8"/>
        <v>0</v>
      </c>
      <c r="J117" s="974">
        <v>0</v>
      </c>
      <c r="K117" s="974">
        <v>0</v>
      </c>
    </row>
    <row r="118" spans="1:11">
      <c r="A118" s="321" t="s">
        <v>1728</v>
      </c>
      <c r="B118" s="973" t="s">
        <v>1726</v>
      </c>
      <c r="C118" s="973" t="s">
        <v>848</v>
      </c>
      <c r="D118" s="896">
        <v>1692407.8600000003</v>
      </c>
      <c r="E118" s="896">
        <v>303914.25000000035</v>
      </c>
      <c r="F118" s="42">
        <f>J118*K118</f>
        <v>0</v>
      </c>
      <c r="G118" s="896">
        <f t="shared" si="7"/>
        <v>0</v>
      </c>
      <c r="H118" s="896">
        <f t="shared" si="8"/>
        <v>0</v>
      </c>
      <c r="J118" s="974">
        <v>0</v>
      </c>
      <c r="K118" s="974">
        <v>0</v>
      </c>
    </row>
    <row r="119" spans="1:11">
      <c r="A119" s="321" t="s">
        <v>1729</v>
      </c>
      <c r="B119" s="973" t="s">
        <v>1741</v>
      </c>
      <c r="C119" s="898" t="s">
        <v>849</v>
      </c>
      <c r="D119" s="896">
        <v>0</v>
      </c>
      <c r="E119" s="896">
        <v>0</v>
      </c>
      <c r="F119" s="42">
        <f t="shared" ref="F119:F121" si="12">J119*K119</f>
        <v>1</v>
      </c>
      <c r="G119" s="896">
        <f t="shared" si="7"/>
        <v>0</v>
      </c>
      <c r="H119" s="896">
        <f t="shared" si="8"/>
        <v>0</v>
      </c>
      <c r="J119" s="974">
        <v>1</v>
      </c>
      <c r="K119" s="974">
        <v>1</v>
      </c>
    </row>
    <row r="120" spans="1:11">
      <c r="A120" s="321" t="s">
        <v>1753</v>
      </c>
      <c r="B120" s="973" t="s">
        <v>1727</v>
      </c>
      <c r="C120" s="898" t="s">
        <v>848</v>
      </c>
      <c r="D120" s="896">
        <v>0</v>
      </c>
      <c r="E120" s="896">
        <v>0</v>
      </c>
      <c r="F120" s="42">
        <f t="shared" si="12"/>
        <v>0</v>
      </c>
      <c r="G120" s="896">
        <f t="shared" si="7"/>
        <v>0</v>
      </c>
      <c r="H120" s="896">
        <f t="shared" si="8"/>
        <v>0</v>
      </c>
      <c r="J120" s="974">
        <v>0</v>
      </c>
      <c r="K120" s="974">
        <v>0</v>
      </c>
    </row>
    <row r="121" spans="1:11">
      <c r="A121" s="321" t="s">
        <v>1754</v>
      </c>
      <c r="B121" s="973" t="s">
        <v>1725</v>
      </c>
      <c r="C121" s="898" t="s">
        <v>848</v>
      </c>
      <c r="D121" s="896">
        <v>0</v>
      </c>
      <c r="E121" s="896">
        <v>51113137.530000001</v>
      </c>
      <c r="F121" s="42">
        <f t="shared" si="12"/>
        <v>0</v>
      </c>
      <c r="G121" s="896">
        <f t="shared" si="7"/>
        <v>0</v>
      </c>
      <c r="H121" s="896">
        <f t="shared" si="8"/>
        <v>0</v>
      </c>
      <c r="J121" s="974">
        <v>0</v>
      </c>
      <c r="K121" s="974">
        <v>0</v>
      </c>
    </row>
    <row r="122" spans="1:11">
      <c r="A122" s="1097" t="s">
        <v>296</v>
      </c>
      <c r="B122" s="1106"/>
      <c r="C122" s="898"/>
      <c r="D122" s="896"/>
      <c r="E122" s="896"/>
      <c r="F122" s="42"/>
      <c r="G122" s="896"/>
      <c r="H122" s="896"/>
      <c r="J122" s="974"/>
      <c r="K122" s="974"/>
    </row>
    <row r="123" spans="1:11">
      <c r="A123" s="321" t="s">
        <v>1265</v>
      </c>
      <c r="B123" s="897"/>
      <c r="C123" s="898"/>
      <c r="D123" s="896"/>
      <c r="E123" s="896"/>
      <c r="F123" s="42"/>
      <c r="G123" s="896"/>
      <c r="H123" s="896"/>
      <c r="J123" s="974"/>
      <c r="K123" s="974"/>
    </row>
    <row r="124" spans="1:11">
      <c r="B124" s="21" t="s">
        <v>1266</v>
      </c>
      <c r="D124" s="39">
        <f>SUM(D91:D123)</f>
        <v>19522583.279999971</v>
      </c>
      <c r="E124" s="39">
        <f>SUM(E91:E123)</f>
        <v>67832500.229999974</v>
      </c>
      <c r="G124" s="39">
        <f>SUM(G91:G123)</f>
        <v>1896971.5932219182</v>
      </c>
      <c r="H124" s="39">
        <f>SUM(H91:H123)</f>
        <v>2481592.2761817314</v>
      </c>
    </row>
  </sheetData>
  <sheetProtection algorithmName="SHA-512" hashValue="6jLQNjAivTf2WNBYsRBewJF843CwrnfCybVboyKkE+FMv7Zfuqm1HJhN1J0QQ3xdp2P4B7/l2DaQLytja4TmPg==" saltValue="bixclp7cQLMtmC1K0Ncptw=="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4"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100"/>
  <sheetViews>
    <sheetView view="pageBreakPreview" topLeftCell="A62" zoomScale="70" zoomScaleNormal="70" zoomScaleSheetLayoutView="70" workbookViewId="0">
      <selection activeCell="G90" sqref="G90"/>
    </sheetView>
  </sheetViews>
  <sheetFormatPr defaultColWidth="8.88671875" defaultRowHeight="13.9"/>
  <cols>
    <col min="1" max="1" width="8.88671875" style="366"/>
    <col min="2" max="2" width="9.88671875" style="367" customWidth="1"/>
    <col min="3" max="3" width="19" style="367" customWidth="1"/>
    <col min="4" max="4" width="8.88671875" style="368"/>
    <col min="5" max="5" width="13.88671875" style="367" customWidth="1"/>
    <col min="6" max="6" width="16.44140625" style="367" customWidth="1"/>
    <col min="7" max="7" width="12.5546875" style="367" customWidth="1"/>
    <col min="8" max="8" width="12.6640625" style="367" customWidth="1"/>
    <col min="9" max="9" width="11.88671875" style="367" customWidth="1"/>
    <col min="10" max="10" width="13.109375" style="367" customWidth="1"/>
    <col min="11" max="11" width="11.88671875" style="367" bestFit="1" customWidth="1"/>
    <col min="12" max="12" width="17.33203125" style="367" customWidth="1"/>
    <col min="13" max="13" width="13.109375" style="367" customWidth="1"/>
    <col min="14" max="14" width="11.88671875" style="367" bestFit="1" customWidth="1"/>
    <col min="15" max="15" width="19.6640625" style="370" customWidth="1"/>
    <col min="16" max="18" width="8.88671875" style="370"/>
    <col min="19" max="19" width="11" style="370" customWidth="1"/>
    <col min="20" max="29" width="8.88671875" style="370"/>
    <col min="30" max="16384" width="8.88671875" style="367"/>
  </cols>
  <sheetData>
    <row r="1" spans="1:19" ht="15.4">
      <c r="M1" s="369"/>
    </row>
    <row r="2" spans="1:19" ht="15.4">
      <c r="G2" s="163" t="s">
        <v>980</v>
      </c>
      <c r="M2" s="369" t="s">
        <v>450</v>
      </c>
    </row>
    <row r="3" spans="1:19" ht="15.4">
      <c r="G3" s="371" t="str">
        <f>'Attachment H-7'!$D$5</f>
        <v>PECO Energy Company</v>
      </c>
      <c r="M3" s="369" t="s">
        <v>422</v>
      </c>
    </row>
    <row r="4" spans="1:19">
      <c r="B4" s="372"/>
      <c r="C4" s="372"/>
      <c r="D4" s="373"/>
      <c r="E4" s="372"/>
      <c r="F4" s="372"/>
      <c r="G4" s="374" t="s">
        <v>451</v>
      </c>
      <c r="H4" s="372"/>
      <c r="I4" s="372"/>
      <c r="J4" s="372"/>
      <c r="K4" s="372"/>
      <c r="L4" s="372"/>
      <c r="M4" s="372"/>
    </row>
    <row r="5" spans="1:19" ht="15.4">
      <c r="E5" s="366"/>
      <c r="F5" s="366"/>
      <c r="G5" s="366"/>
      <c r="H5" s="366"/>
      <c r="I5" s="366"/>
      <c r="J5" s="366"/>
      <c r="K5" s="366"/>
      <c r="L5" s="366"/>
      <c r="M5" s="369" t="s">
        <v>1899</v>
      </c>
    </row>
    <row r="6" spans="1:19">
      <c r="E6" s="366"/>
      <c r="F6" s="366"/>
      <c r="G6" s="366"/>
      <c r="H6" s="366"/>
      <c r="I6" s="366"/>
      <c r="J6" s="366"/>
      <c r="K6" s="366"/>
      <c r="L6" s="366"/>
    </row>
    <row r="7" spans="1:19">
      <c r="A7" s="375" t="s">
        <v>452</v>
      </c>
      <c r="E7" s="366"/>
      <c r="F7" s="366"/>
      <c r="G7" s="366"/>
      <c r="H7" s="366"/>
      <c r="I7" s="366"/>
      <c r="J7" s="366"/>
      <c r="K7" s="366"/>
      <c r="L7" s="366"/>
    </row>
    <row r="8" spans="1:19">
      <c r="E8" s="366"/>
      <c r="F8" s="366"/>
      <c r="G8" s="366"/>
      <c r="H8" s="366"/>
      <c r="I8" s="366"/>
      <c r="J8" s="366"/>
      <c r="K8" s="366"/>
      <c r="L8" s="366"/>
    </row>
    <row r="9" spans="1:19">
      <c r="B9" s="367" t="s">
        <v>198</v>
      </c>
      <c r="C9" s="367" t="s">
        <v>199</v>
      </c>
      <c r="D9" s="368" t="s">
        <v>200</v>
      </c>
      <c r="E9" s="366" t="s">
        <v>201</v>
      </c>
      <c r="F9" s="366" t="s">
        <v>203</v>
      </c>
      <c r="G9" s="366" t="s">
        <v>202</v>
      </c>
      <c r="H9" s="366" t="s">
        <v>204</v>
      </c>
      <c r="I9" s="366" t="s">
        <v>1072</v>
      </c>
      <c r="J9" s="366" t="s">
        <v>206</v>
      </c>
      <c r="K9" s="366" t="s">
        <v>244</v>
      </c>
      <c r="L9" s="366" t="s">
        <v>248</v>
      </c>
      <c r="M9" s="366" t="s">
        <v>453</v>
      </c>
    </row>
    <row r="10" spans="1:19">
      <c r="B10" s="366" t="s">
        <v>454</v>
      </c>
      <c r="C10" s="367" t="s">
        <v>167</v>
      </c>
      <c r="D10" s="368" t="s">
        <v>75</v>
      </c>
      <c r="E10" s="366" t="s">
        <v>455</v>
      </c>
      <c r="F10" s="366" t="s">
        <v>456</v>
      </c>
      <c r="G10" s="376">
        <v>1</v>
      </c>
      <c r="H10" s="366" t="s">
        <v>457</v>
      </c>
      <c r="I10" s="366" t="s">
        <v>458</v>
      </c>
      <c r="J10" s="366" t="s">
        <v>1053</v>
      </c>
      <c r="K10" s="366" t="s">
        <v>459</v>
      </c>
      <c r="L10" s="366" t="s">
        <v>460</v>
      </c>
      <c r="M10" s="366" t="s">
        <v>227</v>
      </c>
    </row>
    <row r="11" spans="1:19">
      <c r="B11" s="366" t="s">
        <v>461</v>
      </c>
      <c r="E11" s="366" t="s">
        <v>462</v>
      </c>
      <c r="F11" s="366" t="s">
        <v>463</v>
      </c>
      <c r="G11" s="366" t="s">
        <v>17</v>
      </c>
      <c r="H11" s="376" t="s">
        <v>464</v>
      </c>
      <c r="I11" s="366" t="s">
        <v>465</v>
      </c>
      <c r="J11" s="376" t="s">
        <v>466</v>
      </c>
      <c r="K11" s="366" t="s">
        <v>467</v>
      </c>
      <c r="L11" s="376" t="s">
        <v>468</v>
      </c>
      <c r="M11" s="366" t="s">
        <v>469</v>
      </c>
    </row>
    <row r="12" spans="1:19">
      <c r="B12" s="366" t="s">
        <v>470</v>
      </c>
      <c r="E12" s="366"/>
      <c r="F12" s="366"/>
      <c r="G12" s="366"/>
      <c r="H12" s="377">
        <v>1</v>
      </c>
      <c r="I12" s="366"/>
      <c r="J12" s="378">
        <f>+'Attachment H-7'!G54</f>
        <v>0.16558235222006093</v>
      </c>
      <c r="K12" s="379"/>
      <c r="L12" s="378">
        <f>+'Attachment H-7'!I206</f>
        <v>0.12544749445449754</v>
      </c>
      <c r="M12" s="366" t="s">
        <v>471</v>
      </c>
    </row>
    <row r="13" spans="1:19" ht="15.4">
      <c r="B13" s="366" t="s">
        <v>472</v>
      </c>
      <c r="E13" s="366"/>
      <c r="F13" s="366"/>
      <c r="G13" s="366"/>
      <c r="H13" s="380"/>
      <c r="I13" s="366"/>
      <c r="J13" s="366" t="s">
        <v>473</v>
      </c>
      <c r="K13" s="366"/>
      <c r="L13" s="366" t="s">
        <v>473</v>
      </c>
      <c r="M13" s="366"/>
      <c r="O13" s="381"/>
    </row>
    <row r="14" spans="1:19">
      <c r="B14" s="370"/>
      <c r="C14" s="382" t="s">
        <v>474</v>
      </c>
      <c r="E14" s="366"/>
      <c r="F14" s="366"/>
      <c r="G14" s="366"/>
      <c r="H14" s="366"/>
      <c r="I14" s="366"/>
      <c r="J14" s="366" t="s">
        <v>475</v>
      </c>
      <c r="K14" s="366"/>
      <c r="L14" s="366" t="s">
        <v>476</v>
      </c>
      <c r="M14" s="366"/>
    </row>
    <row r="15" spans="1:19" ht="15.4">
      <c r="A15" s="366">
        <v>1</v>
      </c>
      <c r="B15" s="367" t="s">
        <v>477</v>
      </c>
      <c r="C15" s="367" t="s">
        <v>196</v>
      </c>
      <c r="D15" s="916">
        <v>2024</v>
      </c>
      <c r="E15" s="383">
        <v>1</v>
      </c>
      <c r="F15" s="915">
        <v>0</v>
      </c>
      <c r="G15" s="915">
        <f>'4C - ADIT EOY'!E111</f>
        <v>-223173209.23925972</v>
      </c>
      <c r="H15" s="914">
        <f t="shared" ref="H15:H27" si="0">+H$12*G15</f>
        <v>-223173209.23925972</v>
      </c>
      <c r="I15" s="915">
        <f>'4C - ADIT EOY'!F111</f>
        <v>0</v>
      </c>
      <c r="J15" s="914">
        <f t="shared" ref="J15:J27" si="1">+I15*J$12</f>
        <v>0</v>
      </c>
      <c r="K15" s="915">
        <f>'4C - ADIT EOY'!G111</f>
        <v>-87738885.746777043</v>
      </c>
      <c r="L15" s="914">
        <f t="shared" ref="J15:L29" si="2">+K15*L$12</f>
        <v>-11006623.383162607</v>
      </c>
      <c r="M15" s="915">
        <f t="shared" ref="M15:M27" si="3">(L15+J15+H15)*E15</f>
        <v>-234179832.62242234</v>
      </c>
      <c r="N15" s="384"/>
      <c r="O15" s="385"/>
      <c r="P15" s="385"/>
      <c r="Q15" s="385"/>
      <c r="R15" s="385"/>
      <c r="S15" s="385"/>
    </row>
    <row r="16" spans="1:19" ht="15.4">
      <c r="A16" s="366">
        <v>2</v>
      </c>
      <c r="B16" s="367" t="s">
        <v>478</v>
      </c>
      <c r="C16" s="367" t="s">
        <v>84</v>
      </c>
      <c r="D16" s="909">
        <f>+D15+1</f>
        <v>2025</v>
      </c>
      <c r="E16" s="383">
        <v>0.9178082191780822</v>
      </c>
      <c r="F16" s="914">
        <v>0</v>
      </c>
      <c r="G16" s="914">
        <v>-286529.19935153751</v>
      </c>
      <c r="H16" s="914">
        <f t="shared" si="0"/>
        <v>-286529.19935153751</v>
      </c>
      <c r="I16" s="914">
        <v>0</v>
      </c>
      <c r="J16" s="914">
        <f t="shared" si="1"/>
        <v>0</v>
      </c>
      <c r="K16" s="914">
        <v>-628774.35783199116</v>
      </c>
      <c r="L16" s="914">
        <f t="shared" si="2"/>
        <v>-78878.167767258972</v>
      </c>
      <c r="M16" s="915">
        <f t="shared" si="3"/>
        <v>-335373.88488985429</v>
      </c>
      <c r="N16" s="386"/>
      <c r="O16" s="387"/>
      <c r="P16" s="385"/>
      <c r="Q16" s="385"/>
      <c r="R16" s="385"/>
      <c r="S16" s="385"/>
    </row>
    <row r="17" spans="1:19" ht="15.4">
      <c r="A17" s="366">
        <f>+A16+1</f>
        <v>3</v>
      </c>
      <c r="B17" s="367" t="s">
        <v>478</v>
      </c>
      <c r="C17" s="370" t="s">
        <v>83</v>
      </c>
      <c r="D17" s="909">
        <f>+D16</f>
        <v>2025</v>
      </c>
      <c r="E17" s="383">
        <v>0.84109589041095889</v>
      </c>
      <c r="F17" s="914">
        <f>+F16</f>
        <v>0</v>
      </c>
      <c r="G17" s="914">
        <v>-286962.83115176338</v>
      </c>
      <c r="H17" s="914">
        <f t="shared" si="0"/>
        <v>-286962.83115176338</v>
      </c>
      <c r="I17" s="914">
        <v>0</v>
      </c>
      <c r="J17" s="914">
        <f t="shared" si="1"/>
        <v>0</v>
      </c>
      <c r="K17" s="914">
        <v>-629725.94167524227</v>
      </c>
      <c r="L17" s="914">
        <f t="shared" si="2"/>
        <v>-78997.541576158197</v>
      </c>
      <c r="M17" s="915">
        <f t="shared" si="3"/>
        <v>-307807.76555471763</v>
      </c>
      <c r="N17" s="386"/>
      <c r="O17" s="388"/>
      <c r="P17" s="389"/>
      <c r="Q17" s="390"/>
      <c r="R17" s="390"/>
      <c r="S17" s="390"/>
    </row>
    <row r="18" spans="1:19" ht="15.4">
      <c r="A18" s="366">
        <f t="shared" ref="A18:A30" si="4">+A17+1</f>
        <v>4</v>
      </c>
      <c r="B18" s="367" t="s">
        <v>478</v>
      </c>
      <c r="C18" s="370" t="s">
        <v>82</v>
      </c>
      <c r="D18" s="909">
        <f t="shared" ref="D18:D29" si="5">+D17</f>
        <v>2025</v>
      </c>
      <c r="E18" s="383">
        <v>0.75616438356164384</v>
      </c>
      <c r="F18" s="914">
        <f>+F17</f>
        <v>0</v>
      </c>
      <c r="G18" s="914">
        <v>-287353.01055254514</v>
      </c>
      <c r="H18" s="914">
        <f t="shared" si="0"/>
        <v>-287353.01055254514</v>
      </c>
      <c r="I18" s="914">
        <v>0</v>
      </c>
      <c r="J18" s="914">
        <f t="shared" si="1"/>
        <v>0</v>
      </c>
      <c r="K18" s="914">
        <v>-630582.17134649761</v>
      </c>
      <c r="L18" s="914">
        <f t="shared" si="2"/>
        <v>-79104.953443094782</v>
      </c>
      <c r="M18" s="915">
        <f t="shared" si="3"/>
        <v>-277102.46044601814</v>
      </c>
      <c r="N18" s="386"/>
      <c r="O18" s="389"/>
      <c r="P18" s="391"/>
      <c r="Q18" s="390"/>
      <c r="R18" s="390"/>
      <c r="S18" s="392"/>
    </row>
    <row r="19" spans="1:19" ht="15.4">
      <c r="A19" s="366">
        <f t="shared" si="4"/>
        <v>5</v>
      </c>
      <c r="B19" s="367" t="s">
        <v>478</v>
      </c>
      <c r="C19" s="370" t="s">
        <v>74</v>
      </c>
      <c r="D19" s="909">
        <f t="shared" si="5"/>
        <v>2025</v>
      </c>
      <c r="E19" s="383">
        <v>0.67397260273972603</v>
      </c>
      <c r="F19" s="914">
        <f t="shared" ref="F19:F27" si="6">+F18</f>
        <v>0</v>
      </c>
      <c r="G19" s="914">
        <v>-282987.66292354395</v>
      </c>
      <c r="H19" s="914">
        <f t="shared" si="0"/>
        <v>-282987.66292354395</v>
      </c>
      <c r="I19" s="914">
        <v>0</v>
      </c>
      <c r="J19" s="914">
        <f t="shared" si="1"/>
        <v>0</v>
      </c>
      <c r="K19" s="914">
        <v>-621002.62881348305</v>
      </c>
      <c r="L19" s="914">
        <f t="shared" si="2"/>
        <v>-77903.223834307806</v>
      </c>
      <c r="M19" s="915">
        <f t="shared" si="3"/>
        <v>-243230.57025323706</v>
      </c>
      <c r="N19" s="386"/>
      <c r="O19" s="389"/>
      <c r="P19" s="391"/>
      <c r="Q19" s="390"/>
      <c r="R19" s="390"/>
      <c r="S19" s="392"/>
    </row>
    <row r="20" spans="1:19" ht="15.4">
      <c r="A20" s="366">
        <f t="shared" si="4"/>
        <v>6</v>
      </c>
      <c r="B20" s="367" t="s">
        <v>478</v>
      </c>
      <c r="C20" s="370" t="s">
        <v>73</v>
      </c>
      <c r="D20" s="909">
        <f t="shared" si="5"/>
        <v>2025</v>
      </c>
      <c r="E20" s="383">
        <v>0.58904109589041098</v>
      </c>
      <c r="F20" s="914">
        <f t="shared" si="6"/>
        <v>0</v>
      </c>
      <c r="G20" s="914">
        <v>-278207.02539868798</v>
      </c>
      <c r="H20" s="914">
        <f t="shared" si="0"/>
        <v>-278207.02539868798</v>
      </c>
      <c r="I20" s="914">
        <v>0</v>
      </c>
      <c r="J20" s="914">
        <f t="shared" si="1"/>
        <v>0</v>
      </c>
      <c r="K20" s="914">
        <v>-610511.75285207399</v>
      </c>
      <c r="L20" s="914">
        <f t="shared" si="2"/>
        <v>-76587.16973031612</v>
      </c>
      <c r="M20" s="915">
        <f t="shared" si="3"/>
        <v>-208988.36151434487</v>
      </c>
      <c r="N20" s="386"/>
      <c r="O20" s="389"/>
      <c r="P20" s="391"/>
      <c r="Q20" s="390"/>
      <c r="R20" s="390"/>
      <c r="S20" s="392"/>
    </row>
    <row r="21" spans="1:19" ht="15.4">
      <c r="A21" s="366">
        <f t="shared" si="4"/>
        <v>7</v>
      </c>
      <c r="B21" s="367" t="s">
        <v>478</v>
      </c>
      <c r="C21" s="370" t="s">
        <v>93</v>
      </c>
      <c r="D21" s="909">
        <f t="shared" si="5"/>
        <v>2025</v>
      </c>
      <c r="E21" s="383">
        <v>0.50684931506849318</v>
      </c>
      <c r="F21" s="914">
        <f t="shared" si="6"/>
        <v>0</v>
      </c>
      <c r="G21" s="914">
        <v>-249731.61053564315</v>
      </c>
      <c r="H21" s="914">
        <f t="shared" si="0"/>
        <v>-249731.61053564315</v>
      </c>
      <c r="I21" s="914">
        <v>0</v>
      </c>
      <c r="J21" s="914">
        <f t="shared" si="1"/>
        <v>0</v>
      </c>
      <c r="K21" s="914">
        <v>-548023.84329510177</v>
      </c>
      <c r="L21" s="914">
        <f t="shared" si="2"/>
        <v>-68748.218042694716</v>
      </c>
      <c r="M21" s="915">
        <f t="shared" si="3"/>
        <v>-161421.28297806167</v>
      </c>
      <c r="N21" s="386"/>
      <c r="O21" s="389"/>
      <c r="P21" s="391"/>
      <c r="Q21" s="390"/>
      <c r="R21" s="390"/>
      <c r="S21" s="392"/>
    </row>
    <row r="22" spans="1:19" ht="15.4">
      <c r="A22" s="366">
        <f t="shared" si="4"/>
        <v>8</v>
      </c>
      <c r="B22" s="367" t="s">
        <v>478</v>
      </c>
      <c r="C22" s="370" t="s">
        <v>81</v>
      </c>
      <c r="D22" s="909">
        <f t="shared" si="5"/>
        <v>2025</v>
      </c>
      <c r="E22" s="383">
        <v>0.42191780821917807</v>
      </c>
      <c r="F22" s="914">
        <f t="shared" si="6"/>
        <v>0</v>
      </c>
      <c r="G22" s="914">
        <v>-257426.32024339438</v>
      </c>
      <c r="H22" s="914">
        <f t="shared" si="0"/>
        <v>-257426.32024339438</v>
      </c>
      <c r="I22" s="914">
        <v>0</v>
      </c>
      <c r="J22" s="914">
        <f t="shared" si="1"/>
        <v>0</v>
      </c>
      <c r="K22" s="914">
        <v>-564909.50858207629</v>
      </c>
      <c r="L22" s="914">
        <f t="shared" si="2"/>
        <v>-70866.482445142945</v>
      </c>
      <c r="M22" s="915">
        <f t="shared" si="3"/>
        <v>-138512.57976447875</v>
      </c>
      <c r="N22" s="386"/>
      <c r="O22" s="389"/>
      <c r="P22" s="391"/>
      <c r="Q22" s="390"/>
      <c r="R22" s="390"/>
      <c r="S22" s="392"/>
    </row>
    <row r="23" spans="1:19" ht="15.4">
      <c r="A23" s="366">
        <f t="shared" si="4"/>
        <v>9</v>
      </c>
      <c r="B23" s="367" t="s">
        <v>478</v>
      </c>
      <c r="C23" s="370" t="s">
        <v>80</v>
      </c>
      <c r="D23" s="909">
        <f t="shared" si="5"/>
        <v>2025</v>
      </c>
      <c r="E23" s="383">
        <v>0.33698630136986302</v>
      </c>
      <c r="F23" s="914">
        <f t="shared" si="6"/>
        <v>0</v>
      </c>
      <c r="G23" s="914">
        <v>-254896.00182211219</v>
      </c>
      <c r="H23" s="914">
        <f t="shared" si="0"/>
        <v>-254896.00182211219</v>
      </c>
      <c r="I23" s="914">
        <v>0</v>
      </c>
      <c r="J23" s="914">
        <f t="shared" si="1"/>
        <v>0</v>
      </c>
      <c r="K23" s="914">
        <v>-559356.8481759018</v>
      </c>
      <c r="L23" s="914">
        <f t="shared" si="2"/>
        <v>-70169.915109631664</v>
      </c>
      <c r="M23" s="915">
        <f t="shared" si="3"/>
        <v>-109542.76104823149</v>
      </c>
      <c r="N23" s="386"/>
      <c r="O23" s="389"/>
      <c r="P23" s="391"/>
      <c r="Q23" s="390"/>
      <c r="R23" s="390"/>
      <c r="S23" s="392"/>
    </row>
    <row r="24" spans="1:19" ht="15.4">
      <c r="A24" s="366">
        <f t="shared" si="4"/>
        <v>10</v>
      </c>
      <c r="B24" s="367" t="s">
        <v>478</v>
      </c>
      <c r="C24" s="370" t="s">
        <v>79</v>
      </c>
      <c r="D24" s="909">
        <f t="shared" si="5"/>
        <v>2025</v>
      </c>
      <c r="E24" s="383">
        <v>0.25479452054794521</v>
      </c>
      <c r="F24" s="914">
        <f t="shared" si="6"/>
        <v>0</v>
      </c>
      <c r="G24" s="914">
        <v>-255785.84419899722</v>
      </c>
      <c r="H24" s="914">
        <f t="shared" si="0"/>
        <v>-255785.84419899722</v>
      </c>
      <c r="I24" s="914">
        <v>0</v>
      </c>
      <c r="J24" s="914">
        <f t="shared" si="1"/>
        <v>0</v>
      </c>
      <c r="K24" s="914">
        <v>-561309.56388642569</v>
      </c>
      <c r="L24" s="914">
        <f t="shared" si="2"/>
        <v>-70414.878402898816</v>
      </c>
      <c r="M24" s="915">
        <f t="shared" si="3"/>
        <v>-83114.156717743375</v>
      </c>
      <c r="N24" s="386"/>
      <c r="O24" s="389"/>
      <c r="P24" s="391"/>
      <c r="Q24" s="390"/>
      <c r="R24" s="390"/>
      <c r="S24" s="392"/>
    </row>
    <row r="25" spans="1:19" ht="15.4">
      <c r="A25" s="366">
        <f t="shared" si="4"/>
        <v>11</v>
      </c>
      <c r="B25" s="367" t="s">
        <v>478</v>
      </c>
      <c r="C25" s="370" t="s">
        <v>85</v>
      </c>
      <c r="D25" s="909">
        <f t="shared" si="5"/>
        <v>2025</v>
      </c>
      <c r="E25" s="383">
        <v>0.16986301369863013</v>
      </c>
      <c r="F25" s="914">
        <f t="shared" si="6"/>
        <v>0</v>
      </c>
      <c r="G25" s="914">
        <v>-250466.68332758185</v>
      </c>
      <c r="H25" s="914">
        <f t="shared" si="0"/>
        <v>-250466.68332758185</v>
      </c>
      <c r="I25" s="914">
        <v>0</v>
      </c>
      <c r="J25" s="914">
        <f t="shared" si="1"/>
        <v>0</v>
      </c>
      <c r="K25" s="914">
        <v>-549636.92469747551</v>
      </c>
      <c r="L25" s="914">
        <f t="shared" si="2"/>
        <v>-68950.575062973643</v>
      </c>
      <c r="M25" s="915">
        <f t="shared" si="3"/>
        <v>-54257.178137573814</v>
      </c>
      <c r="N25" s="386"/>
      <c r="O25" s="389"/>
      <c r="P25" s="391"/>
      <c r="Q25" s="390"/>
      <c r="R25" s="390"/>
      <c r="S25" s="392"/>
    </row>
    <row r="26" spans="1:19" ht="15.4">
      <c r="A26" s="366">
        <f t="shared" si="4"/>
        <v>12</v>
      </c>
      <c r="B26" s="367" t="s">
        <v>478</v>
      </c>
      <c r="C26" s="370" t="s">
        <v>78</v>
      </c>
      <c r="D26" s="909">
        <f t="shared" si="5"/>
        <v>2025</v>
      </c>
      <c r="E26" s="383">
        <v>8.7671232876712329E-2</v>
      </c>
      <c r="F26" s="914">
        <f t="shared" si="6"/>
        <v>0</v>
      </c>
      <c r="G26" s="914">
        <v>-248453.77552419904</v>
      </c>
      <c r="H26" s="914">
        <f t="shared" si="0"/>
        <v>-248453.77552419904</v>
      </c>
      <c r="I26" s="914">
        <v>0</v>
      </c>
      <c r="J26" s="914">
        <f t="shared" si="1"/>
        <v>0</v>
      </c>
      <c r="K26" s="914">
        <v>-545219.69666517922</v>
      </c>
      <c r="L26" s="914">
        <f t="shared" si="2"/>
        <v>-68396.4448738879</v>
      </c>
      <c r="M26" s="915">
        <f t="shared" si="3"/>
        <v>-27778.649459558306</v>
      </c>
      <c r="N26" s="386"/>
      <c r="O26" s="389"/>
      <c r="P26" s="391"/>
      <c r="Q26" s="390"/>
      <c r="R26" s="390"/>
      <c r="S26" s="392"/>
    </row>
    <row r="27" spans="1:19" ht="15.4">
      <c r="A27" s="366">
        <f t="shared" si="4"/>
        <v>13</v>
      </c>
      <c r="B27" s="367" t="s">
        <v>478</v>
      </c>
      <c r="C27" s="367" t="str">
        <f>+C15</f>
        <v xml:space="preserve">December </v>
      </c>
      <c r="D27" s="909">
        <f t="shared" si="5"/>
        <v>2025</v>
      </c>
      <c r="E27" s="383">
        <v>2.7397260273972603E-3</v>
      </c>
      <c r="F27" s="914">
        <f t="shared" si="6"/>
        <v>0</v>
      </c>
      <c r="G27" s="914">
        <v>-190694.03496999436</v>
      </c>
      <c r="H27" s="914">
        <f t="shared" si="0"/>
        <v>-190694.03496999436</v>
      </c>
      <c r="I27" s="914">
        <v>0</v>
      </c>
      <c r="J27" s="914">
        <f t="shared" si="1"/>
        <v>0</v>
      </c>
      <c r="K27" s="914">
        <v>-418468.7621785521</v>
      </c>
      <c r="L27" s="914">
        <f t="shared" si="2"/>
        <v>-52495.857722774366</v>
      </c>
      <c r="M27" s="915">
        <f t="shared" si="3"/>
        <v>-666.27367861032519</v>
      </c>
      <c r="N27" s="386"/>
      <c r="O27" s="389"/>
      <c r="P27" s="391"/>
      <c r="Q27" s="390"/>
      <c r="R27" s="390"/>
      <c r="S27" s="392"/>
    </row>
    <row r="28" spans="1:19" ht="15.4">
      <c r="A28" s="366">
        <f t="shared" si="4"/>
        <v>14</v>
      </c>
      <c r="B28" s="367" t="s">
        <v>479</v>
      </c>
      <c r="D28" s="909">
        <f t="shared" si="5"/>
        <v>2025</v>
      </c>
      <c r="E28" s="393" t="s">
        <v>477</v>
      </c>
      <c r="F28" s="394">
        <f>SUM(F15:F27)</f>
        <v>0</v>
      </c>
      <c r="G28" s="394">
        <f>SUM(G15:G27)</f>
        <v>-226302703.23925975</v>
      </c>
      <c r="H28" s="394">
        <f>SUM(H15:H27)</f>
        <v>-226302703.23925975</v>
      </c>
      <c r="I28" s="394">
        <f>SUM(I15:I27)</f>
        <v>0</v>
      </c>
      <c r="J28" s="394">
        <f>+J12*I28</f>
        <v>0</v>
      </c>
      <c r="K28" s="394">
        <f>SUM(K15:K27)</f>
        <v>-94606407.746777028</v>
      </c>
      <c r="L28" s="394">
        <f>SUM(L15:L27)</f>
        <v>-11868136.811173746</v>
      </c>
      <c r="M28" s="394">
        <f>SUM(M15:M27)</f>
        <v>-236127628.54686478</v>
      </c>
      <c r="O28" s="389"/>
      <c r="P28" s="391"/>
      <c r="Q28" s="390"/>
      <c r="R28" s="390"/>
      <c r="S28" s="392"/>
    </row>
    <row r="29" spans="1:19" ht="15.4">
      <c r="A29" s="366">
        <f t="shared" si="4"/>
        <v>15</v>
      </c>
      <c r="B29" s="367" t="s">
        <v>478</v>
      </c>
      <c r="C29" s="367" t="s">
        <v>889</v>
      </c>
      <c r="D29" s="909">
        <f t="shared" si="5"/>
        <v>2025</v>
      </c>
      <c r="E29" s="393"/>
      <c r="F29" s="393"/>
      <c r="G29" s="913">
        <v>661424.23925974965</v>
      </c>
      <c r="H29" s="914">
        <f>G29</f>
        <v>661424.23925974965</v>
      </c>
      <c r="I29" s="915"/>
      <c r="J29" s="914">
        <f t="shared" si="2"/>
        <v>0</v>
      </c>
      <c r="K29" s="913">
        <v>0</v>
      </c>
      <c r="L29" s="914">
        <f t="shared" ref="L29" si="7">+K29*L$12</f>
        <v>0</v>
      </c>
      <c r="M29" s="915">
        <f>H29+J29+L29</f>
        <v>661424.23925974965</v>
      </c>
      <c r="O29" s="389"/>
      <c r="P29" s="391"/>
      <c r="Q29" s="390"/>
      <c r="R29" s="390"/>
      <c r="S29" s="392"/>
    </row>
    <row r="30" spans="1:19">
      <c r="A30" s="366">
        <f t="shared" si="4"/>
        <v>16</v>
      </c>
      <c r="B30" s="367" t="s">
        <v>13</v>
      </c>
      <c r="D30" s="395"/>
      <c r="G30" s="396">
        <f t="shared" ref="G30:L30" si="8">SUM(G28:G29)</f>
        <v>-225641279</v>
      </c>
      <c r="H30" s="396">
        <f t="shared" si="8"/>
        <v>-225641279</v>
      </c>
      <c r="I30" s="396">
        <f t="shared" si="8"/>
        <v>0</v>
      </c>
      <c r="J30" s="396">
        <f t="shared" si="8"/>
        <v>0</v>
      </c>
      <c r="K30" s="396">
        <f t="shared" si="8"/>
        <v>-94606407.746777028</v>
      </c>
      <c r="L30" s="396">
        <f t="shared" si="8"/>
        <v>-11868136.811173746</v>
      </c>
      <c r="M30" s="396">
        <f>SUM(M28:M29)</f>
        <v>-235466204.30760503</v>
      </c>
    </row>
    <row r="31" spans="1:19">
      <c r="B31" s="370"/>
      <c r="C31" s="382" t="s">
        <v>480</v>
      </c>
      <c r="D31" s="395"/>
    </row>
    <row r="32" spans="1:19">
      <c r="A32" s="366">
        <f>A30+1</f>
        <v>17</v>
      </c>
      <c r="B32" s="370" t="s">
        <v>477</v>
      </c>
      <c r="C32" s="370" t="s">
        <v>196</v>
      </c>
      <c r="D32" s="909">
        <f>+D15</f>
        <v>2024</v>
      </c>
      <c r="F32" s="910">
        <v>0</v>
      </c>
      <c r="G32" s="910">
        <f>'4C - ADIT EOY'!E171</f>
        <v>0</v>
      </c>
      <c r="H32" s="910">
        <f>+G32*H12</f>
        <v>0</v>
      </c>
      <c r="I32" s="910">
        <f>'4C - ADIT EOY'!F171</f>
        <v>-7862352.7606001152</v>
      </c>
      <c r="J32" s="910">
        <f>+I32*J12</f>
        <v>-1301866.8640840566</v>
      </c>
      <c r="K32" s="910">
        <f>'4C - ADIT EOY'!G171</f>
        <v>-94187665.085016936</v>
      </c>
      <c r="L32" s="910">
        <f>+K32*L12</f>
        <v>-11815606.593434734</v>
      </c>
      <c r="M32" s="912">
        <f>+L32+J32+H32</f>
        <v>-13117473.45751879</v>
      </c>
    </row>
    <row r="33" spans="1:19">
      <c r="A33" s="366">
        <f t="shared" ref="A33:A34" si="9">+A32+1</f>
        <v>18</v>
      </c>
      <c r="B33" s="370" t="s">
        <v>477</v>
      </c>
      <c r="C33" s="370" t="str">
        <f>+C32</f>
        <v xml:space="preserve">December </v>
      </c>
      <c r="D33" s="909">
        <f>+D32+1</f>
        <v>2025</v>
      </c>
      <c r="F33" s="910">
        <v>0</v>
      </c>
      <c r="G33" s="910">
        <v>0</v>
      </c>
      <c r="H33" s="910">
        <f>+G33*H12</f>
        <v>0</v>
      </c>
      <c r="I33" s="910">
        <v>-7862352.7606001152</v>
      </c>
      <c r="J33" s="910">
        <f>+I33*J12</f>
        <v>-1301866.8640840566</v>
      </c>
      <c r="K33" s="910">
        <v>-95631771.037493214</v>
      </c>
      <c r="L33" s="910">
        <f>+K33*L12</f>
        <v>-11996766.066899709</v>
      </c>
      <c r="M33" s="912">
        <f>+L33+J33+H33</f>
        <v>-13298632.930983767</v>
      </c>
    </row>
    <row r="34" spans="1:19">
      <c r="A34" s="366">
        <f t="shared" si="9"/>
        <v>19</v>
      </c>
      <c r="B34" s="370"/>
      <c r="C34" s="370" t="s">
        <v>481</v>
      </c>
      <c r="D34" s="395"/>
      <c r="F34" s="394">
        <f t="shared" ref="F34:L34" si="10">+F32/2+F33/2</f>
        <v>0</v>
      </c>
      <c r="G34" s="394">
        <f t="shared" si="10"/>
        <v>0</v>
      </c>
      <c r="H34" s="394">
        <f t="shared" si="10"/>
        <v>0</v>
      </c>
      <c r="I34" s="394">
        <f t="shared" si="10"/>
        <v>-7862352.7606001152</v>
      </c>
      <c r="J34" s="394">
        <f t="shared" si="10"/>
        <v>-1301866.8640840566</v>
      </c>
      <c r="K34" s="394">
        <f t="shared" si="10"/>
        <v>-94909718.061255068</v>
      </c>
      <c r="L34" s="394">
        <f t="shared" si="10"/>
        <v>-11906186.330167223</v>
      </c>
      <c r="M34" s="397">
        <f>+L34+J34+H34</f>
        <v>-13208053.19425128</v>
      </c>
    </row>
    <row r="35" spans="1:19">
      <c r="B35" s="370"/>
      <c r="C35" s="370"/>
      <c r="D35" s="395"/>
      <c r="E35" s="394"/>
      <c r="G35" s="398"/>
      <c r="H35" s="394"/>
      <c r="I35" s="394"/>
      <c r="J35" s="394"/>
      <c r="K35" s="394"/>
    </row>
    <row r="36" spans="1:19">
      <c r="B36" s="370"/>
      <c r="C36" s="370"/>
      <c r="D36" s="395"/>
      <c r="E36" s="394"/>
      <c r="F36" s="394"/>
      <c r="G36" s="394"/>
      <c r="I36" s="398"/>
      <c r="J36" s="394"/>
      <c r="K36" s="394"/>
    </row>
    <row r="37" spans="1:19">
      <c r="B37" s="370"/>
      <c r="C37" s="382" t="s">
        <v>482</v>
      </c>
      <c r="D37" s="395"/>
    </row>
    <row r="38" spans="1:19">
      <c r="A38" s="366">
        <f>A34+1</f>
        <v>20</v>
      </c>
      <c r="B38" s="370" t="s">
        <v>477</v>
      </c>
      <c r="C38" s="370" t="s">
        <v>196</v>
      </c>
      <c r="D38" s="909">
        <f>D32</f>
        <v>2024</v>
      </c>
      <c r="F38" s="394" t="s">
        <v>703</v>
      </c>
      <c r="G38" s="394" t="s">
        <v>703</v>
      </c>
      <c r="H38" s="394" t="s">
        <v>703</v>
      </c>
      <c r="I38" s="394" t="s">
        <v>703</v>
      </c>
      <c r="J38" s="394" t="s">
        <v>703</v>
      </c>
      <c r="K38" s="394" t="s">
        <v>703</v>
      </c>
      <c r="L38" s="394" t="s">
        <v>703</v>
      </c>
      <c r="M38" s="394" t="s">
        <v>703</v>
      </c>
    </row>
    <row r="39" spans="1:19">
      <c r="A39" s="366">
        <f t="shared" ref="A39:A40" si="11">+A38+1</f>
        <v>21</v>
      </c>
      <c r="B39" s="370" t="s">
        <v>477</v>
      </c>
      <c r="C39" s="370" t="str">
        <f>+C38</f>
        <v xml:space="preserve">December </v>
      </c>
      <c r="D39" s="909">
        <f>D33</f>
        <v>2025</v>
      </c>
      <c r="F39" s="394" t="s">
        <v>703</v>
      </c>
      <c r="G39" s="394" t="s">
        <v>703</v>
      </c>
      <c r="H39" s="394" t="s">
        <v>703</v>
      </c>
      <c r="I39" s="394" t="s">
        <v>703</v>
      </c>
      <c r="J39" s="394" t="s">
        <v>703</v>
      </c>
      <c r="K39" s="394" t="s">
        <v>703</v>
      </c>
      <c r="L39" s="394" t="s">
        <v>703</v>
      </c>
      <c r="M39" s="394" t="s">
        <v>703</v>
      </c>
    </row>
    <row r="40" spans="1:19">
      <c r="A40" s="366">
        <f t="shared" si="11"/>
        <v>22</v>
      </c>
      <c r="B40" s="370"/>
      <c r="C40" s="370" t="s">
        <v>481</v>
      </c>
      <c r="D40" s="395"/>
      <c r="F40" s="394" t="s">
        <v>703</v>
      </c>
      <c r="G40" s="394" t="s">
        <v>703</v>
      </c>
      <c r="H40" s="394" t="s">
        <v>703</v>
      </c>
      <c r="I40" s="394" t="s">
        <v>703</v>
      </c>
      <c r="J40" s="394" t="s">
        <v>703</v>
      </c>
      <c r="K40" s="394" t="s">
        <v>703</v>
      </c>
      <c r="L40" s="394" t="s">
        <v>703</v>
      </c>
      <c r="M40" s="394" t="s">
        <v>703</v>
      </c>
    </row>
    <row r="41" spans="1:19">
      <c r="B41" s="370"/>
      <c r="C41" s="370"/>
      <c r="D41" s="395"/>
      <c r="E41" s="394"/>
      <c r="F41" s="394"/>
      <c r="G41" s="394"/>
      <c r="H41" s="394"/>
      <c r="I41" s="394"/>
      <c r="J41" s="394"/>
      <c r="K41" s="394"/>
      <c r="L41" s="397"/>
    </row>
    <row r="42" spans="1:19">
      <c r="B42" s="370"/>
      <c r="C42" s="370"/>
      <c r="D42" s="395"/>
      <c r="E42" s="399"/>
      <c r="F42" s="399"/>
      <c r="G42" s="399"/>
      <c r="H42" s="399"/>
      <c r="I42" s="399"/>
      <c r="J42" s="399"/>
      <c r="K42" s="399"/>
    </row>
    <row r="43" spans="1:19">
      <c r="B43" s="370"/>
      <c r="C43" s="382" t="s">
        <v>483</v>
      </c>
      <c r="D43" s="395"/>
      <c r="E43" s="399"/>
      <c r="F43" s="399"/>
      <c r="G43" s="399"/>
      <c r="H43" s="399"/>
      <c r="I43" s="399"/>
      <c r="J43" s="399"/>
      <c r="K43" s="399"/>
    </row>
    <row r="44" spans="1:19" ht="15.4">
      <c r="A44" s="366">
        <f>+A40+1</f>
        <v>23</v>
      </c>
      <c r="B44" s="367" t="s">
        <v>477</v>
      </c>
      <c r="C44" s="367" t="s">
        <v>196</v>
      </c>
      <c r="D44" s="909">
        <f>D15</f>
        <v>2024</v>
      </c>
      <c r="E44" s="383">
        <v>1</v>
      </c>
      <c r="F44" s="910">
        <v>0</v>
      </c>
      <c r="G44" s="910">
        <f>'4C - ADIT EOY'!E76</f>
        <v>0</v>
      </c>
      <c r="H44" s="910">
        <f t="shared" ref="H44:H56" si="12">+H$12*G44</f>
        <v>0</v>
      </c>
      <c r="I44" s="910">
        <f>'4C - ADIT EOY'!F76</f>
        <v>121431822</v>
      </c>
      <c r="J44" s="910">
        <f t="shared" ref="J44:J56" si="13">+I44*J$12</f>
        <v>20106966.721127745</v>
      </c>
      <c r="K44" s="910">
        <f>'4C - ADIT EOY'!G76</f>
        <v>24433812.706271362</v>
      </c>
      <c r="L44" s="910">
        <f>+K44*L$12</f>
        <v>3065160.5839722082</v>
      </c>
      <c r="M44" s="911">
        <f>+L44+J44+H44</f>
        <v>23172127.305099953</v>
      </c>
      <c r="N44" s="396"/>
      <c r="O44" s="400"/>
      <c r="P44" s="400"/>
      <c r="Q44" s="400"/>
      <c r="R44" s="400"/>
      <c r="S44" s="400"/>
    </row>
    <row r="45" spans="1:19" ht="15.4">
      <c r="A45" s="366">
        <f>+A44+1</f>
        <v>24</v>
      </c>
      <c r="B45" s="367" t="s">
        <v>478</v>
      </c>
      <c r="C45" s="367" t="s">
        <v>84</v>
      </c>
      <c r="D45" s="909">
        <f>+D44+1</f>
        <v>2025</v>
      </c>
      <c r="E45" s="383">
        <v>0.9178082191780822</v>
      </c>
      <c r="F45" s="910">
        <v>0</v>
      </c>
      <c r="G45" s="910">
        <v>0</v>
      </c>
      <c r="H45" s="910">
        <f t="shared" si="12"/>
        <v>0</v>
      </c>
      <c r="I45" s="910">
        <v>0</v>
      </c>
      <c r="J45" s="910">
        <f t="shared" si="13"/>
        <v>0</v>
      </c>
      <c r="K45" s="910">
        <v>0</v>
      </c>
      <c r="L45" s="910">
        <f t="shared" ref="L45:L56" si="14">+K45*L$12</f>
        <v>0</v>
      </c>
      <c r="M45" s="911">
        <f t="shared" ref="M45:M55" si="15">(L45+J45+H45)*E45</f>
        <v>0</v>
      </c>
      <c r="N45" s="386"/>
      <c r="O45" s="401"/>
      <c r="P45" s="400"/>
      <c r="Q45" s="400"/>
      <c r="R45" s="400"/>
      <c r="S45" s="401"/>
    </row>
    <row r="46" spans="1:19" ht="15.4">
      <c r="A46" s="366">
        <f t="shared" ref="A46:A56" si="16">+A45+1</f>
        <v>25</v>
      </c>
      <c r="B46" s="367" t="s">
        <v>478</v>
      </c>
      <c r="C46" s="370" t="s">
        <v>83</v>
      </c>
      <c r="D46" s="909">
        <f>+D45</f>
        <v>2025</v>
      </c>
      <c r="E46" s="383">
        <v>0.84109589041095889</v>
      </c>
      <c r="F46" s="910">
        <v>0</v>
      </c>
      <c r="G46" s="910">
        <v>0</v>
      </c>
      <c r="H46" s="910">
        <f t="shared" si="12"/>
        <v>0</v>
      </c>
      <c r="I46" s="910">
        <v>0</v>
      </c>
      <c r="J46" s="910">
        <f t="shared" si="13"/>
        <v>0</v>
      </c>
      <c r="K46" s="910">
        <v>0</v>
      </c>
      <c r="L46" s="910">
        <f t="shared" si="14"/>
        <v>0</v>
      </c>
      <c r="M46" s="911">
        <f t="shared" si="15"/>
        <v>0</v>
      </c>
      <c r="N46" s="386"/>
      <c r="O46" s="401"/>
      <c r="P46" s="400"/>
      <c r="Q46" s="400"/>
      <c r="R46" s="400"/>
      <c r="S46" s="401"/>
    </row>
    <row r="47" spans="1:19" ht="15.4">
      <c r="A47" s="366">
        <f t="shared" si="16"/>
        <v>26</v>
      </c>
      <c r="B47" s="367" t="s">
        <v>478</v>
      </c>
      <c r="C47" s="370" t="s">
        <v>82</v>
      </c>
      <c r="D47" s="909">
        <f t="shared" ref="D47:D57" si="17">+D46</f>
        <v>2025</v>
      </c>
      <c r="E47" s="383">
        <v>0.75616438356164384</v>
      </c>
      <c r="F47" s="910">
        <v>0</v>
      </c>
      <c r="G47" s="910">
        <v>0</v>
      </c>
      <c r="H47" s="910">
        <f t="shared" si="12"/>
        <v>0</v>
      </c>
      <c r="I47" s="910">
        <v>0</v>
      </c>
      <c r="J47" s="910">
        <f t="shared" si="13"/>
        <v>0</v>
      </c>
      <c r="K47" s="910">
        <v>0</v>
      </c>
      <c r="L47" s="910">
        <f t="shared" si="14"/>
        <v>0</v>
      </c>
      <c r="M47" s="911">
        <f t="shared" si="15"/>
        <v>0</v>
      </c>
      <c r="N47" s="386"/>
      <c r="O47" s="401"/>
      <c r="P47" s="400"/>
      <c r="Q47" s="400"/>
      <c r="R47" s="400"/>
      <c r="S47" s="401"/>
    </row>
    <row r="48" spans="1:19" ht="15.4">
      <c r="A48" s="366">
        <f t="shared" si="16"/>
        <v>27</v>
      </c>
      <c r="B48" s="367" t="s">
        <v>478</v>
      </c>
      <c r="C48" s="370" t="s">
        <v>74</v>
      </c>
      <c r="D48" s="909">
        <f t="shared" si="17"/>
        <v>2025</v>
      </c>
      <c r="E48" s="383">
        <v>0.67397260273972603</v>
      </c>
      <c r="F48" s="910">
        <v>0</v>
      </c>
      <c r="G48" s="910">
        <v>0</v>
      </c>
      <c r="H48" s="910">
        <f t="shared" si="12"/>
        <v>0</v>
      </c>
      <c r="I48" s="910">
        <v>0</v>
      </c>
      <c r="J48" s="910">
        <f t="shared" si="13"/>
        <v>0</v>
      </c>
      <c r="K48" s="910">
        <v>0</v>
      </c>
      <c r="L48" s="910">
        <f t="shared" si="14"/>
        <v>0</v>
      </c>
      <c r="M48" s="911">
        <f t="shared" si="15"/>
        <v>0</v>
      </c>
      <c r="N48" s="386"/>
      <c r="O48" s="401"/>
      <c r="P48" s="400"/>
      <c r="Q48" s="400"/>
      <c r="R48" s="400"/>
      <c r="S48" s="401"/>
    </row>
    <row r="49" spans="1:19" ht="15.4">
      <c r="A49" s="366">
        <f t="shared" si="16"/>
        <v>28</v>
      </c>
      <c r="B49" s="367" t="s">
        <v>478</v>
      </c>
      <c r="C49" s="370" t="s">
        <v>73</v>
      </c>
      <c r="D49" s="909">
        <f t="shared" si="17"/>
        <v>2025</v>
      </c>
      <c r="E49" s="383">
        <v>0.58904109589041098</v>
      </c>
      <c r="F49" s="910">
        <v>0</v>
      </c>
      <c r="G49" s="910">
        <v>0</v>
      </c>
      <c r="H49" s="910">
        <f t="shared" si="12"/>
        <v>0</v>
      </c>
      <c r="I49" s="910">
        <v>0</v>
      </c>
      <c r="J49" s="910">
        <f t="shared" si="13"/>
        <v>0</v>
      </c>
      <c r="K49" s="910">
        <v>0</v>
      </c>
      <c r="L49" s="910">
        <f t="shared" si="14"/>
        <v>0</v>
      </c>
      <c r="M49" s="911">
        <f t="shared" si="15"/>
        <v>0</v>
      </c>
      <c r="N49" s="386"/>
      <c r="O49" s="401"/>
      <c r="P49" s="400"/>
      <c r="Q49" s="400"/>
      <c r="R49" s="400"/>
      <c r="S49" s="401"/>
    </row>
    <row r="50" spans="1:19" ht="15.4">
      <c r="A50" s="366">
        <f t="shared" si="16"/>
        <v>29</v>
      </c>
      <c r="B50" s="367" t="s">
        <v>478</v>
      </c>
      <c r="C50" s="370" t="s">
        <v>93</v>
      </c>
      <c r="D50" s="909">
        <f t="shared" si="17"/>
        <v>2025</v>
      </c>
      <c r="E50" s="383">
        <v>0.50684931506849318</v>
      </c>
      <c r="F50" s="910">
        <v>0</v>
      </c>
      <c r="G50" s="910">
        <v>0</v>
      </c>
      <c r="H50" s="910">
        <f t="shared" si="12"/>
        <v>0</v>
      </c>
      <c r="I50" s="910">
        <v>0</v>
      </c>
      <c r="J50" s="910">
        <f t="shared" si="13"/>
        <v>0</v>
      </c>
      <c r="K50" s="910">
        <v>0</v>
      </c>
      <c r="L50" s="910">
        <f t="shared" si="14"/>
        <v>0</v>
      </c>
      <c r="M50" s="911">
        <f t="shared" si="15"/>
        <v>0</v>
      </c>
      <c r="N50" s="386"/>
      <c r="O50" s="401"/>
      <c r="P50" s="400"/>
      <c r="Q50" s="400"/>
      <c r="R50" s="400"/>
      <c r="S50" s="401"/>
    </row>
    <row r="51" spans="1:19" ht="15.4">
      <c r="A51" s="366">
        <f t="shared" si="16"/>
        <v>30</v>
      </c>
      <c r="B51" s="367" t="s">
        <v>478</v>
      </c>
      <c r="C51" s="370" t="s">
        <v>81</v>
      </c>
      <c r="D51" s="909">
        <f t="shared" si="17"/>
        <v>2025</v>
      </c>
      <c r="E51" s="383">
        <v>0.42191780821917807</v>
      </c>
      <c r="F51" s="910">
        <v>0</v>
      </c>
      <c r="G51" s="910">
        <v>0</v>
      </c>
      <c r="H51" s="910">
        <f t="shared" si="12"/>
        <v>0</v>
      </c>
      <c r="I51" s="910">
        <v>0</v>
      </c>
      <c r="J51" s="910">
        <f t="shared" si="13"/>
        <v>0</v>
      </c>
      <c r="K51" s="910">
        <v>0</v>
      </c>
      <c r="L51" s="910">
        <f t="shared" si="14"/>
        <v>0</v>
      </c>
      <c r="M51" s="911">
        <f t="shared" si="15"/>
        <v>0</v>
      </c>
      <c r="N51" s="386"/>
      <c r="O51" s="401"/>
      <c r="P51" s="400"/>
      <c r="Q51" s="400"/>
      <c r="R51" s="400"/>
      <c r="S51" s="401"/>
    </row>
    <row r="52" spans="1:19" ht="15.4">
      <c r="A52" s="366">
        <f t="shared" si="16"/>
        <v>31</v>
      </c>
      <c r="B52" s="367" t="s">
        <v>478</v>
      </c>
      <c r="C52" s="370" t="s">
        <v>80</v>
      </c>
      <c r="D52" s="909">
        <f t="shared" si="17"/>
        <v>2025</v>
      </c>
      <c r="E52" s="383">
        <v>0.33698630136986302</v>
      </c>
      <c r="F52" s="910">
        <v>0</v>
      </c>
      <c r="G52" s="910">
        <v>0</v>
      </c>
      <c r="H52" s="910">
        <f t="shared" si="12"/>
        <v>0</v>
      </c>
      <c r="I52" s="910">
        <v>0</v>
      </c>
      <c r="J52" s="910">
        <f t="shared" si="13"/>
        <v>0</v>
      </c>
      <c r="K52" s="910">
        <v>0</v>
      </c>
      <c r="L52" s="910">
        <f t="shared" si="14"/>
        <v>0</v>
      </c>
      <c r="M52" s="911">
        <f t="shared" si="15"/>
        <v>0</v>
      </c>
      <c r="N52" s="386"/>
      <c r="O52" s="401"/>
      <c r="P52" s="400"/>
      <c r="Q52" s="400"/>
      <c r="R52" s="400"/>
      <c r="S52" s="401"/>
    </row>
    <row r="53" spans="1:19" ht="15.4">
      <c r="A53" s="366">
        <f t="shared" si="16"/>
        <v>32</v>
      </c>
      <c r="B53" s="367" t="s">
        <v>478</v>
      </c>
      <c r="C53" s="370" t="s">
        <v>79</v>
      </c>
      <c r="D53" s="909">
        <f t="shared" si="17"/>
        <v>2025</v>
      </c>
      <c r="E53" s="383">
        <v>0.25479452054794521</v>
      </c>
      <c r="F53" s="910">
        <v>0</v>
      </c>
      <c r="G53" s="910">
        <v>0</v>
      </c>
      <c r="H53" s="910">
        <f t="shared" si="12"/>
        <v>0</v>
      </c>
      <c r="I53" s="910">
        <v>0</v>
      </c>
      <c r="J53" s="910">
        <f t="shared" si="13"/>
        <v>0</v>
      </c>
      <c r="K53" s="910">
        <v>0</v>
      </c>
      <c r="L53" s="910">
        <f t="shared" si="14"/>
        <v>0</v>
      </c>
      <c r="M53" s="911">
        <f t="shared" si="15"/>
        <v>0</v>
      </c>
      <c r="N53" s="386"/>
      <c r="O53" s="401"/>
      <c r="P53" s="400"/>
      <c r="Q53" s="400"/>
      <c r="R53" s="400"/>
      <c r="S53" s="401"/>
    </row>
    <row r="54" spans="1:19" ht="15.4">
      <c r="A54" s="366">
        <f t="shared" si="16"/>
        <v>33</v>
      </c>
      <c r="B54" s="367" t="s">
        <v>478</v>
      </c>
      <c r="C54" s="370" t="s">
        <v>85</v>
      </c>
      <c r="D54" s="909">
        <f t="shared" si="17"/>
        <v>2025</v>
      </c>
      <c r="E54" s="383">
        <v>0.16986301369863013</v>
      </c>
      <c r="F54" s="910">
        <v>0</v>
      </c>
      <c r="G54" s="910">
        <v>0</v>
      </c>
      <c r="H54" s="910">
        <f t="shared" si="12"/>
        <v>0</v>
      </c>
      <c r="I54" s="910">
        <v>0</v>
      </c>
      <c r="J54" s="910">
        <f t="shared" si="13"/>
        <v>0</v>
      </c>
      <c r="K54" s="910">
        <v>0</v>
      </c>
      <c r="L54" s="910">
        <f t="shared" si="14"/>
        <v>0</v>
      </c>
      <c r="M54" s="911">
        <f t="shared" si="15"/>
        <v>0</v>
      </c>
      <c r="N54" s="386"/>
      <c r="O54" s="401"/>
      <c r="P54" s="400"/>
      <c r="Q54" s="400"/>
      <c r="R54" s="400"/>
      <c r="S54" s="401"/>
    </row>
    <row r="55" spans="1:19" ht="15.4">
      <c r="A55" s="366">
        <f t="shared" si="16"/>
        <v>34</v>
      </c>
      <c r="B55" s="367" t="s">
        <v>478</v>
      </c>
      <c r="C55" s="370" t="s">
        <v>78</v>
      </c>
      <c r="D55" s="909">
        <f t="shared" si="17"/>
        <v>2025</v>
      </c>
      <c r="E55" s="383">
        <v>8.7671232876712329E-2</v>
      </c>
      <c r="F55" s="910">
        <v>0</v>
      </c>
      <c r="G55" s="910">
        <v>0</v>
      </c>
      <c r="H55" s="910">
        <f t="shared" si="12"/>
        <v>0</v>
      </c>
      <c r="I55" s="910">
        <v>0</v>
      </c>
      <c r="J55" s="910">
        <f t="shared" si="13"/>
        <v>0</v>
      </c>
      <c r="K55" s="910">
        <v>0</v>
      </c>
      <c r="L55" s="910">
        <f t="shared" si="14"/>
        <v>0</v>
      </c>
      <c r="M55" s="911">
        <f t="shared" si="15"/>
        <v>0</v>
      </c>
      <c r="N55" s="386"/>
      <c r="O55" s="401"/>
      <c r="P55" s="400"/>
      <c r="Q55" s="400"/>
      <c r="R55" s="400"/>
      <c r="S55" s="401"/>
    </row>
    <row r="56" spans="1:19" ht="15.4">
      <c r="A56" s="366">
        <f t="shared" si="16"/>
        <v>35</v>
      </c>
      <c r="B56" s="367" t="s">
        <v>478</v>
      </c>
      <c r="C56" s="367" t="str">
        <f>+C44</f>
        <v xml:space="preserve">December </v>
      </c>
      <c r="D56" s="909">
        <f t="shared" si="17"/>
        <v>2025</v>
      </c>
      <c r="E56" s="383">
        <v>2.7397260273972603E-3</v>
      </c>
      <c r="F56" s="910">
        <v>0</v>
      </c>
      <c r="G56" s="910">
        <v>0</v>
      </c>
      <c r="H56" s="910">
        <f t="shared" si="12"/>
        <v>0</v>
      </c>
      <c r="I56" s="910">
        <v>166989484.55399042</v>
      </c>
      <c r="J56" s="910">
        <f t="shared" si="13"/>
        <v>27650511.648465268</v>
      </c>
      <c r="K56" s="910">
        <v>24433812.706271362</v>
      </c>
      <c r="L56" s="910">
        <f t="shared" si="14"/>
        <v>3065160.5839722082</v>
      </c>
      <c r="M56" s="911">
        <f>+L56+J56+H56</f>
        <v>30715672.232437477</v>
      </c>
      <c r="N56" s="396"/>
      <c r="O56" s="401"/>
      <c r="P56" s="400"/>
      <c r="Q56" s="400"/>
      <c r="R56" s="400"/>
      <c r="S56" s="401"/>
    </row>
    <row r="57" spans="1:19">
      <c r="A57" s="366">
        <f>+A56+1</f>
        <v>36</v>
      </c>
      <c r="B57" s="367" t="s">
        <v>479</v>
      </c>
      <c r="D57" s="909">
        <f t="shared" si="17"/>
        <v>2025</v>
      </c>
      <c r="E57" s="393" t="s">
        <v>477</v>
      </c>
      <c r="F57" s="394">
        <f>SUM(F44:F56)</f>
        <v>0</v>
      </c>
      <c r="G57" s="393"/>
      <c r="H57" s="393"/>
      <c r="I57" s="393"/>
      <c r="J57" s="399"/>
      <c r="K57" s="399"/>
      <c r="M57" s="402">
        <f>+M44/2+M56/2</f>
        <v>26943899.768768713</v>
      </c>
    </row>
    <row r="58" spans="1:19">
      <c r="B58" s="370" t="s">
        <v>1071</v>
      </c>
      <c r="C58" s="370"/>
      <c r="D58" s="395"/>
      <c r="F58" s="394"/>
      <c r="G58" s="394"/>
      <c r="H58" s="394"/>
      <c r="I58" s="394"/>
      <c r="J58" s="394"/>
      <c r="K58" s="394"/>
      <c r="L58" s="394"/>
      <c r="M58" s="397"/>
    </row>
    <row r="59" spans="1:19">
      <c r="D59" s="403"/>
      <c r="E59" s="394"/>
      <c r="F59" s="398"/>
      <c r="G59" s="398"/>
      <c r="H59" s="394"/>
      <c r="I59" s="394"/>
      <c r="J59" s="394"/>
      <c r="K59" s="394"/>
    </row>
    <row r="60" spans="1:19">
      <c r="A60" s="366">
        <f>+A57+1</f>
        <v>37</v>
      </c>
      <c r="B60" s="367" t="s">
        <v>897</v>
      </c>
      <c r="D60" s="403"/>
      <c r="E60" s="394"/>
      <c r="F60" s="398"/>
      <c r="G60" s="398"/>
      <c r="H60" s="394"/>
      <c r="I60" s="394"/>
      <c r="J60" s="394"/>
      <c r="K60" s="394"/>
      <c r="M60" s="397">
        <f>+M30+M34+M57</f>
        <v>-221730357.7330876</v>
      </c>
    </row>
    <row r="63" spans="1:19" ht="15.4">
      <c r="M63" s="369" t="s">
        <v>484</v>
      </c>
    </row>
    <row r="64" spans="1:19" ht="15.4">
      <c r="M64" s="369" t="s">
        <v>154</v>
      </c>
    </row>
    <row r="65" spans="1:13" ht="15.4">
      <c r="A65" s="404"/>
      <c r="B65" s="405"/>
      <c r="C65" s="405"/>
      <c r="D65" s="405"/>
      <c r="E65" s="405"/>
      <c r="F65" s="405"/>
      <c r="G65" s="405" t="str">
        <f>$G$3</f>
        <v>PECO Energy Company</v>
      </c>
      <c r="H65" s="405"/>
      <c r="I65" s="405"/>
      <c r="J65" s="405"/>
      <c r="K65" s="405"/>
      <c r="L65" s="405"/>
      <c r="M65" s="405"/>
    </row>
    <row r="66" spans="1:13">
      <c r="A66" s="1241" t="s">
        <v>485</v>
      </c>
      <c r="B66" s="1241"/>
      <c r="C66" s="1241"/>
      <c r="D66" s="1241"/>
      <c r="E66" s="1241"/>
      <c r="F66" s="1241"/>
      <c r="G66" s="1241"/>
      <c r="H66" s="1241"/>
      <c r="I66" s="1241"/>
      <c r="J66" s="1241"/>
      <c r="K66" s="1241"/>
      <c r="L66" s="1241"/>
      <c r="M66" s="1241"/>
    </row>
    <row r="67" spans="1:13" ht="15.4">
      <c r="A67" s="375" t="s">
        <v>486</v>
      </c>
      <c r="K67" s="398"/>
      <c r="M67" s="369" t="s">
        <v>1742</v>
      </c>
    </row>
    <row r="68" spans="1:13">
      <c r="A68" s="374"/>
      <c r="K68" s="398"/>
    </row>
    <row r="69" spans="1:13">
      <c r="A69" s="374"/>
      <c r="K69" s="398"/>
    </row>
    <row r="70" spans="1:13">
      <c r="A70" s="374"/>
      <c r="B70" s="367" t="s">
        <v>198</v>
      </c>
      <c r="C70" s="367" t="s">
        <v>199</v>
      </c>
      <c r="D70" s="368" t="s">
        <v>200</v>
      </c>
      <c r="E70" s="366" t="s">
        <v>201</v>
      </c>
      <c r="F70" s="366" t="s">
        <v>203</v>
      </c>
      <c r="G70" s="366" t="s">
        <v>202</v>
      </c>
      <c r="H70" s="366" t="s">
        <v>204</v>
      </c>
      <c r="I70" s="366" t="s">
        <v>1072</v>
      </c>
      <c r="J70" s="366" t="s">
        <v>206</v>
      </c>
      <c r="K70" s="366" t="s">
        <v>244</v>
      </c>
      <c r="L70" s="366" t="s">
        <v>248</v>
      </c>
      <c r="M70" s="366" t="s">
        <v>453</v>
      </c>
    </row>
    <row r="71" spans="1:13">
      <c r="A71" s="374"/>
      <c r="B71" s="366" t="s">
        <v>477</v>
      </c>
      <c r="C71" s="367" t="s">
        <v>167</v>
      </c>
      <c r="D71" s="368" t="s">
        <v>75</v>
      </c>
      <c r="E71" s="366" t="s">
        <v>455</v>
      </c>
      <c r="F71" s="366" t="s">
        <v>477</v>
      </c>
      <c r="G71" s="376">
        <v>1</v>
      </c>
      <c r="H71" s="366" t="s">
        <v>457</v>
      </c>
      <c r="I71" s="366" t="s">
        <v>458</v>
      </c>
      <c r="J71" s="366" t="s">
        <v>1053</v>
      </c>
      <c r="K71" s="366" t="s">
        <v>459</v>
      </c>
      <c r="L71" s="366" t="s">
        <v>460</v>
      </c>
      <c r="M71" s="366" t="s">
        <v>227</v>
      </c>
    </row>
    <row r="72" spans="1:13">
      <c r="A72" s="374"/>
      <c r="B72" s="366"/>
      <c r="E72" s="366" t="s">
        <v>462</v>
      </c>
      <c r="F72" s="366" t="s">
        <v>487</v>
      </c>
      <c r="G72" s="366" t="s">
        <v>17</v>
      </c>
      <c r="H72" s="376" t="s">
        <v>464</v>
      </c>
      <c r="I72" s="366" t="s">
        <v>465</v>
      </c>
      <c r="J72" s="376" t="s">
        <v>466</v>
      </c>
      <c r="K72" s="366" t="s">
        <v>467</v>
      </c>
      <c r="L72" s="376" t="s">
        <v>468</v>
      </c>
      <c r="M72" s="366" t="s">
        <v>469</v>
      </c>
    </row>
    <row r="73" spans="1:13">
      <c r="A73" s="374"/>
      <c r="B73" s="366"/>
      <c r="E73" s="366"/>
      <c r="F73" s="366" t="s">
        <v>488</v>
      </c>
      <c r="G73" s="366"/>
      <c r="H73" s="377">
        <v>1</v>
      </c>
      <c r="I73" s="366"/>
      <c r="J73" s="378">
        <f>+J12</f>
        <v>0.16558235222006093</v>
      </c>
      <c r="K73" s="379"/>
      <c r="L73" s="378">
        <f>+L12</f>
        <v>0.12544749445449754</v>
      </c>
      <c r="M73" s="366" t="s">
        <v>471</v>
      </c>
    </row>
    <row r="74" spans="1:13">
      <c r="A74" s="374"/>
      <c r="B74" s="366"/>
      <c r="E74" s="366"/>
      <c r="F74" s="366" t="s">
        <v>489</v>
      </c>
      <c r="G74" s="366"/>
      <c r="H74" s="380"/>
      <c r="I74" s="366"/>
      <c r="J74" s="366" t="s">
        <v>473</v>
      </c>
      <c r="K74" s="366"/>
      <c r="L74" s="366" t="s">
        <v>473</v>
      </c>
      <c r="M74" s="366"/>
    </row>
    <row r="75" spans="1:13">
      <c r="B75" s="370"/>
      <c r="C75" s="382" t="s">
        <v>474</v>
      </c>
      <c r="E75" s="366"/>
      <c r="F75" s="366"/>
      <c r="G75" s="366"/>
      <c r="H75" s="366"/>
      <c r="I75" s="366"/>
      <c r="J75" s="366" t="s">
        <v>475</v>
      </c>
      <c r="K75" s="366"/>
      <c r="L75" s="366" t="s">
        <v>476</v>
      </c>
      <c r="M75" s="366"/>
    </row>
    <row r="76" spans="1:13">
      <c r="A76" s="366">
        <f>+A60+1</f>
        <v>38</v>
      </c>
      <c r="B76" s="370" t="s">
        <v>477</v>
      </c>
      <c r="C76" s="370" t="s">
        <v>196</v>
      </c>
      <c r="D76" s="1065">
        <v>2023</v>
      </c>
      <c r="F76" s="394">
        <f>'4B - ADIT BOY'!C116</f>
        <v>-945270708.34694481</v>
      </c>
      <c r="G76" s="394">
        <f>'4B - ADIT BOY'!E116</f>
        <v>-228164710.99647221</v>
      </c>
      <c r="H76" s="394"/>
      <c r="I76" s="394">
        <f>'4B - ADIT BOY'!F116</f>
        <v>0</v>
      </c>
      <c r="J76" s="394">
        <f>+J73*I76</f>
        <v>0</v>
      </c>
      <c r="K76" s="394">
        <f>'4B - ADIT BOY'!G116</f>
        <v>-79036310</v>
      </c>
      <c r="L76" s="394"/>
      <c r="M76" s="394"/>
    </row>
    <row r="77" spans="1:13">
      <c r="A77" s="366">
        <f>+A76+1</f>
        <v>39</v>
      </c>
      <c r="B77" s="370" t="s">
        <v>477</v>
      </c>
      <c r="C77" s="370" t="str">
        <f>+C76</f>
        <v xml:space="preserve">December </v>
      </c>
      <c r="D77" s="1065">
        <v>2024</v>
      </c>
      <c r="F77" s="394">
        <f>'4C - ADIT EOY'!C111</f>
        <v>-923197680.13670003</v>
      </c>
      <c r="G77" s="394">
        <f>'4C - ADIT EOY'!E111</f>
        <v>-223173209.23925972</v>
      </c>
      <c r="H77" s="394"/>
      <c r="I77" s="394">
        <f>'4C - ADIT EOY'!F111</f>
        <v>0</v>
      </c>
      <c r="J77" s="394">
        <f>+I77*J73</f>
        <v>0</v>
      </c>
      <c r="K77" s="394">
        <f>'4C - ADIT EOY'!G111</f>
        <v>-87738885.746777043</v>
      </c>
      <c r="L77" s="394"/>
      <c r="M77" s="402"/>
    </row>
    <row r="78" spans="1:13">
      <c r="A78" s="366">
        <f>+A77+1</f>
        <v>40</v>
      </c>
      <c r="B78" s="370"/>
      <c r="C78" s="370" t="s">
        <v>481</v>
      </c>
      <c r="D78" s="395"/>
      <c r="F78" s="394">
        <f>+F76/2+F77/2</f>
        <v>-934234194.24182248</v>
      </c>
      <c r="G78" s="394">
        <f>+G76/2+G77/2</f>
        <v>-225668960.11786598</v>
      </c>
      <c r="H78" s="394">
        <f>+H$12*G78</f>
        <v>-225668960.11786598</v>
      </c>
      <c r="I78" s="394">
        <f>+I76/2+I77/2</f>
        <v>0</v>
      </c>
      <c r="J78" s="394">
        <f>+I78*J$12</f>
        <v>0</v>
      </c>
      <c r="K78" s="394">
        <f>+K76/2+K77/2</f>
        <v>-83387597.873388529</v>
      </c>
      <c r="L78" s="394">
        <f>+L73*K78</f>
        <v>-10460765.221795779</v>
      </c>
      <c r="M78" s="402">
        <f>+L78+J78+H78</f>
        <v>-236129725.33966175</v>
      </c>
    </row>
    <row r="79" spans="1:13">
      <c r="D79" s="395"/>
    </row>
    <row r="80" spans="1:13">
      <c r="D80" s="395"/>
    </row>
    <row r="81" spans="1:14">
      <c r="B81" s="370"/>
      <c r="C81" s="382" t="s">
        <v>480</v>
      </c>
      <c r="D81" s="395"/>
    </row>
    <row r="82" spans="1:14">
      <c r="A82" s="366">
        <f>+A78+1</f>
        <v>41</v>
      </c>
      <c r="B82" s="370" t="s">
        <v>477</v>
      </c>
      <c r="C82" s="370" t="s">
        <v>196</v>
      </c>
      <c r="D82" s="1065">
        <f>D76</f>
        <v>2023</v>
      </c>
      <c r="F82" s="394">
        <f>'4B - ADIT BOY'!C177</f>
        <v>-126049680.83543372</v>
      </c>
      <c r="G82" s="394">
        <f>'4B - ADIT BOY'!E177</f>
        <v>0</v>
      </c>
      <c r="H82" s="394">
        <f>+G82*H73</f>
        <v>0</v>
      </c>
      <c r="I82" s="394">
        <f>'4B - ADIT BOY'!F177</f>
        <v>-7615073.4588751346</v>
      </c>
      <c r="J82" s="394">
        <f>+I82*J73</f>
        <v>-1260921.7756491003</v>
      </c>
      <c r="K82" s="394">
        <f>'4B - ADIT BOY'!G177</f>
        <v>-97528211.806807429</v>
      </c>
      <c r="L82" s="394">
        <f>+K82*L73</f>
        <v>-12234669.809791537</v>
      </c>
      <c r="M82" s="397"/>
    </row>
    <row r="83" spans="1:14">
      <c r="A83" s="366">
        <f>+A82+1</f>
        <v>42</v>
      </c>
      <c r="B83" s="370" t="s">
        <v>477</v>
      </c>
      <c r="C83" s="370" t="str">
        <f>+C82</f>
        <v xml:space="preserve">December </v>
      </c>
      <c r="D83" s="1065">
        <f>D77</f>
        <v>2024</v>
      </c>
      <c r="F83" s="394">
        <f>'4C - ADIT EOY'!C171</f>
        <v>-131049990.19729526</v>
      </c>
      <c r="G83" s="394">
        <f>'4C - ADIT EOY'!E171</f>
        <v>0</v>
      </c>
      <c r="H83" s="394">
        <f>+G83*H73</f>
        <v>0</v>
      </c>
      <c r="I83" s="394">
        <f>'4C - ADIT EOY'!F171</f>
        <v>-7862352.7606001152</v>
      </c>
      <c r="J83" s="394">
        <f>+I83*J73</f>
        <v>-1301866.8640840566</v>
      </c>
      <c r="K83" s="394">
        <f>'4C - ADIT EOY'!G171</f>
        <v>-94187665.085016936</v>
      </c>
      <c r="L83" s="394">
        <f>+K83*L73</f>
        <v>-11815606.593434734</v>
      </c>
      <c r="M83" s="397"/>
    </row>
    <row r="84" spans="1:14">
      <c r="A84" s="366">
        <f>+A83+1</f>
        <v>43</v>
      </c>
      <c r="B84" s="370"/>
      <c r="C84" s="370" t="s">
        <v>481</v>
      </c>
      <c r="D84" s="395"/>
      <c r="F84" s="394">
        <f t="shared" ref="F84:L84" si="18">+F82/2+F83/2</f>
        <v>-128549835.51636449</v>
      </c>
      <c r="G84" s="394">
        <f t="shared" si="18"/>
        <v>0</v>
      </c>
      <c r="H84" s="394">
        <f t="shared" si="18"/>
        <v>0</v>
      </c>
      <c r="I84" s="394">
        <f t="shared" si="18"/>
        <v>-7738713.1097376253</v>
      </c>
      <c r="J84" s="394">
        <f t="shared" si="18"/>
        <v>-1281394.3198665786</v>
      </c>
      <c r="K84" s="394">
        <f t="shared" si="18"/>
        <v>-95857938.445912182</v>
      </c>
      <c r="L84" s="394">
        <f t="shared" si="18"/>
        <v>-12025138.201613136</v>
      </c>
      <c r="M84" s="397">
        <f>+L84+J84+H84</f>
        <v>-13306532.521479715</v>
      </c>
      <c r="N84" s="399"/>
    </row>
    <row r="85" spans="1:14">
      <c r="D85" s="395"/>
      <c r="N85" s="399"/>
    </row>
    <row r="86" spans="1:14">
      <c r="D86" s="395"/>
      <c r="I86" s="397"/>
      <c r="J86" s="397"/>
      <c r="N86" s="399"/>
    </row>
    <row r="87" spans="1:14">
      <c r="C87" s="406" t="s">
        <v>482</v>
      </c>
      <c r="D87" s="395"/>
    </row>
    <row r="88" spans="1:14">
      <c r="A88" s="366">
        <f>+A84+1</f>
        <v>44</v>
      </c>
      <c r="B88" s="367" t="s">
        <v>477</v>
      </c>
      <c r="C88" s="367" t="s">
        <v>196</v>
      </c>
      <c r="D88" s="1065">
        <f>D76</f>
        <v>2023</v>
      </c>
      <c r="F88" s="394" t="s">
        <v>703</v>
      </c>
      <c r="G88" s="394" t="s">
        <v>703</v>
      </c>
      <c r="H88" s="394" t="s">
        <v>703</v>
      </c>
      <c r="I88" s="394" t="s">
        <v>703</v>
      </c>
      <c r="J88" s="394" t="s">
        <v>703</v>
      </c>
      <c r="K88" s="394" t="s">
        <v>703</v>
      </c>
      <c r="L88" s="394" t="s">
        <v>703</v>
      </c>
      <c r="M88" s="394" t="s">
        <v>703</v>
      </c>
    </row>
    <row r="89" spans="1:14">
      <c r="A89" s="366">
        <f>+A88+1</f>
        <v>45</v>
      </c>
      <c r="B89" s="367" t="s">
        <v>477</v>
      </c>
      <c r="C89" s="367" t="s">
        <v>196</v>
      </c>
      <c r="D89" s="1065">
        <f>D77</f>
        <v>2024</v>
      </c>
      <c r="F89" s="394" t="s">
        <v>703</v>
      </c>
      <c r="G89" s="394" t="s">
        <v>703</v>
      </c>
      <c r="H89" s="394" t="s">
        <v>703</v>
      </c>
      <c r="I89" s="394" t="s">
        <v>703</v>
      </c>
      <c r="J89" s="394" t="s">
        <v>703</v>
      </c>
      <c r="K89" s="394" t="s">
        <v>703</v>
      </c>
      <c r="L89" s="394" t="s">
        <v>703</v>
      </c>
      <c r="M89" s="394" t="s">
        <v>703</v>
      </c>
    </row>
    <row r="90" spans="1:14">
      <c r="A90" s="366">
        <f>+A89+1</f>
        <v>46</v>
      </c>
      <c r="C90" s="367" t="s">
        <v>481</v>
      </c>
      <c r="D90" s="395"/>
      <c r="F90" s="394" t="s">
        <v>703</v>
      </c>
      <c r="G90" s="394" t="s">
        <v>703</v>
      </c>
      <c r="H90" s="394" t="s">
        <v>703</v>
      </c>
      <c r="I90" s="394" t="s">
        <v>703</v>
      </c>
      <c r="J90" s="394" t="s">
        <v>703</v>
      </c>
      <c r="K90" s="394" t="s">
        <v>703</v>
      </c>
      <c r="L90" s="394" t="s">
        <v>703</v>
      </c>
      <c r="M90" s="394" t="s">
        <v>703</v>
      </c>
    </row>
    <row r="91" spans="1:14">
      <c r="D91" s="395"/>
    </row>
    <row r="92" spans="1:14">
      <c r="D92" s="395"/>
    </row>
    <row r="93" spans="1:14">
      <c r="C93" s="406" t="s">
        <v>483</v>
      </c>
      <c r="D93" s="395"/>
    </row>
    <row r="94" spans="1:14">
      <c r="A94" s="366">
        <f>+A90+1</f>
        <v>47</v>
      </c>
      <c r="B94" s="367" t="s">
        <v>477</v>
      </c>
      <c r="C94" s="367" t="s">
        <v>196</v>
      </c>
      <c r="D94" s="1065">
        <f>D76</f>
        <v>2023</v>
      </c>
      <c r="F94" s="394">
        <f>'4B - ADIT BOY'!C81</f>
        <v>240443083.77808172</v>
      </c>
      <c r="G94" s="394">
        <f>'4B - ADIT BOY'!E81</f>
        <v>775303.46033853153</v>
      </c>
      <c r="H94" s="394">
        <f>+G94</f>
        <v>775303.46033853153</v>
      </c>
      <c r="I94" s="394">
        <f>'4B - ADIT BOY'!F81</f>
        <v>80872539.058029607</v>
      </c>
      <c r="J94" s="394">
        <f>+I94*J73</f>
        <v>13391065.247237293</v>
      </c>
      <c r="K94" s="394">
        <f>'4B - ADIT BOY'!G81</f>
        <v>24270599.665742267</v>
      </c>
      <c r="L94" s="394">
        <f>+K94*L73</f>
        <v>3044685.9169755331</v>
      </c>
      <c r="M94" s="397">
        <f>+L94+J94+H94</f>
        <v>17211054.62455136</v>
      </c>
    </row>
    <row r="95" spans="1:14">
      <c r="A95" s="366">
        <f>+A94+1</f>
        <v>48</v>
      </c>
      <c r="B95" s="367" t="s">
        <v>477</v>
      </c>
      <c r="C95" s="367" t="s">
        <v>196</v>
      </c>
      <c r="D95" s="1065">
        <f>D77</f>
        <v>2024</v>
      </c>
      <c r="F95" s="394">
        <f>'4C - ADIT EOY'!C76</f>
        <v>307748660</v>
      </c>
      <c r="G95" s="394">
        <f>'4C - ADIT EOY'!E76</f>
        <v>0</v>
      </c>
      <c r="H95" s="394">
        <f>+G95</f>
        <v>0</v>
      </c>
      <c r="I95" s="394">
        <f>'4C - ADIT EOY'!F76</f>
        <v>121431822</v>
      </c>
      <c r="J95" s="394">
        <f>+I95*J73</f>
        <v>20106966.721127745</v>
      </c>
      <c r="K95" s="394">
        <f>'4C - ADIT EOY'!G76</f>
        <v>24433812.706271362</v>
      </c>
      <c r="L95" s="394">
        <f>+K95*L73</f>
        <v>3065160.5839722082</v>
      </c>
      <c r="M95" s="397">
        <f>+L95+J95+H95</f>
        <v>23172127.305099953</v>
      </c>
    </row>
    <row r="96" spans="1:14">
      <c r="A96" s="366">
        <f>+A95+1</f>
        <v>49</v>
      </c>
      <c r="C96" s="367" t="s">
        <v>481</v>
      </c>
      <c r="F96" s="394">
        <f t="shared" ref="F96:L96" si="19">+F94/2+F95/2</f>
        <v>274095871.88904083</v>
      </c>
      <c r="G96" s="394">
        <f t="shared" si="19"/>
        <v>387651.73016926576</v>
      </c>
      <c r="H96" s="394">
        <f t="shared" si="19"/>
        <v>387651.73016926576</v>
      </c>
      <c r="I96" s="394">
        <f t="shared" si="19"/>
        <v>101152180.5290148</v>
      </c>
      <c r="J96" s="394">
        <f t="shared" si="19"/>
        <v>16749015.984182518</v>
      </c>
      <c r="K96" s="394">
        <f t="shared" si="19"/>
        <v>24352206.186006814</v>
      </c>
      <c r="L96" s="394">
        <f t="shared" si="19"/>
        <v>3054923.2504738709</v>
      </c>
      <c r="M96" s="394">
        <f>+M94/2+M95/2</f>
        <v>20191590.964825656</v>
      </c>
    </row>
    <row r="97" spans="1:13">
      <c r="J97" s="394"/>
    </row>
    <row r="98" spans="1:13" ht="14.25" thickBot="1">
      <c r="A98" s="407" t="s">
        <v>324</v>
      </c>
      <c r="L98" s="402"/>
      <c r="M98" s="402"/>
    </row>
    <row r="99" spans="1:13">
      <c r="A99" s="366" t="s">
        <v>58</v>
      </c>
      <c r="B99" s="367" t="s">
        <v>1073</v>
      </c>
      <c r="L99" s="402"/>
      <c r="M99" s="402"/>
    </row>
    <row r="100" spans="1:13">
      <c r="L100" s="402"/>
    </row>
  </sheetData>
  <sheetProtection algorithmName="SHA-512" hashValue="j4j3kjYs0b6HoZ6HhSMYc1zG1Y25NrijN259cMwR0Ij5Bh8KZy3kxHFdj+Bk1MUe1w87xx8itrmFyKX47IIwNg==" saltValue="KcQYI7cwpDYy3u6QAppTfQ==" spinCount="100000" sheet="1" objects="1" scenarios="1"/>
  <protectedRanges>
    <protectedRange sqref="D15:D29 F15:M27 G29:M29 D32:D33 F32:M33 D38:D39 D44:D57 F44:M56 D76:D77 D82:D83 D88:D89 D94:D95" name="Range1"/>
  </protectedRanges>
  <mergeCells count="1">
    <mergeCell ref="A66:M66"/>
  </mergeCells>
  <pageMargins left="0.7" right="0.7" top="0.75" bottom="0.75" header="0.3" footer="0.3"/>
  <pageSetup scale="50" fitToHeight="3" orientation="landscape" r:id="rId1"/>
  <rowBreaks count="1" manualBreakCount="1">
    <brk id="61" max="16383" man="1"/>
  </rowBreaks>
  <ignoredErrors>
    <ignoredError sqref="H45:H55 J56 D44:D57 D38:D39 D32:D33 D16:D28 H15:H27 J17:J27 H33 F17:F27 J15 L15:M15 H29 H32 H44 L44:M44 J16 L16:M16 L17:M27 J33 L33:M33 J45:J55 L56:M56 L45:M55 J44" unlockedFormula="1"/>
    <ignoredError sqref="H56 J29 J32 L29:M29 L32:M32" formula="1" unlockedFormula="1"/>
    <ignoredError sqref="J28:M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8"/>
  <sheetViews>
    <sheetView view="pageBreakPreview" zoomScale="70" zoomScaleNormal="80" zoomScaleSheetLayoutView="70" workbookViewId="0">
      <selection activeCell="E17" sqref="E17"/>
    </sheetView>
  </sheetViews>
  <sheetFormatPr defaultColWidth="8.88671875" defaultRowHeight="13.9"/>
  <cols>
    <col min="1" max="1" width="5.44140625" style="408" customWidth="1"/>
    <col min="2" max="2" width="43.6640625" style="368" customWidth="1"/>
    <col min="3" max="3" width="17.88671875" style="368" customWidth="1"/>
    <col min="4" max="4" width="17" style="368" customWidth="1"/>
    <col min="5" max="5" width="19.88671875" style="368" customWidth="1"/>
    <col min="6" max="7" width="16.6640625" style="368" customWidth="1"/>
    <col min="8" max="8" width="89.88671875" style="368" customWidth="1"/>
    <col min="9" max="9" width="8.88671875" style="367"/>
    <col min="10" max="10" width="9.5546875" style="367" customWidth="1"/>
    <col min="11" max="16384" width="8.88671875" style="367"/>
  </cols>
  <sheetData>
    <row r="1" spans="1:9">
      <c r="B1" s="1242" t="s">
        <v>981</v>
      </c>
      <c r="C1" s="1243"/>
      <c r="D1" s="1243"/>
      <c r="E1" s="1243"/>
      <c r="F1" s="1243"/>
      <c r="G1" s="1243"/>
      <c r="H1" s="1243"/>
      <c r="I1" s="370"/>
    </row>
    <row r="2" spans="1:9">
      <c r="B2" s="1244" t="str">
        <f>'4A - ADIT Summary'!$G$65</f>
        <v>PECO Energy Company</v>
      </c>
      <c r="C2" s="1245"/>
      <c r="D2" s="1245"/>
      <c r="E2" s="1245"/>
      <c r="F2" s="1245"/>
      <c r="G2" s="1245"/>
      <c r="H2" s="1245"/>
      <c r="I2" s="370"/>
    </row>
    <row r="3" spans="1:9">
      <c r="B3" s="409" t="s">
        <v>490</v>
      </c>
      <c r="C3" s="410"/>
      <c r="E3" s="367"/>
      <c r="F3" s="411"/>
      <c r="G3" s="412"/>
      <c r="H3" s="413"/>
      <c r="I3" s="370"/>
    </row>
    <row r="4" spans="1:9">
      <c r="B4" s="409"/>
      <c r="C4" s="410"/>
      <c r="E4" s="411"/>
      <c r="F4" s="411"/>
      <c r="G4" s="412"/>
      <c r="H4" s="414" t="s">
        <v>490</v>
      </c>
      <c r="I4" s="370"/>
    </row>
    <row r="5" spans="1:9">
      <c r="B5" s="415" t="s">
        <v>58</v>
      </c>
      <c r="C5" s="416" t="s">
        <v>59</v>
      </c>
      <c r="D5" s="416" t="s">
        <v>60</v>
      </c>
      <c r="E5" s="416" t="s">
        <v>61</v>
      </c>
      <c r="F5" s="416" t="s">
        <v>62</v>
      </c>
      <c r="G5" s="416" t="s">
        <v>63</v>
      </c>
      <c r="H5" s="414" t="s">
        <v>491</v>
      </c>
      <c r="I5" s="370"/>
    </row>
    <row r="6" spans="1:9">
      <c r="B6" s="410"/>
      <c r="C6" s="367"/>
      <c r="D6" s="417" t="s">
        <v>1291</v>
      </c>
      <c r="E6" s="411" t="s">
        <v>1290</v>
      </c>
      <c r="F6" s="411" t="s">
        <v>506</v>
      </c>
      <c r="G6" s="411" t="s">
        <v>459</v>
      </c>
      <c r="H6" s="367"/>
      <c r="I6" s="370"/>
    </row>
    <row r="7" spans="1:9">
      <c r="B7" s="410"/>
      <c r="C7" s="382" t="s">
        <v>13</v>
      </c>
      <c r="D7" s="417" t="s">
        <v>1292</v>
      </c>
      <c r="E7" s="411" t="s">
        <v>467</v>
      </c>
      <c r="F7" s="411" t="s">
        <v>467</v>
      </c>
      <c r="G7" s="411" t="s">
        <v>467</v>
      </c>
      <c r="H7" s="410"/>
      <c r="I7" s="370"/>
    </row>
    <row r="8" spans="1:9" ht="3.75" customHeight="1">
      <c r="B8" s="410"/>
      <c r="C8" s="410"/>
      <c r="E8" s="412"/>
      <c r="F8" s="412"/>
      <c r="G8" s="412"/>
      <c r="H8" s="414"/>
      <c r="I8" s="370"/>
    </row>
    <row r="9" spans="1:9">
      <c r="A9" s="408" t="s">
        <v>493</v>
      </c>
      <c r="B9" s="418" t="s">
        <v>474</v>
      </c>
      <c r="C9" s="412">
        <f>+C116</f>
        <v>-945270708.34694481</v>
      </c>
      <c r="D9" s="417"/>
      <c r="E9" s="412">
        <f>E116</f>
        <v>-228164710.99647221</v>
      </c>
      <c r="F9" s="412">
        <f>F116</f>
        <v>0</v>
      </c>
      <c r="G9" s="412">
        <f>G116</f>
        <v>-79036310</v>
      </c>
      <c r="H9" s="412" t="s">
        <v>496</v>
      </c>
      <c r="I9" s="370"/>
    </row>
    <row r="10" spans="1:9">
      <c r="A10" s="408" t="s">
        <v>495</v>
      </c>
      <c r="B10" s="418" t="s">
        <v>480</v>
      </c>
      <c r="C10" s="412">
        <f>+C177</f>
        <v>-126049680.83543372</v>
      </c>
      <c r="D10" s="417"/>
      <c r="E10" s="412">
        <f>E177</f>
        <v>0</v>
      </c>
      <c r="F10" s="412">
        <f>F177</f>
        <v>-7615073.4588751346</v>
      </c>
      <c r="G10" s="412">
        <f>G177</f>
        <v>-97528211.806807429</v>
      </c>
      <c r="H10" s="412" t="s">
        <v>498</v>
      </c>
      <c r="I10" s="370"/>
    </row>
    <row r="11" spans="1:9">
      <c r="A11" s="408" t="s">
        <v>497</v>
      </c>
      <c r="B11" s="418" t="s">
        <v>483</v>
      </c>
      <c r="C11" s="412">
        <f>+C81</f>
        <v>240443083.77808172</v>
      </c>
      <c r="D11" s="417"/>
      <c r="E11" s="412">
        <f>E81</f>
        <v>775303.46033853153</v>
      </c>
      <c r="F11" s="412">
        <f>F81</f>
        <v>80872539.058029607</v>
      </c>
      <c r="G11" s="412">
        <f>G81</f>
        <v>24270599.665742267</v>
      </c>
      <c r="H11" s="412" t="s">
        <v>494</v>
      </c>
      <c r="I11" s="370"/>
    </row>
    <row r="12" spans="1:9">
      <c r="A12" s="408" t="s">
        <v>499</v>
      </c>
      <c r="B12" s="418" t="s">
        <v>500</v>
      </c>
      <c r="C12" s="412">
        <f>SUM(C9:C11)</f>
        <v>-830877305.40429688</v>
      </c>
      <c r="E12" s="412">
        <f>SUM(E9:E11)</f>
        <v>-227389407.53613368</v>
      </c>
      <c r="F12" s="412">
        <f>SUM(F9:F11)</f>
        <v>73257465.599154472</v>
      </c>
      <c r="G12" s="412">
        <f>SUM(G9:G11)</f>
        <v>-152293922.14106515</v>
      </c>
      <c r="H12" s="412" t="s">
        <v>501</v>
      </c>
      <c r="I12" s="370"/>
    </row>
    <row r="13" spans="1:9" ht="3.75" customHeight="1">
      <c r="B13" s="418"/>
      <c r="C13" s="410"/>
      <c r="D13" s="412"/>
      <c r="E13" s="412"/>
      <c r="F13" s="419"/>
      <c r="G13" s="412"/>
      <c r="H13" s="420"/>
      <c r="I13" s="370"/>
    </row>
    <row r="14" spans="1:9">
      <c r="B14" s="421" t="s">
        <v>502</v>
      </c>
      <c r="C14" s="422"/>
      <c r="D14" s="403"/>
      <c r="E14" s="403"/>
      <c r="F14" s="403"/>
      <c r="G14" s="403"/>
    </row>
    <row r="15" spans="1:9">
      <c r="B15" s="421" t="s">
        <v>503</v>
      </c>
      <c r="C15" s="422"/>
      <c r="D15" s="403"/>
      <c r="E15" s="403"/>
      <c r="F15" s="403"/>
      <c r="G15" s="403"/>
    </row>
    <row r="16" spans="1:9">
      <c r="B16" s="415" t="s">
        <v>58</v>
      </c>
      <c r="C16" s="416" t="s">
        <v>59</v>
      </c>
      <c r="D16" s="416" t="s">
        <v>60</v>
      </c>
      <c r="E16" s="416" t="s">
        <v>61</v>
      </c>
      <c r="F16" s="416" t="s">
        <v>62</v>
      </c>
      <c r="G16" s="416" t="s">
        <v>63</v>
      </c>
      <c r="H16" s="415" t="s">
        <v>64</v>
      </c>
    </row>
    <row r="17" spans="1:8">
      <c r="A17" s="408" t="s">
        <v>8</v>
      </c>
      <c r="B17" s="423" t="s">
        <v>1345</v>
      </c>
      <c r="C17" s="417" t="s">
        <v>13</v>
      </c>
      <c r="D17" s="417" t="s">
        <v>504</v>
      </c>
      <c r="E17" s="417" t="s">
        <v>492</v>
      </c>
      <c r="F17" s="417"/>
      <c r="G17" s="417"/>
    </row>
    <row r="18" spans="1:8">
      <c r="C18" s="417"/>
      <c r="D18" s="417" t="s">
        <v>505</v>
      </c>
      <c r="E18" s="417" t="s">
        <v>17</v>
      </c>
      <c r="F18" s="417" t="s">
        <v>506</v>
      </c>
      <c r="G18" s="417" t="s">
        <v>459</v>
      </c>
    </row>
    <row r="19" spans="1:8">
      <c r="C19" s="417"/>
      <c r="D19" s="417" t="s">
        <v>467</v>
      </c>
      <c r="E19" s="417" t="s">
        <v>467</v>
      </c>
      <c r="F19" s="417" t="s">
        <v>467</v>
      </c>
      <c r="G19" s="417" t="s">
        <v>467</v>
      </c>
      <c r="H19" s="424" t="s">
        <v>507</v>
      </c>
    </row>
    <row r="20" spans="1:8" ht="5.25" customHeight="1">
      <c r="B20" s="425"/>
      <c r="C20" s="426"/>
      <c r="D20" s="403"/>
      <c r="E20" s="403"/>
      <c r="F20" s="403"/>
      <c r="G20" s="403"/>
    </row>
    <row r="21" spans="1:8" ht="41.65">
      <c r="A21" s="408">
        <v>1</v>
      </c>
      <c r="B21" s="980" t="s">
        <v>1529</v>
      </c>
      <c r="C21" s="482">
        <v>1301838.2506112717</v>
      </c>
      <c r="D21" s="482">
        <v>1301838.2506112717</v>
      </c>
      <c r="E21" s="482">
        <v>0</v>
      </c>
      <c r="F21" s="482">
        <v>0</v>
      </c>
      <c r="G21" s="482">
        <v>0</v>
      </c>
      <c r="H21" s="981" t="s">
        <v>1863</v>
      </c>
    </row>
    <row r="22" spans="1:8">
      <c r="A22" s="408" t="s">
        <v>508</v>
      </c>
      <c r="B22" s="980" t="s">
        <v>1864</v>
      </c>
      <c r="C22" s="482">
        <v>962357.02704062895</v>
      </c>
      <c r="D22" s="482">
        <v>0</v>
      </c>
      <c r="E22" s="482">
        <v>0</v>
      </c>
      <c r="F22" s="482">
        <v>0</v>
      </c>
      <c r="G22" s="482">
        <v>962357.02704062895</v>
      </c>
      <c r="H22" s="981" t="s">
        <v>1865</v>
      </c>
    </row>
    <row r="23" spans="1:8" ht="27.75">
      <c r="A23" s="408" t="s">
        <v>509</v>
      </c>
      <c r="B23" s="980" t="s">
        <v>1545</v>
      </c>
      <c r="C23" s="482">
        <v>22084228.926434115</v>
      </c>
      <c r="D23" s="482">
        <v>22084228.926434115</v>
      </c>
      <c r="E23" s="482">
        <v>0</v>
      </c>
      <c r="F23" s="482">
        <v>0</v>
      </c>
      <c r="G23" s="482">
        <v>0</v>
      </c>
      <c r="H23" s="981" t="s">
        <v>1866</v>
      </c>
    </row>
    <row r="24" spans="1:8">
      <c r="A24" s="408" t="s">
        <v>510</v>
      </c>
      <c r="B24" s="980" t="s">
        <v>1530</v>
      </c>
      <c r="C24" s="482">
        <v>6777.7662540001747</v>
      </c>
      <c r="D24" s="482">
        <v>6777.7662540001747</v>
      </c>
      <c r="E24" s="482">
        <v>0</v>
      </c>
      <c r="F24" s="482">
        <v>0</v>
      </c>
      <c r="G24" s="482">
        <v>0</v>
      </c>
      <c r="H24" s="981" t="s">
        <v>1867</v>
      </c>
    </row>
    <row r="25" spans="1:8">
      <c r="A25" s="427" t="s">
        <v>511</v>
      </c>
      <c r="B25" s="980" t="s">
        <v>1531</v>
      </c>
      <c r="C25" s="482">
        <v>800594.46401429886</v>
      </c>
      <c r="D25" s="482">
        <v>800594.46401429886</v>
      </c>
      <c r="E25" s="482">
        <v>0</v>
      </c>
      <c r="F25" s="482">
        <v>0</v>
      </c>
      <c r="G25" s="482">
        <v>0</v>
      </c>
      <c r="H25" s="981" t="s">
        <v>1867</v>
      </c>
    </row>
    <row r="26" spans="1:8" ht="27.75">
      <c r="A26" s="427" t="s">
        <v>512</v>
      </c>
      <c r="B26" s="980" t="s">
        <v>1532</v>
      </c>
      <c r="C26" s="482">
        <v>1786919.3893146073</v>
      </c>
      <c r="D26" s="482">
        <v>1786919.3893146073</v>
      </c>
      <c r="E26" s="482">
        <v>0</v>
      </c>
      <c r="F26" s="482">
        <v>0</v>
      </c>
      <c r="G26" s="482">
        <v>0</v>
      </c>
      <c r="H26" s="981" t="s">
        <v>1868</v>
      </c>
    </row>
    <row r="27" spans="1:8">
      <c r="A27" s="427" t="s">
        <v>513</v>
      </c>
      <c r="B27" s="980" t="s">
        <v>1533</v>
      </c>
      <c r="C27" s="482">
        <v>397089.18409379397</v>
      </c>
      <c r="D27" s="482">
        <v>397089.18409379397</v>
      </c>
      <c r="E27" s="482">
        <v>0</v>
      </c>
      <c r="F27" s="482">
        <v>0</v>
      </c>
      <c r="G27" s="482">
        <v>0</v>
      </c>
      <c r="H27" s="981" t="s">
        <v>1867</v>
      </c>
    </row>
    <row r="28" spans="1:8">
      <c r="A28" s="427" t="s">
        <v>514</v>
      </c>
      <c r="B28" s="980" t="s">
        <v>1869</v>
      </c>
      <c r="C28" s="482">
        <v>59467605.998077601</v>
      </c>
      <c r="D28" s="482">
        <v>59467605.998077601</v>
      </c>
      <c r="E28" s="482">
        <v>0</v>
      </c>
      <c r="F28" s="482">
        <v>0</v>
      </c>
      <c r="G28" s="482">
        <v>0</v>
      </c>
      <c r="H28" s="981" t="s">
        <v>1870</v>
      </c>
    </row>
    <row r="29" spans="1:8" ht="27.75">
      <c r="A29" s="427" t="s">
        <v>515</v>
      </c>
      <c r="B29" s="980" t="s">
        <v>1534</v>
      </c>
      <c r="C29" s="482">
        <v>5055701.3161562346</v>
      </c>
      <c r="D29" s="482">
        <v>5055701.3161562346</v>
      </c>
      <c r="E29" s="482">
        <v>0</v>
      </c>
      <c r="F29" s="482">
        <v>0</v>
      </c>
      <c r="G29" s="482">
        <v>0</v>
      </c>
      <c r="H29" s="981" t="s">
        <v>1871</v>
      </c>
    </row>
    <row r="30" spans="1:8">
      <c r="A30" s="427" t="s">
        <v>516</v>
      </c>
      <c r="B30" s="980" t="s">
        <v>1535</v>
      </c>
      <c r="C30" s="482">
        <v>545525.49753486982</v>
      </c>
      <c r="D30" s="482">
        <v>545525.49753486982</v>
      </c>
      <c r="E30" s="482">
        <v>0</v>
      </c>
      <c r="F30" s="482">
        <v>0</v>
      </c>
      <c r="G30" s="482">
        <v>0</v>
      </c>
      <c r="H30" s="982" t="s">
        <v>1872</v>
      </c>
    </row>
    <row r="31" spans="1:8" ht="27.75">
      <c r="A31" s="427" t="s">
        <v>517</v>
      </c>
      <c r="B31" s="980" t="s">
        <v>1536</v>
      </c>
      <c r="C31" s="482">
        <v>14337385.317146521</v>
      </c>
      <c r="D31" s="482">
        <v>0</v>
      </c>
      <c r="E31" s="482">
        <v>0</v>
      </c>
      <c r="F31" s="482">
        <v>0</v>
      </c>
      <c r="G31" s="482">
        <v>14337385.317146521</v>
      </c>
      <c r="H31" s="982" t="s">
        <v>1873</v>
      </c>
    </row>
    <row r="32" spans="1:8">
      <c r="A32" s="427" t="s">
        <v>518</v>
      </c>
      <c r="B32" s="980" t="s">
        <v>1537</v>
      </c>
      <c r="C32" s="482">
        <v>849901.54403223644</v>
      </c>
      <c r="D32" s="482">
        <v>74598.083693704903</v>
      </c>
      <c r="E32" s="482">
        <v>775303.46033853153</v>
      </c>
      <c r="F32" s="482">
        <v>0</v>
      </c>
      <c r="G32" s="482">
        <v>0</v>
      </c>
      <c r="H32" s="981" t="s">
        <v>1867</v>
      </c>
    </row>
    <row r="33" spans="1:8" ht="27.75">
      <c r="A33" s="427" t="s">
        <v>519</v>
      </c>
      <c r="B33" s="980" t="s">
        <v>1538</v>
      </c>
      <c r="C33" s="482">
        <v>209535.66925850124</v>
      </c>
      <c r="D33" s="482">
        <v>209535.66925850124</v>
      </c>
      <c r="E33" s="482">
        <v>0</v>
      </c>
      <c r="F33" s="482">
        <v>0</v>
      </c>
      <c r="G33" s="482">
        <v>0</v>
      </c>
      <c r="H33" s="982" t="s">
        <v>1874</v>
      </c>
    </row>
    <row r="34" spans="1:8">
      <c r="A34" s="427" t="s">
        <v>520</v>
      </c>
      <c r="B34" s="980" t="s">
        <v>1875</v>
      </c>
      <c r="C34" s="482">
        <v>0</v>
      </c>
      <c r="D34" s="482">
        <v>0</v>
      </c>
      <c r="E34" s="482">
        <v>0</v>
      </c>
      <c r="F34" s="482">
        <v>0</v>
      </c>
      <c r="G34" s="482">
        <v>0</v>
      </c>
      <c r="H34" s="981" t="s">
        <v>1876</v>
      </c>
    </row>
    <row r="35" spans="1:8">
      <c r="A35" s="427" t="s">
        <v>521</v>
      </c>
      <c r="B35" s="980" t="s">
        <v>1877</v>
      </c>
      <c r="C35" s="482">
        <v>43155797.598219804</v>
      </c>
      <c r="D35" s="482">
        <v>35701974.54019019</v>
      </c>
      <c r="E35" s="482">
        <v>0</v>
      </c>
      <c r="F35" s="482">
        <v>7453823.0580296135</v>
      </c>
      <c r="G35" s="482">
        <v>0</v>
      </c>
      <c r="H35" s="981" t="s">
        <v>1878</v>
      </c>
    </row>
    <row r="36" spans="1:8" ht="27.75">
      <c r="A36" s="427" t="s">
        <v>522</v>
      </c>
      <c r="B36" s="980" t="s">
        <v>1539</v>
      </c>
      <c r="C36" s="482">
        <v>0</v>
      </c>
      <c r="D36" s="482">
        <v>0</v>
      </c>
      <c r="E36" s="482">
        <v>0</v>
      </c>
      <c r="F36" s="482">
        <v>0</v>
      </c>
      <c r="G36" s="482">
        <v>0</v>
      </c>
      <c r="H36" s="981" t="s">
        <v>1879</v>
      </c>
    </row>
    <row r="37" spans="1:8" ht="27.75">
      <c r="A37" s="427" t="s">
        <v>523</v>
      </c>
      <c r="B37" s="980" t="s">
        <v>1540</v>
      </c>
      <c r="C37" s="482">
        <v>1202613.5600099307</v>
      </c>
      <c r="D37" s="482">
        <v>1202613.5600099307</v>
      </c>
      <c r="E37" s="482">
        <v>0</v>
      </c>
      <c r="F37" s="482">
        <v>0</v>
      </c>
      <c r="G37" s="482">
        <v>0</v>
      </c>
      <c r="H37" s="981" t="s">
        <v>1880</v>
      </c>
    </row>
    <row r="38" spans="1:8">
      <c r="A38" s="427" t="s">
        <v>524</v>
      </c>
      <c r="B38" s="980" t="s">
        <v>1541</v>
      </c>
      <c r="C38" s="482">
        <v>1228262.6631219066</v>
      </c>
      <c r="D38" s="482">
        <v>1228262.6631219066</v>
      </c>
      <c r="E38" s="482">
        <v>0</v>
      </c>
      <c r="F38" s="482">
        <v>0</v>
      </c>
      <c r="G38" s="482">
        <v>0</v>
      </c>
      <c r="H38" s="982" t="s">
        <v>1881</v>
      </c>
    </row>
    <row r="39" spans="1:8">
      <c r="A39" s="427" t="s">
        <v>525</v>
      </c>
      <c r="B39" s="980" t="s">
        <v>1542</v>
      </c>
      <c r="C39" s="482">
        <v>172203.68959056601</v>
      </c>
      <c r="D39" s="482">
        <v>0</v>
      </c>
      <c r="E39" s="482">
        <v>0</v>
      </c>
      <c r="F39" s="482">
        <v>0</v>
      </c>
      <c r="G39" s="482">
        <v>172203.68959056601</v>
      </c>
      <c r="H39" s="982" t="s">
        <v>1882</v>
      </c>
    </row>
    <row r="40" spans="1:8">
      <c r="A40" s="427" t="s">
        <v>526</v>
      </c>
      <c r="B40" s="980" t="s">
        <v>1707</v>
      </c>
      <c r="C40" s="482">
        <v>3230225.7740952978</v>
      </c>
      <c r="D40" s="482">
        <v>3230225.7740952978</v>
      </c>
      <c r="E40" s="482">
        <v>0</v>
      </c>
      <c r="F40" s="482">
        <v>0</v>
      </c>
      <c r="G40" s="482">
        <v>0</v>
      </c>
      <c r="H40" s="982" t="s">
        <v>1883</v>
      </c>
    </row>
    <row r="41" spans="1:8">
      <c r="A41" s="427" t="s">
        <v>527</v>
      </c>
      <c r="B41" s="980" t="s">
        <v>1543</v>
      </c>
      <c r="C41" s="482">
        <v>1431150.5111110001</v>
      </c>
      <c r="D41" s="482">
        <v>1431150.5111110001</v>
      </c>
      <c r="E41" s="482">
        <v>0</v>
      </c>
      <c r="F41" s="482">
        <v>0</v>
      </c>
      <c r="G41" s="482">
        <v>0</v>
      </c>
      <c r="H41" s="982" t="s">
        <v>1867</v>
      </c>
    </row>
    <row r="42" spans="1:8" ht="27.75">
      <c r="A42" s="427" t="s">
        <v>528</v>
      </c>
      <c r="B42" s="980" t="s">
        <v>1544</v>
      </c>
      <c r="C42" s="482">
        <v>8375517.05798213</v>
      </c>
      <c r="D42" s="482">
        <v>0</v>
      </c>
      <c r="E42" s="482">
        <v>0</v>
      </c>
      <c r="F42" s="482">
        <v>0</v>
      </c>
      <c r="G42" s="482">
        <v>8375517.05798213</v>
      </c>
      <c r="H42" s="982" t="s">
        <v>1884</v>
      </c>
    </row>
    <row r="43" spans="1:8">
      <c r="A43" s="427" t="s">
        <v>529</v>
      </c>
      <c r="B43" s="980" t="s">
        <v>1646</v>
      </c>
      <c r="C43" s="482">
        <v>0</v>
      </c>
      <c r="D43" s="482">
        <v>0</v>
      </c>
      <c r="E43" s="482">
        <v>0</v>
      </c>
      <c r="F43" s="482">
        <v>0</v>
      </c>
      <c r="G43" s="482">
        <v>0</v>
      </c>
      <c r="H43" s="982" t="s">
        <v>1885</v>
      </c>
    </row>
    <row r="44" spans="1:8">
      <c r="A44" s="427"/>
      <c r="B44" s="980" t="s">
        <v>1886</v>
      </c>
      <c r="C44" s="482">
        <v>73418716</v>
      </c>
      <c r="D44" s="482">
        <v>0</v>
      </c>
      <c r="E44" s="482">
        <v>0</v>
      </c>
      <c r="F44" s="482">
        <v>73418716</v>
      </c>
      <c r="G44" s="482">
        <v>0</v>
      </c>
      <c r="H44" s="982" t="s">
        <v>1887</v>
      </c>
    </row>
    <row r="45" spans="1:8">
      <c r="A45" s="427" t="s">
        <v>531</v>
      </c>
      <c r="B45" s="980" t="s">
        <v>1150</v>
      </c>
      <c r="C45" s="482">
        <v>423136.5739824202</v>
      </c>
      <c r="D45" s="482">
        <v>0</v>
      </c>
      <c r="E45" s="482">
        <v>0</v>
      </c>
      <c r="F45" s="482">
        <v>0</v>
      </c>
      <c r="G45" s="482">
        <v>423136.5739824202</v>
      </c>
      <c r="H45" s="982" t="s">
        <v>1885</v>
      </c>
    </row>
    <row r="46" spans="1:8">
      <c r="A46" s="427" t="s">
        <v>532</v>
      </c>
      <c r="B46" s="980" t="s">
        <v>1888</v>
      </c>
      <c r="C46" s="482">
        <v>0</v>
      </c>
      <c r="D46" s="482">
        <v>0</v>
      </c>
      <c r="E46" s="482">
        <v>0</v>
      </c>
      <c r="F46" s="482">
        <v>0</v>
      </c>
      <c r="G46" s="482">
        <v>0</v>
      </c>
      <c r="H46" s="982" t="s">
        <v>1889</v>
      </c>
    </row>
    <row r="47" spans="1:8">
      <c r="A47" s="427" t="s">
        <v>533</v>
      </c>
      <c r="B47" s="980" t="s">
        <v>1646</v>
      </c>
      <c r="C47" s="482">
        <v>11563.15756</v>
      </c>
      <c r="D47" s="482">
        <v>11563.15756</v>
      </c>
      <c r="E47" s="482">
        <v>0</v>
      </c>
      <c r="F47" s="482">
        <v>0</v>
      </c>
      <c r="G47" s="482">
        <v>0</v>
      </c>
      <c r="H47" s="982" t="s">
        <v>1812</v>
      </c>
    </row>
    <row r="48" spans="1:8">
      <c r="A48" s="427" t="s">
        <v>534</v>
      </c>
      <c r="B48" s="980" t="s">
        <v>1541</v>
      </c>
      <c r="C48" s="482">
        <v>2671097.1624719352</v>
      </c>
      <c r="D48" s="482">
        <v>2671097.1624719352</v>
      </c>
      <c r="E48" s="482">
        <v>0</v>
      </c>
      <c r="F48" s="482">
        <v>0</v>
      </c>
      <c r="G48" s="482">
        <v>0</v>
      </c>
      <c r="H48" s="982" t="s">
        <v>1812</v>
      </c>
    </row>
    <row r="49" spans="1:8">
      <c r="A49" s="427" t="s">
        <v>535</v>
      </c>
      <c r="B49" s="980"/>
      <c r="C49" s="482"/>
      <c r="D49" s="482"/>
      <c r="E49" s="482"/>
      <c r="F49" s="482"/>
      <c r="G49" s="482"/>
      <c r="H49" s="982"/>
    </row>
    <row r="50" spans="1:8">
      <c r="A50" s="427" t="s">
        <v>536</v>
      </c>
      <c r="B50" s="980"/>
      <c r="C50" s="482"/>
      <c r="D50" s="482"/>
      <c r="E50" s="482"/>
      <c r="F50" s="482"/>
      <c r="G50" s="482"/>
      <c r="H50" s="981"/>
    </row>
    <row r="51" spans="1:8">
      <c r="A51" s="427" t="s">
        <v>537</v>
      </c>
      <c r="B51" s="980"/>
      <c r="C51" s="482"/>
      <c r="D51" s="482"/>
      <c r="E51" s="482"/>
      <c r="F51" s="482"/>
      <c r="G51" s="482"/>
      <c r="H51" s="981"/>
    </row>
    <row r="52" spans="1:8">
      <c r="A52" s="427" t="s">
        <v>538</v>
      </c>
      <c r="B52" s="980"/>
      <c r="C52" s="482"/>
      <c r="D52" s="482"/>
      <c r="E52" s="482"/>
      <c r="F52" s="482"/>
      <c r="G52" s="482"/>
      <c r="H52" s="981"/>
    </row>
    <row r="53" spans="1:8">
      <c r="A53" s="427" t="s">
        <v>539</v>
      </c>
      <c r="B53" s="980"/>
      <c r="C53" s="482"/>
      <c r="D53" s="482"/>
      <c r="E53" s="482"/>
      <c r="F53" s="482"/>
      <c r="G53" s="482"/>
      <c r="H53" s="981"/>
    </row>
    <row r="54" spans="1:8">
      <c r="A54" s="427" t="s">
        <v>540</v>
      </c>
      <c r="B54" s="980"/>
      <c r="C54" s="482"/>
      <c r="D54" s="482"/>
      <c r="E54" s="482"/>
      <c r="F54" s="482"/>
      <c r="G54" s="482"/>
      <c r="H54" s="981"/>
    </row>
    <row r="55" spans="1:8">
      <c r="A55" s="427" t="s">
        <v>541</v>
      </c>
      <c r="B55" s="980"/>
      <c r="C55" s="482"/>
      <c r="D55" s="482"/>
      <c r="E55" s="482"/>
      <c r="F55" s="482"/>
      <c r="G55" s="482"/>
      <c r="H55" s="981"/>
    </row>
    <row r="56" spans="1:8">
      <c r="A56" s="427" t="s">
        <v>542</v>
      </c>
      <c r="B56" s="980"/>
      <c r="C56" s="482"/>
      <c r="D56" s="482"/>
      <c r="E56" s="482"/>
      <c r="F56" s="482"/>
      <c r="G56" s="482"/>
      <c r="H56" s="981"/>
    </row>
    <row r="57" spans="1:8">
      <c r="A57" s="427" t="s">
        <v>543</v>
      </c>
      <c r="B57" s="918"/>
      <c r="C57" s="482"/>
      <c r="D57" s="918"/>
      <c r="E57" s="919"/>
      <c r="F57" s="919"/>
      <c r="G57" s="920"/>
      <c r="H57" s="921"/>
    </row>
    <row r="58" spans="1:8">
      <c r="A58" s="427" t="s">
        <v>544</v>
      </c>
      <c r="B58" s="918"/>
      <c r="C58" s="482"/>
      <c r="D58" s="918"/>
      <c r="E58" s="919"/>
      <c r="F58" s="919"/>
      <c r="G58" s="920"/>
      <c r="H58" s="921"/>
    </row>
    <row r="59" spans="1:8">
      <c r="A59" s="427" t="s">
        <v>545</v>
      </c>
      <c r="B59" s="918"/>
      <c r="C59" s="482"/>
      <c r="D59" s="918"/>
      <c r="E59" s="919"/>
      <c r="F59" s="919"/>
      <c r="G59" s="918"/>
      <c r="H59" s="921"/>
    </row>
    <row r="60" spans="1:8">
      <c r="A60" s="427" t="s">
        <v>546</v>
      </c>
      <c r="B60" s="918"/>
      <c r="C60" s="482"/>
      <c r="D60" s="918"/>
      <c r="E60" s="919"/>
      <c r="F60" s="918"/>
      <c r="G60" s="920"/>
      <c r="H60" s="921"/>
    </row>
    <row r="61" spans="1:8">
      <c r="A61" s="427" t="s">
        <v>547</v>
      </c>
      <c r="B61" s="918"/>
      <c r="C61" s="482"/>
      <c r="D61" s="918"/>
      <c r="E61" s="919"/>
      <c r="F61" s="918"/>
      <c r="G61" s="920"/>
      <c r="H61" s="921"/>
    </row>
    <row r="62" spans="1:8" hidden="1">
      <c r="A62" s="427" t="s">
        <v>548</v>
      </c>
      <c r="B62" s="975"/>
      <c r="C62" s="482"/>
      <c r="D62" s="918"/>
      <c r="E62" s="919"/>
      <c r="F62" s="918"/>
      <c r="G62" s="920"/>
      <c r="H62" s="921"/>
    </row>
    <row r="63" spans="1:8" hidden="1">
      <c r="A63" s="427" t="s">
        <v>549</v>
      </c>
      <c r="B63" s="918"/>
      <c r="C63" s="482"/>
      <c r="D63" s="918"/>
      <c r="E63" s="918"/>
      <c r="F63" s="976"/>
      <c r="G63" s="918"/>
      <c r="H63" s="977"/>
    </row>
    <row r="64" spans="1:8" hidden="1">
      <c r="A64" s="427" t="s">
        <v>550</v>
      </c>
      <c r="B64" s="918"/>
      <c r="C64" s="482"/>
      <c r="D64" s="918"/>
      <c r="E64" s="919"/>
      <c r="F64" s="918"/>
      <c r="G64" s="920"/>
      <c r="H64" s="921"/>
    </row>
    <row r="65" spans="1:10" hidden="1">
      <c r="A65" s="427" t="s">
        <v>551</v>
      </c>
      <c r="B65" s="918"/>
      <c r="C65" s="482"/>
      <c r="D65" s="918"/>
      <c r="E65" s="919"/>
      <c r="F65" s="918"/>
      <c r="G65" s="920"/>
      <c r="H65" s="978"/>
    </row>
    <row r="66" spans="1:10" hidden="1">
      <c r="A66" s="427" t="s">
        <v>552</v>
      </c>
      <c r="B66" s="918"/>
      <c r="C66" s="482"/>
      <c r="D66" s="918"/>
      <c r="E66" s="919"/>
      <c r="F66" s="918"/>
      <c r="G66" s="920"/>
      <c r="H66" s="978"/>
    </row>
    <row r="67" spans="1:10" hidden="1">
      <c r="A67" s="427" t="s">
        <v>553</v>
      </c>
      <c r="B67" s="918"/>
      <c r="C67" s="482"/>
      <c r="D67" s="918"/>
      <c r="E67" s="918"/>
      <c r="F67" s="918"/>
      <c r="G67" s="918"/>
      <c r="H67" s="922"/>
    </row>
    <row r="68" spans="1:10" hidden="1">
      <c r="A68" s="427" t="s">
        <v>554</v>
      </c>
      <c r="B68" s="918"/>
      <c r="C68" s="482"/>
      <c r="D68" s="918"/>
      <c r="E68" s="918"/>
      <c r="F68" s="918"/>
      <c r="G68" s="918"/>
      <c r="H68" s="978"/>
    </row>
    <row r="69" spans="1:10" hidden="1">
      <c r="A69" s="427" t="s">
        <v>555</v>
      </c>
      <c r="B69" s="918"/>
      <c r="C69" s="482"/>
      <c r="D69" s="918"/>
      <c r="E69" s="918"/>
      <c r="F69" s="918"/>
      <c r="G69" s="918"/>
      <c r="H69" s="922"/>
    </row>
    <row r="70" spans="1:10" hidden="1">
      <c r="A70" s="427" t="s">
        <v>556</v>
      </c>
      <c r="B70" s="918"/>
      <c r="C70" s="482"/>
      <c r="D70" s="918"/>
      <c r="E70" s="918"/>
      <c r="F70" s="919"/>
      <c r="G70" s="918"/>
      <c r="H70" s="922"/>
    </row>
    <row r="71" spans="1:10" hidden="1">
      <c r="A71" s="427" t="s">
        <v>557</v>
      </c>
      <c r="B71" s="918"/>
      <c r="C71" s="482"/>
      <c r="D71" s="918"/>
      <c r="E71" s="918"/>
      <c r="F71" s="918"/>
      <c r="G71" s="918"/>
      <c r="H71" s="921"/>
    </row>
    <row r="72" spans="1:10" hidden="1">
      <c r="A72" s="427" t="s">
        <v>558</v>
      </c>
      <c r="B72" s="918"/>
      <c r="C72" s="482"/>
      <c r="D72" s="918"/>
      <c r="E72" s="918"/>
      <c r="F72" s="918"/>
      <c r="G72" s="918"/>
      <c r="H72" s="922"/>
    </row>
    <row r="73" spans="1:10" hidden="1">
      <c r="A73" s="427" t="s">
        <v>559</v>
      </c>
      <c r="B73" s="918"/>
      <c r="C73" s="482"/>
      <c r="D73" s="918"/>
      <c r="E73" s="918"/>
      <c r="F73" s="918"/>
      <c r="G73" s="918"/>
      <c r="H73" s="929"/>
    </row>
    <row r="74" spans="1:10" hidden="1">
      <c r="A74" s="427" t="s">
        <v>560</v>
      </c>
      <c r="B74" s="918"/>
      <c r="C74" s="482"/>
      <c r="D74" s="918"/>
      <c r="E74" s="918"/>
      <c r="F74" s="918"/>
      <c r="G74" s="918"/>
      <c r="H74" s="929"/>
    </row>
    <row r="75" spans="1:10" hidden="1">
      <c r="A75" s="427" t="s">
        <v>561</v>
      </c>
      <c r="B75" s="929"/>
      <c r="C75" s="482"/>
      <c r="D75" s="918"/>
      <c r="E75" s="918"/>
      <c r="F75" s="918"/>
      <c r="G75" s="918"/>
      <c r="H75" s="922"/>
    </row>
    <row r="76" spans="1:10" hidden="1">
      <c r="A76" s="427" t="s">
        <v>562</v>
      </c>
      <c r="B76" s="979"/>
      <c r="C76" s="482"/>
      <c r="D76" s="918"/>
      <c r="E76" s="918"/>
      <c r="F76" s="918"/>
      <c r="G76" s="918"/>
      <c r="H76" s="922"/>
    </row>
    <row r="77" spans="1:10">
      <c r="A77" s="427" t="s">
        <v>296</v>
      </c>
      <c r="B77" s="927"/>
      <c r="C77" s="482"/>
      <c r="D77" s="918"/>
      <c r="E77" s="918"/>
      <c r="F77" s="918"/>
      <c r="G77" s="918"/>
      <c r="H77" s="922"/>
    </row>
    <row r="78" spans="1:10">
      <c r="A78" s="427">
        <v>2</v>
      </c>
      <c r="B78" s="428" t="s">
        <v>975</v>
      </c>
      <c r="C78" s="429">
        <f>SUM(C21:C46)</f>
        <v>240443083.77808172</v>
      </c>
      <c r="D78" s="429">
        <f>SUM(D21:D46)</f>
        <v>134524641.59397131</v>
      </c>
      <c r="E78" s="429">
        <f>SUM(E21:E46)</f>
        <v>775303.46033853153</v>
      </c>
      <c r="F78" s="429">
        <f>SUM(F21:F46)</f>
        <v>80872539.058029607</v>
      </c>
      <c r="G78" s="429">
        <f>SUM(G21:G46)</f>
        <v>24270599.665742267</v>
      </c>
      <c r="H78" s="430"/>
      <c r="J78" s="431"/>
    </row>
    <row r="79" spans="1:10">
      <c r="A79" s="427">
        <v>3</v>
      </c>
      <c r="B79" s="428" t="s">
        <v>563</v>
      </c>
      <c r="C79" s="482">
        <v>0</v>
      </c>
      <c r="D79" s="482">
        <v>0</v>
      </c>
      <c r="E79" s="482">
        <v>0</v>
      </c>
      <c r="F79" s="482">
        <v>0</v>
      </c>
      <c r="G79" s="482">
        <v>0</v>
      </c>
      <c r="H79" s="922"/>
    </row>
    <row r="80" spans="1:10">
      <c r="A80" s="427">
        <v>4</v>
      </c>
      <c r="B80" s="428" t="s">
        <v>564</v>
      </c>
      <c r="C80" s="918">
        <v>0</v>
      </c>
      <c r="D80" s="918">
        <v>0</v>
      </c>
      <c r="E80" s="918">
        <v>0</v>
      </c>
      <c r="F80" s="918">
        <v>0</v>
      </c>
      <c r="G80" s="918">
        <v>0</v>
      </c>
      <c r="H80" s="922"/>
    </row>
    <row r="81" spans="1:8">
      <c r="A81" s="408">
        <v>5</v>
      </c>
      <c r="B81" s="428" t="s">
        <v>13</v>
      </c>
      <c r="C81" s="429">
        <f>+C78-C79-C80</f>
        <v>240443083.77808172</v>
      </c>
      <c r="D81" s="429">
        <f>+D78-D79-D80</f>
        <v>134524641.59397131</v>
      </c>
      <c r="E81" s="429">
        <f>+E78-E79-E80</f>
        <v>775303.46033853153</v>
      </c>
      <c r="F81" s="429">
        <f>+F78-F79-F80</f>
        <v>80872539.058029607</v>
      </c>
      <c r="G81" s="429">
        <f>+G78-G79-G80</f>
        <v>24270599.665742267</v>
      </c>
      <c r="H81" s="430"/>
    </row>
    <row r="82" spans="1:8" ht="6" customHeight="1">
      <c r="B82" s="432"/>
      <c r="C82" s="433"/>
      <c r="D82" s="412"/>
      <c r="E82" s="412"/>
      <c r="F82" s="412"/>
      <c r="G82" s="434"/>
      <c r="H82" s="435"/>
    </row>
    <row r="83" spans="1:8">
      <c r="A83" s="427">
        <v>6</v>
      </c>
      <c r="B83" s="436" t="s">
        <v>565</v>
      </c>
      <c r="C83" s="437"/>
      <c r="D83" s="438"/>
      <c r="E83" s="438"/>
      <c r="F83" s="438"/>
      <c r="G83" s="439"/>
      <c r="H83" s="440"/>
    </row>
    <row r="84" spans="1:8">
      <c r="A84" s="427">
        <v>7</v>
      </c>
      <c r="B84" s="441" t="s">
        <v>566</v>
      </c>
      <c r="C84" s="412"/>
      <c r="D84" s="412"/>
      <c r="E84" s="412"/>
      <c r="F84" s="412"/>
      <c r="G84" s="412"/>
      <c r="H84" s="442"/>
    </row>
    <row r="85" spans="1:8">
      <c r="A85" s="427">
        <v>8</v>
      </c>
      <c r="B85" s="441" t="s">
        <v>567</v>
      </c>
      <c r="C85" s="443"/>
      <c r="D85" s="412"/>
      <c r="E85" s="412"/>
      <c r="F85" s="412"/>
      <c r="G85" s="434"/>
      <c r="H85" s="444"/>
    </row>
    <row r="86" spans="1:8">
      <c r="A86" s="427">
        <v>9</v>
      </c>
      <c r="B86" s="441" t="s">
        <v>568</v>
      </c>
      <c r="C86" s="443"/>
      <c r="D86" s="412"/>
      <c r="E86" s="412"/>
      <c r="F86" s="412"/>
      <c r="G86" s="434"/>
      <c r="H86" s="444"/>
    </row>
    <row r="87" spans="1:8">
      <c r="A87" s="427">
        <v>10</v>
      </c>
      <c r="B87" s="441" t="s">
        <v>569</v>
      </c>
      <c r="C87" s="443"/>
      <c r="D87" s="412"/>
      <c r="E87" s="412"/>
      <c r="F87" s="412"/>
      <c r="G87" s="434"/>
      <c r="H87" s="444"/>
    </row>
    <row r="88" spans="1:8">
      <c r="A88" s="427">
        <v>11</v>
      </c>
      <c r="B88" s="445" t="s">
        <v>570</v>
      </c>
      <c r="C88" s="412"/>
      <c r="D88" s="412"/>
      <c r="E88" s="412"/>
      <c r="F88" s="412"/>
      <c r="G88" s="412"/>
      <c r="H88" s="442"/>
    </row>
    <row r="89" spans="1:8">
      <c r="A89" s="427">
        <v>12</v>
      </c>
      <c r="B89" s="446" t="s">
        <v>571</v>
      </c>
      <c r="C89" s="412"/>
      <c r="D89" s="412"/>
      <c r="E89" s="412"/>
      <c r="F89" s="412"/>
      <c r="G89" s="412"/>
      <c r="H89" s="442"/>
    </row>
    <row r="90" spans="1:8" ht="3.75" customHeight="1">
      <c r="B90" s="447"/>
      <c r="C90" s="448"/>
      <c r="D90" s="449"/>
      <c r="E90" s="449"/>
      <c r="F90" s="449"/>
      <c r="G90" s="450"/>
      <c r="H90" s="451"/>
    </row>
    <row r="91" spans="1:8">
      <c r="B91" s="1244" t="str">
        <f>'4A - ADIT Summary'!$G$65</f>
        <v>PECO Energy Company</v>
      </c>
      <c r="C91" s="1245"/>
      <c r="D91" s="1245"/>
      <c r="E91" s="1245"/>
      <c r="F91" s="1245"/>
      <c r="G91" s="1245"/>
      <c r="H91" s="1245"/>
    </row>
    <row r="92" spans="1:8" ht="15.4">
      <c r="B92" s="410" t="s">
        <v>490</v>
      </c>
      <c r="C92" s="410"/>
      <c r="D92" s="410"/>
      <c r="E92" s="410"/>
      <c r="F92" s="410"/>
      <c r="G92" s="410"/>
      <c r="H92" s="369"/>
    </row>
    <row r="93" spans="1:8">
      <c r="B93" s="452"/>
      <c r="C93" s="453"/>
      <c r="D93" s="454"/>
      <c r="E93" s="454"/>
      <c r="F93" s="454"/>
      <c r="G93" s="454"/>
      <c r="H93" s="414"/>
    </row>
    <row r="94" spans="1:8">
      <c r="B94" s="455"/>
      <c r="C94" s="453"/>
      <c r="D94" s="454"/>
      <c r="E94" s="454"/>
      <c r="F94" s="454"/>
      <c r="G94" s="454"/>
      <c r="H94" s="414" t="s">
        <v>490</v>
      </c>
    </row>
    <row r="95" spans="1:8">
      <c r="B95" s="455"/>
      <c r="C95" s="453"/>
      <c r="D95" s="454"/>
      <c r="E95" s="454"/>
      <c r="F95" s="454"/>
      <c r="G95" s="454"/>
      <c r="H95" s="414" t="s">
        <v>572</v>
      </c>
    </row>
    <row r="96" spans="1:8">
      <c r="B96" s="455"/>
      <c r="C96" s="453"/>
      <c r="D96" s="454"/>
      <c r="E96" s="454"/>
      <c r="F96" s="454"/>
      <c r="G96" s="454"/>
      <c r="H96" s="456"/>
    </row>
    <row r="97" spans="1:8">
      <c r="B97" s="410"/>
      <c r="C97" s="412"/>
      <c r="D97" s="412"/>
      <c r="E97" s="412"/>
      <c r="F97" s="412"/>
      <c r="G97" s="412"/>
      <c r="H97" s="418"/>
    </row>
    <row r="98" spans="1:8">
      <c r="B98" s="410"/>
      <c r="C98" s="412"/>
      <c r="D98" s="412"/>
      <c r="E98" s="412"/>
      <c r="F98" s="412"/>
      <c r="G98" s="412"/>
      <c r="H98" s="418"/>
    </row>
    <row r="99" spans="1:8">
      <c r="B99" s="455" t="s">
        <v>58</v>
      </c>
      <c r="C99" s="416" t="s">
        <v>59</v>
      </c>
      <c r="D99" s="453" t="s">
        <v>60</v>
      </c>
      <c r="E99" s="453" t="s">
        <v>61</v>
      </c>
      <c r="F99" s="453" t="s">
        <v>62</v>
      </c>
      <c r="G99" s="453" t="s">
        <v>63</v>
      </c>
      <c r="H99" s="455" t="s">
        <v>64</v>
      </c>
    </row>
    <row r="100" spans="1:8">
      <c r="B100" s="418" t="s">
        <v>1346</v>
      </c>
      <c r="C100" s="417" t="s">
        <v>13</v>
      </c>
      <c r="D100" s="417" t="s">
        <v>504</v>
      </c>
      <c r="E100" s="411" t="s">
        <v>492</v>
      </c>
      <c r="F100" s="411"/>
      <c r="G100" s="411"/>
      <c r="H100" s="410"/>
    </row>
    <row r="101" spans="1:8">
      <c r="B101" s="432"/>
      <c r="C101" s="417"/>
      <c r="D101" s="417" t="s">
        <v>505</v>
      </c>
      <c r="E101" s="411" t="s">
        <v>17</v>
      </c>
      <c r="F101" s="411" t="s">
        <v>506</v>
      </c>
      <c r="G101" s="411" t="s">
        <v>459</v>
      </c>
      <c r="H101" s="410"/>
    </row>
    <row r="102" spans="1:8">
      <c r="B102" s="457"/>
      <c r="C102" s="458"/>
      <c r="D102" s="417" t="s">
        <v>467</v>
      </c>
      <c r="E102" s="411" t="s">
        <v>467</v>
      </c>
      <c r="F102" s="411" t="s">
        <v>467</v>
      </c>
      <c r="G102" s="411" t="s">
        <v>467</v>
      </c>
      <c r="H102" s="418" t="s">
        <v>507</v>
      </c>
    </row>
    <row r="103" spans="1:8">
      <c r="B103" s="410"/>
      <c r="C103" s="459"/>
      <c r="D103" s="412"/>
      <c r="E103" s="412"/>
      <c r="F103" s="412"/>
      <c r="G103" s="412"/>
      <c r="H103" s="410"/>
    </row>
    <row r="104" spans="1:8">
      <c r="A104" s="408" t="s">
        <v>573</v>
      </c>
      <c r="B104" s="923" t="s">
        <v>1031</v>
      </c>
      <c r="C104" s="979">
        <v>0</v>
      </c>
      <c r="D104" s="979">
        <v>0</v>
      </c>
      <c r="E104" s="979">
        <v>0</v>
      </c>
      <c r="F104" s="979">
        <v>0</v>
      </c>
      <c r="G104" s="979">
        <v>0</v>
      </c>
      <c r="H104" s="987"/>
    </row>
    <row r="105" spans="1:8">
      <c r="A105" s="408" t="s">
        <v>574</v>
      </c>
      <c r="B105" s="923" t="s">
        <v>702</v>
      </c>
      <c r="C105" s="979">
        <v>-71348834.941998795</v>
      </c>
      <c r="D105" s="979">
        <v>0</v>
      </c>
      <c r="E105" s="979">
        <v>0</v>
      </c>
      <c r="F105" s="979">
        <v>0</v>
      </c>
      <c r="G105" s="979">
        <v>-71348834.941998795</v>
      </c>
      <c r="H105" s="987" t="s">
        <v>884</v>
      </c>
    </row>
    <row r="106" spans="1:8">
      <c r="A106" s="408" t="s">
        <v>575</v>
      </c>
      <c r="B106" s="923" t="s">
        <v>778</v>
      </c>
      <c r="C106" s="979">
        <v>-638069687.35047257</v>
      </c>
      <c r="D106" s="979">
        <v>-638069687.35047257</v>
      </c>
      <c r="E106" s="979">
        <v>0</v>
      </c>
      <c r="F106" s="979">
        <v>0</v>
      </c>
      <c r="G106" s="979">
        <v>0</v>
      </c>
      <c r="H106" s="987" t="s">
        <v>885</v>
      </c>
    </row>
    <row r="107" spans="1:8">
      <c r="A107" s="427" t="s">
        <v>576</v>
      </c>
      <c r="B107" s="923" t="s">
        <v>874</v>
      </c>
      <c r="C107" s="979">
        <v>-7687475.0580012053</v>
      </c>
      <c r="D107" s="979">
        <v>0</v>
      </c>
      <c r="E107" s="979">
        <v>0</v>
      </c>
      <c r="F107" s="979">
        <v>0</v>
      </c>
      <c r="G107" s="979">
        <v>-7687475.0580012053</v>
      </c>
      <c r="H107" s="987" t="s">
        <v>884</v>
      </c>
    </row>
    <row r="108" spans="1:8">
      <c r="A108" s="427" t="s">
        <v>577</v>
      </c>
      <c r="B108" s="923" t="s">
        <v>17</v>
      </c>
      <c r="C108" s="979">
        <v>-228164710.99647221</v>
      </c>
      <c r="D108" s="979">
        <v>0</v>
      </c>
      <c r="E108" s="979">
        <v>-228164710.99647221</v>
      </c>
      <c r="F108" s="979">
        <v>0</v>
      </c>
      <c r="G108" s="979">
        <v>0</v>
      </c>
      <c r="H108" s="987" t="s">
        <v>873</v>
      </c>
    </row>
    <row r="109" spans="1:8" ht="27.75">
      <c r="A109" s="427" t="s">
        <v>578</v>
      </c>
      <c r="B109" s="923" t="s">
        <v>1546</v>
      </c>
      <c r="C109" s="979">
        <v>-709116206</v>
      </c>
      <c r="D109" s="979">
        <v>-657419704</v>
      </c>
      <c r="E109" s="979">
        <v>-40026816</v>
      </c>
      <c r="F109" s="979">
        <v>-11669686</v>
      </c>
      <c r="G109" s="979">
        <v>0</v>
      </c>
      <c r="H109" s="987" t="s">
        <v>1566</v>
      </c>
    </row>
    <row r="110" spans="1:8">
      <c r="A110" s="427" t="s">
        <v>579</v>
      </c>
      <c r="B110" s="979" t="s">
        <v>1888</v>
      </c>
      <c r="C110" s="979">
        <v>0</v>
      </c>
      <c r="D110" s="979">
        <v>0</v>
      </c>
      <c r="E110" s="979">
        <v>0</v>
      </c>
      <c r="F110" s="979">
        <v>0</v>
      </c>
      <c r="G110" s="979">
        <v>0</v>
      </c>
      <c r="H110" s="979" t="s">
        <v>1889</v>
      </c>
    </row>
    <row r="111" spans="1:8">
      <c r="A111" s="427" t="s">
        <v>580</v>
      </c>
      <c r="B111" s="924"/>
      <c r="C111" s="924"/>
      <c r="D111" s="924"/>
      <c r="E111" s="924"/>
      <c r="F111" s="924"/>
      <c r="G111" s="924"/>
      <c r="H111" s="924"/>
    </row>
    <row r="112" spans="1:8">
      <c r="A112" s="427" t="s">
        <v>296</v>
      </c>
      <c r="B112" s="927"/>
      <c r="C112" s="924"/>
      <c r="D112" s="924"/>
      <c r="E112" s="924"/>
      <c r="F112" s="924"/>
      <c r="G112" s="924"/>
      <c r="H112" s="922"/>
    </row>
    <row r="113" spans="1:8">
      <c r="A113" s="427">
        <v>14</v>
      </c>
      <c r="B113" s="428" t="s">
        <v>977</v>
      </c>
      <c r="C113" s="429">
        <f>SUM(C104:C112)</f>
        <v>-1654386914.3469448</v>
      </c>
      <c r="D113" s="429">
        <f>SUM(D103:D112)</f>
        <v>-1295489391.3504725</v>
      </c>
      <c r="E113" s="429">
        <f>SUM(E103:E112)</f>
        <v>-268191526.99647221</v>
      </c>
      <c r="F113" s="429">
        <f>SUM(F103:F112)</f>
        <v>-11669686</v>
      </c>
      <c r="G113" s="429">
        <f>SUM(G103:G112)</f>
        <v>-79036310</v>
      </c>
      <c r="H113" s="460"/>
    </row>
    <row r="114" spans="1:8">
      <c r="A114" s="427">
        <v>15</v>
      </c>
      <c r="B114" s="428" t="s">
        <v>563</v>
      </c>
      <c r="C114" s="979">
        <f>C109</f>
        <v>-709116206</v>
      </c>
      <c r="D114" s="979">
        <v>-657419704</v>
      </c>
      <c r="E114" s="979">
        <f>E109</f>
        <v>-40026816</v>
      </c>
      <c r="F114" s="979">
        <v>-11669686</v>
      </c>
      <c r="G114" s="979">
        <v>0</v>
      </c>
      <c r="H114" s="922"/>
    </row>
    <row r="115" spans="1:8">
      <c r="A115" s="427">
        <v>16</v>
      </c>
      <c r="B115" s="428" t="s">
        <v>564</v>
      </c>
      <c r="C115" s="918">
        <v>0</v>
      </c>
      <c r="D115" s="918">
        <v>0</v>
      </c>
      <c r="E115" s="928">
        <v>0</v>
      </c>
      <c r="F115" s="918">
        <v>0</v>
      </c>
      <c r="G115" s="918">
        <v>0</v>
      </c>
      <c r="H115" s="922"/>
    </row>
    <row r="116" spans="1:8">
      <c r="A116" s="427">
        <v>17</v>
      </c>
      <c r="B116" s="428" t="s">
        <v>1074</v>
      </c>
      <c r="C116" s="429">
        <f>+C113-C114-C115</f>
        <v>-945270708.34694481</v>
      </c>
      <c r="D116" s="429">
        <f>+D113-D114-D115</f>
        <v>-638069687.35047245</v>
      </c>
      <c r="E116" s="429">
        <f>+E113-E114-E115</f>
        <v>-228164710.99647221</v>
      </c>
      <c r="F116" s="429">
        <f>+F113-F114-F115</f>
        <v>0</v>
      </c>
      <c r="G116" s="429">
        <f>+G113-G114-G115</f>
        <v>-79036310</v>
      </c>
      <c r="H116" s="460"/>
    </row>
    <row r="117" spans="1:8">
      <c r="B117" s="432"/>
      <c r="C117" s="461"/>
      <c r="D117" s="461"/>
      <c r="E117" s="461"/>
      <c r="F117" s="461"/>
      <c r="G117" s="412"/>
      <c r="H117" s="462"/>
    </row>
    <row r="118" spans="1:8" ht="14.25" thickBot="1">
      <c r="B118" s="432"/>
      <c r="C118" s="433"/>
      <c r="D118" s="412"/>
      <c r="E118" s="412"/>
      <c r="F118" s="412"/>
      <c r="G118" s="434"/>
      <c r="H118" s="972"/>
    </row>
    <row r="119" spans="1:8">
      <c r="A119" s="427">
        <v>18</v>
      </c>
      <c r="B119" s="463" t="s">
        <v>581</v>
      </c>
      <c r="C119" s="464"/>
      <c r="D119" s="465"/>
      <c r="E119" s="465"/>
      <c r="F119" s="465"/>
      <c r="G119" s="466"/>
      <c r="H119" s="467"/>
    </row>
    <row r="120" spans="1:8">
      <c r="A120" s="427">
        <v>19</v>
      </c>
      <c r="B120" s="441" t="s">
        <v>566</v>
      </c>
      <c r="C120" s="468"/>
      <c r="D120" s="454"/>
      <c r="E120" s="454"/>
      <c r="F120" s="454"/>
      <c r="G120" s="454"/>
      <c r="H120" s="469"/>
    </row>
    <row r="121" spans="1:8">
      <c r="A121" s="427">
        <v>20</v>
      </c>
      <c r="B121" s="441" t="s">
        <v>567</v>
      </c>
      <c r="C121" s="443"/>
      <c r="D121" s="412"/>
      <c r="E121" s="412"/>
      <c r="F121" s="412"/>
      <c r="G121" s="434"/>
      <c r="H121" s="470"/>
    </row>
    <row r="122" spans="1:8">
      <c r="A122" s="427">
        <v>21</v>
      </c>
      <c r="B122" s="441" t="s">
        <v>568</v>
      </c>
      <c r="C122" s="443"/>
      <c r="D122" s="412"/>
      <c r="E122" s="412"/>
      <c r="F122" s="412"/>
      <c r="G122" s="434"/>
      <c r="H122" s="470"/>
    </row>
    <row r="123" spans="1:8">
      <c r="A123" s="427">
        <v>22</v>
      </c>
      <c r="B123" s="441" t="s">
        <v>569</v>
      </c>
      <c r="C123" s="443"/>
      <c r="D123" s="412"/>
      <c r="E123" s="412"/>
      <c r="F123" s="412"/>
      <c r="G123" s="434"/>
      <c r="H123" s="470"/>
    </row>
    <row r="124" spans="1:8">
      <c r="A124" s="427">
        <v>23</v>
      </c>
      <c r="B124" s="445" t="s">
        <v>570</v>
      </c>
      <c r="C124" s="471"/>
      <c r="D124" s="472"/>
      <c r="E124" s="472"/>
      <c r="F124" s="472"/>
      <c r="G124" s="472"/>
      <c r="H124" s="473"/>
    </row>
    <row r="125" spans="1:8">
      <c r="A125" s="427">
        <v>24</v>
      </c>
      <c r="B125" s="446" t="s">
        <v>571</v>
      </c>
      <c r="C125" s="472"/>
      <c r="D125" s="472"/>
      <c r="E125" s="472"/>
      <c r="F125" s="472"/>
      <c r="G125" s="472"/>
      <c r="H125" s="473"/>
    </row>
    <row r="126" spans="1:8" ht="14.25" thickBot="1">
      <c r="B126" s="447"/>
      <c r="C126" s="474"/>
      <c r="D126" s="475"/>
      <c r="E126" s="475"/>
      <c r="F126" s="475"/>
      <c r="G126" s="476"/>
      <c r="H126" s="477"/>
    </row>
    <row r="127" spans="1:8">
      <c r="B127" s="478"/>
      <c r="C127" s="443"/>
      <c r="D127" s="412"/>
      <c r="E127" s="412"/>
      <c r="F127" s="412"/>
      <c r="G127" s="434"/>
      <c r="H127" s="972"/>
    </row>
    <row r="128" spans="1:8">
      <c r="B128" s="1244" t="str">
        <f>'4A - ADIT Summary'!$G$65</f>
        <v>PECO Energy Company</v>
      </c>
      <c r="C128" s="1245"/>
      <c r="D128" s="1245"/>
      <c r="E128" s="1245"/>
      <c r="F128" s="1245"/>
      <c r="G128" s="1245"/>
      <c r="H128" s="1245"/>
    </row>
    <row r="129" spans="1:8" ht="15.4">
      <c r="B129" s="410" t="s">
        <v>490</v>
      </c>
      <c r="C129" s="410"/>
      <c r="D129" s="410"/>
      <c r="E129" s="410"/>
      <c r="F129" s="410"/>
      <c r="G129" s="410"/>
      <c r="H129" s="369"/>
    </row>
    <row r="130" spans="1:8">
      <c r="B130" s="410"/>
      <c r="C130" s="410"/>
      <c r="D130" s="410"/>
      <c r="E130" s="410"/>
      <c r="F130" s="410"/>
      <c r="G130" s="410"/>
      <c r="H130" s="414"/>
    </row>
    <row r="131" spans="1:8">
      <c r="B131" s="410"/>
      <c r="C131" s="410"/>
      <c r="D131" s="410"/>
      <c r="E131" s="410"/>
      <c r="F131" s="410"/>
      <c r="G131" s="410"/>
      <c r="H131" s="414" t="s">
        <v>490</v>
      </c>
    </row>
    <row r="132" spans="1:8">
      <c r="B132" s="432"/>
      <c r="C132" s="433"/>
      <c r="D132" s="412"/>
      <c r="E132" s="412"/>
      <c r="F132" s="412"/>
      <c r="G132" s="434"/>
      <c r="H132" s="414" t="s">
        <v>582</v>
      </c>
    </row>
    <row r="133" spans="1:8">
      <c r="B133" s="455" t="s">
        <v>58</v>
      </c>
      <c r="C133" s="416" t="s">
        <v>59</v>
      </c>
      <c r="D133" s="453" t="s">
        <v>60</v>
      </c>
      <c r="E133" s="453" t="s">
        <v>61</v>
      </c>
      <c r="F133" s="453" t="s">
        <v>62</v>
      </c>
      <c r="G133" s="453" t="s">
        <v>63</v>
      </c>
      <c r="H133" s="455" t="s">
        <v>64</v>
      </c>
    </row>
    <row r="134" spans="1:8">
      <c r="B134" s="418" t="s">
        <v>1347</v>
      </c>
      <c r="C134" s="417" t="s">
        <v>13</v>
      </c>
      <c r="D134" s="417" t="s">
        <v>504</v>
      </c>
      <c r="E134" s="411" t="s">
        <v>492</v>
      </c>
      <c r="F134" s="411"/>
      <c r="G134" s="411"/>
      <c r="H134" s="410"/>
    </row>
    <row r="135" spans="1:8">
      <c r="B135" s="410"/>
      <c r="C135" s="417"/>
      <c r="D135" s="417" t="s">
        <v>505</v>
      </c>
      <c r="E135" s="411" t="s">
        <v>17</v>
      </c>
      <c r="F135" s="411" t="s">
        <v>506</v>
      </c>
      <c r="G135" s="411" t="s">
        <v>459</v>
      </c>
      <c r="H135" s="410"/>
    </row>
    <row r="136" spans="1:8">
      <c r="B136" s="457"/>
      <c r="C136" s="458"/>
      <c r="D136" s="417" t="s">
        <v>467</v>
      </c>
      <c r="E136" s="411" t="s">
        <v>467</v>
      </c>
      <c r="F136" s="411" t="s">
        <v>467</v>
      </c>
      <c r="G136" s="411" t="s">
        <v>467</v>
      </c>
      <c r="H136" s="418" t="s">
        <v>507</v>
      </c>
    </row>
    <row r="137" spans="1:8">
      <c r="B137" s="457"/>
      <c r="C137" s="458"/>
      <c r="D137" s="412"/>
      <c r="E137" s="412"/>
      <c r="F137" s="412"/>
      <c r="G137" s="412"/>
      <c r="H137" s="410"/>
    </row>
    <row r="138" spans="1:8">
      <c r="B138" s="457"/>
      <c r="C138" s="458"/>
      <c r="D138" s="412"/>
      <c r="E138" s="412"/>
      <c r="F138" s="412"/>
      <c r="G138" s="412"/>
      <c r="H138" s="410"/>
    </row>
    <row r="139" spans="1:8">
      <c r="A139" s="408" t="s">
        <v>583</v>
      </c>
      <c r="B139" s="928" t="s">
        <v>1547</v>
      </c>
      <c r="C139" s="918">
        <v>-8906710.6504181102</v>
      </c>
      <c r="D139" s="918">
        <v>-8906710.6504181102</v>
      </c>
      <c r="E139" s="918">
        <v>0</v>
      </c>
      <c r="F139" s="918">
        <v>0</v>
      </c>
      <c r="G139" s="918">
        <v>0</v>
      </c>
      <c r="H139" s="987" t="s">
        <v>1881</v>
      </c>
    </row>
    <row r="140" spans="1:8">
      <c r="A140" s="408" t="s">
        <v>583</v>
      </c>
      <c r="B140" s="928" t="s">
        <v>1548</v>
      </c>
      <c r="C140" s="918">
        <v>-354688.85619268962</v>
      </c>
      <c r="D140" s="918">
        <v>-354688.85619268962</v>
      </c>
      <c r="E140" s="918">
        <v>0</v>
      </c>
      <c r="F140" s="918">
        <v>0</v>
      </c>
      <c r="G140" s="918">
        <v>0</v>
      </c>
      <c r="H140" s="987" t="s">
        <v>1881</v>
      </c>
    </row>
    <row r="141" spans="1:8">
      <c r="A141" s="408" t="s">
        <v>584</v>
      </c>
      <c r="B141" s="928" t="s">
        <v>1549</v>
      </c>
      <c r="C141" s="918">
        <v>-403612.81277899991</v>
      </c>
      <c r="D141" s="918">
        <v>-403612.81277899991</v>
      </c>
      <c r="E141" s="918">
        <v>0</v>
      </c>
      <c r="F141" s="918">
        <v>0</v>
      </c>
      <c r="G141" s="918">
        <v>0</v>
      </c>
      <c r="H141" s="987" t="s">
        <v>1881</v>
      </c>
    </row>
    <row r="142" spans="1:8">
      <c r="A142" s="408" t="s">
        <v>585</v>
      </c>
      <c r="B142" s="928" t="s">
        <v>1550</v>
      </c>
      <c r="C142" s="918">
        <v>-1569.2546693899476</v>
      </c>
      <c r="D142" s="918">
        <v>-1569.2546693899476</v>
      </c>
      <c r="E142" s="918">
        <v>0</v>
      </c>
      <c r="F142" s="918">
        <v>0</v>
      </c>
      <c r="G142" s="918">
        <v>0</v>
      </c>
      <c r="H142" s="987" t="s">
        <v>1881</v>
      </c>
    </row>
    <row r="143" spans="1:8">
      <c r="A143" s="427" t="s">
        <v>586</v>
      </c>
      <c r="B143" s="928" t="s">
        <v>1890</v>
      </c>
      <c r="C143" s="918">
        <v>0</v>
      </c>
      <c r="D143" s="918">
        <v>0</v>
      </c>
      <c r="E143" s="918">
        <v>0</v>
      </c>
      <c r="F143" s="918">
        <v>0</v>
      </c>
      <c r="G143" s="918">
        <v>0</v>
      </c>
      <c r="H143" s="987" t="s">
        <v>1881</v>
      </c>
    </row>
    <row r="144" spans="1:8">
      <c r="A144" s="427" t="s">
        <v>587</v>
      </c>
      <c r="B144" s="928" t="s">
        <v>1891</v>
      </c>
      <c r="C144" s="918">
        <v>0</v>
      </c>
      <c r="D144" s="918">
        <v>0</v>
      </c>
      <c r="E144" s="918">
        <v>0</v>
      </c>
      <c r="F144" s="918">
        <v>0</v>
      </c>
      <c r="G144" s="918">
        <v>0</v>
      </c>
      <c r="H144" s="987" t="s">
        <v>1881</v>
      </c>
    </row>
    <row r="145" spans="1:8">
      <c r="A145" s="427" t="s">
        <v>588</v>
      </c>
      <c r="B145" s="928" t="s">
        <v>1551</v>
      </c>
      <c r="C145" s="918">
        <v>-10968352.33785289</v>
      </c>
      <c r="D145" s="918">
        <v>-10968352.33785289</v>
      </c>
      <c r="E145" s="918">
        <v>0</v>
      </c>
      <c r="F145" s="918">
        <v>0</v>
      </c>
      <c r="G145" s="918">
        <v>0</v>
      </c>
      <c r="H145" s="987" t="s">
        <v>1881</v>
      </c>
    </row>
    <row r="146" spans="1:8">
      <c r="A146" s="427" t="s">
        <v>589</v>
      </c>
      <c r="B146" s="928" t="s">
        <v>1892</v>
      </c>
      <c r="C146" s="918">
        <v>0</v>
      </c>
      <c r="D146" s="918">
        <v>0</v>
      </c>
      <c r="E146" s="918">
        <v>0</v>
      </c>
      <c r="F146" s="918">
        <v>0</v>
      </c>
      <c r="G146" s="918">
        <v>0</v>
      </c>
      <c r="H146" s="987" t="s">
        <v>1881</v>
      </c>
    </row>
    <row r="147" spans="1:8">
      <c r="A147" s="427" t="s">
        <v>590</v>
      </c>
      <c r="B147" s="928" t="s">
        <v>1552</v>
      </c>
      <c r="C147" s="918">
        <v>-271461.65783908998</v>
      </c>
      <c r="D147" s="918">
        <v>-271461.65783908998</v>
      </c>
      <c r="E147" s="918">
        <v>0</v>
      </c>
      <c r="F147" s="918">
        <v>0</v>
      </c>
      <c r="G147" s="918">
        <v>0</v>
      </c>
      <c r="H147" s="987" t="s">
        <v>1881</v>
      </c>
    </row>
    <row r="148" spans="1:8">
      <c r="A148" s="427" t="s">
        <v>591</v>
      </c>
      <c r="B148" s="928" t="s">
        <v>1553</v>
      </c>
      <c r="C148" s="918">
        <v>-179949.39299970923</v>
      </c>
      <c r="D148" s="918">
        <v>0</v>
      </c>
      <c r="E148" s="918">
        <v>0</v>
      </c>
      <c r="F148" s="918">
        <v>-179949.39299970923</v>
      </c>
      <c r="G148" s="918">
        <v>0</v>
      </c>
      <c r="H148" s="987" t="s">
        <v>1893</v>
      </c>
    </row>
    <row r="149" spans="1:8">
      <c r="A149" s="427" t="s">
        <v>592</v>
      </c>
      <c r="B149" s="928" t="s">
        <v>1554</v>
      </c>
      <c r="C149" s="918">
        <v>-215892.46840421291</v>
      </c>
      <c r="D149" s="918">
        <v>0</v>
      </c>
      <c r="E149" s="918">
        <v>0</v>
      </c>
      <c r="F149" s="918">
        <v>0</v>
      </c>
      <c r="G149" s="918">
        <v>-215892.46840421291</v>
      </c>
      <c r="H149" s="987" t="s">
        <v>1894</v>
      </c>
    </row>
    <row r="150" spans="1:8" ht="27.75">
      <c r="A150" s="427" t="s">
        <v>593</v>
      </c>
      <c r="B150" s="928" t="s">
        <v>888</v>
      </c>
      <c r="C150" s="918">
        <v>0</v>
      </c>
      <c r="D150" s="918">
        <v>0</v>
      </c>
      <c r="E150" s="918">
        <v>0</v>
      </c>
      <c r="F150" s="918">
        <v>0</v>
      </c>
      <c r="G150" s="918">
        <v>0</v>
      </c>
      <c r="H150" s="987" t="s">
        <v>1895</v>
      </c>
    </row>
    <row r="151" spans="1:8" ht="27.75">
      <c r="A151" s="427" t="s">
        <v>594</v>
      </c>
      <c r="B151" s="928" t="s">
        <v>1638</v>
      </c>
      <c r="C151" s="918">
        <v>-97312319.33840321</v>
      </c>
      <c r="D151" s="918">
        <v>0</v>
      </c>
      <c r="E151" s="918">
        <v>0</v>
      </c>
      <c r="F151" s="918">
        <v>0</v>
      </c>
      <c r="G151" s="918">
        <v>-97312319.33840321</v>
      </c>
      <c r="H151" s="987" t="s">
        <v>1896</v>
      </c>
    </row>
    <row r="152" spans="1:8">
      <c r="A152" s="427" t="s">
        <v>595</v>
      </c>
      <c r="B152" s="928" t="s">
        <v>1555</v>
      </c>
      <c r="C152" s="918">
        <v>-2574991.4631727794</v>
      </c>
      <c r="D152" s="918">
        <v>0</v>
      </c>
      <c r="E152" s="918">
        <v>0</v>
      </c>
      <c r="F152" s="918">
        <v>-2574991.4631727794</v>
      </c>
      <c r="G152" s="918">
        <v>0</v>
      </c>
      <c r="H152" s="987" t="s">
        <v>1897</v>
      </c>
    </row>
    <row r="153" spans="1:8" ht="27.75">
      <c r="A153" s="427" t="s">
        <v>596</v>
      </c>
      <c r="B153" s="928" t="s">
        <v>1556</v>
      </c>
      <c r="C153" s="918">
        <v>-4860132.6027026484</v>
      </c>
      <c r="D153" s="918">
        <v>0</v>
      </c>
      <c r="E153" s="918">
        <v>0</v>
      </c>
      <c r="F153" s="918">
        <v>-4860132.6027026484</v>
      </c>
      <c r="G153" s="918">
        <v>0</v>
      </c>
      <c r="H153" s="987" t="s">
        <v>1898</v>
      </c>
    </row>
    <row r="154" spans="1:8" ht="27.75">
      <c r="A154" s="427" t="s">
        <v>597</v>
      </c>
      <c r="B154" s="928" t="s">
        <v>1557</v>
      </c>
      <c r="C154" s="918">
        <v>-99897460.924323499</v>
      </c>
      <c r="D154" s="918">
        <v>0</v>
      </c>
      <c r="E154" s="918">
        <v>0</v>
      </c>
      <c r="F154" s="918">
        <v>-99897460.924323499</v>
      </c>
      <c r="G154" s="918">
        <v>0</v>
      </c>
      <c r="H154" s="987" t="s">
        <v>1566</v>
      </c>
    </row>
    <row r="155" spans="1:8">
      <c r="A155" s="427" t="s">
        <v>598</v>
      </c>
      <c r="B155" s="928" t="s">
        <v>1888</v>
      </c>
      <c r="C155" s="918">
        <v>0</v>
      </c>
      <c r="D155" s="918">
        <v>0</v>
      </c>
      <c r="E155" s="918">
        <v>0</v>
      </c>
      <c r="F155" s="918">
        <v>0</v>
      </c>
      <c r="G155" s="918">
        <v>0</v>
      </c>
      <c r="H155" s="987" t="s">
        <v>1889</v>
      </c>
    </row>
    <row r="156" spans="1:8">
      <c r="A156" s="427" t="s">
        <v>599</v>
      </c>
      <c r="B156" s="1094"/>
      <c r="C156" s="918"/>
      <c r="D156" s="918"/>
      <c r="E156" s="918"/>
      <c r="F156" s="918"/>
      <c r="G156" s="918"/>
      <c r="H156" s="983"/>
    </row>
    <row r="157" spans="1:8">
      <c r="A157" s="427" t="s">
        <v>600</v>
      </c>
      <c r="B157" s="984"/>
      <c r="C157" s="918"/>
      <c r="D157" s="918"/>
      <c r="E157" s="918"/>
      <c r="F157" s="918"/>
      <c r="G157" s="918"/>
      <c r="H157" s="983"/>
    </row>
    <row r="158" spans="1:8">
      <c r="A158" s="427" t="s">
        <v>601</v>
      </c>
      <c r="B158" s="984"/>
      <c r="C158" s="918"/>
      <c r="D158" s="918"/>
      <c r="E158" s="918"/>
      <c r="F158" s="918"/>
      <c r="G158" s="918"/>
      <c r="H158" s="983"/>
    </row>
    <row r="159" spans="1:8">
      <c r="A159" s="427" t="s">
        <v>602</v>
      </c>
      <c r="B159" s="984"/>
      <c r="C159" s="918"/>
      <c r="D159" s="918"/>
      <c r="E159" s="918"/>
      <c r="F159" s="918"/>
      <c r="G159" s="918"/>
      <c r="H159" s="983"/>
    </row>
    <row r="160" spans="1:8">
      <c r="A160" s="427" t="s">
        <v>603</v>
      </c>
      <c r="B160" s="984"/>
      <c r="C160" s="918"/>
      <c r="D160" s="918"/>
      <c r="E160" s="918"/>
      <c r="F160" s="918"/>
      <c r="G160" s="918"/>
      <c r="H160" s="983"/>
    </row>
    <row r="161" spans="1:10">
      <c r="A161" s="427" t="s">
        <v>604</v>
      </c>
      <c r="B161" s="984"/>
      <c r="C161" s="918"/>
      <c r="D161" s="918"/>
      <c r="E161" s="918"/>
      <c r="F161" s="918"/>
      <c r="G161" s="918"/>
      <c r="H161" s="983"/>
    </row>
    <row r="162" spans="1:10">
      <c r="A162" s="427" t="s">
        <v>605</v>
      </c>
      <c r="B162" s="984"/>
      <c r="C162" s="918"/>
      <c r="D162" s="918"/>
      <c r="E162" s="918"/>
      <c r="F162" s="918"/>
      <c r="G162" s="918"/>
      <c r="H162" s="983"/>
    </row>
    <row r="163" spans="1:10">
      <c r="A163" s="427" t="s">
        <v>606</v>
      </c>
      <c r="B163" s="984"/>
      <c r="C163" s="918"/>
      <c r="D163" s="918"/>
      <c r="E163" s="918"/>
      <c r="F163" s="918"/>
      <c r="G163" s="918"/>
      <c r="H163" s="983"/>
    </row>
    <row r="164" spans="1:10">
      <c r="A164" s="427" t="s">
        <v>607</v>
      </c>
      <c r="B164" s="984"/>
      <c r="C164" s="918"/>
      <c r="D164" s="918"/>
      <c r="E164" s="918"/>
      <c r="F164" s="918"/>
      <c r="G164" s="918"/>
      <c r="H164" s="983"/>
    </row>
    <row r="165" spans="1:10">
      <c r="A165" s="427" t="s">
        <v>608</v>
      </c>
      <c r="B165" s="984"/>
      <c r="C165" s="918"/>
      <c r="D165" s="918"/>
      <c r="E165" s="918"/>
      <c r="F165" s="918"/>
      <c r="G165" s="918"/>
      <c r="H165" s="985"/>
    </row>
    <row r="166" spans="1:10">
      <c r="A166" s="427" t="s">
        <v>609</v>
      </c>
      <c r="B166" s="984"/>
      <c r="C166" s="918"/>
      <c r="D166" s="918"/>
      <c r="E166" s="918"/>
      <c r="F166" s="918"/>
      <c r="G166" s="918"/>
      <c r="H166" s="983"/>
    </row>
    <row r="167" spans="1:10">
      <c r="A167" s="427" t="s">
        <v>610</v>
      </c>
      <c r="B167" s="984"/>
      <c r="C167" s="918"/>
      <c r="D167" s="918"/>
      <c r="E167" s="918"/>
      <c r="F167" s="918"/>
      <c r="G167" s="918"/>
      <c r="H167" s="986"/>
    </row>
    <row r="168" spans="1:10">
      <c r="A168" s="427" t="s">
        <v>611</v>
      </c>
      <c r="B168" s="929"/>
      <c r="C168" s="918"/>
      <c r="D168" s="918"/>
      <c r="E168" s="918"/>
      <c r="F168" s="918"/>
      <c r="G168" s="918"/>
      <c r="H168" s="930"/>
    </row>
    <row r="169" spans="1:10">
      <c r="A169" s="427" t="s">
        <v>612</v>
      </c>
      <c r="B169" s="929"/>
      <c r="C169" s="918"/>
      <c r="D169" s="918"/>
      <c r="E169" s="918"/>
      <c r="F169" s="918"/>
      <c r="G169" s="918"/>
      <c r="H169" s="929"/>
    </row>
    <row r="170" spans="1:10">
      <c r="A170" s="427" t="s">
        <v>613</v>
      </c>
      <c r="B170" s="931"/>
      <c r="C170" s="918"/>
      <c r="D170" s="918"/>
      <c r="E170" s="918"/>
      <c r="F170" s="918"/>
      <c r="G170" s="918"/>
      <c r="H170" s="931"/>
    </row>
    <row r="171" spans="1:10">
      <c r="A171" s="408" t="s">
        <v>614</v>
      </c>
      <c r="B171" s="927"/>
      <c r="C171" s="918"/>
      <c r="D171" s="918"/>
      <c r="E171" s="918"/>
      <c r="F171" s="918"/>
      <c r="G171" s="918"/>
      <c r="H171" s="932"/>
    </row>
    <row r="172" spans="1:10">
      <c r="A172" s="408" t="s">
        <v>615</v>
      </c>
      <c r="B172" s="933"/>
      <c r="C172" s="918"/>
      <c r="D172" s="918"/>
      <c r="E172" s="918"/>
      <c r="F172" s="918"/>
      <c r="G172" s="918"/>
      <c r="H172" s="931"/>
    </row>
    <row r="173" spans="1:10">
      <c r="A173" s="427" t="s">
        <v>615</v>
      </c>
      <c r="B173" s="927"/>
      <c r="C173" s="918"/>
      <c r="D173" s="918"/>
      <c r="E173" s="918"/>
      <c r="F173" s="918"/>
      <c r="G173" s="918"/>
      <c r="H173" s="927"/>
    </row>
    <row r="174" spans="1:10">
      <c r="A174" s="408">
        <v>26</v>
      </c>
      <c r="B174" s="428" t="s">
        <v>979</v>
      </c>
      <c r="C174" s="479">
        <f>SUM(C139:C173)</f>
        <v>-225947141.75975722</v>
      </c>
      <c r="D174" s="479">
        <f>SUM(D139:D173)</f>
        <v>-20906395.56975117</v>
      </c>
      <c r="E174" s="479">
        <f>SUM(E136:E173)</f>
        <v>0</v>
      </c>
      <c r="F174" s="479">
        <f>SUM(F136:F173)</f>
        <v>-107512534.38319863</v>
      </c>
      <c r="G174" s="479">
        <f>SUM(G136:G173)</f>
        <v>-97528211.806807429</v>
      </c>
      <c r="H174" s="480"/>
      <c r="J174" s="431"/>
    </row>
    <row r="175" spans="1:10">
      <c r="A175" s="408">
        <v>27</v>
      </c>
      <c r="B175" s="428" t="s">
        <v>563</v>
      </c>
      <c r="C175" s="928">
        <f>C154</f>
        <v>-99897460.924323499</v>
      </c>
      <c r="D175" s="928">
        <v>0</v>
      </c>
      <c r="E175" s="928">
        <v>0</v>
      </c>
      <c r="F175" s="928">
        <f>F154</f>
        <v>-99897460.924323499</v>
      </c>
      <c r="G175" s="928">
        <v>0</v>
      </c>
      <c r="H175" s="927"/>
    </row>
    <row r="176" spans="1:10">
      <c r="A176" s="408">
        <v>28</v>
      </c>
      <c r="B176" s="428" t="s">
        <v>564</v>
      </c>
      <c r="C176" s="928">
        <v>0</v>
      </c>
      <c r="D176" s="928">
        <v>0</v>
      </c>
      <c r="E176" s="928">
        <v>0</v>
      </c>
      <c r="F176" s="928">
        <v>0</v>
      </c>
      <c r="G176" s="928">
        <v>0</v>
      </c>
      <c r="H176" s="927"/>
    </row>
    <row r="177" spans="1:8">
      <c r="A177" s="427">
        <v>29</v>
      </c>
      <c r="B177" s="428" t="s">
        <v>13</v>
      </c>
      <c r="C177" s="479">
        <f>C174-C175-C176</f>
        <v>-126049680.83543372</v>
      </c>
      <c r="D177" s="479">
        <f>+D174-D175-D176</f>
        <v>-20906395.56975117</v>
      </c>
      <c r="E177" s="479">
        <f>+E174-E175-E176</f>
        <v>0</v>
      </c>
      <c r="F177" s="479">
        <f>+F174-F175-F176</f>
        <v>-7615073.4588751346</v>
      </c>
      <c r="G177" s="479">
        <f>+G174-G175-G176</f>
        <v>-97528211.806807429</v>
      </c>
      <c r="H177" s="480"/>
    </row>
    <row r="178" spans="1:8" ht="14.25" thickBot="1">
      <c r="A178" s="427"/>
      <c r="B178" s="432"/>
      <c r="C178" s="481"/>
      <c r="D178" s="481"/>
      <c r="E178" s="481"/>
      <c r="F178" s="481"/>
      <c r="G178" s="481"/>
      <c r="H178" s="457"/>
    </row>
    <row r="179" spans="1:8">
      <c r="A179" s="427">
        <v>30</v>
      </c>
      <c r="B179" s="463" t="s">
        <v>616</v>
      </c>
    </row>
    <row r="180" spans="1:8">
      <c r="A180" s="427">
        <v>31</v>
      </c>
      <c r="B180" s="441" t="s">
        <v>566</v>
      </c>
    </row>
    <row r="181" spans="1:8">
      <c r="A181" s="427">
        <v>32</v>
      </c>
      <c r="B181" s="441" t="s">
        <v>567</v>
      </c>
    </row>
    <row r="182" spans="1:8">
      <c r="A182" s="427">
        <v>33</v>
      </c>
      <c r="B182" s="441" t="s">
        <v>568</v>
      </c>
    </row>
    <row r="183" spans="1:8">
      <c r="A183" s="427">
        <v>34</v>
      </c>
      <c r="B183" s="441" t="s">
        <v>569</v>
      </c>
    </row>
    <row r="184" spans="1:8">
      <c r="A184" s="427">
        <v>35</v>
      </c>
      <c r="B184" s="445" t="s">
        <v>570</v>
      </c>
    </row>
    <row r="185" spans="1:8">
      <c r="A185" s="427">
        <v>36</v>
      </c>
      <c r="B185" s="446" t="s">
        <v>571</v>
      </c>
    </row>
    <row r="186" spans="1:8">
      <c r="B186" s="478"/>
    </row>
    <row r="187" spans="1:8">
      <c r="B187" s="410"/>
    </row>
    <row r="188" spans="1:8">
      <c r="B188" s="410"/>
    </row>
  </sheetData>
  <sheetProtection algorithmName="SHA-512" hashValue="Q/CUPgNP3dWLAXSkAjhpkUDLR+PZlUotkt+xfN1EjRB8ba0x4yqgl8Q0qJAMEgZxsEtK4d57zfyljMTX4J5OoA==" saltValue="4a70EGqqwvD++rjKzZpE8w=="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69: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80"/>
  <sheetViews>
    <sheetView view="pageBreakPreview" zoomScale="70" zoomScaleNormal="80" zoomScaleSheetLayoutView="70" workbookViewId="0">
      <selection activeCell="C75" sqref="C75"/>
    </sheetView>
  </sheetViews>
  <sheetFormatPr defaultColWidth="8.88671875" defaultRowHeight="13.9"/>
  <cols>
    <col min="1" max="1" width="4.88671875" style="408" customWidth="1"/>
    <col min="2" max="2" width="51.33203125" style="368" customWidth="1"/>
    <col min="3" max="7" width="17.33203125" style="368" customWidth="1"/>
    <col min="8" max="8" width="103.88671875" style="491" customWidth="1"/>
    <col min="9" max="9" width="8.88671875" style="367"/>
    <col min="10" max="10" width="8.88671875" style="367" customWidth="1"/>
    <col min="11" max="16384" width="8.88671875" style="367"/>
  </cols>
  <sheetData>
    <row r="1" spans="1:9">
      <c r="B1" s="1242" t="s">
        <v>982</v>
      </c>
      <c r="C1" s="1243"/>
      <c r="D1" s="1243"/>
      <c r="E1" s="1243"/>
      <c r="F1" s="1243"/>
      <c r="G1" s="1243"/>
      <c r="H1" s="1243"/>
      <c r="I1" s="370"/>
    </row>
    <row r="2" spans="1:9">
      <c r="B2" s="1244" t="str">
        <f>'4A - ADIT Summary'!$G$65</f>
        <v>PECO Energy Company</v>
      </c>
      <c r="C2" s="1245"/>
      <c r="D2" s="1245"/>
      <c r="E2" s="1245"/>
      <c r="F2" s="1245"/>
      <c r="G2" s="1245"/>
      <c r="H2" s="1245"/>
      <c r="I2" s="370"/>
    </row>
    <row r="3" spans="1:9">
      <c r="B3" s="410" t="s">
        <v>617</v>
      </c>
      <c r="C3" s="410"/>
      <c r="D3" s="410"/>
      <c r="E3" s="410"/>
      <c r="F3" s="410"/>
      <c r="G3" s="410"/>
      <c r="H3" s="484"/>
      <c r="I3" s="370"/>
    </row>
    <row r="4" spans="1:9">
      <c r="B4" s="455" t="s">
        <v>58</v>
      </c>
      <c r="C4" s="453" t="s">
        <v>59</v>
      </c>
      <c r="D4" s="453" t="s">
        <v>60</v>
      </c>
      <c r="E4" s="453" t="s">
        <v>61</v>
      </c>
      <c r="F4" s="453" t="s">
        <v>62</v>
      </c>
      <c r="G4" s="453" t="s">
        <v>63</v>
      </c>
      <c r="H4" s="484" t="s">
        <v>617</v>
      </c>
      <c r="I4" s="370"/>
    </row>
    <row r="5" spans="1:9">
      <c r="B5" s="410"/>
      <c r="C5" s="410"/>
      <c r="D5" s="417" t="s">
        <v>504</v>
      </c>
      <c r="E5" s="411" t="s">
        <v>492</v>
      </c>
      <c r="F5" s="412"/>
      <c r="G5" s="411"/>
      <c r="H5" s="484" t="s">
        <v>491</v>
      </c>
      <c r="I5" s="370"/>
    </row>
    <row r="6" spans="1:9">
      <c r="B6" s="410"/>
      <c r="C6" s="410"/>
      <c r="D6" s="417" t="s">
        <v>505</v>
      </c>
      <c r="E6" s="411" t="s">
        <v>17</v>
      </c>
      <c r="F6" s="411" t="s">
        <v>506</v>
      </c>
      <c r="G6" s="411" t="s">
        <v>459</v>
      </c>
      <c r="H6" s="485"/>
      <c r="I6" s="370"/>
    </row>
    <row r="7" spans="1:9">
      <c r="B7" s="410"/>
      <c r="C7" s="382" t="s">
        <v>13</v>
      </c>
      <c r="D7" s="417" t="s">
        <v>467</v>
      </c>
      <c r="E7" s="411" t="s">
        <v>467</v>
      </c>
      <c r="F7" s="411" t="s">
        <v>467</v>
      </c>
      <c r="G7" s="411" t="s">
        <v>467</v>
      </c>
      <c r="H7" s="485"/>
      <c r="I7" s="370"/>
    </row>
    <row r="8" spans="1:9">
      <c r="B8" s="410"/>
      <c r="C8" s="410"/>
      <c r="D8" s="410"/>
      <c r="E8" s="412"/>
      <c r="F8" s="412"/>
      <c r="G8" s="412"/>
      <c r="H8" s="484"/>
      <c r="I8" s="370"/>
    </row>
    <row r="9" spans="1:9">
      <c r="A9" s="408" t="s">
        <v>493</v>
      </c>
      <c r="B9" s="418" t="s">
        <v>474</v>
      </c>
      <c r="C9" s="486">
        <f>+C111</f>
        <v>-923197680.13670003</v>
      </c>
      <c r="D9" s="410"/>
      <c r="E9" s="486">
        <f>E111</f>
        <v>-223173209.23925972</v>
      </c>
      <c r="F9" s="486">
        <f>F111</f>
        <v>0</v>
      </c>
      <c r="G9" s="486">
        <f>G111</f>
        <v>-87738885.746777043</v>
      </c>
      <c r="H9" s="472" t="s">
        <v>496</v>
      </c>
      <c r="I9" s="370"/>
    </row>
    <row r="10" spans="1:9">
      <c r="A10" s="408" t="s">
        <v>495</v>
      </c>
      <c r="B10" s="418" t="s">
        <v>480</v>
      </c>
      <c r="C10" s="486">
        <f>+C171</f>
        <v>-131049990.19729526</v>
      </c>
      <c r="D10" s="410"/>
      <c r="E10" s="486">
        <f>E171</f>
        <v>0</v>
      </c>
      <c r="F10" s="486">
        <f>F171</f>
        <v>-7862352.7606001152</v>
      </c>
      <c r="G10" s="486">
        <f>G171</f>
        <v>-94187665.085016936</v>
      </c>
      <c r="H10" s="472" t="s">
        <v>498</v>
      </c>
      <c r="I10" s="370"/>
    </row>
    <row r="11" spans="1:9">
      <c r="A11" s="408" t="s">
        <v>497</v>
      </c>
      <c r="B11" s="418" t="s">
        <v>483</v>
      </c>
      <c r="C11" s="486">
        <f>+C76</f>
        <v>307748660</v>
      </c>
      <c r="D11" s="410"/>
      <c r="E11" s="486">
        <f>E76</f>
        <v>0</v>
      </c>
      <c r="F11" s="486">
        <f>F76</f>
        <v>121431822</v>
      </c>
      <c r="G11" s="486">
        <f>G76</f>
        <v>24433812.706271362</v>
      </c>
      <c r="H11" s="472" t="s">
        <v>494</v>
      </c>
      <c r="I11" s="370"/>
    </row>
    <row r="12" spans="1:9">
      <c r="A12" s="408" t="s">
        <v>499</v>
      </c>
      <c r="B12" s="418" t="s">
        <v>500</v>
      </c>
      <c r="C12" s="486">
        <f>SUM(C9:C11)</f>
        <v>-746499010.33399534</v>
      </c>
      <c r="D12" s="410"/>
      <c r="E12" s="486">
        <f>SUM(E9:E11)</f>
        <v>-223173209.23925972</v>
      </c>
      <c r="F12" s="486">
        <f>SUM(F9:F11)</f>
        <v>113569469.23939988</v>
      </c>
      <c r="G12" s="486">
        <f>SUM(G9:G11)</f>
        <v>-157492738.12552261</v>
      </c>
      <c r="H12" s="472" t="s">
        <v>501</v>
      </c>
      <c r="I12" s="370"/>
    </row>
    <row r="13" spans="1:9">
      <c r="B13" s="418"/>
      <c r="C13" s="486"/>
      <c r="D13" s="486"/>
      <c r="E13" s="487"/>
      <c r="F13" s="487"/>
      <c r="G13" s="487"/>
      <c r="H13" s="488"/>
      <c r="I13" s="370"/>
    </row>
    <row r="14" spans="1:9">
      <c r="B14" s="410"/>
      <c r="C14" s="486"/>
      <c r="D14" s="486"/>
      <c r="E14" s="486"/>
      <c r="F14" s="486"/>
      <c r="G14" s="486"/>
      <c r="H14" s="488"/>
      <c r="I14" s="370"/>
    </row>
    <row r="15" spans="1:9">
      <c r="B15" s="418"/>
      <c r="C15" s="486"/>
      <c r="D15" s="486"/>
      <c r="E15" s="486"/>
      <c r="F15" s="486"/>
      <c r="G15" s="486"/>
      <c r="H15" s="489"/>
      <c r="I15" s="370"/>
    </row>
    <row r="16" spans="1:9">
      <c r="B16" s="410"/>
      <c r="C16" s="412"/>
      <c r="D16" s="412"/>
      <c r="E16" s="412"/>
      <c r="F16" s="412"/>
      <c r="G16" s="412"/>
      <c r="H16" s="485"/>
      <c r="I16" s="370"/>
    </row>
    <row r="17" spans="1:12">
      <c r="A17" s="408" t="s">
        <v>8</v>
      </c>
      <c r="B17" s="409" t="s">
        <v>502</v>
      </c>
      <c r="C17" s="490"/>
      <c r="D17" s="412"/>
      <c r="E17" s="412"/>
      <c r="F17" s="412"/>
      <c r="G17" s="412"/>
      <c r="H17" s="485"/>
      <c r="I17" s="370"/>
    </row>
    <row r="18" spans="1:12">
      <c r="B18" s="421" t="s">
        <v>503</v>
      </c>
      <c r="C18" s="422"/>
      <c r="D18" s="403"/>
      <c r="E18" s="403"/>
      <c r="F18" s="403"/>
      <c r="G18" s="403"/>
    </row>
    <row r="19" spans="1:12">
      <c r="B19" s="415" t="s">
        <v>58</v>
      </c>
      <c r="C19" s="416" t="s">
        <v>59</v>
      </c>
      <c r="D19" s="416" t="s">
        <v>60</v>
      </c>
      <c r="E19" s="416" t="s">
        <v>61</v>
      </c>
      <c r="F19" s="416" t="s">
        <v>62</v>
      </c>
      <c r="G19" s="416" t="s">
        <v>63</v>
      </c>
      <c r="H19" s="492" t="s">
        <v>64</v>
      </c>
    </row>
    <row r="20" spans="1:12">
      <c r="B20" s="423" t="s">
        <v>1345</v>
      </c>
      <c r="C20" s="417" t="s">
        <v>13</v>
      </c>
      <c r="D20" s="417" t="s">
        <v>504</v>
      </c>
      <c r="E20" s="417" t="s">
        <v>492</v>
      </c>
      <c r="F20" s="417"/>
      <c r="G20" s="417"/>
    </row>
    <row r="21" spans="1:12">
      <c r="A21" s="408">
        <v>1</v>
      </c>
      <c r="C21" s="417"/>
      <c r="D21" s="417" t="s">
        <v>505</v>
      </c>
      <c r="E21" s="417" t="s">
        <v>17</v>
      </c>
      <c r="F21" s="417" t="s">
        <v>506</v>
      </c>
      <c r="G21" s="417" t="s">
        <v>459</v>
      </c>
    </row>
    <row r="22" spans="1:12">
      <c r="A22" s="408" t="s">
        <v>508</v>
      </c>
      <c r="C22" s="417"/>
      <c r="D22" s="417" t="s">
        <v>467</v>
      </c>
      <c r="E22" s="417" t="s">
        <v>467</v>
      </c>
      <c r="F22" s="417" t="s">
        <v>467</v>
      </c>
      <c r="G22" s="417" t="s">
        <v>467</v>
      </c>
      <c r="H22" s="493" t="s">
        <v>507</v>
      </c>
    </row>
    <row r="23" spans="1:12">
      <c r="A23" s="408" t="s">
        <v>509</v>
      </c>
      <c r="B23" s="425"/>
      <c r="C23" s="426"/>
      <c r="D23" s="494"/>
      <c r="E23" s="403"/>
      <c r="F23" s="403"/>
      <c r="G23" s="403"/>
    </row>
    <row r="24" spans="1:12">
      <c r="A24" s="408" t="s">
        <v>510</v>
      </c>
      <c r="B24" s="980" t="s">
        <v>1529</v>
      </c>
      <c r="C24" s="482">
        <v>1138380.6580899239</v>
      </c>
      <c r="D24" s="482">
        <v>0</v>
      </c>
      <c r="E24" s="482">
        <v>0</v>
      </c>
      <c r="F24" s="482">
        <v>0</v>
      </c>
      <c r="G24" s="482">
        <v>1138380.6580899239</v>
      </c>
      <c r="H24" s="483" t="s">
        <v>1811</v>
      </c>
      <c r="L24" s="495"/>
    </row>
    <row r="25" spans="1:12">
      <c r="A25" s="427" t="s">
        <v>511</v>
      </c>
      <c r="B25" s="980" t="s">
        <v>1536</v>
      </c>
      <c r="C25" s="482">
        <v>9554942.0975976158</v>
      </c>
      <c r="D25" s="482">
        <v>0</v>
      </c>
      <c r="E25" s="482">
        <v>0</v>
      </c>
      <c r="F25" s="482">
        <v>0</v>
      </c>
      <c r="G25" s="482">
        <v>9554942.0975976158</v>
      </c>
      <c r="H25" s="483" t="s">
        <v>1811</v>
      </c>
    </row>
    <row r="26" spans="1:12">
      <c r="A26" s="427" t="s">
        <v>512</v>
      </c>
      <c r="B26" s="980" t="s">
        <v>1707</v>
      </c>
      <c r="C26" s="482">
        <v>3665019.0737440214</v>
      </c>
      <c r="D26" s="482">
        <v>3665019.0737440214</v>
      </c>
      <c r="E26" s="482">
        <v>0</v>
      </c>
      <c r="F26" s="482">
        <v>0</v>
      </c>
      <c r="G26" s="482">
        <v>0</v>
      </c>
      <c r="H26" s="483" t="s">
        <v>1812</v>
      </c>
    </row>
    <row r="27" spans="1:12">
      <c r="A27" s="427" t="s">
        <v>513</v>
      </c>
      <c r="B27" s="980" t="s">
        <v>1802</v>
      </c>
      <c r="C27" s="482">
        <v>354228.58001395495</v>
      </c>
      <c r="D27" s="482">
        <v>0</v>
      </c>
      <c r="E27" s="482">
        <v>0</v>
      </c>
      <c r="F27" s="482">
        <v>0</v>
      </c>
      <c r="G27" s="482">
        <v>354228.58001395495</v>
      </c>
      <c r="H27" s="483" t="s">
        <v>1811</v>
      </c>
    </row>
    <row r="28" spans="1:12">
      <c r="A28" s="427" t="s">
        <v>514</v>
      </c>
      <c r="B28" s="980" t="s">
        <v>1803</v>
      </c>
      <c r="C28" s="482">
        <v>0</v>
      </c>
      <c r="D28" s="482">
        <v>0</v>
      </c>
      <c r="E28" s="482">
        <v>0</v>
      </c>
      <c r="F28" s="482">
        <v>0</v>
      </c>
      <c r="G28" s="482">
        <v>0</v>
      </c>
      <c r="H28" s="483" t="s">
        <v>1812</v>
      </c>
    </row>
    <row r="29" spans="1:12">
      <c r="A29" s="427" t="s">
        <v>515</v>
      </c>
      <c r="B29" s="980" t="s">
        <v>1540</v>
      </c>
      <c r="C29" s="482">
        <v>1325530.9860156688</v>
      </c>
      <c r="D29" s="482">
        <v>1325530.9860156688</v>
      </c>
      <c r="E29" s="482">
        <v>0</v>
      </c>
      <c r="F29" s="482">
        <v>0</v>
      </c>
      <c r="G29" s="482">
        <v>0</v>
      </c>
      <c r="H29" s="483" t="s">
        <v>1812</v>
      </c>
    </row>
    <row r="30" spans="1:12">
      <c r="A30" s="427" t="s">
        <v>516</v>
      </c>
      <c r="B30" s="980" t="s">
        <v>1542</v>
      </c>
      <c r="C30" s="482">
        <v>396957.17414261925</v>
      </c>
      <c r="D30" s="482">
        <v>0</v>
      </c>
      <c r="E30" s="482">
        <v>0</v>
      </c>
      <c r="F30" s="482">
        <v>0</v>
      </c>
      <c r="G30" s="482">
        <v>396957.17414261925</v>
      </c>
      <c r="H30" s="483" t="s">
        <v>1811</v>
      </c>
    </row>
    <row r="31" spans="1:12">
      <c r="A31" s="427" t="s">
        <v>517</v>
      </c>
      <c r="B31" s="980" t="s">
        <v>1543</v>
      </c>
      <c r="C31" s="482">
        <v>3465722.25447</v>
      </c>
      <c r="D31" s="482">
        <v>3465722.25447</v>
      </c>
      <c r="E31" s="482">
        <v>0</v>
      </c>
      <c r="F31" s="482">
        <v>0</v>
      </c>
      <c r="G31" s="482">
        <v>0</v>
      </c>
      <c r="H31" s="917" t="s">
        <v>1812</v>
      </c>
    </row>
    <row r="32" spans="1:12">
      <c r="A32" s="427" t="s">
        <v>518</v>
      </c>
      <c r="B32" s="980" t="s">
        <v>1544</v>
      </c>
      <c r="C32" s="482">
        <v>2066525.9855027292</v>
      </c>
      <c r="D32" s="482">
        <v>0</v>
      </c>
      <c r="E32" s="482">
        <v>0</v>
      </c>
      <c r="F32" s="482">
        <v>0</v>
      </c>
      <c r="G32" s="482">
        <v>2066525.9855027292</v>
      </c>
      <c r="H32" s="483" t="s">
        <v>1811</v>
      </c>
    </row>
    <row r="33" spans="1:13">
      <c r="A33" s="427" t="s">
        <v>519</v>
      </c>
      <c r="B33" s="980" t="s">
        <v>1545</v>
      </c>
      <c r="C33" s="482">
        <v>32067951.429331087</v>
      </c>
      <c r="D33" s="482">
        <v>32067951.429331087</v>
      </c>
      <c r="E33" s="482">
        <v>0</v>
      </c>
      <c r="F33" s="482">
        <v>0</v>
      </c>
      <c r="G33" s="482">
        <v>0</v>
      </c>
      <c r="H33" s="483" t="s">
        <v>1812</v>
      </c>
    </row>
    <row r="34" spans="1:13">
      <c r="A34" s="427" t="s">
        <v>520</v>
      </c>
      <c r="B34" s="980" t="s">
        <v>1534</v>
      </c>
      <c r="C34" s="482">
        <v>5253306.6485269293</v>
      </c>
      <c r="D34" s="482">
        <v>5253306.6485269293</v>
      </c>
      <c r="E34" s="482">
        <v>0</v>
      </c>
      <c r="F34" s="482">
        <v>0</v>
      </c>
      <c r="G34" s="482">
        <v>0</v>
      </c>
      <c r="H34" s="483" t="s">
        <v>1812</v>
      </c>
    </row>
    <row r="35" spans="1:13">
      <c r="A35" s="427" t="s">
        <v>521</v>
      </c>
      <c r="B35" s="980" t="s">
        <v>1804</v>
      </c>
      <c r="C35" s="482">
        <v>121431822</v>
      </c>
      <c r="D35" s="482">
        <v>0</v>
      </c>
      <c r="E35" s="482">
        <v>0</v>
      </c>
      <c r="F35" s="482">
        <v>121431822</v>
      </c>
      <c r="G35" s="482">
        <v>0</v>
      </c>
      <c r="H35" s="917" t="s">
        <v>1813</v>
      </c>
    </row>
    <row r="36" spans="1:13">
      <c r="A36" s="427" t="s">
        <v>522</v>
      </c>
      <c r="B36" s="980" t="s">
        <v>1531</v>
      </c>
      <c r="C36" s="482">
        <v>1774911.8622275742</v>
      </c>
      <c r="D36" s="482">
        <v>1774911.8622275742</v>
      </c>
      <c r="E36" s="482">
        <v>0</v>
      </c>
      <c r="F36" s="482">
        <v>0</v>
      </c>
      <c r="G36" s="482">
        <v>0</v>
      </c>
      <c r="H36" s="982" t="s">
        <v>1812</v>
      </c>
    </row>
    <row r="37" spans="1:13">
      <c r="A37" s="427" t="s">
        <v>523</v>
      </c>
      <c r="B37" s="980" t="s">
        <v>1532</v>
      </c>
      <c r="C37" s="482">
        <v>1457023.9527265434</v>
      </c>
      <c r="D37" s="482">
        <v>120735.00362310001</v>
      </c>
      <c r="E37" s="482">
        <v>0</v>
      </c>
      <c r="F37" s="482">
        <v>0</v>
      </c>
      <c r="G37" s="482">
        <v>1336288.9491034434</v>
      </c>
      <c r="H37" s="917" t="s">
        <v>1811</v>
      </c>
    </row>
    <row r="38" spans="1:13">
      <c r="A38" s="427" t="s">
        <v>524</v>
      </c>
      <c r="B38" s="980" t="s">
        <v>1533</v>
      </c>
      <c r="C38" s="482">
        <v>420398.52431508515</v>
      </c>
      <c r="D38" s="482">
        <v>420398.52431508515</v>
      </c>
      <c r="E38" s="482">
        <v>0</v>
      </c>
      <c r="F38" s="482">
        <v>0</v>
      </c>
      <c r="G38" s="482">
        <v>0</v>
      </c>
      <c r="H38" s="917" t="s">
        <v>1812</v>
      </c>
    </row>
    <row r="39" spans="1:13">
      <c r="A39" s="427" t="s">
        <v>525</v>
      </c>
      <c r="B39" s="980" t="s">
        <v>1805</v>
      </c>
      <c r="C39" s="482">
        <v>795722.88031649659</v>
      </c>
      <c r="D39" s="482">
        <v>0</v>
      </c>
      <c r="E39" s="482">
        <v>0</v>
      </c>
      <c r="F39" s="482">
        <v>0</v>
      </c>
      <c r="G39" s="482">
        <v>795722.88031649659</v>
      </c>
      <c r="H39" s="917" t="s">
        <v>1811</v>
      </c>
    </row>
    <row r="40" spans="1:13">
      <c r="A40" s="427" t="s">
        <v>526</v>
      </c>
      <c r="B40" s="980" t="s">
        <v>1806</v>
      </c>
      <c r="C40" s="482">
        <v>6017932.2942826627</v>
      </c>
      <c r="D40" s="482">
        <v>6017932.2942826627</v>
      </c>
      <c r="E40" s="482">
        <v>0</v>
      </c>
      <c r="F40" s="482">
        <v>0</v>
      </c>
      <c r="G40" s="482">
        <v>0</v>
      </c>
      <c r="H40" s="917" t="s">
        <v>1812</v>
      </c>
    </row>
    <row r="41" spans="1:13">
      <c r="A41" s="427" t="s">
        <v>527</v>
      </c>
      <c r="B41" s="980" t="s">
        <v>1807</v>
      </c>
      <c r="C41" s="482">
        <v>380288.76584957773</v>
      </c>
      <c r="D41" s="482">
        <v>0</v>
      </c>
      <c r="E41" s="482">
        <v>0</v>
      </c>
      <c r="F41" s="482">
        <v>0</v>
      </c>
      <c r="G41" s="482">
        <v>380288.76584957773</v>
      </c>
      <c r="H41" s="483" t="s">
        <v>1811</v>
      </c>
    </row>
    <row r="42" spans="1:13">
      <c r="A42" s="427" t="s">
        <v>528</v>
      </c>
      <c r="B42" s="980" t="s">
        <v>1537</v>
      </c>
      <c r="C42" s="482">
        <v>535086.76098804525</v>
      </c>
      <c r="D42" s="482">
        <v>535086.76098804525</v>
      </c>
      <c r="E42" s="482">
        <v>0</v>
      </c>
      <c r="F42" s="482">
        <v>0</v>
      </c>
      <c r="G42" s="482">
        <v>0</v>
      </c>
      <c r="H42" s="483" t="s">
        <v>1812</v>
      </c>
    </row>
    <row r="43" spans="1:13">
      <c r="A43" s="427" t="s">
        <v>529</v>
      </c>
      <c r="B43" s="980" t="s">
        <v>1535</v>
      </c>
      <c r="C43" s="482">
        <v>-4049163.3111453783</v>
      </c>
      <c r="D43" s="482">
        <v>-4049163.3111453783</v>
      </c>
      <c r="E43" s="482">
        <v>0</v>
      </c>
      <c r="F43" s="482">
        <v>0</v>
      </c>
      <c r="G43" s="482">
        <v>0</v>
      </c>
      <c r="H43" s="483" t="s">
        <v>1812</v>
      </c>
    </row>
    <row r="44" spans="1:13">
      <c r="A44" s="427" t="s">
        <v>530</v>
      </c>
      <c r="B44" s="980" t="s">
        <v>1538</v>
      </c>
      <c r="C44" s="482">
        <v>203678.57007318086</v>
      </c>
      <c r="D44" s="482">
        <v>203678.57007318086</v>
      </c>
      <c r="E44" s="482">
        <v>0</v>
      </c>
      <c r="F44" s="482">
        <v>0</v>
      </c>
      <c r="G44" s="482">
        <v>0</v>
      </c>
      <c r="H44" s="483" t="s">
        <v>1812</v>
      </c>
    </row>
    <row r="45" spans="1:13">
      <c r="A45" s="427" t="s">
        <v>531</v>
      </c>
      <c r="B45" s="980" t="s">
        <v>1530</v>
      </c>
      <c r="C45" s="482">
        <v>20132.764277999988</v>
      </c>
      <c r="D45" s="482">
        <v>20132.764277999988</v>
      </c>
      <c r="E45" s="482">
        <v>0</v>
      </c>
      <c r="F45" s="482">
        <v>0</v>
      </c>
      <c r="G45" s="482">
        <v>0</v>
      </c>
      <c r="H45" s="483" t="s">
        <v>1812</v>
      </c>
    </row>
    <row r="46" spans="1:13" ht="14.25">
      <c r="A46" s="427" t="s">
        <v>532</v>
      </c>
      <c r="B46" s="934" t="s">
        <v>1808</v>
      </c>
      <c r="C46" s="482">
        <v>48762061.738099359</v>
      </c>
      <c r="D46" s="482">
        <v>48762061.738099359</v>
      </c>
      <c r="E46" s="482">
        <v>0</v>
      </c>
      <c r="F46" s="482">
        <v>0</v>
      </c>
      <c r="G46" s="482">
        <v>0</v>
      </c>
      <c r="H46" s="1093" t="s">
        <v>1812</v>
      </c>
    </row>
    <row r="47" spans="1:13" ht="14.25">
      <c r="A47" s="427" t="s">
        <v>533</v>
      </c>
      <c r="B47" s="934" t="s">
        <v>1539</v>
      </c>
      <c r="C47" s="482">
        <v>60039229.860625304</v>
      </c>
      <c r="D47" s="482">
        <v>60039229.860625304</v>
      </c>
      <c r="E47" s="482">
        <v>0</v>
      </c>
      <c r="F47" s="482">
        <v>0</v>
      </c>
      <c r="G47" s="482">
        <v>0</v>
      </c>
      <c r="H47" s="917" t="s">
        <v>1812</v>
      </c>
    </row>
    <row r="48" spans="1:13" ht="14.25">
      <c r="A48" s="427" t="s">
        <v>534</v>
      </c>
      <c r="B48" s="934" t="s">
        <v>1809</v>
      </c>
      <c r="C48" s="482">
        <v>8410477.6156550013</v>
      </c>
      <c r="D48" s="482">
        <v>0</v>
      </c>
      <c r="E48" s="482">
        <v>0</v>
      </c>
      <c r="F48" s="482">
        <v>0</v>
      </c>
      <c r="G48" s="482">
        <v>8410477.6156550013</v>
      </c>
      <c r="H48" s="917" t="s">
        <v>1811</v>
      </c>
      <c r="M48" s="495"/>
    </row>
    <row r="49" spans="1:8" ht="14.25">
      <c r="A49" s="427" t="s">
        <v>535</v>
      </c>
      <c r="B49" s="934" t="s">
        <v>1810</v>
      </c>
      <c r="C49" s="482">
        <v>-422169.485758</v>
      </c>
      <c r="D49" s="482">
        <v>-422169.485758</v>
      </c>
      <c r="E49" s="482">
        <v>0</v>
      </c>
      <c r="F49" s="482">
        <v>0</v>
      </c>
      <c r="G49" s="482">
        <v>0</v>
      </c>
      <c r="H49" s="917" t="s">
        <v>1812</v>
      </c>
    </row>
    <row r="50" spans="1:8" ht="14.25">
      <c r="A50" s="427" t="s">
        <v>536</v>
      </c>
      <c r="B50" s="934" t="s">
        <v>1646</v>
      </c>
      <c r="C50" s="482">
        <v>11563.15756</v>
      </c>
      <c r="D50" s="482">
        <v>11563.15756</v>
      </c>
      <c r="E50" s="482">
        <v>0</v>
      </c>
      <c r="F50" s="482">
        <v>0</v>
      </c>
      <c r="G50" s="482">
        <v>0</v>
      </c>
      <c r="H50" s="917" t="s">
        <v>1812</v>
      </c>
    </row>
    <row r="51" spans="1:8" ht="14.25">
      <c r="A51" s="427" t="s">
        <v>537</v>
      </c>
      <c r="B51" s="934" t="s">
        <v>1541</v>
      </c>
      <c r="C51" s="482">
        <v>2671097.1624719352</v>
      </c>
      <c r="D51" s="482">
        <v>2671097.1624719352</v>
      </c>
      <c r="E51" s="482">
        <v>0</v>
      </c>
      <c r="F51" s="482">
        <v>0</v>
      </c>
      <c r="G51" s="482">
        <v>0</v>
      </c>
      <c r="H51" s="917" t="s">
        <v>1812</v>
      </c>
    </row>
    <row r="52" spans="1:8" ht="14.25">
      <c r="A52" s="427" t="s">
        <v>538</v>
      </c>
      <c r="B52" s="934"/>
      <c r="C52" s="482"/>
      <c r="D52" s="482"/>
      <c r="E52" s="482"/>
      <c r="F52" s="482"/>
      <c r="G52" s="482"/>
      <c r="H52" s="917"/>
    </row>
    <row r="53" spans="1:8" ht="14.25">
      <c r="A53" s="427" t="s">
        <v>539</v>
      </c>
      <c r="B53" s="934"/>
      <c r="C53" s="482"/>
      <c r="D53" s="482"/>
      <c r="E53" s="482"/>
      <c r="F53" s="482"/>
      <c r="G53" s="482"/>
      <c r="H53" s="483"/>
    </row>
    <row r="54" spans="1:8" ht="14.25">
      <c r="A54" s="427" t="s">
        <v>540</v>
      </c>
      <c r="B54" s="934"/>
      <c r="C54" s="482"/>
      <c r="D54" s="482"/>
      <c r="E54" s="482"/>
      <c r="F54" s="482"/>
      <c r="G54" s="482"/>
      <c r="H54" s="483"/>
    </row>
    <row r="55" spans="1:8" ht="14.25">
      <c r="A55" s="427" t="s">
        <v>541</v>
      </c>
      <c r="B55" s="934"/>
      <c r="C55" s="482"/>
      <c r="D55" s="482"/>
      <c r="E55" s="482"/>
      <c r="F55" s="482"/>
      <c r="G55" s="482"/>
      <c r="H55" s="483"/>
    </row>
    <row r="56" spans="1:8" ht="14.25">
      <c r="A56" s="427" t="s">
        <v>542</v>
      </c>
      <c r="B56" s="934"/>
      <c r="C56" s="482"/>
      <c r="D56" s="482"/>
      <c r="E56" s="482"/>
      <c r="F56" s="482"/>
      <c r="G56" s="482"/>
      <c r="H56" s="483"/>
    </row>
    <row r="57" spans="1:8" ht="15" customHeight="1">
      <c r="A57" s="427" t="s">
        <v>543</v>
      </c>
      <c r="B57" s="934"/>
      <c r="C57" s="482"/>
      <c r="D57" s="482"/>
      <c r="E57" s="482"/>
      <c r="F57" s="482"/>
      <c r="G57" s="482"/>
      <c r="H57" s="483"/>
    </row>
    <row r="58" spans="1:8" ht="15" customHeight="1">
      <c r="A58" s="427" t="s">
        <v>544</v>
      </c>
      <c r="B58" s="934"/>
      <c r="C58" s="482"/>
      <c r="D58" s="482"/>
      <c r="E58" s="482"/>
      <c r="F58" s="482"/>
      <c r="G58" s="482"/>
      <c r="H58" s="483"/>
    </row>
    <row r="59" spans="1:8" ht="15" customHeight="1">
      <c r="A59" s="427" t="s">
        <v>545</v>
      </c>
      <c r="B59" s="934"/>
      <c r="C59" s="482"/>
      <c r="D59" s="482"/>
      <c r="E59" s="482"/>
      <c r="F59" s="482"/>
      <c r="G59" s="482"/>
      <c r="H59" s="483"/>
    </row>
    <row r="60" spans="1:8" ht="15" customHeight="1">
      <c r="A60" s="427" t="s">
        <v>546</v>
      </c>
      <c r="B60" s="482"/>
      <c r="C60" s="482"/>
      <c r="D60" s="482"/>
      <c r="E60" s="482"/>
      <c r="F60" s="482"/>
      <c r="G60" s="521"/>
      <c r="H60" s="483"/>
    </row>
    <row r="61" spans="1:8" ht="15" customHeight="1">
      <c r="A61" s="427" t="s">
        <v>547</v>
      </c>
      <c r="B61" s="482"/>
      <c r="C61" s="482"/>
      <c r="D61" s="482"/>
      <c r="E61" s="482"/>
      <c r="F61" s="482"/>
      <c r="G61" s="482"/>
      <c r="H61" s="483"/>
    </row>
    <row r="62" spans="1:8" ht="15" hidden="1" customHeight="1">
      <c r="A62" s="427" t="s">
        <v>548</v>
      </c>
      <c r="B62" s="482"/>
      <c r="C62" s="482"/>
      <c r="D62" s="482"/>
      <c r="E62" s="482"/>
      <c r="F62" s="482"/>
      <c r="G62" s="521"/>
      <c r="H62" s="483"/>
    </row>
    <row r="63" spans="1:8" ht="15" hidden="1" customHeight="1">
      <c r="A63" s="427" t="s">
        <v>549</v>
      </c>
      <c r="B63" s="482"/>
      <c r="C63" s="482"/>
      <c r="D63" s="482"/>
      <c r="E63" s="482"/>
      <c r="F63" s="482"/>
      <c r="G63" s="521"/>
      <c r="H63" s="483"/>
    </row>
    <row r="64" spans="1:8" ht="15" hidden="1" customHeight="1">
      <c r="A64" s="427" t="s">
        <v>550</v>
      </c>
      <c r="B64" s="482"/>
      <c r="C64" s="482"/>
      <c r="D64" s="482"/>
      <c r="E64" s="482"/>
      <c r="F64" s="482"/>
      <c r="G64" s="521"/>
      <c r="H64" s="483"/>
    </row>
    <row r="65" spans="1:10" ht="15" hidden="1" customHeight="1">
      <c r="A65" s="427" t="s">
        <v>551</v>
      </c>
      <c r="B65" s="482"/>
      <c r="C65" s="482"/>
      <c r="D65" s="482"/>
      <c r="E65" s="482"/>
      <c r="F65" s="522"/>
      <c r="G65" s="482"/>
      <c r="H65" s="523"/>
    </row>
    <row r="66" spans="1:10" ht="15" hidden="1" customHeight="1">
      <c r="A66" s="427" t="s">
        <v>552</v>
      </c>
      <c r="B66" s="482"/>
      <c r="C66" s="482"/>
      <c r="D66" s="482"/>
      <c r="E66" s="482"/>
      <c r="F66" s="482"/>
      <c r="G66" s="482"/>
      <c r="H66" s="524"/>
    </row>
    <row r="67" spans="1:10" ht="15" hidden="1" customHeight="1">
      <c r="A67" s="427" t="s">
        <v>553</v>
      </c>
      <c r="B67" s="482"/>
      <c r="C67" s="482"/>
      <c r="D67" s="482"/>
      <c r="E67" s="482"/>
      <c r="F67" s="482"/>
      <c r="G67" s="482"/>
      <c r="H67" s="523"/>
    </row>
    <row r="68" spans="1:10" ht="15" hidden="1" customHeight="1">
      <c r="A68" s="427" t="s">
        <v>554</v>
      </c>
      <c r="B68" s="482"/>
      <c r="C68" s="482"/>
      <c r="D68" s="482"/>
      <c r="E68" s="482"/>
      <c r="F68" s="482"/>
      <c r="G68" s="482"/>
      <c r="H68" s="483"/>
    </row>
    <row r="69" spans="1:10" ht="15" hidden="1" customHeight="1">
      <c r="A69" s="427" t="s">
        <v>555</v>
      </c>
      <c r="B69" s="482"/>
      <c r="C69" s="482"/>
      <c r="D69" s="482"/>
      <c r="E69" s="482"/>
      <c r="F69" s="482"/>
      <c r="G69" s="482"/>
      <c r="H69" s="483"/>
    </row>
    <row r="70" spans="1:10" ht="15" hidden="1" customHeight="1">
      <c r="A70" s="427" t="s">
        <v>556</v>
      </c>
      <c r="B70" s="525"/>
      <c r="C70" s="482"/>
      <c r="D70" s="482"/>
      <c r="E70" s="482"/>
      <c r="F70" s="482"/>
      <c r="G70" s="482"/>
      <c r="H70" s="523"/>
    </row>
    <row r="71" spans="1:10" ht="15" hidden="1" customHeight="1">
      <c r="A71" s="427" t="s">
        <v>557</v>
      </c>
      <c r="B71" s="526"/>
      <c r="C71" s="482">
        <v>0</v>
      </c>
      <c r="D71" s="482">
        <v>0</v>
      </c>
      <c r="E71" s="482"/>
      <c r="F71" s="482"/>
      <c r="G71" s="482"/>
      <c r="H71" s="523"/>
    </row>
    <row r="72" spans="1:10">
      <c r="A72" s="427" t="s">
        <v>296</v>
      </c>
      <c r="B72" s="935"/>
      <c r="C72" s="482">
        <v>0</v>
      </c>
      <c r="D72" s="482"/>
      <c r="E72" s="482"/>
      <c r="F72" s="482"/>
      <c r="G72" s="482"/>
      <c r="H72" s="523"/>
    </row>
    <row r="73" spans="1:10">
      <c r="A73" s="427">
        <v>2</v>
      </c>
      <c r="B73" s="496" t="s">
        <v>974</v>
      </c>
      <c r="C73" s="497">
        <f>SUM(C24:C72)</f>
        <v>307748660</v>
      </c>
      <c r="D73" s="497">
        <f>SUM(D24:D72)</f>
        <v>161883025.29372853</v>
      </c>
      <c r="E73" s="497">
        <f>SUM(E24:E72)</f>
        <v>0</v>
      </c>
      <c r="F73" s="497">
        <f>SUM(F24:F72)</f>
        <v>121431822</v>
      </c>
      <c r="G73" s="497">
        <f>SUM(G24:G72)</f>
        <v>24433812.706271362</v>
      </c>
      <c r="H73" s="498"/>
      <c r="J73" s="431"/>
    </row>
    <row r="74" spans="1:10">
      <c r="A74" s="427">
        <v>3</v>
      </c>
      <c r="B74" s="496" t="s">
        <v>563</v>
      </c>
      <c r="C74" s="482">
        <v>0</v>
      </c>
      <c r="D74" s="482">
        <v>0</v>
      </c>
      <c r="E74" s="482">
        <v>0</v>
      </c>
      <c r="F74" s="482">
        <v>0</v>
      </c>
      <c r="G74" s="482">
        <v>0</v>
      </c>
      <c r="H74" s="523"/>
    </row>
    <row r="75" spans="1:10">
      <c r="A75" s="427">
        <v>4</v>
      </c>
      <c r="B75" s="496" t="s">
        <v>564</v>
      </c>
      <c r="C75" s="482">
        <v>0</v>
      </c>
      <c r="D75" s="482">
        <v>0</v>
      </c>
      <c r="E75" s="482">
        <v>0</v>
      </c>
      <c r="F75" s="482">
        <v>0</v>
      </c>
      <c r="G75" s="482">
        <v>0</v>
      </c>
      <c r="H75" s="523"/>
    </row>
    <row r="76" spans="1:10">
      <c r="A76" s="408">
        <v>5</v>
      </c>
      <c r="B76" s="496" t="s">
        <v>1092</v>
      </c>
      <c r="C76" s="497">
        <f>+C73-C74-C75</f>
        <v>307748660</v>
      </c>
      <c r="D76" s="497">
        <f t="shared" ref="D76:G76" si="0">+D73-D74-D75</f>
        <v>161883025.29372853</v>
      </c>
      <c r="E76" s="497">
        <f t="shared" si="0"/>
        <v>0</v>
      </c>
      <c r="F76" s="497">
        <f t="shared" si="0"/>
        <v>121431822</v>
      </c>
      <c r="G76" s="497">
        <f t="shared" si="0"/>
        <v>24433812.706271362</v>
      </c>
      <c r="H76" s="498"/>
    </row>
    <row r="77" spans="1:10">
      <c r="B77" s="432"/>
      <c r="C77" s="433"/>
      <c r="D77" s="412"/>
      <c r="E77" s="412"/>
      <c r="F77" s="412"/>
      <c r="G77" s="434"/>
      <c r="H77" s="499"/>
    </row>
    <row r="78" spans="1:10">
      <c r="A78" s="427">
        <v>6</v>
      </c>
      <c r="B78" s="436" t="s">
        <v>565</v>
      </c>
      <c r="C78" s="437"/>
      <c r="D78" s="438"/>
      <c r="E78" s="438"/>
      <c r="F78" s="438"/>
      <c r="G78" s="439"/>
      <c r="H78" s="500"/>
    </row>
    <row r="79" spans="1:10">
      <c r="A79" s="427">
        <v>7</v>
      </c>
      <c r="B79" s="441" t="s">
        <v>566</v>
      </c>
      <c r="C79" s="412"/>
      <c r="D79" s="412"/>
      <c r="E79" s="412"/>
      <c r="F79" s="412"/>
      <c r="G79" s="412"/>
      <c r="H79" s="501"/>
    </row>
    <row r="80" spans="1:10">
      <c r="A80" s="427">
        <v>8</v>
      </c>
      <c r="B80" s="441" t="s">
        <v>567</v>
      </c>
      <c r="C80" s="443"/>
      <c r="D80" s="412"/>
      <c r="E80" s="412"/>
      <c r="F80" s="412"/>
      <c r="G80" s="434"/>
      <c r="H80" s="502"/>
    </row>
    <row r="81" spans="1:8">
      <c r="A81" s="427">
        <v>9</v>
      </c>
      <c r="B81" s="441" t="s">
        <v>568</v>
      </c>
      <c r="C81" s="443"/>
      <c r="D81" s="412"/>
      <c r="E81" s="412"/>
      <c r="F81" s="412"/>
      <c r="G81" s="434"/>
      <c r="H81" s="502"/>
    </row>
    <row r="82" spans="1:8">
      <c r="A82" s="427">
        <v>10</v>
      </c>
      <c r="B82" s="441" t="s">
        <v>569</v>
      </c>
      <c r="C82" s="443"/>
      <c r="D82" s="412"/>
      <c r="E82" s="412"/>
      <c r="F82" s="412"/>
      <c r="G82" s="434"/>
      <c r="H82" s="502"/>
    </row>
    <row r="83" spans="1:8">
      <c r="A83" s="427">
        <v>11</v>
      </c>
      <c r="B83" s="445" t="s">
        <v>570</v>
      </c>
      <c r="C83" s="412"/>
      <c r="D83" s="412"/>
      <c r="E83" s="412"/>
      <c r="F83" s="412"/>
      <c r="G83" s="412"/>
      <c r="H83" s="501"/>
    </row>
    <row r="84" spans="1:8">
      <c r="A84" s="427">
        <v>12</v>
      </c>
      <c r="B84" s="446" t="s">
        <v>571</v>
      </c>
      <c r="C84" s="412"/>
      <c r="D84" s="412"/>
      <c r="E84" s="412"/>
      <c r="F84" s="412"/>
      <c r="G84" s="412"/>
      <c r="H84" s="501"/>
    </row>
    <row r="85" spans="1:8">
      <c r="B85" s="447"/>
      <c r="C85" s="448"/>
      <c r="D85" s="449"/>
      <c r="E85" s="449"/>
      <c r="F85" s="449"/>
      <c r="G85" s="450"/>
      <c r="H85" s="503"/>
    </row>
    <row r="86" spans="1:8">
      <c r="B86" s="1244" t="str">
        <f>'4A - ADIT Summary'!$G$65</f>
        <v>PECO Energy Company</v>
      </c>
      <c r="C86" s="1245"/>
      <c r="D86" s="1245"/>
      <c r="E86" s="1245"/>
      <c r="F86" s="1245"/>
      <c r="G86" s="1245"/>
      <c r="H86" s="1245"/>
    </row>
    <row r="87" spans="1:8" ht="15.4">
      <c r="B87" s="410" t="s">
        <v>617</v>
      </c>
      <c r="C87" s="410"/>
      <c r="D87" s="410"/>
      <c r="E87" s="410"/>
      <c r="F87" s="410" t="s">
        <v>2</v>
      </c>
      <c r="G87" s="410"/>
      <c r="H87" s="504"/>
    </row>
    <row r="88" spans="1:8">
      <c r="B88" s="410"/>
      <c r="C88" s="453"/>
      <c r="D88" s="454"/>
      <c r="E88" s="454"/>
      <c r="F88" s="454"/>
      <c r="G88" s="454"/>
      <c r="H88" s="505"/>
    </row>
    <row r="89" spans="1:8">
      <c r="B89" s="455"/>
      <c r="C89" s="453"/>
      <c r="D89" s="454"/>
      <c r="E89" s="454"/>
      <c r="F89" s="454"/>
      <c r="G89" s="454"/>
      <c r="H89" s="484" t="s">
        <v>617</v>
      </c>
    </row>
    <row r="90" spans="1:8">
      <c r="B90" s="455"/>
      <c r="C90" s="453"/>
      <c r="D90" s="454"/>
      <c r="E90" s="454"/>
      <c r="F90" s="454"/>
      <c r="G90" s="454"/>
      <c r="H90" s="484" t="s">
        <v>572</v>
      </c>
    </row>
    <row r="91" spans="1:8">
      <c r="B91" s="455"/>
      <c r="C91" s="453"/>
      <c r="D91" s="454"/>
      <c r="E91" s="454"/>
      <c r="F91" s="454"/>
      <c r="G91" s="454"/>
      <c r="H91" s="485"/>
    </row>
    <row r="92" spans="1:8">
      <c r="B92" s="410"/>
      <c r="C92" s="412"/>
      <c r="D92" s="412"/>
      <c r="E92" s="412"/>
      <c r="F92" s="412"/>
      <c r="G92" s="412"/>
      <c r="H92" s="506"/>
    </row>
    <row r="93" spans="1:8">
      <c r="B93" s="410"/>
      <c r="C93" s="412"/>
      <c r="D93" s="412"/>
      <c r="E93" s="412"/>
      <c r="F93" s="412"/>
      <c r="G93" s="412"/>
      <c r="H93" s="506"/>
    </row>
    <row r="94" spans="1:8">
      <c r="B94" s="455" t="s">
        <v>58</v>
      </c>
      <c r="C94" s="416" t="s">
        <v>59</v>
      </c>
      <c r="D94" s="453" t="s">
        <v>60</v>
      </c>
      <c r="E94" s="453" t="s">
        <v>61</v>
      </c>
      <c r="F94" s="453" t="s">
        <v>62</v>
      </c>
      <c r="G94" s="453" t="s">
        <v>63</v>
      </c>
      <c r="H94" s="507" t="s">
        <v>64</v>
      </c>
    </row>
    <row r="95" spans="1:8">
      <c r="B95" s="418" t="s">
        <v>1346</v>
      </c>
      <c r="C95" s="417" t="s">
        <v>13</v>
      </c>
      <c r="D95" s="417" t="s">
        <v>504</v>
      </c>
      <c r="E95" s="411" t="s">
        <v>492</v>
      </c>
      <c r="F95" s="411"/>
      <c r="G95" s="411"/>
      <c r="H95" s="485"/>
    </row>
    <row r="96" spans="1:8">
      <c r="B96" s="432"/>
      <c r="C96" s="417"/>
      <c r="D96" s="417" t="s">
        <v>505</v>
      </c>
      <c r="E96" s="411" t="s">
        <v>17</v>
      </c>
      <c r="F96" s="411" t="s">
        <v>506</v>
      </c>
      <c r="G96" s="411" t="s">
        <v>459</v>
      </c>
      <c r="H96" s="485"/>
    </row>
    <row r="97" spans="1:8">
      <c r="B97" s="457"/>
      <c r="C97" s="458"/>
      <c r="D97" s="417" t="s">
        <v>467</v>
      </c>
      <c r="E97" s="411" t="s">
        <v>467</v>
      </c>
      <c r="F97" s="411" t="s">
        <v>467</v>
      </c>
      <c r="G97" s="411" t="s">
        <v>467</v>
      </c>
      <c r="H97" s="506" t="s">
        <v>507</v>
      </c>
    </row>
    <row r="98" spans="1:8">
      <c r="B98" s="410"/>
      <c r="C98" s="459"/>
      <c r="D98" s="412"/>
      <c r="E98" s="412"/>
      <c r="F98" s="412"/>
      <c r="G98" s="412"/>
      <c r="H98" s="485"/>
    </row>
    <row r="99" spans="1:8">
      <c r="A99" s="408" t="s">
        <v>573</v>
      </c>
      <c r="B99" s="923" t="s">
        <v>1031</v>
      </c>
      <c r="C99" s="924">
        <v>0</v>
      </c>
      <c r="D99" s="924">
        <v>0</v>
      </c>
      <c r="E99" s="924">
        <v>0</v>
      </c>
      <c r="F99" s="924">
        <v>0</v>
      </c>
      <c r="G99" s="924">
        <v>0</v>
      </c>
      <c r="H99" s="987"/>
    </row>
    <row r="100" spans="1:8">
      <c r="A100" s="408" t="s">
        <v>574</v>
      </c>
      <c r="B100" s="923" t="s">
        <v>702</v>
      </c>
      <c r="C100" s="924">
        <v>-56088759.014003515</v>
      </c>
      <c r="D100" s="924">
        <v>0</v>
      </c>
      <c r="E100" s="924">
        <v>0</v>
      </c>
      <c r="F100" s="924">
        <v>0</v>
      </c>
      <c r="G100" s="924">
        <v>-56088759.014003515</v>
      </c>
      <c r="H100" s="987" t="s">
        <v>884</v>
      </c>
    </row>
    <row r="101" spans="1:8">
      <c r="A101" s="408" t="s">
        <v>575</v>
      </c>
      <c r="B101" s="923" t="s">
        <v>778</v>
      </c>
      <c r="C101" s="924">
        <v>-613986287.55146313</v>
      </c>
      <c r="D101" s="924">
        <v>-613986287.55146313</v>
      </c>
      <c r="E101" s="924">
        <v>0</v>
      </c>
      <c r="F101" s="924">
        <v>0</v>
      </c>
      <c r="G101" s="924">
        <v>0</v>
      </c>
      <c r="H101" s="987" t="s">
        <v>885</v>
      </c>
    </row>
    <row r="102" spans="1:8">
      <c r="A102" s="427" t="s">
        <v>576</v>
      </c>
      <c r="B102" s="923" t="s">
        <v>874</v>
      </c>
      <c r="C102" s="924">
        <v>-31650126.732773524</v>
      </c>
      <c r="D102" s="924">
        <v>0</v>
      </c>
      <c r="E102" s="924">
        <v>0</v>
      </c>
      <c r="F102" s="924">
        <v>0</v>
      </c>
      <c r="G102" s="924">
        <v>-31650126.732773524</v>
      </c>
      <c r="H102" s="987" t="s">
        <v>884</v>
      </c>
    </row>
    <row r="103" spans="1:8">
      <c r="A103" s="427" t="s">
        <v>577</v>
      </c>
      <c r="B103" s="923" t="s">
        <v>17</v>
      </c>
      <c r="C103" s="924">
        <v>-221472506.83845973</v>
      </c>
      <c r="D103" s="924">
        <v>1700702.4007999999</v>
      </c>
      <c r="E103" s="924">
        <v>-223173209.23925972</v>
      </c>
      <c r="F103" s="924">
        <v>0</v>
      </c>
      <c r="G103" s="924">
        <v>0</v>
      </c>
      <c r="H103" s="987" t="s">
        <v>873</v>
      </c>
    </row>
    <row r="104" spans="1:8" ht="27" customHeight="1">
      <c r="A104" s="427" t="s">
        <v>578</v>
      </c>
      <c r="B104" s="923" t="s">
        <v>1546</v>
      </c>
      <c r="C104" s="924">
        <v>-833294137.86329997</v>
      </c>
      <c r="D104" s="924">
        <v>-797892284.37880301</v>
      </c>
      <c r="E104" s="924">
        <v>-35401853.484497003</v>
      </c>
      <c r="F104" s="924">
        <v>0</v>
      </c>
      <c r="G104" s="924">
        <v>0</v>
      </c>
      <c r="H104" s="987" t="s">
        <v>1566</v>
      </c>
    </row>
    <row r="105" spans="1:8">
      <c r="A105" s="427" t="s">
        <v>579</v>
      </c>
      <c r="B105" s="924"/>
      <c r="C105" s="924"/>
      <c r="D105" s="924"/>
      <c r="E105" s="924"/>
      <c r="F105" s="924"/>
      <c r="G105" s="924"/>
      <c r="H105" s="926"/>
    </row>
    <row r="106" spans="1:8">
      <c r="A106" s="427" t="s">
        <v>580</v>
      </c>
      <c r="B106" s="924"/>
      <c r="C106" s="924"/>
      <c r="D106" s="924"/>
      <c r="E106" s="924"/>
      <c r="F106" s="924"/>
      <c r="G106" s="924"/>
      <c r="H106" s="926"/>
    </row>
    <row r="107" spans="1:8">
      <c r="A107" s="427" t="s">
        <v>296</v>
      </c>
      <c r="B107" s="924"/>
      <c r="C107" s="924"/>
      <c r="D107" s="924"/>
      <c r="E107" s="924"/>
      <c r="F107" s="918"/>
      <c r="G107" s="924"/>
      <c r="H107" s="926"/>
    </row>
    <row r="108" spans="1:8">
      <c r="A108" s="427">
        <v>14</v>
      </c>
      <c r="B108" s="428" t="s">
        <v>976</v>
      </c>
      <c r="C108" s="429">
        <f>SUM(C99:C107)</f>
        <v>-1756491818</v>
      </c>
      <c r="D108" s="429">
        <f>SUM(D99:D107)</f>
        <v>-1410177869.5294662</v>
      </c>
      <c r="E108" s="429">
        <f>SUM(E99:E107)</f>
        <v>-258575062.72375673</v>
      </c>
      <c r="F108" s="429">
        <f>SUM(F99:F107)</f>
        <v>0</v>
      </c>
      <c r="G108" s="429">
        <f>SUM(G99:G107)</f>
        <v>-87738885.746777043</v>
      </c>
      <c r="H108" s="508"/>
    </row>
    <row r="109" spans="1:8">
      <c r="A109" s="427">
        <v>15</v>
      </c>
      <c r="B109" s="428" t="s">
        <v>563</v>
      </c>
      <c r="C109" s="928">
        <v>-833294137.86329997</v>
      </c>
      <c r="D109" s="928">
        <v>-797892284.37880301</v>
      </c>
      <c r="E109" s="928">
        <v>-35401853.484497003</v>
      </c>
      <c r="F109" s="928">
        <v>0</v>
      </c>
      <c r="G109" s="928">
        <v>0</v>
      </c>
      <c r="H109" s="926"/>
    </row>
    <row r="110" spans="1:8">
      <c r="A110" s="427">
        <v>16</v>
      </c>
      <c r="B110" s="428" t="s">
        <v>564</v>
      </c>
      <c r="C110" s="928">
        <v>0</v>
      </c>
      <c r="D110" s="928">
        <v>0</v>
      </c>
      <c r="E110" s="928">
        <v>0</v>
      </c>
      <c r="F110" s="928">
        <v>0</v>
      </c>
      <c r="G110" s="928">
        <v>0</v>
      </c>
      <c r="H110" s="936"/>
    </row>
    <row r="111" spans="1:8">
      <c r="A111" s="427">
        <v>17</v>
      </c>
      <c r="B111" s="428" t="s">
        <v>1074</v>
      </c>
      <c r="C111" s="509">
        <f>+C108-C109-C110</f>
        <v>-923197680.13670003</v>
      </c>
      <c r="D111" s="509">
        <f>+D108-D109-D110</f>
        <v>-612285585.15066314</v>
      </c>
      <c r="E111" s="509">
        <f>+E108-E109-E110</f>
        <v>-223173209.23925972</v>
      </c>
      <c r="F111" s="509">
        <f>+F108-F109-F110</f>
        <v>0</v>
      </c>
      <c r="G111" s="509">
        <f>+G108-G109-G110</f>
        <v>-87738885.746777043</v>
      </c>
      <c r="H111" s="510"/>
    </row>
    <row r="112" spans="1:8">
      <c r="B112" s="432"/>
      <c r="C112" s="461"/>
      <c r="D112" s="461"/>
      <c r="E112" s="461"/>
      <c r="F112" s="461"/>
      <c r="G112" s="412"/>
      <c r="H112" s="511"/>
    </row>
    <row r="113" spans="1:8" ht="14.25" thickBot="1">
      <c r="B113" s="432"/>
      <c r="C113" s="433"/>
      <c r="D113" s="412"/>
      <c r="E113" s="412"/>
      <c r="F113" s="412"/>
      <c r="G113" s="434"/>
      <c r="H113" s="512"/>
    </row>
    <row r="114" spans="1:8">
      <c r="A114" s="427">
        <v>18</v>
      </c>
      <c r="B114" s="463" t="s">
        <v>581</v>
      </c>
      <c r="C114" s="464"/>
      <c r="D114" s="465"/>
      <c r="E114" s="465"/>
      <c r="F114" s="465"/>
      <c r="G114" s="466"/>
      <c r="H114" s="513"/>
    </row>
    <row r="115" spans="1:8">
      <c r="A115" s="427">
        <v>19</v>
      </c>
      <c r="B115" s="441" t="s">
        <v>566</v>
      </c>
      <c r="C115" s="468"/>
      <c r="D115" s="454"/>
      <c r="E115" s="454"/>
      <c r="F115" s="454"/>
      <c r="G115" s="454"/>
      <c r="H115" s="473"/>
    </row>
    <row r="116" spans="1:8">
      <c r="A116" s="427">
        <v>20</v>
      </c>
      <c r="B116" s="441" t="s">
        <v>567</v>
      </c>
      <c r="C116" s="443"/>
      <c r="D116" s="412"/>
      <c r="E116" s="412"/>
      <c r="F116" s="412"/>
      <c r="G116" s="434"/>
      <c r="H116" s="514"/>
    </row>
    <row r="117" spans="1:8">
      <c r="A117" s="427">
        <v>21</v>
      </c>
      <c r="B117" s="441" t="s">
        <v>568</v>
      </c>
      <c r="C117" s="443"/>
      <c r="D117" s="412"/>
      <c r="E117" s="412"/>
      <c r="F117" s="412"/>
      <c r="G117" s="434"/>
      <c r="H117" s="514"/>
    </row>
    <row r="118" spans="1:8">
      <c r="A118" s="427">
        <v>22</v>
      </c>
      <c r="B118" s="441" t="s">
        <v>569</v>
      </c>
      <c r="C118" s="443"/>
      <c r="D118" s="412"/>
      <c r="E118" s="412"/>
      <c r="F118" s="412"/>
      <c r="G118" s="434"/>
      <c r="H118" s="514"/>
    </row>
    <row r="119" spans="1:8">
      <c r="A119" s="427">
        <v>23</v>
      </c>
      <c r="B119" s="445" t="s">
        <v>570</v>
      </c>
      <c r="C119" s="471"/>
      <c r="D119" s="472"/>
      <c r="E119" s="472"/>
      <c r="F119" s="472"/>
      <c r="G119" s="472"/>
      <c r="H119" s="473"/>
    </row>
    <row r="120" spans="1:8">
      <c r="A120" s="427">
        <v>24</v>
      </c>
      <c r="B120" s="446" t="s">
        <v>571</v>
      </c>
      <c r="C120" s="472"/>
      <c r="D120" s="472"/>
      <c r="E120" s="472"/>
      <c r="F120" s="472"/>
      <c r="G120" s="472"/>
      <c r="H120" s="473"/>
    </row>
    <row r="121" spans="1:8" ht="14.25" thickBot="1">
      <c r="B121" s="515"/>
      <c r="C121" s="474"/>
      <c r="D121" s="475"/>
      <c r="E121" s="475"/>
      <c r="F121" s="475"/>
      <c r="G121" s="476"/>
      <c r="H121" s="516"/>
    </row>
    <row r="122" spans="1:8">
      <c r="B122" s="1244" t="str">
        <f>'4A - ADIT Summary'!$G$65</f>
        <v>PECO Energy Company</v>
      </c>
      <c r="C122" s="1245"/>
      <c r="D122" s="1245"/>
      <c r="E122" s="1245"/>
      <c r="F122" s="1245"/>
      <c r="G122" s="1245"/>
      <c r="H122" s="1245"/>
    </row>
    <row r="123" spans="1:8" ht="15.4">
      <c r="B123" s="410" t="s">
        <v>617</v>
      </c>
      <c r="C123" s="410"/>
      <c r="D123" s="410"/>
      <c r="E123" s="410"/>
      <c r="F123" s="410"/>
      <c r="G123" s="410"/>
      <c r="H123" s="504"/>
    </row>
    <row r="124" spans="1:8">
      <c r="B124" s="410"/>
      <c r="C124" s="517"/>
      <c r="D124" s="517"/>
      <c r="E124" s="517"/>
      <c r="F124" s="517"/>
      <c r="G124" s="517"/>
      <c r="H124" s="505"/>
    </row>
    <row r="125" spans="1:8">
      <c r="B125" s="517"/>
      <c r="C125" s="517"/>
      <c r="D125" s="517"/>
      <c r="E125" s="517"/>
      <c r="F125" s="517"/>
      <c r="G125" s="517"/>
      <c r="H125" s="484" t="s">
        <v>617</v>
      </c>
    </row>
    <row r="126" spans="1:8">
      <c r="B126" s="517"/>
      <c r="C126" s="517"/>
      <c r="D126" s="517"/>
      <c r="E126" s="517"/>
      <c r="F126" s="517"/>
      <c r="G126" s="517"/>
      <c r="H126" s="484" t="s">
        <v>582</v>
      </c>
    </row>
    <row r="127" spans="1:8">
      <c r="B127" s="432"/>
      <c r="C127" s="433"/>
      <c r="D127" s="412"/>
      <c r="E127" s="412"/>
      <c r="F127" s="412"/>
      <c r="G127" s="434"/>
      <c r="H127" s="512"/>
    </row>
    <row r="128" spans="1:8">
      <c r="B128" s="455" t="s">
        <v>58</v>
      </c>
      <c r="C128" s="416" t="s">
        <v>59</v>
      </c>
      <c r="D128" s="453" t="s">
        <v>60</v>
      </c>
      <c r="E128" s="453" t="s">
        <v>61</v>
      </c>
      <c r="F128" s="453" t="s">
        <v>62</v>
      </c>
      <c r="G128" s="453" t="s">
        <v>63</v>
      </c>
      <c r="H128" s="507" t="s">
        <v>64</v>
      </c>
    </row>
    <row r="129" spans="1:12">
      <c r="B129" s="418" t="s">
        <v>1347</v>
      </c>
      <c r="C129" s="417" t="s">
        <v>13</v>
      </c>
      <c r="D129" s="417" t="s">
        <v>504</v>
      </c>
      <c r="E129" s="411" t="s">
        <v>492</v>
      </c>
      <c r="F129" s="411"/>
      <c r="G129" s="411"/>
      <c r="H129" s="485"/>
    </row>
    <row r="130" spans="1:12">
      <c r="B130" s="410"/>
      <c r="C130" s="417"/>
      <c r="D130" s="417" t="s">
        <v>505</v>
      </c>
      <c r="E130" s="411" t="s">
        <v>17</v>
      </c>
      <c r="F130" s="411" t="s">
        <v>506</v>
      </c>
      <c r="G130" s="411" t="s">
        <v>459</v>
      </c>
      <c r="H130" s="485"/>
    </row>
    <row r="131" spans="1:12">
      <c r="B131" s="457"/>
      <c r="C131" s="458"/>
      <c r="D131" s="417" t="s">
        <v>467</v>
      </c>
      <c r="E131" s="411" t="s">
        <v>467</v>
      </c>
      <c r="F131" s="411" t="s">
        <v>467</v>
      </c>
      <c r="G131" s="411" t="s">
        <v>467</v>
      </c>
      <c r="H131" s="506" t="s">
        <v>507</v>
      </c>
    </row>
    <row r="132" spans="1:12">
      <c r="B132" s="457"/>
      <c r="C132" s="458"/>
      <c r="D132" s="412"/>
      <c r="E132" s="412"/>
      <c r="F132" s="412"/>
      <c r="G132" s="412"/>
      <c r="H132" s="472"/>
    </row>
    <row r="133" spans="1:12">
      <c r="B133" s="457"/>
      <c r="C133" s="458"/>
      <c r="D133" s="412"/>
      <c r="E133" s="412"/>
      <c r="F133" s="412"/>
      <c r="G133" s="412"/>
      <c r="H133" s="485"/>
    </row>
    <row r="134" spans="1:12">
      <c r="A134" s="408" t="s">
        <v>583</v>
      </c>
      <c r="B134" s="984" t="s">
        <v>1554</v>
      </c>
      <c r="C134" s="918">
        <v>-267714.61979692447</v>
      </c>
      <c r="D134" s="918">
        <v>0</v>
      </c>
      <c r="E134" s="918">
        <v>0</v>
      </c>
      <c r="F134" s="918">
        <v>0</v>
      </c>
      <c r="G134" s="918">
        <v>-267714.61979692447</v>
      </c>
      <c r="H134" s="983" t="s">
        <v>1811</v>
      </c>
    </row>
    <row r="135" spans="1:12">
      <c r="A135" s="408" t="s">
        <v>584</v>
      </c>
      <c r="B135" s="984" t="s">
        <v>1555</v>
      </c>
      <c r="C135" s="918">
        <v>-2354928.9081939813</v>
      </c>
      <c r="D135" s="918">
        <v>0</v>
      </c>
      <c r="E135" s="918">
        <v>0</v>
      </c>
      <c r="F135" s="918">
        <v>-2354928.9081939813</v>
      </c>
      <c r="G135" s="918">
        <v>0</v>
      </c>
      <c r="H135" s="983" t="s">
        <v>1811</v>
      </c>
      <c r="L135" s="495"/>
    </row>
    <row r="136" spans="1:12">
      <c r="A136" s="408" t="s">
        <v>585</v>
      </c>
      <c r="B136" s="984" t="s">
        <v>1547</v>
      </c>
      <c r="C136" s="918">
        <v>-12748689.875870131</v>
      </c>
      <c r="D136" s="918">
        <v>-12748689.875870131</v>
      </c>
      <c r="E136" s="918">
        <v>0</v>
      </c>
      <c r="F136" s="918">
        <v>0</v>
      </c>
      <c r="G136" s="918">
        <v>0</v>
      </c>
      <c r="H136" s="983" t="s">
        <v>1812</v>
      </c>
      <c r="L136" s="495"/>
    </row>
    <row r="137" spans="1:12">
      <c r="A137" s="427" t="s">
        <v>586</v>
      </c>
      <c r="B137" s="984" t="s">
        <v>1556</v>
      </c>
      <c r="C137" s="918">
        <v>-5357037.0647758543</v>
      </c>
      <c r="D137" s="918">
        <v>0</v>
      </c>
      <c r="E137" s="918">
        <v>0</v>
      </c>
      <c r="F137" s="918">
        <v>-5357037.0647758543</v>
      </c>
      <c r="G137" s="918">
        <v>0</v>
      </c>
      <c r="H137" s="983" t="s">
        <v>1811</v>
      </c>
    </row>
    <row r="138" spans="1:12">
      <c r="A138" s="427" t="s">
        <v>587</v>
      </c>
      <c r="B138" s="984" t="s">
        <v>1557</v>
      </c>
      <c r="C138" s="918">
        <v>-123479936.90945654</v>
      </c>
      <c r="D138" s="918">
        <v>-123479936.90945654</v>
      </c>
      <c r="E138" s="918">
        <v>0</v>
      </c>
      <c r="F138" s="918">
        <v>0</v>
      </c>
      <c r="G138" s="918">
        <v>0</v>
      </c>
      <c r="H138" s="983" t="s">
        <v>1812</v>
      </c>
    </row>
    <row r="139" spans="1:12">
      <c r="A139" s="427" t="s">
        <v>588</v>
      </c>
      <c r="B139" s="984" t="s">
        <v>1553</v>
      </c>
      <c r="C139" s="918">
        <v>-150386.78763027981</v>
      </c>
      <c r="D139" s="918">
        <v>0</v>
      </c>
      <c r="E139" s="918">
        <v>0</v>
      </c>
      <c r="F139" s="918">
        <v>-150386.78763027981</v>
      </c>
      <c r="G139" s="918">
        <v>0</v>
      </c>
      <c r="H139" s="983" t="s">
        <v>1811</v>
      </c>
    </row>
    <row r="140" spans="1:12" ht="14.25" customHeight="1">
      <c r="A140" s="427" t="s">
        <v>589</v>
      </c>
      <c r="B140" s="984" t="s">
        <v>1638</v>
      </c>
      <c r="C140" s="918">
        <v>-93919950.465220004</v>
      </c>
      <c r="D140" s="918">
        <v>0</v>
      </c>
      <c r="E140" s="918">
        <v>0</v>
      </c>
      <c r="F140" s="918">
        <v>0</v>
      </c>
      <c r="G140" s="918">
        <v>-93919950.465220004</v>
      </c>
      <c r="H140" s="983" t="s">
        <v>1811</v>
      </c>
    </row>
    <row r="141" spans="1:12">
      <c r="A141" s="427" t="s">
        <v>590</v>
      </c>
      <c r="B141" s="984" t="s">
        <v>1551</v>
      </c>
      <c r="C141" s="918">
        <v>-4344008.2739785798</v>
      </c>
      <c r="D141" s="918">
        <v>-4344008.2739785798</v>
      </c>
      <c r="E141" s="918">
        <v>0</v>
      </c>
      <c r="F141" s="918">
        <v>0</v>
      </c>
      <c r="G141" s="918">
        <v>0</v>
      </c>
      <c r="H141" s="983" t="s">
        <v>1812</v>
      </c>
    </row>
    <row r="142" spans="1:12">
      <c r="A142" s="427" t="s">
        <v>591</v>
      </c>
      <c r="B142" s="984" t="s">
        <v>1548</v>
      </c>
      <c r="C142" s="918">
        <v>3656832.1215524194</v>
      </c>
      <c r="D142" s="918">
        <v>3656832.1215524194</v>
      </c>
      <c r="E142" s="918">
        <v>0</v>
      </c>
      <c r="F142" s="918">
        <v>0</v>
      </c>
      <c r="G142" s="918">
        <v>0</v>
      </c>
      <c r="H142" s="983" t="s">
        <v>1812</v>
      </c>
    </row>
    <row r="143" spans="1:12">
      <c r="A143" s="427" t="s">
        <v>592</v>
      </c>
      <c r="B143" s="984" t="s">
        <v>1549</v>
      </c>
      <c r="C143" s="918">
        <v>-494228.09560834005</v>
      </c>
      <c r="D143" s="918">
        <v>-494228.09560834005</v>
      </c>
      <c r="E143" s="918">
        <v>0</v>
      </c>
      <c r="F143" s="918">
        <v>0</v>
      </c>
      <c r="G143" s="918">
        <v>0</v>
      </c>
      <c r="H143" s="1088" t="s">
        <v>1812</v>
      </c>
    </row>
    <row r="144" spans="1:12">
      <c r="A144" s="427" t="s">
        <v>593</v>
      </c>
      <c r="B144" s="984" t="s">
        <v>1550</v>
      </c>
      <c r="C144" s="918">
        <v>-221364.52713138994</v>
      </c>
      <c r="D144" s="918">
        <v>-221364.52713138994</v>
      </c>
      <c r="E144" s="918">
        <v>0</v>
      </c>
      <c r="F144" s="918">
        <v>0</v>
      </c>
      <c r="G144" s="918">
        <v>0</v>
      </c>
      <c r="H144" s="1088" t="s">
        <v>1812</v>
      </c>
    </row>
    <row r="145" spans="1:8">
      <c r="A145" s="427" t="s">
        <v>594</v>
      </c>
      <c r="B145" s="984" t="s">
        <v>1552</v>
      </c>
      <c r="C145" s="918">
        <v>-14848513.700642182</v>
      </c>
      <c r="D145" s="918">
        <v>-14848513.700642182</v>
      </c>
      <c r="E145" s="918">
        <v>0</v>
      </c>
      <c r="F145" s="918">
        <v>0</v>
      </c>
      <c r="G145" s="918">
        <v>0</v>
      </c>
      <c r="H145" s="1088" t="s">
        <v>1812</v>
      </c>
    </row>
    <row r="146" spans="1:8">
      <c r="A146" s="427" t="s">
        <v>595</v>
      </c>
      <c r="B146" s="984"/>
      <c r="C146" s="918"/>
      <c r="D146" s="918"/>
      <c r="E146" s="918"/>
      <c r="F146" s="918"/>
      <c r="G146" s="918"/>
      <c r="H146" s="1088"/>
    </row>
    <row r="147" spans="1:8">
      <c r="A147" s="427" t="s">
        <v>596</v>
      </c>
      <c r="B147" s="984"/>
      <c r="C147" s="918"/>
      <c r="D147" s="918"/>
      <c r="E147" s="918"/>
      <c r="F147" s="918"/>
      <c r="G147" s="918"/>
      <c r="H147" s="1088"/>
    </row>
    <row r="148" spans="1:8">
      <c r="A148" s="427" t="s">
        <v>597</v>
      </c>
      <c r="B148" s="984"/>
      <c r="C148" s="918"/>
      <c r="D148" s="918"/>
      <c r="E148" s="918"/>
      <c r="F148" s="918"/>
      <c r="G148" s="918"/>
      <c r="H148" s="1088"/>
    </row>
    <row r="149" spans="1:8" ht="28.5" customHeight="1">
      <c r="A149" s="427" t="s">
        <v>598</v>
      </c>
      <c r="B149" s="984"/>
      <c r="C149" s="918"/>
      <c r="D149" s="918"/>
      <c r="E149" s="918"/>
      <c r="F149" s="918"/>
      <c r="G149" s="918"/>
      <c r="H149" s="1088"/>
    </row>
    <row r="150" spans="1:8">
      <c r="A150" s="427" t="s">
        <v>599</v>
      </c>
      <c r="B150" s="988"/>
      <c r="C150" s="918"/>
      <c r="D150" s="918"/>
      <c r="E150" s="918"/>
      <c r="F150" s="918"/>
      <c r="G150" s="918"/>
      <c r="H150" s="987"/>
    </row>
    <row r="151" spans="1:8" ht="27.75" customHeight="1">
      <c r="A151" s="427" t="s">
        <v>600</v>
      </c>
      <c r="B151" s="988"/>
      <c r="C151" s="918"/>
      <c r="D151" s="918"/>
      <c r="E151" s="918"/>
      <c r="F151" s="918"/>
      <c r="G151" s="918"/>
      <c r="H151" s="987"/>
    </row>
    <row r="152" spans="1:8" ht="14.25">
      <c r="A152" s="427" t="s">
        <v>601</v>
      </c>
      <c r="B152" s="937"/>
      <c r="C152" s="918"/>
      <c r="D152" s="918"/>
      <c r="E152" s="918"/>
      <c r="F152" s="918"/>
      <c r="G152" s="918"/>
      <c r="H152" s="925"/>
    </row>
    <row r="153" spans="1:8" ht="14.25">
      <c r="A153" s="427" t="s">
        <v>602</v>
      </c>
      <c r="B153" s="937"/>
      <c r="C153" s="918"/>
      <c r="D153" s="918"/>
      <c r="E153" s="918"/>
      <c r="F153" s="918"/>
      <c r="G153" s="918"/>
      <c r="H153" s="925"/>
    </row>
    <row r="154" spans="1:8" ht="14.25">
      <c r="A154" s="427" t="s">
        <v>603</v>
      </c>
      <c r="B154" s="937"/>
      <c r="C154" s="918"/>
      <c r="D154" s="918"/>
      <c r="E154" s="918"/>
      <c r="F154" s="918"/>
      <c r="G154" s="918"/>
      <c r="H154" s="925"/>
    </row>
    <row r="155" spans="1:8" ht="14.25">
      <c r="A155" s="427" t="s">
        <v>604</v>
      </c>
      <c r="B155" s="937"/>
      <c r="C155" s="918"/>
      <c r="D155" s="918"/>
      <c r="E155" s="918"/>
      <c r="F155" s="918"/>
      <c r="G155" s="918"/>
      <c r="H155" s="925"/>
    </row>
    <row r="156" spans="1:8" ht="14.25">
      <c r="A156" s="427" t="s">
        <v>605</v>
      </c>
      <c r="B156" s="937"/>
      <c r="C156" s="918"/>
      <c r="D156" s="918"/>
      <c r="E156" s="918"/>
      <c r="F156" s="918"/>
      <c r="G156" s="918"/>
      <c r="H156" s="925"/>
    </row>
    <row r="157" spans="1:8" ht="14.25">
      <c r="A157" s="427" t="s">
        <v>606</v>
      </c>
      <c r="B157" s="937"/>
      <c r="C157" s="918"/>
      <c r="D157" s="918"/>
      <c r="E157" s="918"/>
      <c r="F157" s="918"/>
      <c r="G157" s="918"/>
      <c r="H157" s="925"/>
    </row>
    <row r="158" spans="1:8" ht="14.25">
      <c r="A158" s="427" t="s">
        <v>607</v>
      </c>
      <c r="B158" s="937"/>
      <c r="C158" s="918"/>
      <c r="D158" s="918"/>
      <c r="E158" s="918"/>
      <c r="F158" s="918"/>
      <c r="G158" s="918"/>
      <c r="H158" s="925"/>
    </row>
    <row r="159" spans="1:8" ht="14.25">
      <c r="A159" s="427" t="s">
        <v>608</v>
      </c>
      <c r="B159" s="937"/>
      <c r="C159" s="918"/>
      <c r="D159" s="918"/>
      <c r="E159" s="918"/>
      <c r="F159" s="918"/>
      <c r="G159" s="918"/>
      <c r="H159" s="925"/>
    </row>
    <row r="160" spans="1:8" ht="14.25">
      <c r="A160" s="427" t="s">
        <v>609</v>
      </c>
      <c r="B160" s="937"/>
      <c r="C160" s="918"/>
      <c r="D160" s="918"/>
      <c r="E160" s="918"/>
      <c r="F160" s="918"/>
      <c r="G160" s="918"/>
      <c r="H160" s="938"/>
    </row>
    <row r="161" spans="1:10">
      <c r="A161" s="427" t="s">
        <v>610</v>
      </c>
      <c r="B161" s="929"/>
      <c r="C161" s="918"/>
      <c r="D161" s="918"/>
      <c r="E161" s="918"/>
      <c r="F161" s="918"/>
      <c r="G161" s="918"/>
      <c r="H161" s="925"/>
    </row>
    <row r="162" spans="1:10">
      <c r="A162" s="427" t="s">
        <v>611</v>
      </c>
      <c r="B162" s="929"/>
      <c r="C162" s="918"/>
      <c r="D162" s="918"/>
      <c r="E162" s="918"/>
      <c r="F162" s="918"/>
      <c r="G162" s="918"/>
      <c r="H162" s="939"/>
    </row>
    <row r="163" spans="1:10">
      <c r="A163" s="427" t="s">
        <v>612</v>
      </c>
      <c r="B163" s="929"/>
      <c r="C163" s="918"/>
      <c r="D163" s="918"/>
      <c r="E163" s="918"/>
      <c r="F163" s="918"/>
      <c r="G163" s="918"/>
      <c r="H163" s="925"/>
    </row>
    <row r="164" spans="1:10">
      <c r="A164" s="427" t="s">
        <v>613</v>
      </c>
      <c r="B164" s="931"/>
      <c r="C164" s="918"/>
      <c r="D164" s="918"/>
      <c r="E164" s="918"/>
      <c r="F164" s="918"/>
      <c r="G164" s="918"/>
      <c r="H164" s="940"/>
    </row>
    <row r="165" spans="1:10">
      <c r="A165" s="408" t="s">
        <v>614</v>
      </c>
      <c r="B165" s="927"/>
      <c r="C165" s="918"/>
      <c r="D165" s="918"/>
      <c r="E165" s="918"/>
      <c r="F165" s="918"/>
      <c r="G165" s="918"/>
      <c r="H165" s="941"/>
    </row>
    <row r="166" spans="1:10">
      <c r="A166" s="408" t="s">
        <v>615</v>
      </c>
      <c r="B166" s="927"/>
      <c r="C166" s="918"/>
      <c r="D166" s="918"/>
      <c r="E166" s="918"/>
      <c r="F166" s="918"/>
      <c r="G166" s="918"/>
      <c r="H166" s="940"/>
    </row>
    <row r="167" spans="1:10">
      <c r="A167" s="427" t="s">
        <v>615</v>
      </c>
      <c r="B167" s="927"/>
      <c r="C167" s="918"/>
      <c r="D167" s="918"/>
      <c r="E167" s="918"/>
      <c r="F167" s="918"/>
      <c r="G167" s="918"/>
      <c r="H167" s="938"/>
    </row>
    <row r="168" spans="1:10">
      <c r="A168" s="408">
        <v>26</v>
      </c>
      <c r="B168" s="428" t="s">
        <v>978</v>
      </c>
      <c r="C168" s="518">
        <f>SUM(C134:C167)</f>
        <v>-254529927.1067518</v>
      </c>
      <c r="D168" s="518">
        <f>SUM(D134:D167)</f>
        <v>-152479909.26113474</v>
      </c>
      <c r="E168" s="518">
        <f>SUM(E131:E167)</f>
        <v>0</v>
      </c>
      <c r="F168" s="518">
        <f>SUM(F131:F167)</f>
        <v>-7862352.7606001152</v>
      </c>
      <c r="G168" s="518">
        <f>SUM(G131:G167)</f>
        <v>-94187665.085016936</v>
      </c>
      <c r="H168" s="519"/>
      <c r="J168" s="431"/>
    </row>
    <row r="169" spans="1:10">
      <c r="A169" s="408">
        <v>27</v>
      </c>
      <c r="B169" s="428" t="s">
        <v>563</v>
      </c>
      <c r="C169" s="928">
        <v>-123479936.90945654</v>
      </c>
      <c r="D169" s="928">
        <v>-123479936.90945654</v>
      </c>
      <c r="E169" s="928">
        <v>0</v>
      </c>
      <c r="F169" s="928">
        <v>0</v>
      </c>
      <c r="G169" s="928">
        <v>0</v>
      </c>
      <c r="H169" s="523"/>
    </row>
    <row r="170" spans="1:10">
      <c r="A170" s="408">
        <v>28</v>
      </c>
      <c r="B170" s="428" t="s">
        <v>564</v>
      </c>
      <c r="C170" s="928">
        <v>0</v>
      </c>
      <c r="D170" s="928">
        <v>0</v>
      </c>
      <c r="E170" s="928">
        <v>0</v>
      </c>
      <c r="F170" s="942">
        <v>0</v>
      </c>
      <c r="G170" s="942">
        <v>0</v>
      </c>
      <c r="H170" s="938"/>
    </row>
    <row r="171" spans="1:10">
      <c r="A171" s="427">
        <v>29</v>
      </c>
      <c r="B171" s="428" t="s">
        <v>13</v>
      </c>
      <c r="C171" s="518">
        <f>C168-C169-C170</f>
        <v>-131049990.19729526</v>
      </c>
      <c r="D171" s="518">
        <f>+D168-D169-D170</f>
        <v>-28999972.351678208</v>
      </c>
      <c r="E171" s="518">
        <f>+E168-E169-E170</f>
        <v>0</v>
      </c>
      <c r="F171" s="518">
        <f>+F168-F169-F170</f>
        <v>-7862352.7606001152</v>
      </c>
      <c r="G171" s="518">
        <f>+G168-G169-G170</f>
        <v>-94187665.085016936</v>
      </c>
      <c r="H171" s="519"/>
    </row>
    <row r="172" spans="1:10" ht="14.25" thickBot="1">
      <c r="A172" s="427"/>
      <c r="B172" s="432"/>
      <c r="C172" s="481"/>
      <c r="D172" s="481"/>
      <c r="E172" s="481"/>
      <c r="F172" s="481"/>
      <c r="G172" s="481"/>
      <c r="H172" s="520"/>
    </row>
    <row r="173" spans="1:10">
      <c r="A173" s="427">
        <v>30</v>
      </c>
      <c r="B173" s="463" t="s">
        <v>616</v>
      </c>
    </row>
    <row r="174" spans="1:10">
      <c r="A174" s="427">
        <v>31</v>
      </c>
      <c r="B174" s="441" t="s">
        <v>566</v>
      </c>
    </row>
    <row r="175" spans="1:10">
      <c r="A175" s="427">
        <v>32</v>
      </c>
      <c r="B175" s="441" t="s">
        <v>567</v>
      </c>
      <c r="C175" s="403"/>
    </row>
    <row r="176" spans="1:10">
      <c r="A176" s="427">
        <v>33</v>
      </c>
      <c r="B176" s="441" t="s">
        <v>568</v>
      </c>
    </row>
    <row r="177" spans="1:2">
      <c r="A177" s="427">
        <v>34</v>
      </c>
      <c r="B177" s="441" t="s">
        <v>569</v>
      </c>
    </row>
    <row r="178" spans="1:2">
      <c r="A178" s="427">
        <v>35</v>
      </c>
      <c r="B178" s="445" t="s">
        <v>570</v>
      </c>
    </row>
    <row r="179" spans="1:2">
      <c r="A179" s="427">
        <v>36</v>
      </c>
      <c r="B179" s="446" t="s">
        <v>571</v>
      </c>
    </row>
    <row r="180" spans="1:2">
      <c r="A180" s="427"/>
    </row>
  </sheetData>
  <sheetProtection algorithmName="SHA-512" hashValue="PHljGuCj6sz3aPPmgn8phpIFqMNS1wMoebsSuyqn39GYpQCwm/18m7DQQcTuTuGCywdo1WKwJp4q+hYDhvsgPA==" saltValue="Cmcqe+RGS160wKuGnlvnZQ=="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7:G168 C108:G108 C60:G7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3ac9e2-84ba-4962-b6c0-c4d6f37de121">
      <Terms xmlns="http://schemas.microsoft.com/office/infopath/2007/PartnerControls"/>
    </lcf76f155ced4ddcb4097134ff3c332f>
    <TaxCatchAll xmlns="a57c4e00-b008-428b-b72f-69343aa79ee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1D6BC5476EFA4CA07C8918A54246F5" ma:contentTypeVersion="13" ma:contentTypeDescription="Create a new document." ma:contentTypeScope="" ma:versionID="23c0ecd171a77b5554459d8aa6f2c070">
  <xsd:schema xmlns:xsd="http://www.w3.org/2001/XMLSchema" xmlns:xs="http://www.w3.org/2001/XMLSchema" xmlns:p="http://schemas.microsoft.com/office/2006/metadata/properties" xmlns:ns2="a57c4e00-b008-428b-b72f-69343aa79ee7" xmlns:ns3="6b3ac9e2-84ba-4962-b6c0-c4d6f37de121" targetNamespace="http://schemas.microsoft.com/office/2006/metadata/properties" ma:root="true" ma:fieldsID="0f1626c83f6fccc8c94600b5ca54792c" ns2:_="" ns3:_="">
    <xsd:import namespace="a57c4e00-b008-428b-b72f-69343aa79ee7"/>
    <xsd:import namespace="6b3ac9e2-84ba-4962-b6c0-c4d6f37de1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c4e00-b008-428b-b72f-69343aa79e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9bd2c4a-4d9e-4bbd-ba44-5bfcec17973d}" ma:internalName="TaxCatchAll" ma:showField="CatchAllData" ma:web="a57c4e00-b008-428b-b72f-69343aa79e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3ac9e2-84ba-4962-b6c0-c4d6f37de1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DBC8E-E135-4F5E-ADEE-BD14D77AAFE6}">
  <ds:schemaRefs>
    <ds:schemaRef ds:uri="http://purl.org/dc/dcmitype/"/>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585FB68C-58F6-4A60-9CF1-E57783E2E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9A - ADIT Remeasurement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Jamison, Tamara J:(PECO)</cp:lastModifiedBy>
  <cp:lastPrinted>2019-05-29T17:23:09Z</cp:lastPrinted>
  <dcterms:created xsi:type="dcterms:W3CDTF">2019-04-12T17:49:11Z</dcterms:created>
  <dcterms:modified xsi:type="dcterms:W3CDTF">2025-05-29T12:03:49Z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2022-04-13T12:45:27Z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ffaea5c9-6a00-4097-824d-2b1eeb00e18d</vt:lpwstr>
  </property>
  <property fmtid="{D5CDD505-2E9C-101B-9397-08002B2CF9AE}" pid="8" name="MSIP_Label_c968b3d1-e05f-4796-9c23-acaf26d588cb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0x010100EE1D6BC5476EFA4CA07C8918A54246F5</vt:lpwstr>
  </property>
</Properties>
</file>