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emf" ContentType="image/x-emf"/>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comments12.xml" ContentType="application/vnd.openxmlformats-officedocument.spreadsheetml.comments+xml"/>
  <Default Extension="vml" ContentType="application/vnd.openxmlformats-officedocument.vmlDrawing"/>
  <Override PartName="/xl/worksheets/sheet12.xml" ContentType="application/vnd.openxmlformats-officedocument.spreadsheetml.worksheet+xml"/>
  <Override PartName="/xl/comments13.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worksheets/sheet1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526"/>
  <workbookPr codeName="ThisWorkbook"/>
  <bookViews>
    <workbookView xWindow="-108" yWindow="-108" windowWidth="23256" windowHeight="13896" tabRatio="927" activeTab="0"/>
  </bookViews>
  <sheets>
    <sheet name="Appendix A" sheetId="1" r:id="rId3"/>
    <sheet name="ATT 1-ADIT" sheetId="12" r:id="rId4"/>
    <sheet name="ATT 1.1- Excess_Def ADIT" sheetId="25" r:id="rId5"/>
    <sheet name="Att 1.2 - Exc_Def WP" sheetId="26" r:id="rId6"/>
    <sheet name="ATT 2 - Other Taxes" sheetId="3" r:id="rId7"/>
    <sheet name="3 - Revenue Credits" sheetId="5" r:id="rId8"/>
    <sheet name="4 - Incentive ROE Adj" sheetId="6" r:id="rId9"/>
    <sheet name="5 - Cost Support" sheetId="7" r:id="rId10"/>
    <sheet name="5a- Precommercial Costs" sheetId="14" r:id="rId11"/>
    <sheet name="6- Est &amp; Reconcile WS" sheetId="9" r:id="rId12"/>
    <sheet name="7 - Cap Add WS" sheetId="13" r:id="rId13"/>
    <sheet name="Attachment 8, Page 1" sheetId="24" r:id="rId14"/>
    <sheet name="Attachment 8, page 2" sheetId="22" r:id="rId15"/>
  </sheets>
  <definedNames>
    <definedName name="_ftn1" localSheetId="8">'5a- Precommercial Costs'!#REF!</definedName>
    <definedName name="_ftn2" localSheetId="8">'5a- Precommercial Costs'!#REF!</definedName>
    <definedName name="_ftnref1" localSheetId="8">'5a- Precommercial Costs'!#REF!</definedName>
    <definedName name="_p.choice">#REF!</definedName>
    <definedName name="AA.print">#REF!</definedName>
    <definedName name="AB.print">#REF!</definedName>
    <definedName name="AO.print">#REF!</definedName>
    <definedName name="AV.FM.1..adjusted..print">#REF!</definedName>
    <definedName name="AV.FM.1.print">#REF!</definedName>
    <definedName name="BA.print">#REF!</definedName>
    <definedName name="BB.print">#REF!</definedName>
    <definedName name="BG.print">#REF!</definedName>
    <definedName name="BK..FM1.Adjusted..print">#REF!</definedName>
    <definedName name="BK..FM1.ROR..print">#REF!</definedName>
    <definedName name="Levelized..FM1.ROR..print">#REF!</definedName>
    <definedName name="Print.selection.print">#REF!</definedName>
    <definedName name="_xlnm.Print_Area" localSheetId="5">'3 - Revenue Credits'!$A$1:$E$46</definedName>
    <definedName name="_xlnm.Print_Area" localSheetId="7">'5 - Cost Support'!$A$1:$BN$21,'5 - Cost Support'!$A$22:$G$67,'5 - Cost Support'!$A$68:$BN$87,'5 - Cost Support'!$A$88:$G$132,'5 - Cost Support'!$A$133:$S$246,'5 - Cost Support'!$A$247:$BQ$275,'5 - Cost Support'!$A$276:$S$327</definedName>
    <definedName name="_xlnm.Print_Area" localSheetId="8">'5a- Precommercial Costs'!$A$1:$R$74</definedName>
    <definedName name="_xlnm.Print_Area" localSheetId="9">'6- Est &amp; Reconcile WS'!$A$1:$V$441</definedName>
    <definedName name="_xlnm.Print_Area" localSheetId="10">'7 - Cap Add WS'!$A$1:$JD$41</definedName>
    <definedName name="_xlnm.Print_Area" localSheetId="0">'Appendix A'!$A$1:$H$307</definedName>
    <definedName name="_xlnm.Print_Area" localSheetId="1">'ATT 1-ADIT'!$A$1:$M$187</definedName>
    <definedName name="_xlnm.Print_Area" localSheetId="4">'ATT 2 - Other Taxes'!$A$1:$H$86</definedName>
    <definedName name="_xlnm.Print_Area" localSheetId="11">'Attachment 8, Page 1'!$A$1:$AA$57</definedName>
    <definedName name="_xlnm.Print_Area" localSheetId="12">'Attachment 8, page 2'!$A$1:$M$238</definedName>
    <definedName name="_xlnm.Print_Titles" localSheetId="7">'5 - Cost Support'!$1:$3</definedName>
    <definedName name="_xlnm.Print_Titles" localSheetId="10">'7 - Cap Add WS'!$A:$B</definedName>
    <definedName name="_xlnm.Print_Titles" localSheetId="12">'Attachment 8, page 2'!$1:$39</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10" hidden="1">'7 - Cap Add WS'!$N:$Q</definedName>
    <definedName name="Z_28948E05_8F34_4F1E_96FB_A80A6A844600_.wvu.Cols" localSheetId="1" hidden="1">'ATT 1-ADIT'!$G:$G</definedName>
    <definedName name="Z_28948E05_8F34_4F1E_96FB_A80A6A844600_.wvu.PrintArea" localSheetId="5" hidden="1">'3 - Revenue Credits'!$A$1:$D$53</definedName>
    <definedName name="Z_28948E05_8F34_4F1E_96FB_A80A6A844600_.wvu.PrintArea" localSheetId="0" hidden="1">'Appendix A'!$A$1:$H$311</definedName>
    <definedName name="Z_28948E05_8F34_4F1E_96FB_A80A6A844600_.wvu.PrintArea" localSheetId="1" hidden="1">'ATT 1-ADIT'!$B$1:$K$100</definedName>
    <definedName name="Z_28948E05_8F34_4F1E_96FB_A80A6A844600_.wvu.PrintTitles" localSheetId="7" hidden="1">'5 - Cost Support'!$1:$3</definedName>
    <definedName name="Z_28948E05_8F34_4F1E_96FB_A80A6A844600_.wvu.PrintTitles" localSheetId="10" hidden="1">'7 - Cap Add WS'!$C:$D</definedName>
    <definedName name="Z_28948E05_8F34_4F1E_96FB_A80A6A844600_.wvu.Rows" localSheetId="6" hidden="1">'4 - Incentive ROE Adj'!#REF!,'4 - Incentive ROE Adj'!#REF!</definedName>
    <definedName name="Z_28948E05_8F34_4F1E_96FB_A80A6A844600_.wvu.Rows" localSheetId="7" hidden="1">'5 - Cost Support'!$146:$147</definedName>
    <definedName name="Z_28948E05_8F34_4F1E_96FB_A80A6A844600_.wvu.Rows" localSheetId="0" hidden="1">'Appendix A'!#REF!</definedName>
    <definedName name="Z_3A38DF7A_C35E_4DD3_9893_26310A3EF836_.wvu.Cols" localSheetId="10" hidden="1">'7 - Cap Add WS'!$N:$Q</definedName>
    <definedName name="Z_3A38DF7A_C35E_4DD3_9893_26310A3EF836_.wvu.PrintArea" localSheetId="5" hidden="1">'3 - Revenue Credits'!$A$1:$D$53</definedName>
    <definedName name="Z_3A38DF7A_C35E_4DD3_9893_26310A3EF836_.wvu.PrintArea" localSheetId="0" hidden="1">'Appendix A'!$A$1:$H$311</definedName>
    <definedName name="Z_3A38DF7A_C35E_4DD3_9893_26310A3EF836_.wvu.PrintTitles" localSheetId="7" hidden="1">'5 - Cost Support'!$1:$3</definedName>
    <definedName name="Z_3A38DF7A_C35E_4DD3_9893_26310A3EF836_.wvu.PrintTitles" localSheetId="10" hidden="1">'7 - Cap Add WS'!$C:$D</definedName>
    <definedName name="Z_3A38DF7A_C35E_4DD3_9893_26310A3EF836_.wvu.Rows" localSheetId="6" hidden="1">'4 - Incentive ROE Adj'!#REF!</definedName>
    <definedName name="Z_3A38DF7A_C35E_4DD3_9893_26310A3EF836_.wvu.Rows" localSheetId="7" hidden="1">'5 - Cost Support'!$146:$147</definedName>
    <definedName name="Z_4C7C2344_134C_465A_ADEB_A5E96AAE2308_.wvu.Cols" localSheetId="10" hidden="1">'7 - Cap Add WS'!$N:$Q</definedName>
    <definedName name="Z_4C7C2344_134C_465A_ADEB_A5E96AAE2308_.wvu.PrintArea" localSheetId="5" hidden="1">'3 - Revenue Credits'!$A$1:$D$53</definedName>
    <definedName name="Z_4C7C2344_134C_465A_ADEB_A5E96AAE2308_.wvu.PrintArea" localSheetId="0" hidden="1">'Appendix A'!$A$1:$H$311</definedName>
    <definedName name="Z_4C7C2344_134C_465A_ADEB_A5E96AAE2308_.wvu.PrintTitles" localSheetId="7" hidden="1">'5 - Cost Support'!$1:$3</definedName>
    <definedName name="Z_4C7C2344_134C_465A_ADEB_A5E96AAE2308_.wvu.PrintTitles" localSheetId="10" hidden="1">'7 - Cap Add WS'!$C:$D</definedName>
    <definedName name="Z_4C7C2344_134C_465A_ADEB_A5E96AAE2308_.wvu.Rows" localSheetId="6" hidden="1">'4 - Incentive ROE Adj'!#REF!</definedName>
    <definedName name="Z_4C7C2344_134C_465A_ADEB_A5E96AAE2308_.wvu.Rows" localSheetId="7" hidden="1">'5 - Cost Support'!$146:$147</definedName>
    <definedName name="Z_63011E91_4609_4523_98FE_FD252E915668_.wvu.Cols" localSheetId="1" hidden="1">'ATT 1-ADIT'!$G:$G</definedName>
    <definedName name="Z_63011E91_4609_4523_98FE_FD252E915668_.wvu.PrintArea" localSheetId="1" hidden="1">'ATT 1-ADIT'!$B$1:$K$100</definedName>
    <definedName name="Z_6928E596_79BD_4CEC_9F0D_07E62D69B2A5_.wvu.Cols" localSheetId="1" hidden="1">'ATT 1-ADIT'!$G:$G</definedName>
    <definedName name="Z_6928E596_79BD_4CEC_9F0D_07E62D69B2A5_.wvu.PrintArea" localSheetId="1" hidden="1">'ATT 1-ADIT'!$B$1:$K$100</definedName>
    <definedName name="Z_71B42B22_A376_44B5_B0C1_23FC1AA3DBA2_.wvu.Cols" localSheetId="10" hidden="1">'7 - Cap Add WS'!$N:$Q</definedName>
    <definedName name="Z_71B42B22_A376_44B5_B0C1_23FC1AA3DBA2_.wvu.Cols" localSheetId="1" hidden="1">'ATT 1-ADIT'!$G:$G</definedName>
    <definedName name="Z_71B42B22_A376_44B5_B0C1_23FC1AA3DBA2_.wvu.PrintArea" localSheetId="5" hidden="1">'3 - Revenue Credits'!$A$1:$D$53</definedName>
    <definedName name="Z_71B42B22_A376_44B5_B0C1_23FC1AA3DBA2_.wvu.PrintArea" localSheetId="0" hidden="1">'Appendix A'!$A$1:$H$311</definedName>
    <definedName name="Z_71B42B22_A376_44B5_B0C1_23FC1AA3DBA2_.wvu.PrintArea" localSheetId="1" hidden="1">'ATT 1-ADIT'!$B$1:$K$100</definedName>
    <definedName name="Z_71B42B22_A376_44B5_B0C1_23FC1AA3DBA2_.wvu.PrintTitles" localSheetId="7" hidden="1">'5 - Cost Support'!$1:$3</definedName>
    <definedName name="Z_71B42B22_A376_44B5_B0C1_23FC1AA3DBA2_.wvu.PrintTitles" localSheetId="10" hidden="1">'7 - Cap Add WS'!$C:$D</definedName>
    <definedName name="Z_71B42B22_A376_44B5_B0C1_23FC1AA3DBA2_.wvu.Rows" localSheetId="6" hidden="1">'4 - Incentive ROE Adj'!#REF!,'4 - Incentive ROE Adj'!#REF!</definedName>
    <definedName name="Z_71B42B22_A376_44B5_B0C1_23FC1AA3DBA2_.wvu.Rows" localSheetId="7" hidden="1">'5 - Cost Support'!$146:$147</definedName>
    <definedName name="Z_71B42B22_A376_44B5_B0C1_23FC1AA3DBA2_.wvu.Rows" localSheetId="0" hidden="1">'Appendix A'!#REF!</definedName>
    <definedName name="Z_8FBB4DC9_2D51_4AB9_80D8_F8474B404C29_.wvu.Cols" localSheetId="1" hidden="1">'ATT 1-ADIT'!$G:$G</definedName>
    <definedName name="Z_8FBB4DC9_2D51_4AB9_80D8_F8474B404C29_.wvu.PrintArea" localSheetId="1" hidden="1">'ATT 1-ADIT'!$B$1:$K$100</definedName>
    <definedName name="Z_B647CB7F_C846_4278_B6B1_1EF7F3C004F5_.wvu.Cols" localSheetId="1" hidden="1">'ATT 1-ADIT'!$G:$G</definedName>
    <definedName name="Z_B647CB7F_C846_4278_B6B1_1EF7F3C004F5_.wvu.PrintArea" localSheetId="1" hidden="1">'ATT 1-ADIT'!$B$1:$K$100</definedName>
    <definedName name="Z_DA967730_B71F_4038_B1B7_9D4790729C5D_.wvu.Cols" localSheetId="10" hidden="1">'7 - Cap Add WS'!$N:$Q</definedName>
    <definedName name="Z_DA967730_B71F_4038_B1B7_9D4790729C5D_.wvu.PrintArea" localSheetId="5" hidden="1">'3 - Revenue Credits'!$A$1:$D$53</definedName>
    <definedName name="Z_DA967730_B71F_4038_B1B7_9D4790729C5D_.wvu.PrintArea" localSheetId="0" hidden="1">'Appendix A'!$A$1:$H$311</definedName>
    <definedName name="Z_DA967730_B71F_4038_B1B7_9D4790729C5D_.wvu.PrintTitles" localSheetId="7" hidden="1">'5 - Cost Support'!$1:$3</definedName>
    <definedName name="Z_DA967730_B71F_4038_B1B7_9D4790729C5D_.wvu.PrintTitles" localSheetId="10" hidden="1">'7 - Cap Add WS'!$C:$D</definedName>
    <definedName name="Z_DA967730_B71F_4038_B1B7_9D4790729C5D_.wvu.Rows" localSheetId="6" hidden="1">'4 - Incentive ROE Adj'!#REF!</definedName>
    <definedName name="Z_DA967730_B71F_4038_B1B7_9D4790729C5D_.wvu.Rows" localSheetId="7" hidden="1">'5 - Cost Support'!$146:$147</definedName>
    <definedName name="Z_DC91DEF3_837B_4BB9_A81E_3B78C5914E6C_.wvu.Cols" localSheetId="10" hidden="1">'7 - Cap Add WS'!$N:$Q</definedName>
    <definedName name="Z_DC91DEF3_837B_4BB9_A81E_3B78C5914E6C_.wvu.Cols" localSheetId="1" hidden="1">'ATT 1-ADIT'!$G:$G</definedName>
    <definedName name="Z_DC91DEF3_837B_4BB9_A81E_3B78C5914E6C_.wvu.PrintArea" localSheetId="5" hidden="1">'3 - Revenue Credits'!$A$1:$D$53</definedName>
    <definedName name="Z_DC91DEF3_837B_4BB9_A81E_3B78C5914E6C_.wvu.PrintArea" localSheetId="0" hidden="1">'Appendix A'!$A$1:$H$311</definedName>
    <definedName name="Z_DC91DEF3_837B_4BB9_A81E_3B78C5914E6C_.wvu.PrintArea" localSheetId="1" hidden="1">'ATT 1-ADIT'!$B$1:$K$100</definedName>
    <definedName name="Z_DC91DEF3_837B_4BB9_A81E_3B78C5914E6C_.wvu.PrintTitles" localSheetId="7" hidden="1">'5 - Cost Support'!$1:$3</definedName>
    <definedName name="Z_DC91DEF3_837B_4BB9_A81E_3B78C5914E6C_.wvu.PrintTitles" localSheetId="10" hidden="1">'7 - Cap Add WS'!$C:$D</definedName>
    <definedName name="Z_DC91DEF3_837B_4BB9_A81E_3B78C5914E6C_.wvu.Rows" localSheetId="6" hidden="1">'4 - Incentive ROE Adj'!#REF!</definedName>
    <definedName name="Z_DC91DEF3_837B_4BB9_A81E_3B78C5914E6C_.wvu.Rows" localSheetId="7" hidden="1">'5 - Cost Support'!$146:$147</definedName>
    <definedName name="Z_F96D6087_3330_4A81_95EC_26BA83722A49_.wvu.Cols" localSheetId="10" hidden="1">'7 - Cap Add WS'!$N:$Q</definedName>
    <definedName name="Z_F96D6087_3330_4A81_95EC_26BA83722A49_.wvu.PrintArea" localSheetId="5" hidden="1">'3 - Revenue Credits'!$A$1:$D$53</definedName>
    <definedName name="Z_F96D6087_3330_4A81_95EC_26BA83722A49_.wvu.PrintArea" localSheetId="0" hidden="1">'Appendix A'!$A$1:$H$311</definedName>
    <definedName name="Z_F96D6087_3330_4A81_95EC_26BA83722A49_.wvu.PrintTitles" localSheetId="7" hidden="1">'5 - Cost Support'!$1:$3</definedName>
    <definedName name="Z_F96D6087_3330_4A81_95EC_26BA83722A49_.wvu.PrintTitles" localSheetId="10" hidden="1">'7 - Cap Add WS'!$C:$D</definedName>
    <definedName name="Z_F96D6087_3330_4A81_95EC_26BA83722A49_.wvu.Rows" localSheetId="6" hidden="1">'4 - Incentive ROE Adj'!#REF!</definedName>
    <definedName name="Z_F96D6087_3330_4A81_95EC_26BA83722A49_.wvu.Rows" localSheetId="7" hidden="1">'5 - Cost Support'!$146:$147</definedName>
    <definedName name="Z_FAAD9AAC_1337_43AB_BF1F_CCF9DFCF5B78_.wvu.Cols" localSheetId="10" hidden="1">'7 - Cap Add WS'!$N:$Q</definedName>
    <definedName name="Z_FAAD9AAC_1337_43AB_BF1F_CCF9DFCF5B78_.wvu.Cols" localSheetId="1" hidden="1">'ATT 1-ADIT'!$G:$G</definedName>
    <definedName name="Z_FAAD9AAC_1337_43AB_BF1F_CCF9DFCF5B78_.wvu.PrintArea" localSheetId="5" hidden="1">'3 - Revenue Credits'!$A$1:$D$53</definedName>
    <definedName name="Z_FAAD9AAC_1337_43AB_BF1F_CCF9DFCF5B78_.wvu.PrintArea" localSheetId="0" hidden="1">'Appendix A'!$A$1:$H$311</definedName>
    <definedName name="Z_FAAD9AAC_1337_43AB_BF1F_CCF9DFCF5B78_.wvu.PrintArea" localSheetId="1" hidden="1">'ATT 1-ADIT'!$B$1:$K$100</definedName>
    <definedName name="Z_FAAD9AAC_1337_43AB_BF1F_CCF9DFCF5B78_.wvu.PrintTitles" localSheetId="7" hidden="1">'5 - Cost Support'!$1:$3</definedName>
    <definedName name="Z_FAAD9AAC_1337_43AB_BF1F_CCF9DFCF5B78_.wvu.PrintTitles" localSheetId="10" hidden="1">'7 - Cap Add WS'!$C:$D</definedName>
    <definedName name="Z_FAAD9AAC_1337_43AB_BF1F_CCF9DFCF5B78_.wvu.Rows" localSheetId="6" hidden="1">'4 - Incentive ROE Adj'!#REF!</definedName>
    <definedName name="Z_FAAD9AAC_1337_43AB_BF1F_CCF9DFCF5B78_.wvu.Rows" localSheetId="7" hidden="1">'5 - Cost Support'!$146:$147</definedName>
  </definedNames>
  <calcPr calcId="191029"/>
  <customWorkbookViews>
    <customWorkbookView name="Preferred Customer - Personal View" guid="{dc91def3-837b-4bb9-a81e-3b78c5914e6c}" activeSheetId="9" xWindow="240" yWindow="120" windowWidth="1004" windowHeight="571" mergeInterval="0" personalView="1" maximized="1" tabRatio="809"/>
    <customWorkbookView name="Helen Hight - Personal View" guid="{28948e05-8f34-4f1e-96fb-a80a6a844600}" activeSheetId="11" xWindow="240" yWindow="120" windowWidth="1020" windowHeight="596" mergeInterval="0" personalView="1" maximized="1" tabRatio="809"/>
    <customWorkbookView name="x086hmh - Personal View" guid="{71b42b22-a376-44b5-b0c1-23fc1aa3dba2}" activeSheetId="1" xWindow="240" yWindow="120" windowWidth="1676" windowHeight="904" mergeInterval="0" personalView="1" maximized="1" tabRatio="809"/>
    <customWorkbookView name="x317aks - Personal View" guid="{faad9aac-1337-43ab-bf1f-ccf9dfcf5b78}" activeSheetId="9" xWindow="240" yWindow="120" windowWidth="1020" windowHeight="539" mergeInterval="0" personalView="1" maximized="1" tabRatio="809"/>
    <customWorkbookView name="smullin - Personal View" guid="{4c7c2344-134c-465a-adeb-a5e96aae2308}" activeSheetId="1" xWindow="240" yWindow="120" windowWidth="1020" windowHeight="603" mergeInterval="0" personalView="1" maximized="1" tabRatio="809"/>
    <customWorkbookView name="jbornak - Personal View" guid="{da967730-b71f-4038-b1b7-9d4790729c5d}" activeSheetId="1" xWindow="14" yWindow="24" windowWidth="881" windowHeight="583" mergeInterval="0" personalView="1" tabRatio="809"/>
    <customWorkbookView name="DLCO - Personal View" guid="{f96d6087-3330-4a81-95ec-26ba83722a49}" activeSheetId="1" xWindow="240" yWindow="120" windowWidth="1020" windowHeight="579" mergeInterval="0" personalView="1" maximized="1" tabRatio="809"/>
    <customWorkbookView name="S. Merchant - Personal View" guid="{3a38df7a-c35e-4dd3-9893-26310a3ef836}" activeSheetId="2" xWindow="240" yWindow="120" windowWidth="1020" windowHeight="632" mergeInterval="0" personalView="1" maximized="1" tabRatio="80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6" l="1"/>
</calcChain>
</file>

<file path=xl/comments12.xml><?xml version="1.0" encoding="utf-8"?>
<comments xmlns="http://schemas.openxmlformats.org/spreadsheetml/2006/main" xmlns:mc="http://schemas.openxmlformats.org/markup-compatibility/2006" xmlns:xr="http://schemas.microsoft.com/office/spreadsheetml/2014/revision" mc:Ignorable="xr">
  <authors>
    <author>Pren, Todd D</author>
  </authors>
  <commentList>
    <comment ref="M28" authorId="0" shapeId="0" xr:uid="{D0D49D91-6D3A-497E-BE98-61D9EC062BFF}">
      <text>
        <r>
          <rPr>
            <b/>
            <sz val="9"/>
            <rFont val="Tahoma"/>
            <family val="2"/>
          </rPr>
          <t>Pren, Todd D:</t>
        </r>
        <r>
          <rPr>
            <sz val="9"/>
            <rFont val="Tahoma"/>
            <family val="2"/>
          </rPr>
          <t xml:space="preserve">
BS All Accounts Manual Total (line HG) LTD Budget Snapshot minus capital leases
If pulling from FF1 use Total LTD minus Unamortized Debt Expense (181)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30081</author>
  </authors>
  <commentList>
    <comment ref="B116" authorId="0" shapeId="0" xr:uid="{00000000-0006-0000-0A00-000001000000}">
      <text>
        <r>
          <rPr>
            <b/>
            <sz val="9"/>
            <rFont val="Tahoma"/>
            <family val="2"/>
          </rPr>
          <t>30081:</t>
        </r>
        <r>
          <rPr>
            <sz val="9"/>
            <rFont val="Tahoma"/>
            <family val="2"/>
          </rPr>
          <t xml:space="preserve">
Changed from April 6, 2009 to April 8, 2009 on April 5, 2012.</t>
        </r>
      </text>
    </comment>
  </commentList>
</comments>
</file>

<file path=xl/sharedStrings.xml><?xml version="1.0" encoding="utf-8"?>
<sst xmlns="http://schemas.openxmlformats.org/spreadsheetml/2006/main" count="4307" uniqueCount="1473">
  <si>
    <t>Accumulated Depreciation Worksheet</t>
  </si>
  <si>
    <t>Calculation of Transmission Accumulated Depreciation</t>
  </si>
  <si>
    <t>Calculation of Distribution Accumulated Depreciation</t>
  </si>
  <si>
    <t>Distribution Accumulated Depreciation</t>
  </si>
  <si>
    <t>Calculation of Intangible Accumulated Depreciation</t>
  </si>
  <si>
    <t>Accumulated Intangible Depreciation</t>
  </si>
  <si>
    <t>Calculation of General Accumulated Depreciation</t>
  </si>
  <si>
    <t>Calculation of Production Accumulated Depreciation</t>
  </si>
  <si>
    <t>Production Accumulated Depreciation</t>
  </si>
  <si>
    <t>Beg of year</t>
  </si>
  <si>
    <t>End of Year</t>
  </si>
  <si>
    <t>Accrual</t>
  </si>
  <si>
    <t xml:space="preserve">Survivor </t>
  </si>
  <si>
    <t>Salvage</t>
  </si>
  <si>
    <t>Rate (Annual)</t>
  </si>
  <si>
    <t>TRANSMISSION PLANT</t>
  </si>
  <si>
    <t>Curve</t>
  </si>
  <si>
    <t>Percent</t>
  </si>
  <si>
    <t>Land &amp; Land Rights - Easements</t>
  </si>
  <si>
    <t>-</t>
  </si>
  <si>
    <t xml:space="preserve">R4   </t>
  </si>
  <si>
    <t>Structures &amp; Improvements</t>
  </si>
  <si>
    <t>R3</t>
  </si>
  <si>
    <t>Station Equipment</t>
  </si>
  <si>
    <t xml:space="preserve">  Other</t>
  </si>
  <si>
    <t xml:space="preserve">R2   </t>
  </si>
  <si>
    <t xml:space="preserve">  SCADA</t>
  </si>
  <si>
    <t>S3</t>
  </si>
  <si>
    <t>Towers &amp; Fixtures</t>
  </si>
  <si>
    <t>Poles &amp; Fixtures</t>
  </si>
  <si>
    <t>R2.5</t>
  </si>
  <si>
    <t xml:space="preserve">  502 Junction - Territorial Line            </t>
  </si>
  <si>
    <t>502 Junction - Territorial Line               (CWIP)</t>
  </si>
  <si>
    <t>VA 6.0%</t>
  </si>
  <si>
    <t>Doubs Replace Transformer #3</t>
  </si>
  <si>
    <t>PJM Upgrade ID:  b0704</t>
  </si>
  <si>
    <t xml:space="preserve">Cabot SS - Install Autotransformer </t>
  </si>
  <si>
    <t>Overhead Conductors &amp; Devices</t>
  </si>
  <si>
    <t xml:space="preserve">  Clearing</t>
  </si>
  <si>
    <t>Underground conduit</t>
  </si>
  <si>
    <t>Underground conductor and devices</t>
  </si>
  <si>
    <t xml:space="preserve">R3   </t>
  </si>
  <si>
    <t>EOY Balance for Estimate</t>
  </si>
  <si>
    <t xml:space="preserve">    Less PBOP Adjustment</t>
  </si>
  <si>
    <t>Detail of Account 566 Miscellaneous Transmission Expenses</t>
  </si>
  <si>
    <t>Summary of Pre-Commercial Expenses</t>
  </si>
  <si>
    <t xml:space="preserve">Miscellaneous Transmission Expense </t>
  </si>
  <si>
    <t>Cost Element Name</t>
  </si>
  <si>
    <t>Total Account 566 Miscellaneous Transmission Expenses</t>
  </si>
  <si>
    <t>Labor &amp; Overhead  (1)</t>
  </si>
  <si>
    <t>Miscellaneous  (2)</t>
  </si>
  <si>
    <t>Outside Services Legal  (3)</t>
  </si>
  <si>
    <t>Outside Services Other  (4)</t>
  </si>
  <si>
    <t>Outside Services Rates (5)</t>
  </si>
  <si>
    <t>Advertising  (6)</t>
  </si>
  <si>
    <t>Travel, Lodging and  Meals  (7)</t>
  </si>
  <si>
    <t>(1)     Labor &amp; overhead amount includes costs allocated to preparation of the preliminary survey and investigation.</t>
  </si>
  <si>
    <t xml:space="preserve">(2)    Miscellaneous amount includes rental of volunteer fire department facilities for open houses, Fed EX </t>
  </si>
  <si>
    <t xml:space="preserve">         fees for various mailings from Legal, Procurement, Transmission &amp; Finance, fees for various  </t>
  </si>
  <si>
    <t xml:space="preserve">         conference calls and PJM application fee.</t>
  </si>
  <si>
    <t>(3)    Outside legal services includes the cost for research and preparation of the filing to determine incentive</t>
  </si>
  <si>
    <t xml:space="preserve">          rate availability.</t>
  </si>
  <si>
    <t>(4)    Other services other includes fees for website development, media relations services, campaign</t>
  </si>
  <si>
    <t xml:space="preserve">         management, open houses and research services.</t>
  </si>
  <si>
    <t>(5)    Outside services rates includes the advice of a rate consultant regarding rate design.</t>
  </si>
  <si>
    <t xml:space="preserve"> Enter Details Here</t>
  </si>
  <si>
    <t>PBOP Expenses</t>
  </si>
  <si>
    <t xml:space="preserve">Transmission plant in service will show the end of year balance and is linked to Attachment 5 which shows detail support by project.  </t>
  </si>
  <si>
    <t xml:space="preserve">     new transmission plant added to plant-in-service</t>
  </si>
  <si>
    <t xml:space="preserve">  Attachment 5 the name of each state and how the blended or composite SIT was developed.   </t>
  </si>
  <si>
    <t>Note: ADIT associated with Gain or Loss on Reacquired Debt is included in Column A here and included in Cost of Debt on Appendix A, Line 93.</t>
  </si>
  <si>
    <t>In filling out this attachment, a full and complete description of each item and justification for the allocation to Columns C-F and each separate ADIT item will be listed,</t>
  </si>
  <si>
    <t>Dissimilar items with amounts exceeding $100,000 will be listed separately.</t>
  </si>
  <si>
    <t>3.  ADIT items related only to Transmission are directly assigned to Column E.</t>
  </si>
  <si>
    <t>Doubs Replacement Transformer #3</t>
  </si>
  <si>
    <t>5.  ADIT items related to labor and not in Columns C, D, E &amp; F are directly assigned to Column G.</t>
  </si>
  <si>
    <t>* YTM at issuance calculated from an acceptable bond table or from YTM = Internal Rate of Return (IRR) calculation</t>
  </si>
  <si>
    <t>TOTALS</t>
  </si>
  <si>
    <t>(2)</t>
  </si>
  <si>
    <t>(1)</t>
  </si>
  <si>
    <t>at Issuance, t = 0)</t>
  </si>
  <si>
    <t>Affiliate</t>
  </si>
  <si>
    <t>(Yield to Maturity</t>
  </si>
  <si>
    <t>(kk)</t>
  </si>
  <si>
    <t>(jj)</t>
  </si>
  <si>
    <t>(ii)</t>
  </si>
  <si>
    <t>(hh)</t>
  </si>
  <si>
    <t>(gg)</t>
  </si>
  <si>
    <t>(ff)</t>
  </si>
  <si>
    <t>(ee)</t>
  </si>
  <si>
    <t>(dd)</t>
  </si>
  <si>
    <t>(cc)</t>
  </si>
  <si>
    <t>(bb)</t>
  </si>
  <si>
    <t>(aa)</t>
  </si>
  <si>
    <t>PJM Upgrade ID: b0328.1 b0328.2; b0347.1; b0347.2; b0347.3; b0347.4</t>
  </si>
  <si>
    <t>Interim (individual debenture) debt cost calculations shall be taken to four decimals in percentages (7.2300%, 5.2582%); Final Total Weighted Average Debt Cost for the Formula Rate shall be rounded to two decimals of a percent (7.03%).</t>
  </si>
  <si>
    <t>The current portion of long term debt is included in the Net Amount Outstanding at t = N in these calculations.</t>
  </si>
  <si>
    <t>t = time</t>
  </si>
  <si>
    <t>Long Term Debt Cost at Year Ended:</t>
  </si>
  <si>
    <t>(h) * (i)</t>
  </si>
  <si>
    <t>Ratios</t>
  </si>
  <si>
    <t>at t=N</t>
  </si>
  <si>
    <t>At Issuance</t>
  </si>
  <si>
    <t>ISSUANCE</t>
  </si>
  <si>
    <t>Maturity Date</t>
  </si>
  <si>
    <t>Issue Date</t>
  </si>
  <si>
    <t>t=N</t>
  </si>
  <si>
    <t>at t = N</t>
  </si>
  <si>
    <t>Net Proceeds</t>
  </si>
  <si>
    <t>ORIGINAL</t>
  </si>
  <si>
    <t>Weighted</t>
  </si>
  <si>
    <t>(j)</t>
  </si>
  <si>
    <t>(i)</t>
  </si>
  <si>
    <t>(h)</t>
  </si>
  <si>
    <t>(g)</t>
  </si>
  <si>
    <t>(f)</t>
  </si>
  <si>
    <t>(e)</t>
  </si>
  <si>
    <t>(d)</t>
  </si>
  <si>
    <t>(c)</t>
  </si>
  <si>
    <t>(b)</t>
  </si>
  <si>
    <t>(a)</t>
  </si>
  <si>
    <t>Transmission Related CWIP  (Current Year 13 Month weighted average balances)</t>
  </si>
  <si>
    <t>Dec (Prior Year CWIP ) p216.b.43</t>
  </si>
  <si>
    <t xml:space="preserve">     Plus Property Under Capital Leases</t>
  </si>
  <si>
    <t>A&amp;G Expenses</t>
  </si>
  <si>
    <t>Transmission Related A&amp;G Expenses</t>
  </si>
  <si>
    <t>Total General &amp; Intangible</t>
  </si>
  <si>
    <t xml:space="preserve">ROE will be established in the Commission order accepting the settlement in Docket No. ER07-562 and no change in ROE will be made absent a Section 205 or Section 206 filing at FERC. </t>
  </si>
  <si>
    <t>Therefore:  Weighted Equity = [50%*260+60%*(365-260)]/365</t>
  </si>
  <si>
    <t>Transmission Related General Depreciation and Intangible Amortization</t>
  </si>
  <si>
    <t xml:space="preserve">      Less Unamortized Loss on Reacquired Debt </t>
  </si>
  <si>
    <t xml:space="preserve">      Plus Unamortized Gain on Reacquired Debt</t>
  </si>
  <si>
    <t>The most recent FERC approved ROE</t>
  </si>
  <si>
    <t>p204.5.b</t>
  </si>
  <si>
    <t>p205.5.g</t>
  </si>
  <si>
    <t xml:space="preserve">Transmission Related Land Held for Future Use </t>
  </si>
  <si>
    <t>Note  1</t>
  </si>
  <si>
    <t>Average of Beginning and Ending Balances (for estimate and reconciliation)</t>
  </si>
  <si>
    <t>"Reconciliation Amount" is created in the reconciliation in Attachment 6 and included in the forecasted revenue requirement.</t>
  </si>
  <si>
    <t>Meadowbrook Transformer</t>
  </si>
  <si>
    <t>Meadowbrook Transformer (Plant In Service)</t>
  </si>
  <si>
    <t>Reconciliation Amount</t>
  </si>
  <si>
    <t>For the Reconciliation, the total additions to plant in service for that year will be summarized by project to demonstrate no Pre-Commercial costs  expensed were included in the additions to plant in service and AFUDC on projects where CWIP was recovered in rate base was included in the additions to plant in service.  The Pre-commercial expenses are actual expenses incurred for the reconciliation year. Total deferred and amortized Pre-commercial costs will be the actual amount agreeing to FERC Form 1 and Attachment 5.</t>
  </si>
  <si>
    <t>TrAILCo anticipates its financing will be a 7 year loan, where by TrAILCo pays Origination Fees of $5.2 million and a Commitments Fee of 0.3% on the undrawn principle.</t>
  </si>
  <si>
    <t>Consistent with GAAP, TrAILCo will amortize the Origination Fees and Commitments Fees using the standard Internal Rate of Return formula below.</t>
  </si>
  <si>
    <t>Each year, TrAILCo will true up the amounts withdrawn, the interest paid in the year, Origination Fees, Commitments Fees, and total loan amount on this attachment.</t>
  </si>
  <si>
    <t>Addition Origination Fees</t>
  </si>
  <si>
    <t>Interest at effective rate</t>
  </si>
  <si>
    <t>Amortization of origination fees and commitment fees</t>
  </si>
  <si>
    <t>Bedington Transformer (Plant In Service)</t>
  </si>
  <si>
    <t>Meadowbrook Capacitor (Plant In Service)</t>
  </si>
  <si>
    <t>Kammer Transformers (Plant In Service)</t>
  </si>
  <si>
    <t>PJM Upgrade ID:  b0559</t>
  </si>
  <si>
    <t>PJM Upgrade ID:  b0229</t>
  </si>
  <si>
    <t>PJM Upgrade ID:  b0495</t>
  </si>
  <si>
    <t>Forecast – End of prior year net plant plus current year forecast of CWIP or Cap Adds.                                                       reconciliation – Average of 13 month prior year net plant balances plus prior year 13-mo CWIP balances.</t>
  </si>
  <si>
    <t>Less FASB 109 included above</t>
  </si>
  <si>
    <t>p321.112.b</t>
  </si>
  <si>
    <t>p321.96.b</t>
  </si>
  <si>
    <t>p323.197.b</t>
  </si>
  <si>
    <t>p323.185.b</t>
  </si>
  <si>
    <t>p323.189.b</t>
  </si>
  <si>
    <t>p323.191.b</t>
  </si>
  <si>
    <t>p234.18.b</t>
  </si>
  <si>
    <t>p234.18.c</t>
  </si>
  <si>
    <t>p274.9.b</t>
  </si>
  <si>
    <t>p275.9.k</t>
  </si>
  <si>
    <t>p276.19.b</t>
  </si>
  <si>
    <t>p277.19.k</t>
  </si>
  <si>
    <t>p206.99.b</t>
  </si>
  <si>
    <t>p207.99.g</t>
  </si>
  <si>
    <t>p204.46b</t>
  </si>
  <si>
    <t>p205.46.g</t>
  </si>
  <si>
    <t>Prior year FERC Form 1 p219.25.b</t>
  </si>
  <si>
    <t>p219.25.b</t>
  </si>
  <si>
    <t>Prior year FERC Form 1 p219.26.b</t>
  </si>
  <si>
    <t>p219.26.b</t>
  </si>
  <si>
    <t>Prior year FERC Form 1 p200.21.b</t>
  </si>
  <si>
    <t>p200.21b</t>
  </si>
  <si>
    <t>Prior year FERC Form 1 p219.28b</t>
  </si>
  <si>
    <t>p219.28.b</t>
  </si>
  <si>
    <t>Prior year FERC Form 1 p219.20.b-24.b</t>
  </si>
  <si>
    <t>p219.20.b thru 219.24.b</t>
  </si>
  <si>
    <t>p227.8</t>
  </si>
  <si>
    <t>p227.16</t>
  </si>
  <si>
    <t>Must run Appendix A to get this number (without any cap adds in Appendix A line 16 and without CWIP in Appendix A line 33)</t>
  </si>
  <si>
    <t>(Appendix A, Line 33)</t>
  </si>
  <si>
    <t>TrAILCo PBOP Expense for base year</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</si>
  <si>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</si>
  <si>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 xml:space="preserve">End of Year  </t>
  </si>
  <si>
    <t>Link to Appendix A, line 18</t>
  </si>
  <si>
    <t>Link to Appendix A, line 24</t>
  </si>
  <si>
    <t xml:space="preserve">                                                                                           Enter Details Here</t>
  </si>
  <si>
    <t>Prexy - 502 Junction 500 Kv  (CWIP)</t>
  </si>
  <si>
    <t>Prexy - 502 Junction 138 kV  (CWIP)</t>
  </si>
  <si>
    <t>Reconciliation - TO calculates Reconciliation by populating the 13 monthly plant balances and beginning and end of year  balances for the other rate base items and the 13 monthly averages for CWIP in Reconciliation (adjusted to include any Reconciliation amount from prior year).</t>
  </si>
  <si>
    <t>(6)    Advertising includes newspaper and other media announcements of public scoping meetings related to the</t>
  </si>
  <si>
    <t xml:space="preserve">         proposed project.</t>
  </si>
  <si>
    <t>(7)  Travel, lodging and meals are the direct expenses for Allegheny staff to attend the scoping meetings.</t>
  </si>
  <si>
    <t>Account 566  Miscellaneous Transmission Expense</t>
  </si>
  <si>
    <t>Account 566</t>
  </si>
  <si>
    <t>Miscellaneous Transmission Expense</t>
  </si>
  <si>
    <t>Total Account 566</t>
  </si>
  <si>
    <t xml:space="preserve">Total PBOP expenses </t>
  </si>
  <si>
    <t xml:space="preserve">Amount relating to retired personnel </t>
  </si>
  <si>
    <t xml:space="preserve">Amount allocated on FTEs </t>
  </si>
  <si>
    <t>Cost per FTE</t>
  </si>
  <si>
    <t>TrAILCo FTEs (labor not capitalized) current year</t>
  </si>
  <si>
    <t>Number of FTEs for Allegheny</t>
  </si>
  <si>
    <t>Return</t>
  </si>
  <si>
    <t>New Trans. Plant Adds. for Current Calendar Year  (13 average balance)</t>
  </si>
  <si>
    <t>TrAILCo PBOP Expense in Account 926 for current year</t>
  </si>
  <si>
    <t>Revenue Requirement By Project</t>
  </si>
  <si>
    <t>From line 3 above if "No" on line 12 and From line 7 above if "Yes" on line 12</t>
  </si>
  <si>
    <t>If line 13 equals 12.7%, then line 4, if line 13 equals 11.7% then line 3, and if line 12 is "Yes" then line 7</t>
  </si>
  <si>
    <t>Revenue is equal to the "Return" ("Investment" times FCR)  plus "Depreciation"  plus "Pre-Commercial Exp" plus prior year "Reconciliation amount"</t>
  </si>
  <si>
    <t xml:space="preserve">Lines 1-5 cannot change absent approval or acceptance by FERC in a separate proceeding. </t>
  </si>
  <si>
    <t xml:space="preserve">  based on: the number of days the last project was in service and 365 day minus the numbers of days the last project was in service divided by 365 days.</t>
  </si>
  <si>
    <t>Reconciliation amount</t>
  </si>
  <si>
    <t xml:space="preserve">  SVC</t>
  </si>
  <si>
    <t xml:space="preserve">  year that these projects are in service the formula will be run based on the 50/50 capital structure and on the actual year end capital structure.  The two results will be weighted </t>
  </si>
  <si>
    <t xml:space="preserve">p216.b.43 as shown on Attachment 6 </t>
  </si>
  <si>
    <t>Total Accumulated General and Intangible Depreciation</t>
  </si>
  <si>
    <t>Allocated General Expenses</t>
  </si>
  <si>
    <t>Retail</t>
  </si>
  <si>
    <t xml:space="preserve">  in the filing whenever the cost of the land is proposed to be included in rates.</t>
  </si>
  <si>
    <t xml:space="preserve">Includes Transmission portion only and (i) only land that has an estimated in-service date within 10 years may be included and (ii) a plan for the land’s use is required to be included </t>
  </si>
  <si>
    <t>Transmission Related General and Intangible Plant</t>
  </si>
  <si>
    <t>Transmission Related Plant</t>
  </si>
  <si>
    <t>Transmission Related General &amp; Intangible Accumulated Depreciation</t>
  </si>
  <si>
    <t>Transmission Related Accumulated Deferred Income Taxes</t>
  </si>
  <si>
    <t>Transmission Related Pre-Commercial Costs Capitalized</t>
  </si>
  <si>
    <t>Transmission Related Prepayments</t>
  </si>
  <si>
    <t>Transmission Related Materials &amp; Supplies</t>
  </si>
  <si>
    <t>Transmission Related Cash Working Capital</t>
  </si>
  <si>
    <t>Transmission Related Taxes Other than Income</t>
  </si>
  <si>
    <t>FERC Form No.1</t>
  </si>
  <si>
    <t>page, line &amp; Col</t>
  </si>
  <si>
    <t xml:space="preserve"> Note 4: If the facilities associated with the revenues are not included in the formula, the revenue is shown here, but not included in the total above and explained in the Cost Support. For example revenues associated with distribution facilities.  In addition Revenues from Schedule 12 of the PJM OATT are not included in the total above to the extent they are credited under Schedule 12 of the PJM OATT. </t>
  </si>
  <si>
    <t>Enter Details Here</t>
  </si>
  <si>
    <t>Source  Reference</t>
  </si>
  <si>
    <t>FCR without Incentive ROE</t>
  </si>
  <si>
    <t>Allowed ROE</t>
  </si>
  <si>
    <t>Input the allowed ROE</t>
  </si>
  <si>
    <t>Year 2</t>
  </si>
  <si>
    <t>Rev Req based on Year 2 data with estimated Cap Adds for Year 3 (Step 8)</t>
  </si>
  <si>
    <t>Revenue Requirement for Year 3</t>
  </si>
  <si>
    <t>Year 3</t>
  </si>
  <si>
    <t xml:space="preserve">Composite Income Taxes                                                                                                       </t>
  </si>
  <si>
    <t>Step</t>
  </si>
  <si>
    <t>Month</t>
  </si>
  <si>
    <t>Year</t>
  </si>
  <si>
    <t>Action</t>
  </si>
  <si>
    <t>Exec Summary</t>
  </si>
  <si>
    <t>April</t>
  </si>
  <si>
    <t>May</t>
  </si>
  <si>
    <t xml:space="preserve">p112.16.c </t>
  </si>
  <si>
    <t xml:space="preserve">p111.81.c  </t>
  </si>
  <si>
    <t>Actual</t>
  </si>
  <si>
    <t>Budget</t>
  </si>
  <si>
    <t>New Transmission Plant Additions for Year 3  (13 month average balance)</t>
  </si>
  <si>
    <t>Revolving Credit Commitment Fee</t>
  </si>
  <si>
    <t>LIBOR Rate</t>
  </si>
  <si>
    <t>Spread</t>
  </si>
  <si>
    <t xml:space="preserve">Net Cash Flows  </t>
  </si>
  <si>
    <t>Commitment fees for 4th quarter 2008</t>
  </si>
  <si>
    <t>Reconciliation Amount by Project</t>
  </si>
  <si>
    <t xml:space="preserve"> p207.58.g </t>
  </si>
  <si>
    <t>13 Month Balance for Reconciliation</t>
  </si>
  <si>
    <t>June</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</si>
  <si>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</si>
  <si>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</si>
  <si>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</si>
  <si>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</si>
  <si>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</si>
  <si>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</si>
  <si>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</si>
  <si>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</si>
  <si>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</si>
  <si>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</si>
  <si>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</si>
  <si>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</si>
  <si>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</si>
  <si>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</si>
  <si>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</si>
  <si>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</si>
  <si>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</si>
  <si>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</si>
  <si>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</si>
  <si>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Amort</t>
  </si>
  <si>
    <t xml:space="preserve">NPV = 0 = </t>
  </si>
  <si>
    <t>(I)</t>
  </si>
  <si>
    <t>(D-F-G-H)</t>
  </si>
  <si>
    <r>
      <t>Based on following Financial Formula</t>
    </r>
    <r>
      <rPr>
        <b/>
        <vertAlign val="superscript"/>
        <sz val="11"/>
        <rFont val="Arial"/>
        <family val="2"/>
      </rPr>
      <t>2</t>
    </r>
    <r>
      <rPr>
        <b/>
        <sz val="11"/>
        <rFont val="Arial"/>
        <family val="2"/>
      </rPr>
      <t>:</t>
    </r>
  </si>
  <si>
    <t xml:space="preserve">                                                                     Attachment 9 - Financing Costs  for Long Term Debt using the Internal Rate of Return Methodology</t>
  </si>
  <si>
    <r>
      <t>Internal Rate of Return</t>
    </r>
    <r>
      <rPr>
        <b/>
        <vertAlign val="superscript"/>
        <sz val="11"/>
        <rFont val="Arial"/>
        <family val="2"/>
      </rPr>
      <t>1</t>
    </r>
  </si>
  <si>
    <t>Non-transmission Related</t>
  </si>
  <si>
    <t>CWIP In Form 1 Amount</t>
  </si>
  <si>
    <t>Non-safety Related</t>
  </si>
  <si>
    <t>Electric / Non-electric Cost Support</t>
  </si>
  <si>
    <t xml:space="preserve">   Total Issuance Expense</t>
  </si>
  <si>
    <t>Transmission / Non-transmission Cost Support</t>
  </si>
  <si>
    <t>EPRI Dues Cost Support</t>
  </si>
  <si>
    <t>Regulatory Expense Related to Transmission Cost Support</t>
  </si>
  <si>
    <t>Safety Related Advertising Cost Support</t>
  </si>
  <si>
    <t>Education and Out Reach Cost Support</t>
  </si>
  <si>
    <t>Excluded Plant Cost Support</t>
  </si>
  <si>
    <t>CWIP &amp; Expensed Lease Worksheet</t>
  </si>
  <si>
    <t>Return Calculation</t>
  </si>
  <si>
    <t>Beg of Year</t>
  </si>
  <si>
    <t>End of Year for Est. Average for Final</t>
  </si>
  <si>
    <t>Only Transmission</t>
  </si>
  <si>
    <t xml:space="preserve">ADIT </t>
  </si>
  <si>
    <t>B1</t>
  </si>
  <si>
    <t>B2</t>
  </si>
  <si>
    <t>B3</t>
  </si>
  <si>
    <t>For Plant in Service</t>
  </si>
  <si>
    <t>Average of Beginning and Ending Balances</t>
  </si>
  <si>
    <t>This can be illustrated using the following example:</t>
  </si>
  <si>
    <t>Total Transmission Related Accumulated Depreciation</t>
  </si>
  <si>
    <t>Total Transmission Related Net Property, Plant &amp; Equipment</t>
  </si>
  <si>
    <t>North Shenandoah</t>
  </si>
  <si>
    <t>North Shenandoah  (Monthly additions)</t>
  </si>
  <si>
    <t>The capital structure will remain 50% equity and 50% debt until construction of all of the segments of the TrAIL Project is completed and the entire TrAIL Project is placed in service.  The first</t>
  </si>
  <si>
    <t>Therefore actual revenues collected in a year do not change based on cost data for subsequent years</t>
  </si>
  <si>
    <t>Interest 35.19a for March Current Yr</t>
  </si>
  <si>
    <t>The forecast in Prior Year</t>
  </si>
  <si>
    <t>Total with interest</t>
  </si>
  <si>
    <t xml:space="preserve">Taxes Other than Income                                                    </t>
  </si>
  <si>
    <t>Account 454 - Rent from Electric Property</t>
  </si>
  <si>
    <t>Total Rent Revenues</t>
  </si>
  <si>
    <t>Revenue Adjustment to determine Revenue Credit</t>
  </si>
  <si>
    <t>Shaded cells are input cells</t>
  </si>
  <si>
    <t>Attachment 1 - Accumulated Deferred Income Taxes (ADIT) Worksheet</t>
  </si>
  <si>
    <t>Attachment 2 - Taxes Other Than Income Worksheet</t>
  </si>
  <si>
    <t>Attachment 3 - Revenue Credit Workpaper</t>
  </si>
  <si>
    <t>Attachment 7 - Transmission Enhancement Charge Worksheet</t>
  </si>
  <si>
    <t>Attachment 6</t>
  </si>
  <si>
    <t>Attachment 1</t>
  </si>
  <si>
    <t>Cabot SS</t>
  </si>
  <si>
    <t>Attachment 8</t>
  </si>
  <si>
    <t>Attachment 5</t>
  </si>
  <si>
    <t>Attachment 3</t>
  </si>
  <si>
    <t>Attachment 4</t>
  </si>
  <si>
    <t>Fixed Charge Rate (FCR) if not a CIAC</t>
  </si>
  <si>
    <t>p354.21.b</t>
  </si>
  <si>
    <t>p354.28.b</t>
  </si>
  <si>
    <t>p354.27.b</t>
  </si>
  <si>
    <t>Less FASB 106 included above</t>
  </si>
  <si>
    <t xml:space="preserve">March </t>
  </si>
  <si>
    <t>Post results of Step 3 on PJM web site</t>
  </si>
  <si>
    <t>Results of Step 3 go into effect</t>
  </si>
  <si>
    <t>Attachment 2</t>
  </si>
  <si>
    <t>The FCR resulting from Formula in a given year is used for that year only.</t>
  </si>
  <si>
    <t>(Sum Lines 2-10)</t>
  </si>
  <si>
    <t>(A)</t>
  </si>
  <si>
    <t>(B)</t>
  </si>
  <si>
    <t>(C)</t>
  </si>
  <si>
    <t>(D)</t>
  </si>
  <si>
    <t xml:space="preserve">Facility Credits under Section 30.9 of the PJM OATT </t>
  </si>
  <si>
    <t>Total Revenue Credits</t>
  </si>
  <si>
    <t>Enter Negative</t>
  </si>
  <si>
    <t xml:space="preserve">Prepayments </t>
  </si>
  <si>
    <t xml:space="preserve">      Less ADIT associated with Gain or Loss</t>
  </si>
  <si>
    <t xml:space="preserve">Attachment 5 </t>
  </si>
  <si>
    <t xml:space="preserve">Amount </t>
  </si>
  <si>
    <t xml:space="preserve">Notes:  </t>
  </si>
  <si>
    <t>ATTACHMENT H-18A</t>
  </si>
  <si>
    <t>Trans-Allegheny Interstate Line Company</t>
  </si>
  <si>
    <t>Column A</t>
  </si>
  <si>
    <t>Column B</t>
  </si>
  <si>
    <t>Column C</t>
  </si>
  <si>
    <t>Column D</t>
  </si>
  <si>
    <t>Column E</t>
  </si>
  <si>
    <t>Column F</t>
  </si>
  <si>
    <t>if CWIP were not recovered in rate base.</t>
  </si>
  <si>
    <t>Total Additions to Plant In Service (sum of the above for each project)</t>
  </si>
  <si>
    <t xml:space="preserve">Totals reported below are by  project with the amounts to be expensed reported separately from those to be deferred and amortized (note, deferred costs related to 2006 include AFUDC).  </t>
  </si>
  <si>
    <t xml:space="preserve"> For Forecasting purposes, Pre-Commercial expenses will be estimated.  Total deferred and amortized Pre-commercial costs will be the actual amount agreeing to FERC Form 1 and Attachment 5.</t>
  </si>
  <si>
    <t>Expensed (Estimated)</t>
  </si>
  <si>
    <t>Estimate   Step 2</t>
  </si>
  <si>
    <t xml:space="preserve"> Average of 13 Monthly Balances</t>
  </si>
  <si>
    <t>Prexy - 502 Junction 500 kV (CWIP)</t>
  </si>
  <si>
    <t>Step 3</t>
  </si>
  <si>
    <t>Meadow Brook SS Capacitor (Monthly additions)</t>
  </si>
  <si>
    <t>Bedington Transformer (Monthly additions)</t>
  </si>
  <si>
    <t>Kammer Transformers (Monthly additions)</t>
  </si>
  <si>
    <t xml:space="preserve">  502 Junction - Territorial Line               ( Monthly additions)</t>
  </si>
  <si>
    <t>For Reconciliation Step 2</t>
  </si>
  <si>
    <t>AFUDC In CWIP</t>
  </si>
  <si>
    <t>AFUDC (If CWIP was not in Rate Base)</t>
  </si>
  <si>
    <t>Expensed (Actual)</t>
  </si>
  <si>
    <t xml:space="preserve">Small projects may be combined into larger projects where rate treatment is consistent.  Pre-Commercial costs benefiting multiple projects will be allocated to projects based </t>
  </si>
  <si>
    <t>Allocation of Pre-Commercial Costs</t>
  </si>
  <si>
    <t>Plant in Service</t>
  </si>
  <si>
    <t>(Estimated 2/12/2008)</t>
  </si>
  <si>
    <t>Column D is the total CWIP balance including any AFUDC, Column E is the AFUDC if any in Column D, and Column F is the AFUDC that would have been in Column E</t>
  </si>
  <si>
    <t>Deferred</t>
  </si>
  <si>
    <t xml:space="preserve">Wylie Ridge  </t>
  </si>
  <si>
    <t>Link to Appendix A, line 23</t>
  </si>
  <si>
    <t>Annual Depreciation Expense</t>
  </si>
  <si>
    <t>Reconciliation - TO adds the difference between the Reconciliation in Step 7 and the forecast in Step 5 with interest to the result of Step 7 (this difference is also added to Step 7 in the subsequent year)</t>
  </si>
  <si>
    <t>Post results of Step 8 on PJM web site</t>
  </si>
  <si>
    <t>Results of Step 8 go into effect</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</si>
  <si>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</si>
  <si>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</si>
  <si>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Cabot SS Transformer</t>
  </si>
  <si>
    <t>Doubs Transformer #3 (Monthly additions)</t>
  </si>
  <si>
    <t>Gross Revenue Credits</t>
  </si>
  <si>
    <t>Instructions:</t>
  </si>
  <si>
    <t>Attachment 5a - Pre-Commercial Costs and CWIP</t>
  </si>
  <si>
    <t>If unable to determine the investment below 69kV in a substation with investment of 69 kV and higher as well as below 69 kV,</t>
  </si>
  <si>
    <t>Or</t>
  </si>
  <si>
    <r>
      <t xml:space="preserve">p200.4.c  </t>
    </r>
    <r>
      <rPr>
        <b/>
        <sz val="12"/>
        <color indexed="10"/>
        <rFont val="Arial"/>
        <family val="2"/>
      </rPr>
      <t xml:space="preserve"> </t>
    </r>
  </si>
  <si>
    <t>Link to Appendix A, line 62</t>
  </si>
  <si>
    <t>Link to Appendix A, line 66</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</si>
  <si>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</si>
  <si>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</si>
  <si>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</si>
  <si>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</si>
  <si>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</si>
  <si>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</si>
  <si>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Attachment A Line #s, Descriptions, Notes, Form 1 Page #s and Instructions</t>
  </si>
  <si>
    <t>Total Account 454 and 456</t>
  </si>
  <si>
    <t>Amount offset in line 4 above</t>
  </si>
  <si>
    <t>Total Income Taxes</t>
  </si>
  <si>
    <t>Summary</t>
  </si>
  <si>
    <t>Net Property, Plant &amp; Equipment</t>
  </si>
  <si>
    <t>Taxes Other than Income</t>
  </si>
  <si>
    <t>Common Stock</t>
  </si>
  <si>
    <t>END</t>
  </si>
  <si>
    <t>Revenue Credits</t>
  </si>
  <si>
    <t>C</t>
  </si>
  <si>
    <t>Gross Plant Allocator</t>
  </si>
  <si>
    <t>Total  Capitalization</t>
  </si>
  <si>
    <t>Total Long Term Debt</t>
  </si>
  <si>
    <t>Total Long Term Debt (WCLTD)</t>
  </si>
  <si>
    <t>REVENUE REQUIREMENT</t>
  </si>
  <si>
    <t>Total Taxes Other than Income</t>
  </si>
  <si>
    <t>J</t>
  </si>
  <si>
    <t>Long Term Debt</t>
  </si>
  <si>
    <t>Depreciation Expense</t>
  </si>
  <si>
    <t>Accumulated Depreciation (Total Electric Plant)</t>
  </si>
  <si>
    <t>(Yes or No)</t>
  </si>
  <si>
    <t>Transmission Depreciation Expense</t>
  </si>
  <si>
    <t>Transmission Wages Expense</t>
  </si>
  <si>
    <t>Total Wages Expense</t>
  </si>
  <si>
    <t xml:space="preserve"> </t>
  </si>
  <si>
    <t>E</t>
  </si>
  <si>
    <t>A</t>
  </si>
  <si>
    <t>D</t>
  </si>
  <si>
    <t>G</t>
  </si>
  <si>
    <t>Preferred Stock</t>
  </si>
  <si>
    <t>K</t>
  </si>
  <si>
    <t>Schedule 1A</t>
  </si>
  <si>
    <t>Other Taxes</t>
  </si>
  <si>
    <t>Transmission Materials &amp; Supplies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</si>
  <si>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</si>
  <si>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</si>
  <si>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</si>
  <si>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</si>
  <si>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</si>
  <si>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</si>
  <si>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</si>
  <si>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 C)</t>
  </si>
  <si>
    <t>(G)</t>
  </si>
  <si>
    <t>(H)</t>
  </si>
  <si>
    <t>Adjusted Gross Revenue Requirement</t>
  </si>
  <si>
    <t>Materials and Supplies</t>
  </si>
  <si>
    <t>Accumulated Depreciation</t>
  </si>
  <si>
    <t>Prepayments</t>
  </si>
  <si>
    <t>Cash Working Capital</t>
  </si>
  <si>
    <t>Allocators</t>
  </si>
  <si>
    <t>Less A&amp;G Wages Expense</t>
  </si>
  <si>
    <t>Transmission Gross Plant</t>
  </si>
  <si>
    <t>Transmission Net Plant</t>
  </si>
  <si>
    <t>Total Accumulated Depreciation</t>
  </si>
  <si>
    <t>Total Plant In Service</t>
  </si>
  <si>
    <t>Wages &amp; Salary Allocation Factor</t>
  </si>
  <si>
    <t>Adjustment To Rate Base</t>
  </si>
  <si>
    <t>Plant In Service</t>
  </si>
  <si>
    <t>Intangible Amortization</t>
  </si>
  <si>
    <t>Return / Capitalization Calculations</t>
  </si>
  <si>
    <t xml:space="preserve">    Less Account 216.1</t>
  </si>
  <si>
    <t xml:space="preserve">    Less Preferred Stock</t>
  </si>
  <si>
    <t>TO adds Cap Adds and CWIP to plant in service in Formula (Appendix A, Lines 16 and 33)</t>
  </si>
  <si>
    <t>Capitalization</t>
  </si>
  <si>
    <t>Subtotal, Excluded</t>
  </si>
  <si>
    <t xml:space="preserve">  502 Junction - Territorial Line  (monthly additions)</t>
  </si>
  <si>
    <t>North Shenandoah Transformer (Plant In Service)</t>
  </si>
  <si>
    <t>Black Oak (SVC) Dynamic Reactive Device (Plant In Service)</t>
  </si>
  <si>
    <t xml:space="preserve">  502 Junction - Territorial Line  (CWIP + Plant In Service)</t>
  </si>
  <si>
    <t>Total Other Taxes from p114.14.c</t>
  </si>
  <si>
    <t>p118.29.c</t>
  </si>
  <si>
    <t>p112.12.c</t>
  </si>
  <si>
    <t>p113.61.c</t>
  </si>
  <si>
    <t>p112.3.c</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</si>
  <si>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</si>
  <si>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</si>
  <si>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</si>
  <si>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</si>
  <si>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</si>
  <si>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</si>
  <si>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</si>
  <si>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</si>
  <si>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</si>
  <si>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</si>
  <si>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</si>
  <si>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</si>
  <si>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Wages &amp; Salary Allocator</t>
  </si>
  <si>
    <t>Total Transmission O&amp;M</t>
  </si>
  <si>
    <t>Total A&amp;G</t>
  </si>
  <si>
    <t>General &amp; Intangible</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</si>
  <si>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</si>
  <si>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</si>
  <si>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</si>
  <si>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</si>
  <si>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</si>
  <si>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</si>
  <si>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</si>
  <si>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</si>
  <si>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</si>
  <si>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</si>
  <si>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General Depreciation</t>
  </si>
  <si>
    <t>Total</t>
  </si>
  <si>
    <t>B</t>
  </si>
  <si>
    <t>Proprietary Capital</t>
  </si>
  <si>
    <t>Operation &amp; Maintenance Expense</t>
  </si>
  <si>
    <t>Transmission Accumulated Depreciation</t>
  </si>
  <si>
    <t>Electric Plant in Service</t>
  </si>
  <si>
    <t>Investment Return</t>
  </si>
  <si>
    <t>Income Taxes</t>
  </si>
  <si>
    <t>Criteria for Allocation:</t>
  </si>
  <si>
    <t xml:space="preserve">Wages &amp; Salary Allocator </t>
  </si>
  <si>
    <t>Attachment 5 - Cost Support</t>
  </si>
  <si>
    <t>Allocation</t>
  </si>
  <si>
    <t>Attachment 6 - Estimate and Reconciliation Worksheet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</si>
  <si>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178 of Appendix A.</t>
  </si>
  <si>
    <t>Result of Formula for Reconciliation</t>
  </si>
  <si>
    <t>The Reconciliation in Step 8</t>
  </si>
  <si>
    <t>The difference between the Reconciliation in Step 8 and the forecast in Prior Year with interest</t>
  </si>
  <si>
    <t>Gross Revenue Requirement</t>
  </si>
  <si>
    <t xml:space="preserve">    Less EPRI Dues</t>
  </si>
  <si>
    <t>T/ (1-T)</t>
  </si>
  <si>
    <t>p</t>
  </si>
  <si>
    <t>(percent of federal income tax deductible for state purposes)</t>
  </si>
  <si>
    <t>Notes</t>
  </si>
  <si>
    <t>Accumulated Intangible Amortization</t>
  </si>
  <si>
    <t>Allocator</t>
  </si>
  <si>
    <t>T</t>
  </si>
  <si>
    <t>Net Revenue Requirement</t>
  </si>
  <si>
    <t>O&amp;M</t>
  </si>
  <si>
    <t xml:space="preserve">     Less Account 565</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</si>
  <si>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</si>
  <si>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</si>
  <si>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</si>
  <si>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</si>
  <si>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</si>
  <si>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</si>
  <si>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</si>
  <si>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</si>
  <si>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</si>
  <si>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</si>
  <si>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</si>
  <si>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</si>
  <si>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</si>
  <si>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</si>
  <si>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</si>
  <si>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</si>
  <si>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</si>
  <si>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</si>
  <si>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</si>
  <si>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</si>
  <si>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</si>
  <si>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</si>
  <si>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80 R2 - 35-yr truncation</t>
  </si>
  <si>
    <t>Note 1:  Depreciation rate is based on an 80 R2 survivor curve with a 35-year truncation.</t>
  </si>
  <si>
    <t>** This Total Weighted Average Debt Cost will be shown on Line 101 of formula rate Appendix A.</t>
  </si>
  <si>
    <t>Attachment 8, page 1, Table 1 and 2</t>
  </si>
  <si>
    <t>Other Projects PIS (Monthly additions)</t>
  </si>
  <si>
    <t>Month End Balances</t>
  </si>
  <si>
    <t>(Appendix A, Line 16)</t>
  </si>
  <si>
    <t>are not a result of the RTEP Process</t>
  </si>
  <si>
    <t>on the estimated plant in service of each project.</t>
  </si>
  <si>
    <t>Origination Fees</t>
  </si>
  <si>
    <t xml:space="preserve">Total Loan Amount </t>
  </si>
  <si>
    <t>…</t>
  </si>
  <si>
    <t xml:space="preserve">For each project, where CWIP is to be recovered in rate base, CWIP will be estimated and the totals reported below by project.    For the Reconciliation, for each project where CWIP is to be recovered in rate base the CWIP will be itemized by project below.  Additionally, the amount of AFUDC that would have been capitalized for projects where CWIP is included in rate base will be reported in the FERC Form No. 1. </t>
  </si>
  <si>
    <t>For Estimate:</t>
  </si>
  <si>
    <t>For Reconciliation:</t>
  </si>
  <si>
    <t>Pre-Commercial Costs</t>
  </si>
  <si>
    <t>Difference (must be zero)</t>
  </si>
  <si>
    <t>Prepaid Pensions if not included in Prepayments</t>
  </si>
  <si>
    <t>Amount of transmission plant excluded from rates per Attachment 5.</t>
  </si>
  <si>
    <t>Rate of Return on Rate Base ( ROR )</t>
  </si>
  <si>
    <t>Undistributed Stores Expense</t>
  </si>
  <si>
    <t>Total Additions to Plant in Service reported on pages 204-207 of the Form No. 1</t>
  </si>
  <si>
    <t>Refer to Attachment 5 - Cost Support                          Plant in Service Worksheet</t>
  </si>
  <si>
    <t xml:space="preserve">Includes Regulatory Commission Expenses directly related to transmission service, RTO filings, or transmission siting itemized in Form 1 at 351.h. </t>
  </si>
  <si>
    <t xml:space="preserve">Includes Safety related advertising included in Account 930.1  </t>
  </si>
  <si>
    <t>The currently effective income tax rate where FIT is the Federal income tax rate; SIT is the State income tax rate, and p =</t>
  </si>
  <si>
    <t xml:space="preserve">  the percentage of federal income tax deductible for state income taxes.  If the utility includes taxes in more than one state, it must explain in</t>
  </si>
  <si>
    <t>Excludes all EPRI Annual Membership Dues</t>
  </si>
  <si>
    <t xml:space="preserve">overheads shall be treated as in footnote B above. </t>
  </si>
  <si>
    <t>Potter SS</t>
  </si>
  <si>
    <t xml:space="preserve">p112.15.c  </t>
  </si>
  <si>
    <t>Excludes prior period adjustments in the first year of the formula's operation and reconciliation for the first year.</t>
  </si>
  <si>
    <t>As provided for in Section 34.1 of the PJM OATT; the PJM established billing determinants will not be revised or updated in the annual rate reconciliations.</t>
  </si>
  <si>
    <t xml:space="preserve">    Less Accumulated Other Comprehensive Income Account 219</t>
  </si>
  <si>
    <t>Total Adjustment to Rate Base</t>
  </si>
  <si>
    <t>Total Wages Less A&amp;G Wages Expense</t>
  </si>
  <si>
    <t>Wage &amp; Salary Allocator</t>
  </si>
  <si>
    <t>Total Undistributed Stores Expense Allocated to Transmission</t>
  </si>
  <si>
    <t xml:space="preserve">  1/8</t>
  </si>
  <si>
    <t>Subtotal - Accounts 928 and 930.1 - Transmission Related</t>
  </si>
  <si>
    <t>Total Accounts 928 and 930.1 - General</t>
  </si>
  <si>
    <t>14a</t>
  </si>
  <si>
    <t>14b</t>
  </si>
  <si>
    <t>14c</t>
  </si>
  <si>
    <t>14d</t>
  </si>
  <si>
    <t>14e</t>
  </si>
  <si>
    <t>14f</t>
  </si>
  <si>
    <t>14g</t>
  </si>
  <si>
    <t>Revenues associated with lines 14b-g are to be included in lines 2-10 and total of those revenues entered here</t>
  </si>
  <si>
    <t>Costs associated with revenues in line 14a</t>
  </si>
  <si>
    <t>Net Revenues  (14a - 14b)</t>
  </si>
  <si>
    <t>PJM TRANSMISSION OWNER</t>
  </si>
  <si>
    <t>JUSTIFICATION</t>
  </si>
  <si>
    <t>ADIT- 282  From Account Total Below</t>
  </si>
  <si>
    <t>ADIT-283 From Account Total Below</t>
  </si>
  <si>
    <t>ADIT-190 From Account Total Below</t>
  </si>
  <si>
    <t>Pre-Commercial Costs Capitalized</t>
  </si>
  <si>
    <t>(in service)</t>
  </si>
  <si>
    <t>(E)</t>
  </si>
  <si>
    <t>Unamortized Capitalized Pre-Commercial Costs</t>
  </si>
  <si>
    <t>Amortization Amount (Over 4 Years)</t>
  </si>
  <si>
    <t>Return and Taxes at High End of the range of Reasonableness</t>
  </si>
  <si>
    <t>Pre-Commercial Exp.</t>
  </si>
  <si>
    <t>Total Transmission Plant</t>
  </si>
  <si>
    <t>(F)</t>
  </si>
  <si>
    <t>"Pre-Commercial Exp" is equal to the amount of pre-commercial expense on Attachment 5a for each project expensed in year and amortized in year.</t>
  </si>
  <si>
    <t>"Yes" if a project under PJM OATT Schedule 12, otherwise "No"</t>
  </si>
  <si>
    <t>Net Plant Carrying Charge Calculation with Incentive ROE</t>
  </si>
  <si>
    <t>Net Revenue Requirement with Incentive ROE</t>
  </si>
  <si>
    <t>Attachment 4 - Calculation with Incentive ROE</t>
  </si>
  <si>
    <t>Difference between Base ROE and Incentive ROE</t>
  </si>
  <si>
    <t>W Incentive ROE</t>
  </si>
  <si>
    <t>Transmission Plant</t>
  </si>
  <si>
    <t>Amortization Expense on Pre-Commercial Cost</t>
  </si>
  <si>
    <t>"Yes" if the customer has paid a lump sum payment in the amount of the investment on line 29, Otherwise "No"</t>
  </si>
  <si>
    <t>TrAILCo</t>
  </si>
  <si>
    <t>Step 1</t>
  </si>
  <si>
    <t>Step 2</t>
  </si>
  <si>
    <t>See Calculations for each item below</t>
  </si>
  <si>
    <t>Doubs Transformer #4 (Monthly additions)</t>
  </si>
  <si>
    <t>Doubs Replace Transformer #2</t>
  </si>
  <si>
    <t>Doubs Replace Transformer #4</t>
  </si>
  <si>
    <t>PJM Upgrade ID:  b0343</t>
  </si>
  <si>
    <t>PJM Upgrade ID:  b0345</t>
  </si>
  <si>
    <t>Doubs Transformer #2 (Monthly additions)</t>
  </si>
  <si>
    <t>Trans-Allegheny Interstate Company</t>
  </si>
  <si>
    <t>CWIP</t>
  </si>
  <si>
    <t>Composite</t>
  </si>
  <si>
    <t>N/A</t>
  </si>
  <si>
    <t>Black Oak</t>
  </si>
  <si>
    <t>TO estimates all transmission Cap Adds and CWIP for Year 2 based on each project's cost using the average of 13 monthly balances.  Cap Adds are the projects expected to be in service in Year 2.</t>
  </si>
  <si>
    <t>p206.58.b</t>
  </si>
  <si>
    <t>TO estimates all transmission Cap Adds and CWIP during Year 3 based each project's cost using the average of 13 monthly balances.  Cap Adds  are expected be in service in Year 3.</t>
  </si>
  <si>
    <t>Line</t>
  </si>
  <si>
    <t xml:space="preserve"> 1.  ADIT items related only to Retail Related Operations are directly assigned to Column C.</t>
  </si>
  <si>
    <t xml:space="preserve"> 2.  ADIT items related only to Non-Electric Operations (e.g., Gas, Water, Sewer) or Production are directly assigned to Column D.</t>
  </si>
  <si>
    <t xml:space="preserve">For both the estimate and the reconciliation, Construction Work In Progress ("CWIP") and leases that are expensed as O&amp;M (rather than amortized) are excluded.   </t>
  </si>
  <si>
    <t>For the Estimate Process:</t>
  </si>
  <si>
    <t xml:space="preserve"> The transmission plant will agree to or be reconciled to the FERC Form 1 balance for the transmission plant. </t>
  </si>
  <si>
    <t xml:space="preserve"> New Transmission Plant expected to be placed in service in the current calendar year will be based on the average of 13  monthly investment costs  </t>
  </si>
  <si>
    <t xml:space="preserve">     and shown separately detailed by project on Attachment 6.</t>
  </si>
  <si>
    <t xml:space="preserve">Accumulated depreciation will show the end of year balance and is linked to Attachment 5 which shows detail support by project.  </t>
  </si>
  <si>
    <t xml:space="preserve">CWIP will be linked to Attachment 6 which shows detail support by project (incentive and non-incentive).  </t>
  </si>
  <si>
    <t>For the Reconciliation Process:</t>
  </si>
  <si>
    <t xml:space="preserve">Transmission plant in service will be calculated using a 13 month average balance and will be detailed on Attachment 5.  This includes  </t>
  </si>
  <si>
    <t xml:space="preserve">Accumulated depreciation will be calculated using a 13 month average balance and will be detailed on Attachment 5.  This includes  </t>
  </si>
  <si>
    <t xml:space="preserve">     accumulated depreciation associated with current year transmission plant.  </t>
  </si>
  <si>
    <t xml:space="preserve">Excludes all Regulatory Commission Expenses </t>
  </si>
  <si>
    <t xml:space="preserve">       Step-Up Facilities</t>
  </si>
  <si>
    <t>Net Transmission Plant  + CWIP</t>
  </si>
  <si>
    <t>FCR</t>
  </si>
  <si>
    <t>FCR  without Depreciation</t>
  </si>
  <si>
    <t>FCR without Depreciation and Pre-Commercial Costs</t>
  </si>
  <si>
    <t>FCR without Depreciation, Return, nor Income Taxes</t>
  </si>
  <si>
    <t>FCR with Incentive ROE</t>
  </si>
  <si>
    <t>FCR with Incentive ROE without Depreciation</t>
  </si>
  <si>
    <t>MD  8.25%</t>
  </si>
  <si>
    <t>Composite is calculated based on sales, payroll and property for each jurisdiction</t>
  </si>
  <si>
    <t>FCR with Incentive ROE without Depreciation and Pre-Commercial</t>
  </si>
  <si>
    <t>CIT=(T/1-T) * Investment Return * (1-(WCLTD/R)) =</t>
  </si>
  <si>
    <t>Plus any increased ROE calculated on Attach 7 other than PJM Sch. 12 projects not paid by other PJM trans zones</t>
  </si>
  <si>
    <t>Costs associated with revenues in line 14a that are included in FERC accounts recovered through the formula times the allocator used to functionalize the amounts in the FERC account to the transmission service at issue.</t>
  </si>
  <si>
    <t>Net Revenue Credit (14d + 14e)</t>
  </si>
  <si>
    <t>Less line 14g</t>
  </si>
  <si>
    <t>Reconciliation Details</t>
  </si>
  <si>
    <t>Pre-Commercial Expense</t>
  </si>
  <si>
    <t>Column G</t>
  </si>
  <si>
    <t>Total Transmission Plant Depreciation</t>
  </si>
  <si>
    <t>Total Transmission Depreciation Expense  (must tie to p336.7.f)</t>
  </si>
  <si>
    <t>GENERAL PLANT</t>
  </si>
  <si>
    <t>Survivor                        Curve</t>
  </si>
  <si>
    <t>Net Revenue Requirement Less Return and Taxes</t>
  </si>
  <si>
    <t>Net Salvage Percent</t>
  </si>
  <si>
    <t>Accrual Rate (Annual)                      Percent</t>
  </si>
  <si>
    <t>R1</t>
  </si>
  <si>
    <t>Office Furniture &amp; Equipment</t>
  </si>
  <si>
    <t>SQ</t>
  </si>
  <si>
    <t xml:space="preserve">   Information Systems</t>
  </si>
  <si>
    <t xml:space="preserve">   Data Handling</t>
  </si>
  <si>
    <t>Transportation Equipment</t>
  </si>
  <si>
    <t xml:space="preserve">   Other</t>
  </si>
  <si>
    <t xml:space="preserve">   Autos</t>
  </si>
  <si>
    <t xml:space="preserve">   Light Trucks</t>
  </si>
  <si>
    <t>L4</t>
  </si>
  <si>
    <t xml:space="preserve">   Medium Truck</t>
  </si>
  <si>
    <t xml:space="preserve">   Trailers</t>
  </si>
  <si>
    <t>L1</t>
  </si>
  <si>
    <t xml:space="preserve">   ATV</t>
  </si>
  <si>
    <t>Stores Equipment</t>
  </si>
  <si>
    <t>Tools, Shop &amp; Garage Equipment</t>
  </si>
  <si>
    <t>Power Operated Equipment</t>
  </si>
  <si>
    <t>Communication Equipment</t>
  </si>
  <si>
    <t>Miscellaneous Equipment</t>
  </si>
  <si>
    <t>Total General Plant</t>
  </si>
  <si>
    <t>Total General Plant Depreciation Expense  (must tie to p336.10.b &amp; c)</t>
  </si>
  <si>
    <t>INTANGIBLE PLANT</t>
  </si>
  <si>
    <t>Accrual Rate (Annual) Percent</t>
  </si>
  <si>
    <t>Miscellaneous Intangible Plant</t>
  </si>
  <si>
    <t>Total Intangible Plant</t>
  </si>
  <si>
    <t>Total Intangible Plant Amoritization (must tie to p336.1 d &amp; e)</t>
  </si>
  <si>
    <t>These depreciation rates will not change absent the appropriate filing at FERC.</t>
  </si>
  <si>
    <t>Amount of Deferred Amortized in Year</t>
  </si>
  <si>
    <t xml:space="preserve"> &lt;Note:  for the first rate year, divide this</t>
  </si>
  <si>
    <t>reconciliation amount by 12 and multiply</t>
  </si>
  <si>
    <t>by the number of months and fractional</t>
  </si>
  <si>
    <t xml:space="preserve">Long Term Debt Issuances </t>
  </si>
  <si>
    <t>Effective Cost Rate*</t>
  </si>
  <si>
    <t xml:space="preserve">Loss/Gain on </t>
  </si>
  <si>
    <t>TABLE 2:  Effective Cost Rates For Traditional Front-Loaded Debt Issuances:</t>
  </si>
  <si>
    <t>*  z = Average of monthly balances for months outstanding during the year (averge of the balances for the 12 months of the year, with zero in months that the issuance is not outstanding in a month.).</t>
  </si>
  <si>
    <t>The outstanding amount (column (e)) for debt retired during the year is the outstanding amount at the last month it was outstanding.</t>
  </si>
  <si>
    <t>(Tables 2 and 3)</t>
  </si>
  <si>
    <t>z*</t>
  </si>
  <si>
    <t>in Year*</t>
  </si>
  <si>
    <t>Average Net</t>
  </si>
  <si>
    <t xml:space="preserve">TABLE 1:  Summary Cost of Long Term Debt  </t>
  </si>
  <si>
    <t>(ll)</t>
  </si>
  <si>
    <t>Less Related</t>
  </si>
  <si>
    <t>(Attachment 1)</t>
  </si>
  <si>
    <t>Template for Annual Information Filings with Formula Rate Debt Cost Disclosure and True-Up</t>
  </si>
  <si>
    <t xml:space="preserve">Revenue Credits </t>
  </si>
  <si>
    <t>502 Junction - Territorial Line   (CWIP)</t>
  </si>
  <si>
    <t>months the rate was in effect.</t>
  </si>
  <si>
    <t>(Line 11 - Line 12)</t>
  </si>
  <si>
    <t>PBOP Adjustment for Appendix A, Line 57</t>
  </si>
  <si>
    <t>50% Share of Net Revenues  (14c / 2)</t>
  </si>
  <si>
    <t>Line 14a less line 14f</t>
  </si>
  <si>
    <t>After borrowing is at the midpoint ($275,000)</t>
  </si>
  <si>
    <t>xxx</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</si>
  <si>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14a - 14g, the utility must track in separate subaccounts the revenues and costs associated with each secondary use (except for the cost of the associated income taxes).</t>
  </si>
  <si>
    <t>PJM Upgrade ID:  b0344</t>
  </si>
  <si>
    <t>Formula Rate -- Appendix A</t>
  </si>
  <si>
    <t>H</t>
  </si>
  <si>
    <t xml:space="preserve"> &lt; From Acct 283, below</t>
  </si>
  <si>
    <t>Other taxes that are assessed based on labor will be allocated based on the Wages and Salary Allocator.</t>
  </si>
  <si>
    <t>Allocator.  If the taxes are 100% recovered at retail they shall not be included.</t>
  </si>
  <si>
    <t>(Line 1)</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</si>
  <si>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</si>
  <si>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</si>
  <si>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</si>
  <si>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Weighted Cost of Preferred</t>
  </si>
  <si>
    <t>Transmission</t>
  </si>
  <si>
    <t>ADIT-190</t>
  </si>
  <si>
    <t>ADIT- 282</t>
  </si>
  <si>
    <t>ADIT-283</t>
  </si>
  <si>
    <t>Accumulated Deferred Income Taxes</t>
  </si>
  <si>
    <t>Black Oak (Monthly additions)</t>
  </si>
  <si>
    <t>Wylie Ridge  (Monthly additions)</t>
  </si>
  <si>
    <t>Meadowbrook Transformer (Monthly additions)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</si>
  <si>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</si>
  <si>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</si>
  <si>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</si>
  <si>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</si>
  <si>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</si>
  <si>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</si>
  <si>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</si>
  <si>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</si>
  <si>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</si>
  <si>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</si>
  <si>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ADIT</t>
  </si>
  <si>
    <t>Plant Related</t>
  </si>
  <si>
    <t>Labor Related</t>
  </si>
  <si>
    <t>Other Included</t>
  </si>
  <si>
    <t>Total Plant Related</t>
  </si>
  <si>
    <t>Total Labor Related</t>
  </si>
  <si>
    <t>Total Other Included</t>
  </si>
  <si>
    <t>Allocated</t>
  </si>
  <si>
    <t>Amount</t>
  </si>
  <si>
    <t>Life</t>
  </si>
  <si>
    <t>CIAC</t>
  </si>
  <si>
    <t>Details</t>
  </si>
  <si>
    <t>Invest Yr</t>
  </si>
  <si>
    <t>No</t>
  </si>
  <si>
    <t>Yes</t>
  </si>
  <si>
    <t>FCR if a CIAC</t>
  </si>
  <si>
    <t>FCR for This Project</t>
  </si>
  <si>
    <t xml:space="preserve">Line B less Line A </t>
  </si>
  <si>
    <t>Investment</t>
  </si>
  <si>
    <t>Revenue</t>
  </si>
  <si>
    <t>Depreciation</t>
  </si>
  <si>
    <t>Incentive Charged</t>
  </si>
  <si>
    <t>Revenue Credit</t>
  </si>
  <si>
    <t>Formula Line</t>
  </si>
  <si>
    <t>Per State Tax Code</t>
  </si>
  <si>
    <t>PJM Data</t>
  </si>
  <si>
    <t>ADIT net of FASB 106 and 109</t>
  </si>
  <si>
    <t>Calculated End of Year Balance</t>
  </si>
  <si>
    <t>EOY for Estimate and BOY for Final</t>
  </si>
  <si>
    <t>Retail Related Other Taxes to be Excluded</t>
  </si>
  <si>
    <t>Link to Appendix A, line 15</t>
  </si>
  <si>
    <t>Link to Appendix A, line 6</t>
  </si>
  <si>
    <t>Link to Appendix A, line 25</t>
  </si>
  <si>
    <t>Link to Appendix A, line 8</t>
  </si>
  <si>
    <t>Link to Appendix A, line #s, Descriptions, Notes, Form 1 Page #s and Instructions</t>
  </si>
  <si>
    <t>Doubs Replacement Transformer #2</t>
  </si>
  <si>
    <t>Doubs Replacement Transformer #4</t>
  </si>
  <si>
    <t>Annual Depreciation Exp from Attachment 5</t>
  </si>
  <si>
    <t>Example:</t>
  </si>
  <si>
    <t>Assume Last Project goes into service on day 260.</t>
  </si>
  <si>
    <t>Hypothetical Capital Structure until the last project goes into service is 50/50.</t>
  </si>
  <si>
    <t xml:space="preserve">p352 &amp; 353   </t>
  </si>
  <si>
    <t>Assume Year End actual capital structure is 60% equity and 40% debt.</t>
  </si>
  <si>
    <t>End of Year (for estimate)</t>
  </si>
  <si>
    <t>4.  ADIT items related to Plant and not in Columns C, D &amp; E are directly assigned to Column F.</t>
  </si>
  <si>
    <t>Total Prepayments</t>
  </si>
  <si>
    <t>Prepaid Insurance</t>
  </si>
  <si>
    <t>Prexy - 502 Junction 138 kV (CWIP)</t>
  </si>
  <si>
    <t>p = percent of federal income tax deductible for state purposes</t>
  </si>
  <si>
    <t>Network Zonal Service Rate</t>
  </si>
  <si>
    <t>Net Zonal Revenue Requirement</t>
  </si>
  <si>
    <t>FERC Form 1  Page # or Instruction</t>
  </si>
  <si>
    <t>Electric Portion</t>
  </si>
  <si>
    <t>EPRI Dues</t>
  </si>
  <si>
    <t>I</t>
  </si>
  <si>
    <t>MultiState Workpaper</t>
  </si>
  <si>
    <t>Total Revenue Requirement</t>
  </si>
  <si>
    <t>Form 1 Amount</t>
  </si>
  <si>
    <t>Non-electric  Portion</t>
  </si>
  <si>
    <t>Transmission Related</t>
  </si>
  <si>
    <t>Expensed Lease in Form 1 Amount</t>
  </si>
  <si>
    <t>Safety Related</t>
  </si>
  <si>
    <t>State 1</t>
  </si>
  <si>
    <t>State 2</t>
  </si>
  <si>
    <t>State 3</t>
  </si>
  <si>
    <t>State 4</t>
  </si>
  <si>
    <t>State 5</t>
  </si>
  <si>
    <t>Education &amp; Outreach</t>
  </si>
  <si>
    <t>Other</t>
  </si>
  <si>
    <t>Enter $</t>
  </si>
  <si>
    <t>Description of the Facilities</t>
  </si>
  <si>
    <t>Add more lines if necessary</t>
  </si>
  <si>
    <t>General Description of the Facilities</t>
  </si>
  <si>
    <t>F</t>
  </si>
  <si>
    <t>N</t>
  </si>
  <si>
    <t>Surcharge (Refund) Owed</t>
  </si>
  <si>
    <t>Attachment 7</t>
  </si>
  <si>
    <t>Schedule 12</t>
  </si>
  <si>
    <t>Rev Req based on Year 1 data</t>
  </si>
  <si>
    <t>Year 1</t>
  </si>
  <si>
    <t>TO populates the formula with Year 1 data</t>
  </si>
  <si>
    <t xml:space="preserve">     Plus Schedule 12 Charges billed to Transmission Owner and booked to Account 565</t>
  </si>
  <si>
    <t>Increased Return and Taxes</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</si>
  <si>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</si>
  <si>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</si>
  <si>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</si>
  <si>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</si>
  <si>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</si>
  <si>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</si>
  <si>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</si>
  <si>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Composite Income Taxes</t>
  </si>
  <si>
    <t>Rent or Attachment Fees associated with Transmission Facilities (Note 3)</t>
  </si>
  <si>
    <t>YEAR ENDED</t>
  </si>
  <si>
    <t>Net</t>
  </si>
  <si>
    <t>Effective</t>
  </si>
  <si>
    <t>Outstanding</t>
  </si>
  <si>
    <t>Expense</t>
  </si>
  <si>
    <t>(Discount)</t>
  </si>
  <si>
    <t>Cost Rate</t>
  </si>
  <si>
    <t>First Mortgage Bonds:</t>
  </si>
  <si>
    <t>Issue</t>
  </si>
  <si>
    <t>Maturity</t>
  </si>
  <si>
    <t>Premium</t>
  </si>
  <si>
    <t>Issuance</t>
  </si>
  <si>
    <t>Reacquired</t>
  </si>
  <si>
    <t>Proceeds</t>
  </si>
  <si>
    <t>Coupon</t>
  </si>
  <si>
    <t xml:space="preserve">Annual </t>
  </si>
  <si>
    <t>Date</t>
  </si>
  <si>
    <t>Issued</t>
  </si>
  <si>
    <t>at Issuance</t>
  </si>
  <si>
    <t>Debt</t>
  </si>
  <si>
    <t>Ratio</t>
  </si>
  <si>
    <t>Rate</t>
  </si>
  <si>
    <t>Bedington Transformer</t>
  </si>
  <si>
    <t>Kammer Transformers</t>
  </si>
  <si>
    <t>PJM Upgrade ID:  b0216</t>
  </si>
  <si>
    <t>PJM Upgrade ID:  b0323</t>
  </si>
  <si>
    <t>PJM Upgrade ID:  b0230</t>
  </si>
  <si>
    <t>Wylie Ridge Transformer (Plant In Service)</t>
  </si>
  <si>
    <t>Ax A Line 148</t>
  </si>
  <si>
    <t>Depreciation Rates</t>
  </si>
  <si>
    <t>Plant in Service Worksheet</t>
  </si>
  <si>
    <t>Calculation of Transmission  Plant In Service</t>
  </si>
  <si>
    <t>Source</t>
  </si>
  <si>
    <t>December</t>
  </si>
  <si>
    <t>January</t>
  </si>
  <si>
    <t>company records</t>
  </si>
  <si>
    <t>February</t>
  </si>
  <si>
    <t xml:space="preserve">June </t>
  </si>
  <si>
    <t>July</t>
  </si>
  <si>
    <t>August</t>
  </si>
  <si>
    <t>September</t>
  </si>
  <si>
    <t xml:space="preserve">October </t>
  </si>
  <si>
    <t>November</t>
  </si>
  <si>
    <t>Calculation of Distribution Plant In Service</t>
  </si>
  <si>
    <t>p206.75.b</t>
  </si>
  <si>
    <t>October</t>
  </si>
  <si>
    <t>p207.75.g</t>
  </si>
  <si>
    <t>Distribution Plant In Service</t>
  </si>
  <si>
    <t>Calculation of Intangible Plant In Service</t>
  </si>
  <si>
    <t>Intangible Plant In Service</t>
  </si>
  <si>
    <t>Calculation of General Plant In Service</t>
  </si>
  <si>
    <t>General Plant In Service</t>
  </si>
  <si>
    <t>Calculation of Production Plant In Service</t>
  </si>
  <si>
    <t>Production Plant In Service</t>
  </si>
  <si>
    <t>Sum of averages above</t>
  </si>
  <si>
    <t>OsageWhiteley</t>
  </si>
  <si>
    <t>Meadowbrook Capacitor</t>
  </si>
  <si>
    <t>Kammer</t>
  </si>
  <si>
    <t>Doubs #2 Trans</t>
  </si>
  <si>
    <t>Doubs #3 Trans</t>
  </si>
  <si>
    <t>Doubs #4 Trans</t>
  </si>
  <si>
    <t>Osage Whiteley</t>
  </si>
  <si>
    <t>Bedington Transformers</t>
  </si>
  <si>
    <t>Farmers Valley</t>
  </si>
  <si>
    <t>Harvey Run</t>
  </si>
  <si>
    <t>p.321.97.b</t>
  </si>
  <si>
    <t xml:space="preserve">PJM Upgrade ID:  b0563 </t>
  </si>
  <si>
    <t>PJM Upgrade ID:  b0564</t>
  </si>
  <si>
    <t>PJM Upgrade ID:  b1243</t>
  </si>
  <si>
    <t xml:space="preserve">PJM Upgrade ID: b0674, b1023, b1023.3  </t>
  </si>
  <si>
    <t>Potter</t>
  </si>
  <si>
    <t>Osage Whitely</t>
  </si>
  <si>
    <t>Farmers Valley Capacitor</t>
  </si>
  <si>
    <t>Harvey Run Capacitor</t>
  </si>
  <si>
    <t>Buffalo Road Capacitor</t>
  </si>
  <si>
    <t>Grandview Capacitor</t>
  </si>
  <si>
    <t>Luxor Capacitor</t>
  </si>
  <si>
    <t>Grand Point &amp; Guilford SS</t>
  </si>
  <si>
    <t>Conemaugh Transformer</t>
  </si>
  <si>
    <t>502 Junction  Substation</t>
  </si>
  <si>
    <t>Armstrong</t>
  </si>
  <si>
    <t>Doubs SS</t>
  </si>
  <si>
    <t>Meadowbrook SS</t>
  </si>
  <si>
    <t>PJM Upgrade ID:  b1941</t>
  </si>
  <si>
    <t>PJM Upgrade ID:  b1803</t>
  </si>
  <si>
    <t>Grandview  Capacitor</t>
  </si>
  <si>
    <t>502 Jct Substation</t>
  </si>
  <si>
    <t>Conemaugh-Seward</t>
  </si>
  <si>
    <t>Luxor</t>
  </si>
  <si>
    <t>Grandpoint &amp; Guilford</t>
  </si>
  <si>
    <t>Handsome Lake - Homer City</t>
  </si>
  <si>
    <t>Altoona</t>
  </si>
  <si>
    <t>Blairsville</t>
  </si>
  <si>
    <t>Carbon Center</t>
  </si>
  <si>
    <t>Hunterstown</t>
  </si>
  <si>
    <t>Johnstown</t>
  </si>
  <si>
    <t>Buffalo Road</t>
  </si>
  <si>
    <t>Moshannon</t>
  </si>
  <si>
    <t>Waldo Run</t>
  </si>
  <si>
    <t>Four Mile Junction</t>
  </si>
  <si>
    <t>West Union SS</t>
  </si>
  <si>
    <t>Conemaugh</t>
  </si>
  <si>
    <t>Yeagertown</t>
  </si>
  <si>
    <t>Altoona SVC</t>
  </si>
  <si>
    <t>Shawville</t>
  </si>
  <si>
    <t>Shuman Hill Sub</t>
  </si>
  <si>
    <t>Cabot SS (Monthly Additions)</t>
  </si>
  <si>
    <t>Potter SS (Monthly Additions)</t>
  </si>
  <si>
    <t>Osage Whiteley (Monthly Additions)</t>
  </si>
  <si>
    <t>Handsome Lake-Homer City</t>
  </si>
  <si>
    <t>PJM Upgrade ID:  b2343</t>
  </si>
  <si>
    <t>Cabron Center</t>
  </si>
  <si>
    <t>Shuman Hill/Mobley</t>
  </si>
  <si>
    <t>WV  6.5%</t>
  </si>
  <si>
    <t xml:space="preserve">  502 Junction - Territorial Line               (Monthly additions)</t>
  </si>
  <si>
    <t>Bartonville</t>
  </si>
  <si>
    <t>Shingletown</t>
  </si>
  <si>
    <t>Claysburg Ring Bus</t>
  </si>
  <si>
    <t>Grover Sub</t>
  </si>
  <si>
    <t>Monocacy SS</t>
  </si>
  <si>
    <t>Mainsburg SS</t>
  </si>
  <si>
    <t>Nyswaner</t>
  </si>
  <si>
    <t>Squab Hollow SS</t>
  </si>
  <si>
    <t>Squab Hollow SVC</t>
  </si>
  <si>
    <t xml:space="preserve">Johnstown SS Capacitor </t>
  </si>
  <si>
    <t>Rider Sub</t>
  </si>
  <si>
    <t>Rider Sub (West Milford)</t>
  </si>
  <si>
    <t>Bartonville SS Capacitor</t>
  </si>
  <si>
    <t>Johnstown Sub Capacitor</t>
  </si>
  <si>
    <t>Grover SS</t>
  </si>
  <si>
    <t>Conemaugh Capacitor</t>
  </si>
  <si>
    <t>Shingletown Capacitor</t>
  </si>
  <si>
    <t>502 Junction Substation</t>
  </si>
  <si>
    <t>Shuman Hill</t>
  </si>
  <si>
    <t>Grover SS Capacitor</t>
  </si>
  <si>
    <t>West Union</t>
  </si>
  <si>
    <t>PJM Upgrade ID: b1610</t>
  </si>
  <si>
    <t>PJM Upgrade ID:  b1840</t>
  </si>
  <si>
    <t>PJM Upgrade ID:  b2235</t>
  </si>
  <si>
    <t>PJM Upgrade ID:  b2260</t>
  </si>
  <si>
    <t>PJM Upgrade ID:  b0555</t>
  </si>
  <si>
    <t>PJM Upgrade ID: b0556</t>
  </si>
  <si>
    <t>PJM Upgrade ID:  b1943</t>
  </si>
  <si>
    <t>PJM Upgrade ID:  b2364 &amp; b2364.1</t>
  </si>
  <si>
    <t>PJM Upgrade ID:  b2156</t>
  </si>
  <si>
    <t>PJM Upgrade ID:  b2546</t>
  </si>
  <si>
    <t>PJM Upgrade ID: b1998</t>
  </si>
  <si>
    <t>Rider</t>
  </si>
  <si>
    <t>Johnstwon Sub Capcitor</t>
  </si>
  <si>
    <t>Johnstown Sub Capcitor</t>
  </si>
  <si>
    <t>CALCULATION OF COST OF DEBT</t>
  </si>
  <si>
    <t>Oak Mound</t>
  </si>
  <si>
    <t>Joffre SS</t>
  </si>
  <si>
    <t>Erie South</t>
  </si>
  <si>
    <t>Farmers Valley Substation</t>
  </si>
  <si>
    <t>Richwood Hill</t>
  </si>
  <si>
    <t>Joffre Sub</t>
  </si>
  <si>
    <t>Mainsburg</t>
  </si>
  <si>
    <t>Damascus SS</t>
  </si>
  <si>
    <t>Warren Substation</t>
  </si>
  <si>
    <t>Damascas SS</t>
  </si>
  <si>
    <t>Damascus Substation</t>
  </si>
  <si>
    <t>Joffre Substation S1041</t>
  </si>
  <si>
    <t>PJM Upgrade ID:  b2261</t>
  </si>
  <si>
    <t>PJM Upgrade ID:  b2494</t>
  </si>
  <si>
    <t>PJM Upgrade ID:  s1041</t>
  </si>
  <si>
    <t>Piercebrook SS</t>
  </si>
  <si>
    <t>Piercebrook Substation</t>
  </si>
  <si>
    <t>Waldo Run SS</t>
  </si>
  <si>
    <t>PJM Upgrade ID:  b2587</t>
  </si>
  <si>
    <t>Total, Included and Excluded (Line 14 + Line 20)</t>
  </si>
  <si>
    <t>Total Included  (Lines 4 + 9 + 13)</t>
  </si>
  <si>
    <t>Cabot Substation</t>
  </si>
  <si>
    <t>Wylie Ridge</t>
  </si>
  <si>
    <t>Meadowbrook SS Capacitor</t>
  </si>
  <si>
    <t>Farmers Valley SS</t>
  </si>
  <si>
    <t>COLUMN A</t>
  </si>
  <si>
    <t>COLUMN B</t>
  </si>
  <si>
    <t>COLUMN C</t>
  </si>
  <si>
    <t>COLUMN D</t>
  </si>
  <si>
    <t>COLUMN E</t>
  </si>
  <si>
    <t>COLUMN F</t>
  </si>
  <si>
    <t>COLUMN G</t>
  </si>
  <si>
    <t>COLUMN H</t>
  </si>
  <si>
    <t>Line No.</t>
  </si>
  <si>
    <t>Description</t>
  </si>
  <si>
    <t>Years Remaining at Year End</t>
  </si>
  <si>
    <t>Account 190</t>
  </si>
  <si>
    <t>1a</t>
  </si>
  <si>
    <t>Account 282</t>
  </si>
  <si>
    <t>2a</t>
  </si>
  <si>
    <t>Account 283</t>
  </si>
  <si>
    <t>3a</t>
  </si>
  <si>
    <t>Non-property gross up for Taxes</t>
  </si>
  <si>
    <t xml:space="preserve">Total Non-Property </t>
  </si>
  <si>
    <t>Property Book-Tax Timing Difference - Account 190</t>
  </si>
  <si>
    <t>ARAM</t>
  </si>
  <si>
    <t>Property Book-Tax Timing Difference - Account 282</t>
  </si>
  <si>
    <t>Property Book-Tax Timing Difference - Account 283</t>
  </si>
  <si>
    <t xml:space="preserve">Property Gross up for Taxes </t>
  </si>
  <si>
    <t>Notes:</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</si>
  <si>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</si>
  <si>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</si>
  <si>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</si>
  <si>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</si>
  <si>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</si>
  <si>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The amortization will occur through FERC income statement Accounts 410.1. and 411.1</t>
  </si>
  <si>
    <t>Ending balance of year is the end of current year balance, as reflected on FERC Form No. 1, pages 232 (Account 182.3) and 278 (Account 254)</t>
  </si>
  <si>
    <t>Reflects the net amount of amortization, including gross-up for taxes, from prior period(s) that was booked for GAAP, but deferred for FERC purposes because a mechanism did not exist to pass back/collect excess/deficient ADITs to/from customers.  The net amortized deferral amount, including the gross-up for taxes, is in Account 254, as reflected on FERC Form No. 1, page 278 or Account 182.3, as reflected on FERC Form No. 1, page 232.</t>
  </si>
  <si>
    <t>Beginning balance of year is the end of the prior year balance as reflected on FERC Form No. 1, pages 232 (Account 182.3) and 278 (Account 254)</t>
  </si>
  <si>
    <t xml:space="preserve">(Excess)/Deficient Deferred Income Taxes </t>
  </si>
  <si>
    <t>O</t>
  </si>
  <si>
    <t>114a</t>
  </si>
  <si>
    <t>32a</t>
  </si>
  <si>
    <t>Appendix A, Line 114a</t>
  </si>
  <si>
    <t>(Line 32 + Line 32a)</t>
  </si>
  <si>
    <t xml:space="preserve">Attachment 1.1 - Excess &amp; Deficient ADIT </t>
  </si>
  <si>
    <t>FAS 109 EDIT</t>
  </si>
  <si>
    <t>FAS 109 Other</t>
  </si>
  <si>
    <t xml:space="preserve"> 7. FAS109 related to Excess/Deficient ADIT ("EDIT").  Sum of Accounts 282 and 283 less Account 190 will sum to Attachment 1.1 total. Other FAS109 does not include EDIT.</t>
  </si>
  <si>
    <t>COLUMN I</t>
  </si>
  <si>
    <t>COLUMN J</t>
  </si>
  <si>
    <t>COLUMN K</t>
  </si>
  <si>
    <t>COLUMN L</t>
  </si>
  <si>
    <t>Deferred Tax Asset (Liability) (Note B)</t>
  </si>
  <si>
    <t>ADIT Offset to P&amp;L (Note B)</t>
  </si>
  <si>
    <t>(Excess) Deficient Deferred Income Taxes (Notes B &amp; C)</t>
  </si>
  <si>
    <t>(Excess) Deficient Deferred Income Tax Activity post tax remeasurement</t>
  </si>
  <si>
    <t>Vintage (Note A)</t>
  </si>
  <si>
    <t>M Item</t>
  </si>
  <si>
    <t>Tax Expense (Benefit)</t>
  </si>
  <si>
    <t>ADIT Offset to Regulatory Asset (Liability)
 (= -(Col. E + Col F))</t>
  </si>
  <si>
    <t>Other Adjustments Including Gross-up True-ups</t>
  </si>
  <si>
    <t>(Excess)/Deficient ADIT Transmission Remeasured Balance (= Col. G + Col. H + Col. I)</t>
  </si>
  <si>
    <t>Protected / Unprotected</t>
  </si>
  <si>
    <t>Non-Property Related Items:</t>
  </si>
  <si>
    <t>1</t>
  </si>
  <si>
    <t>190 Accounts</t>
  </si>
  <si>
    <t>Total For 190 Accounts:</t>
  </si>
  <si>
    <t>282 Accounts</t>
  </si>
  <si>
    <t>Total For 282 Accounts:</t>
  </si>
  <si>
    <t>283 Accounts</t>
  </si>
  <si>
    <t>5a</t>
  </si>
  <si>
    <t>Total For 283 Accounts:</t>
  </si>
  <si>
    <t>Total Non-Property Related Items:</t>
  </si>
  <si>
    <t>Net (Excess) Deficient Deferred Income Taxes (excluding Gross-up)</t>
  </si>
  <si>
    <t>Net Tax Gross-up</t>
  </si>
  <si>
    <t>Net (Excess) Deficient Deferred Income Taxes (including Gross-up)</t>
  </si>
  <si>
    <t>Property Related Items:</t>
  </si>
  <si>
    <t>10a</t>
  </si>
  <si>
    <t>12a</t>
  </si>
  <si>
    <t>Total Property Related Items:</t>
  </si>
  <si>
    <t>Total Property and Non-property Related Items:</t>
  </si>
  <si>
    <t>12/31/20XX ADIT Balance
(Prior to Vintage)</t>
  </si>
  <si>
    <t>12/31/20XX ADIT Balance
(After Vintage)</t>
  </si>
  <si>
    <t>Change in ADIT due to Vintage</t>
  </si>
  <si>
    <t>20XX Return-to-Accrual Adjustment (Recorded in 20XX)</t>
  </si>
  <si>
    <t>Regulatory Asset (Account 182.3) or Regulatory Liability (Account 254) as of 12/31/XX</t>
  </si>
  <si>
    <t>Excess/deficient ADIT will be tracked separately for each federal or state tax rate change, to be identified by the appropriate vintage in column A.  TrAILCo will modify Attachment 1.2 to add an additional page for each additional vintage without pursuing a Federal Power Act Section 205 filing.</t>
  </si>
  <si>
    <t xml:space="preserve">B </t>
  </si>
  <si>
    <t>Upon a tax rate change (federal or state), the Company remeasures its deferred tax assets and liabilities to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</si>
  <si>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Reflects the end of 2017 balance, as reflected on FERC Form No. 1, pages 232 (Account 182.3) and 278 (Account 254)</t>
  </si>
  <si>
    <t xml:space="preserve">(Attachment 1.1, Line 40, Col. H) </t>
  </si>
  <si>
    <t>Upon enactment of changes in tax law, income tax rates and other actions taken by a taxing authority, deferred taxes are re-measured and adjusted in the Company's books of account, resulting in excess or deficient accumulated deferred taxes, for schedule M items not directly taken to the P&amp;L. Such excess or deficient deferred taxes attributed to the transmission function will be based upon tax records and calculated in the calendar year in which the excess or deficient amount was measured and recorded for financial reporting purposes.</t>
  </si>
  <si>
    <t>Attachment  H-18A, Attachment 1.1</t>
  </si>
  <si>
    <t>page 1 of 3</t>
  </si>
  <si>
    <t>For the 12 months ended 12/31/</t>
  </si>
  <si>
    <t>(Excess)/Deficient ADIT Transmission - Beg Balance of Year
(Note C)</t>
  </si>
  <si>
    <t>Current Period Other Activity
(Note D)</t>
  </si>
  <si>
    <t>Amortization Period 
(Note E)</t>
  </si>
  <si>
    <t>Amortization
(Note F)</t>
  </si>
  <si>
    <t>(Excess)/Deficient ADIT Transmission - Ending Balance of Year (Note G)
(Col. D + Col. E) - Col. H</t>
  </si>
  <si>
    <t>Regulatory Asset (Account 182.3) or Regulatory Liability (Account 254)</t>
  </si>
  <si>
    <t>Amortized to Account 410.1 or Account 411.1</t>
  </si>
  <si>
    <t>Non-property (Note B):</t>
  </si>
  <si>
    <t>Unprotected</t>
  </si>
  <si>
    <t>Protected</t>
  </si>
  <si>
    <t>Protected, Unprotected</t>
  </si>
  <si>
    <t>Property (Note B):</t>
  </si>
  <si>
    <t>Asset</t>
  </si>
  <si>
    <t>Liability</t>
  </si>
  <si>
    <t>Total Property (Total of lines 6 thru 18)</t>
  </si>
  <si>
    <t>page 2 of 3</t>
  </si>
  <si>
    <t>20a</t>
  </si>
  <si>
    <t>21a</t>
  </si>
  <si>
    <t>22a</t>
  </si>
  <si>
    <t>Total Property (Total of lines 25 thru 37)</t>
  </si>
  <si>
    <t>page 3 of 3</t>
  </si>
  <si>
    <t>Deferral of Amortized Excess/Deficient ADITs  (Note H)</t>
  </si>
  <si>
    <t>Total 20XX FAS109 (Total of lines 5, 19, 24, 38) (Note I)</t>
  </si>
  <si>
    <t>Total 20XX FAS109 (Attachment 1) (Note I)</t>
  </si>
  <si>
    <t>Upon a tax rate change (federal or state),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</si>
  <si>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Included to demonstrate rate base neutrality. Ties back to FERC Form No. 1 page 232 (Account 182.3) plus page 278 (Account 254).</t>
  </si>
  <si>
    <t>Attachment  H-18A, Attachment 1.2</t>
  </si>
  <si>
    <t>24a</t>
  </si>
  <si>
    <t>29a</t>
  </si>
  <si>
    <t>31a</t>
  </si>
  <si>
    <t>Attachment  H-18A, Attachment 1</t>
  </si>
  <si>
    <t>page 1 of 1</t>
  </si>
  <si>
    <t>Warren SS</t>
  </si>
  <si>
    <t>Kammer SS</t>
  </si>
  <si>
    <t>Jan 2021</t>
  </si>
  <si>
    <t>PA Farmers Valley</t>
  </si>
  <si>
    <t>New Martinsville     Capacitor</t>
  </si>
  <si>
    <t>Flint Run Substation</t>
  </si>
  <si>
    <t>Clayburg Ring Bus</t>
  </si>
  <si>
    <t>Johnstown SS Capacitor</t>
  </si>
  <si>
    <t>New Martinsville Capacitor</t>
  </si>
  <si>
    <t>Flint Run</t>
  </si>
  <si>
    <t>Input to Appendix A, Line 147</t>
  </si>
  <si>
    <t>Accelerated Tax Depr-FED-Norm</t>
  </si>
  <si>
    <t>Additional tax deprecation over book</t>
  </si>
  <si>
    <t>Accum Prov For Inj and Damage-Gen Liability</t>
  </si>
  <si>
    <t>Disallowance in current year for charitable deduction due to tax loss, tax attribute carries forward five years</t>
  </si>
  <si>
    <t>Charitable Contribution Carryforward</t>
  </si>
  <si>
    <t>CIAC-Fed-Norm</t>
  </si>
  <si>
    <t>Taxable CIAC</t>
  </si>
  <si>
    <t>CIAC-Fed-Norm-Incurred-CWIP</t>
  </si>
  <si>
    <t>CIAC-MD-Norm-Incurred-CWIP</t>
  </si>
  <si>
    <t>CIAC-PA-Norm</t>
  </si>
  <si>
    <t>CIAC-PA-Norm-Incurred-CWIP</t>
  </si>
  <si>
    <t>CIAC-VA-Norm</t>
  </si>
  <si>
    <t>CIAC-VA-Norm-Incurred-CWIP</t>
  </si>
  <si>
    <t>CIAC-WV-Norm</t>
  </si>
  <si>
    <t>CIAC-WV-Norm-Incurred-CWIP</t>
  </si>
  <si>
    <t>Deferral Amortization of Excess Deferred Income Taxes</t>
  </si>
  <si>
    <t>FASB 109 Gross-UP</t>
  </si>
  <si>
    <t>Reclass of the tax portion (gross-up) for property items included in account 190</t>
  </si>
  <si>
    <t>Federal NOL</t>
  </si>
  <si>
    <t xml:space="preserve">Result of bonus depreciation </t>
  </si>
  <si>
    <t>General Business Credit Carryforward</t>
  </si>
  <si>
    <t>Merger Costs: D&amp;O Insurance</t>
  </si>
  <si>
    <t>Merger Costs: Licenses</t>
  </si>
  <si>
    <t>NOL Deferred Tax Asset - LT PA</t>
  </si>
  <si>
    <t>Result of bonus depreciation</t>
  </si>
  <si>
    <t>NOL Deferred Tax Asset - LT WV</t>
  </si>
  <si>
    <t>Other Reg Liability Misc</t>
  </si>
  <si>
    <t>Temporary differences related to Sponsorships</t>
  </si>
  <si>
    <t>Pension related temporary difference associated with Service Company allocations</t>
  </si>
  <si>
    <t>Pension/OPEB : Other Deferred Credit or Debit</t>
  </si>
  <si>
    <t>Purchase Accounting-LTD FMV</t>
  </si>
  <si>
    <t>Reflects the adjustments and subsequent amortization of the regulatory asset associated with the adjusted debt balances resulting from the FE/AYE merger (Offset is PAA - LT Regulatory Asset Amort below in 283)</t>
  </si>
  <si>
    <t>State Income Tax Deductible</t>
  </si>
  <si>
    <t>Deductions related to state income taxes</t>
  </si>
  <si>
    <t>Tax Interest Capitalized-Fed-Norm</t>
  </si>
  <si>
    <t>Actual amount of tax interest capitalized</t>
  </si>
  <si>
    <t>Tax Interest Capitalized-Fed-Norm-Incurred-CWIP</t>
  </si>
  <si>
    <t>Tax Interest Capitalized-MD-Norm</t>
  </si>
  <si>
    <t>Tax Interest Capitalized-MD-Norm-Incurred-CWIP</t>
  </si>
  <si>
    <t>Tax Interest Capitalized-PA-Norm</t>
  </si>
  <si>
    <t>Tax Interest Capitalized-PA-Norm-Incurred-CWIP</t>
  </si>
  <si>
    <t>Tax Interest Capitalized-VA-Norm</t>
  </si>
  <si>
    <t>Tax Interest Capitalized-VA-Norm-Incurred-CWIP</t>
  </si>
  <si>
    <t>Tax Interest Capitalized-WV-Norm</t>
  </si>
  <si>
    <t>Tax Interest Capitalized-WV-Norm-Incurred-CWIP</t>
  </si>
  <si>
    <t>A&amp;G Expenses Capitalized</t>
  </si>
  <si>
    <t xml:space="preserve">Basis difference relating to A&amp;G expense  </t>
  </si>
  <si>
    <t>Accelerated Tax Depreciation</t>
  </si>
  <si>
    <t>Additional State Depreciation MD</t>
  </si>
  <si>
    <t>Temporary difference for additional state depreciation allowed for MD tax return</t>
  </si>
  <si>
    <t>Additional State Depreciation PA</t>
  </si>
  <si>
    <t>Temporary difference for additional state depreciation allowed for PA tax return</t>
  </si>
  <si>
    <t>Additional State Depreciation VA</t>
  </si>
  <si>
    <t>Temporary difference for additional state depreciation allowed for VA tax return</t>
  </si>
  <si>
    <t>Additional State Depreciation WV</t>
  </si>
  <si>
    <t>Temporary difference for additional state depreciation allowed for WV tax return</t>
  </si>
  <si>
    <t>AFUDC Debt</t>
  </si>
  <si>
    <t>Portion of AFUDC Debt that relates to property and booked to account 282</t>
  </si>
  <si>
    <t>Capitalized Vertical Tree Trimming</t>
  </si>
  <si>
    <t>Temporary difference that is capitalized for book purposes but deductible for tax purposes</t>
  </si>
  <si>
    <t>Cost of Removal</t>
  </si>
  <si>
    <t xml:space="preserve">Temporary difference arising for removal of plant/property  </t>
  </si>
  <si>
    <t>FASB 109 Gross-Up</t>
  </si>
  <si>
    <t>Reclass of the tax portion (gross-up) for property items included in account 282</t>
  </si>
  <si>
    <t>Other Basis Differences</t>
  </si>
  <si>
    <t>Other property related temporary differences</t>
  </si>
  <si>
    <t>T&amp;D Repairs</t>
  </si>
  <si>
    <t>Repair deduction on capitalized book asset deductible for tax purposes under Rev. Proc. 2011-43</t>
  </si>
  <si>
    <t>A&amp;G Expenses-PA-Norm</t>
  </si>
  <si>
    <t>Charitable Contribution State &amp; Local RTA</t>
  </si>
  <si>
    <t>CIAC-Fed-Norm-Reversal-CWIP</t>
  </si>
  <si>
    <t>CIAC-MD-Norm</t>
  </si>
  <si>
    <t>CIAC-MD-Norm-Reversal-CWIP</t>
  </si>
  <si>
    <t>CIAC-PA-Norm-Reversal-CWIP</t>
  </si>
  <si>
    <t>CIAC-VA-Norm-Reversal-CWIP</t>
  </si>
  <si>
    <t>CIAC-WV-Norm-Reversal-CWIP</t>
  </si>
  <si>
    <t>Deferred Charge-EIB</t>
  </si>
  <si>
    <t>Allocated portion of total liabilities relating to captive insurance</t>
  </si>
  <si>
    <t>Reclass of the tax portion (gross-up) for property items included in account 283</t>
  </si>
  <si>
    <t>FIN 48 - R&amp;D Credit</t>
  </si>
  <si>
    <t>See note in #190 for General Business Tax Credit</t>
  </si>
  <si>
    <t>PAA - LT Regulatory Asset Amort</t>
  </si>
  <si>
    <t>Reflects the adjustments and subsequent amortization of adjusted debt balances associated with the FE/AYE merger</t>
  </si>
  <si>
    <t>PJM Receivable</t>
  </si>
  <si>
    <t>Comparison of actual to forecast revenues - non-property related</t>
  </si>
  <si>
    <t>SC01 Timing Allocation</t>
  </si>
  <si>
    <t>Tax Interest Capitalized-Fed-Norm-Reversal-CWIP</t>
  </si>
  <si>
    <t>Tax Interest Capitalized-MD-Norm-Reversal-CWIP</t>
  </si>
  <si>
    <t>Tax Interest Capitalized-PA-Norm-Reversal-CWIP</t>
  </si>
  <si>
    <t>Tax Interest Capitalized-VA-Norm-Reversal-CWIP</t>
  </si>
  <si>
    <t>Tax Interest Capitalized-WV-Norm-Reversal-CWIP</t>
  </si>
  <si>
    <t>Valuation Allowance NOL WV</t>
  </si>
  <si>
    <t>Valuation allowances recorded against state NOL carryforwards not expected to be realized</t>
  </si>
  <si>
    <t>1d</t>
  </si>
  <si>
    <t>Federal Long Term</t>
  </si>
  <si>
    <t>Asset (182.3)</t>
  </si>
  <si>
    <t>1g</t>
  </si>
  <si>
    <t>Liability (182.3)</t>
  </si>
  <si>
    <t>1h</t>
  </si>
  <si>
    <t>Pension/OPEB : Other Def Cr. or Dr.</t>
  </si>
  <si>
    <t>Purch Acct-LTD FMV</t>
  </si>
  <si>
    <t>3b</t>
  </si>
  <si>
    <t>22b</t>
  </si>
  <si>
    <t>1b</t>
  </si>
  <si>
    <t>1c</t>
  </si>
  <si>
    <t>Deferral Amortization of Excess Def Income Taxes</t>
  </si>
  <si>
    <t>1e</t>
  </si>
  <si>
    <t>1f</t>
  </si>
  <si>
    <t>5b</t>
  </si>
  <si>
    <t>5c</t>
  </si>
  <si>
    <t>5d</t>
  </si>
  <si>
    <t>10b</t>
  </si>
  <si>
    <t>10c</t>
  </si>
  <si>
    <t>10d</t>
  </si>
  <si>
    <t>10e</t>
  </si>
  <si>
    <t>10f</t>
  </si>
  <si>
    <t>12b</t>
  </si>
  <si>
    <t>Accelerated Tax Depr-PA-Norm</t>
  </si>
  <si>
    <t>12c</t>
  </si>
  <si>
    <t>AFUDC Debt-PA-Norm</t>
  </si>
  <si>
    <t>12d</t>
  </si>
  <si>
    <t>AFUDC Debt-PA-Norm-Incurred-CWIP</t>
  </si>
  <si>
    <t>12e</t>
  </si>
  <si>
    <t>AFUDC Debt-PA-Norm-Reversal-CWIP</t>
  </si>
  <si>
    <t>12f</t>
  </si>
  <si>
    <t>AFUDC Equity/FAS 43-PA-FT</t>
  </si>
  <si>
    <t>12g</t>
  </si>
  <si>
    <t>AFUDC Equity/FAS 43-PA-FT-Incurred-CWIP</t>
  </si>
  <si>
    <t>12h</t>
  </si>
  <si>
    <t>AFUDC Equity/FAS 43-PA-FT-Reversal-CWIP</t>
  </si>
  <si>
    <t>12i</t>
  </si>
  <si>
    <t>Cap Vertical Tree Trimming-PA-Norm</t>
  </si>
  <si>
    <t>12j</t>
  </si>
  <si>
    <t>Cost of Removal-PA-Norm</t>
  </si>
  <si>
    <t>12k</t>
  </si>
  <si>
    <t>Other Basis Differences-PA-Norm</t>
  </si>
  <si>
    <t>12l</t>
  </si>
  <si>
    <t>R&amp;D Cost-PA-Norm</t>
  </si>
  <si>
    <t>12m</t>
  </si>
  <si>
    <t>Step Up-PA-Norm</t>
  </si>
  <si>
    <t>12n</t>
  </si>
  <si>
    <t>Tax Depreciation Adjustment - PA</t>
  </si>
  <si>
    <t>12o</t>
  </si>
  <si>
    <t>Tax UoP Repair Exp-PA-Norm</t>
  </si>
  <si>
    <t>12p</t>
  </si>
  <si>
    <t>Tax UoP Repair Exp-PA-Norm-Incurred-CWIP</t>
  </si>
  <si>
    <t>12q</t>
  </si>
  <si>
    <t>Tax UoP Repair Exp-PA-Norm-Reversal-CWIP</t>
  </si>
  <si>
    <t>2022 State Property WV</t>
  </si>
  <si>
    <t>2022 Local Property MD</t>
  </si>
  <si>
    <t>p263.9(l)</t>
  </si>
  <si>
    <t>p263.7(l)</t>
  </si>
  <si>
    <t xml:space="preserve">Accrued Federal FICA  </t>
  </si>
  <si>
    <t xml:space="preserve">  p263.39(l)</t>
  </si>
  <si>
    <t>Federal - Excise</t>
  </si>
  <si>
    <t xml:space="preserve">  p263.28(l)</t>
  </si>
  <si>
    <t>State Sales/Use Tax PA</t>
  </si>
  <si>
    <t xml:space="preserve">  p263.18(i)</t>
  </si>
  <si>
    <t>Federal Income Tax</t>
  </si>
  <si>
    <t xml:space="preserve">  p263.22(l)</t>
  </si>
  <si>
    <t>Corporate Net Income Tax MD</t>
  </si>
  <si>
    <t xml:space="preserve">  p263.23(l)</t>
  </si>
  <si>
    <t>Corporate Net Income Tax PA</t>
  </si>
  <si>
    <t xml:space="preserve">  p263.24(l)</t>
  </si>
  <si>
    <t>Corporate Net Income Tax VA</t>
  </si>
  <si>
    <t xml:space="preserve">  p263.25(l)</t>
  </si>
  <si>
    <t xml:space="preserve">Corporate Net Income Tax WV </t>
  </si>
  <si>
    <t xml:space="preserve">  p263.26(l)</t>
  </si>
  <si>
    <t>p328-330                                              Footnote Data Schedule Page: 328 Line: 1 Column: m</t>
  </si>
  <si>
    <t>Make sure to check FF1 for issuance expenses p256 for column (ee)</t>
  </si>
  <si>
    <t>3.85%, Senior Unsecured Notes</t>
  </si>
  <si>
    <t>3.76%, Senior Unsecured Notes</t>
  </si>
  <si>
    <r>
      <t>Effective Cost Rate of Individual Debenture (YTM at issuance):  the t=0 Cashflow C</t>
    </r>
    <r>
      <rPr>
        <vertAlign val="subscript"/>
        <sz val="12"/>
        <rFont val="Arial"/>
        <family val="2"/>
      </rPr>
      <t xml:space="preserve">o </t>
    </r>
    <r>
      <rPr>
        <sz val="12"/>
        <rFont val="Arial"/>
        <family val="2"/>
      </rPr>
      <t>equals Net Proceeds column (gg); Semi-annual (or other) interest cashflows (C</t>
    </r>
    <r>
      <rPr>
        <vertAlign val="subscript"/>
        <sz val="12"/>
        <rFont val="Arial"/>
        <family val="2"/>
      </rPr>
      <t>t=1</t>
    </r>
    <r>
      <rPr>
        <sz val="12"/>
        <rFont val="Arial"/>
        <family val="2"/>
      </rPr>
      <t>, C</t>
    </r>
    <r>
      <rPr>
        <vertAlign val="subscript"/>
        <sz val="12"/>
        <rFont val="Arial"/>
        <family val="2"/>
      </rPr>
      <t>t=2</t>
    </r>
    <r>
      <rPr>
        <sz val="12"/>
        <rFont val="Arial"/>
        <family val="2"/>
      </rPr>
      <t>, etc.).</t>
    </r>
  </si>
  <si>
    <t>PJM Upgrade ID:  b0218; b0220; b1166</t>
  </si>
  <si>
    <t>PJM Upgrade ID: b1800, b1804</t>
  </si>
  <si>
    <t>PJM Upgrade ID: b1800</t>
  </si>
  <si>
    <t>PJM Upgrade ID: b2433.1, b2433.2, b2433.3</t>
  </si>
  <si>
    <t>PJM Upgrade ID: b1153</t>
  </si>
  <si>
    <t>PJM Upgrade ID: b1967</t>
  </si>
  <si>
    <t>PJM Upgrade ID: b1609, b1769</t>
  </si>
  <si>
    <t>PJM Upgrade ID: b1945</t>
  </si>
  <si>
    <t xml:space="preserve">PJM Upgrade ID: b1990 </t>
  </si>
  <si>
    <t>PJM Upgrade ID: b1801</t>
  </si>
  <si>
    <t>PJM Upgrade ID: b1965</t>
  </si>
  <si>
    <t>PJM Upgrade ID: b1839</t>
  </si>
  <si>
    <t>PJM Upgrade ID: b1964</t>
  </si>
  <si>
    <t>PJM Upgrade ID: b1672</t>
  </si>
  <si>
    <t>PJM Upgrade ID: b1999, b2002</t>
  </si>
  <si>
    <t>PJM Upgrade ID: b2342</t>
  </si>
  <si>
    <t>PJM Upgrade ID: b1770</t>
  </si>
  <si>
    <t>PJM Upgrade ID: b2148</t>
  </si>
  <si>
    <t>PJM Upgrade ID: b1023.1</t>
  </si>
  <si>
    <t>PJM Upgrade ID: b1941</t>
  </si>
  <si>
    <t>PJM Upgrade ID:  b1802 &amp; b1608</t>
  </si>
  <si>
    <t>PJM Upgrade ID:  b0376</t>
  </si>
  <si>
    <t>PJM Upgrade ID:  b2362 &amp; b2632.1</t>
  </si>
  <si>
    <t>PJM Upgrade ID:  b2545</t>
  </si>
  <si>
    <t>PJM Upgrade ID:  b2441</t>
  </si>
  <si>
    <t>PJM Upgrade ID:  b2547, b2547.1, b2547.2</t>
  </si>
  <si>
    <t>PJM Upgrade ID:  b2475</t>
  </si>
  <si>
    <t>PJM Upgrade ID:  b1991</t>
  </si>
  <si>
    <t>PJM Upgrade ID: b2996, b2996.1, b2996.2</t>
  </si>
  <si>
    <t>Blairsville SS</t>
  </si>
  <si>
    <t>Four Mile Jct</t>
  </si>
  <si>
    <t>Johnstown SS (2nd xfmr)</t>
  </si>
  <si>
    <t>Grand Point &amp; Guilford</t>
  </si>
  <si>
    <t>Northwood</t>
  </si>
  <si>
    <t>Pleasureville Capacitor</t>
  </si>
  <si>
    <t>FORECAST</t>
  </si>
  <si>
    <t xml:space="preserve">p200.4.c   </t>
  </si>
  <si>
    <t>(Note B)</t>
  </si>
  <si>
    <t>(Note D)</t>
  </si>
  <si>
    <t>(Note G)</t>
  </si>
  <si>
    <t>(Note F)</t>
  </si>
  <si>
    <t>(Note H)</t>
  </si>
  <si>
    <t>(Note J)</t>
  </si>
  <si>
    <t>(Note L)</t>
  </si>
  <si>
    <t>2023 State Property WV</t>
  </si>
  <si>
    <t>2023 Local Property MD</t>
  </si>
  <si>
    <t>2023 Local Property VA</t>
  </si>
  <si>
    <t>For 2023</t>
  </si>
  <si>
    <t>Jan 2024</t>
  </si>
  <si>
    <t>AMT Carryforward</t>
  </si>
  <si>
    <t>Temporary difference that is not deductible until paid</t>
  </si>
  <si>
    <t>Paid AMT tax which generates a credit</t>
  </si>
  <si>
    <t xml:space="preserve">Valuation Allowance Charitable Carryforward </t>
  </si>
  <si>
    <t>Valuation allowance on disallowance in current year for charitable deduction due to tax loss, tax attribute carries forward five years</t>
  </si>
  <si>
    <t>Cost of Removal-MD-Norm</t>
  </si>
  <si>
    <t>Year-End Additional Temp Adjustments L/T</t>
  </si>
  <si>
    <t>Other temporary differences</t>
  </si>
  <si>
    <t xml:space="preserve">  p263.12(l)</t>
  </si>
  <si>
    <t xml:space="preserve">  p263.13lj)</t>
  </si>
  <si>
    <t>p263.6(l)</t>
  </si>
  <si>
    <t xml:space="preserve"> A&amp;G expense adjustment</t>
  </si>
  <si>
    <t>2023 State Property PA (Public Utility Realty)</t>
  </si>
  <si>
    <t xml:space="preserve">  p263.16(l)</t>
  </si>
  <si>
    <t xml:space="preserve">  p263.17(l)</t>
  </si>
  <si>
    <t>2023 State Property OH (Public Utility Realty)</t>
  </si>
  <si>
    <t xml:space="preserve">Merger cost </t>
  </si>
  <si>
    <t>WV DTA related to HB 3286</t>
  </si>
  <si>
    <t>Liability (254)</t>
  </si>
  <si>
    <t>Asset (254)</t>
  </si>
  <si>
    <t>39a</t>
  </si>
  <si>
    <t>40a</t>
  </si>
  <si>
    <t>41a</t>
  </si>
  <si>
    <t>Total Non-Property &amp; Property Amortization, including gross up for taxes (Total of lines 5, 19, 24, 38)</t>
  </si>
  <si>
    <t>2025 Forecast</t>
  </si>
  <si>
    <t>For 2024</t>
  </si>
  <si>
    <t>Jan 2025</t>
  </si>
  <si>
    <t>Potter SS WP-933215</t>
  </si>
  <si>
    <t>Meadowbrook Transformer (monthly additions)</t>
  </si>
  <si>
    <t>North Shenadoah  (monthly additions)</t>
  </si>
  <si>
    <t>Doubs Replace Trans  #2</t>
  </si>
  <si>
    <t>Doubs Replace Trans  #3</t>
  </si>
  <si>
    <t>Doubs Replace Trans  #4</t>
  </si>
  <si>
    <t>Grandview            13645811         (b0563)</t>
  </si>
  <si>
    <t>Johnstown SS Capacitor (13631917)</t>
  </si>
  <si>
    <t>Incentive Comepensation</t>
  </si>
  <si>
    <t>PA 2023 – 2031 corporate income tax gradual rate reduction to 4.99%</t>
  </si>
  <si>
    <t>Resulting from deferral of refund of excess ADIT due to customers</t>
  </si>
  <si>
    <t>Allocated Incentive Compensation Accrual</t>
  </si>
  <si>
    <t>FAS 109 resulting from remeasurement of PA ADIT due to PA HB 1342 law change in 2022</t>
  </si>
  <si>
    <t>Disallowance in current year for charitable deduction due to tax loss, tax attribute carries forward</t>
  </si>
  <si>
    <t>(Excess)/Deficient ADIT Transmission Remeasured Balance as of 12/31/24 (Attachment 1.2 Col. J)</t>
  </si>
  <si>
    <t>58a</t>
  </si>
  <si>
    <t>59a</t>
  </si>
  <si>
    <t>60a</t>
  </si>
  <si>
    <t>12/31/2024 ADIT Balance
(Prior to 2024 PA State Tax)</t>
  </si>
  <si>
    <t>12/31/2024 ADIT Balance
(After 2024 PA State Tax)</t>
  </si>
  <si>
    <t>Change in ADIT due to 2025 PA State Tax</t>
  </si>
  <si>
    <t>2024 Return-to-Accrual Adjustment (Recorded in 2025)</t>
  </si>
  <si>
    <t>Regulatory Asset (Account 182.3) or Regulatory Liability (Account 254) as of 12/31/24</t>
  </si>
  <si>
    <t>Incentive Compensation</t>
  </si>
  <si>
    <t>481a 2023 Return Adjustment</t>
  </si>
  <si>
    <t>12r</t>
  </si>
  <si>
    <t>For the 12 months ended 12/31/24</t>
  </si>
  <si>
    <t>PA   8.49%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</si>
</sst>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_(* #,##0.0000_);_(* \(#,##0.0000\);_(* &quot;-&quot;??_);_(@_)"/>
    <numFmt numFmtId="172" formatCode="0.0000%"/>
    <numFmt numFmtId="173" formatCode="0.00000%"/>
    <numFmt numFmtId="174" formatCode="0.000000%"/>
    <numFmt numFmtId="175" formatCode="_(* #,##0.0_);_(* \(#,##0.0\);_(* &quot;-&quot;??_);_(@_)"/>
    <numFmt numFmtId="176" formatCode="_(&quot;$&quot;* #,##0.0_);_(&quot;$&quot;* \(#,##0.0\);_(&quot;$&quot;* &quot;-&quot;?_);_(@_)"/>
    <numFmt numFmtId="177" formatCode="_(* #,##0.000_);_(* \(#,##0.000\);_(* &quot;-&quot;??_);_(@_)"/>
    <numFmt numFmtId="178" formatCode="_(* #,##0.00000_);_(* \(#,##0.00000\);_(* &quot;-&quot;??_);_(@_)"/>
    <numFmt numFmtId="179" formatCode="_(* #,##0.000_);_(* \(#,##0.000\);_(* &quot;-&quot;???_);_(@_)"/>
    <numFmt numFmtId="180" formatCode="0.0000000"/>
    <numFmt numFmtId="181" formatCode="#,##0.0"/>
    <numFmt numFmtId="182" formatCode="0.000"/>
    <numFmt numFmtId="183" formatCode="0.000000"/>
    <numFmt numFmtId="184" formatCode="#,##0.000"/>
    <numFmt numFmtId="185" formatCode="#,##0.0000"/>
    <numFmt numFmtId="186" formatCode="0.0"/>
    <numFmt numFmtId="187" formatCode="_(* #,##0.00_);_(* \(#,##0.00\);_(* &quot;-&quot;_);_(@_)"/>
    <numFmt numFmtId="188" formatCode="0.000000000%"/>
    <numFmt numFmtId="189" formatCode="_(&quot;$&quot;* #,##0.00_);_(&quot;$&quot;* \(#,##0.00\);_(&quot;$&quot;* &quot;-&quot;_);_(@_)"/>
  </numFmts>
  <fonts count="120">
    <font>
      <sz val="10"/>
      <name val="Arial"/>
      <family val="2"/>
    </font>
    <font>
      <sz val="10"/>
      <color theme="1"/>
      <name val="Arial"/>
      <family val="2"/>
    </font>
    <font>
      <sz val="11"/>
      <color theme="1"/>
      <name val="Calibri"/>
      <family val="2"/>
      <scheme val="minor"/>
    </font>
    <font>
      <b/>
      <sz val="10"/>
      <name val="Arial"/>
      <family val="2"/>
    </font>
    <font>
      <b/>
      <sz val="12"/>
      <name val="Arial"/>
      <family val="2"/>
    </font>
    <font>
      <sz val="10"/>
      <color indexed="10"/>
      <name val="Arial"/>
      <family val="2"/>
    </font>
    <font>
      <sz val="12"/>
      <name val="Arial"/>
      <family val="2"/>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amily val="2"/>
    </font>
    <font>
      <sz val="10"/>
      <color indexed="12"/>
      <name val="Arial"/>
      <family val="2"/>
    </font>
    <font>
      <b/>
      <sz val="14"/>
      <name val="Arial"/>
      <family val="2"/>
    </font>
    <font>
      <sz val="12"/>
      <color indexed="12"/>
      <name val="Helv"/>
      <family val="2"/>
    </font>
    <font>
      <sz val="12"/>
      <name val="Helv"/>
      <family val="2"/>
    </font>
    <font>
      <b/>
      <sz val="12"/>
      <name val="Helv"/>
      <family val="2"/>
    </font>
    <font>
      <b/>
      <sz val="12"/>
      <color indexed="10"/>
      <name val="Helv"/>
      <family val="2"/>
    </font>
    <font>
      <b/>
      <sz val="12"/>
      <color indexed="12"/>
      <name val="Helv"/>
      <family val="2"/>
    </font>
    <font>
      <sz val="12"/>
      <color indexed="13"/>
      <name val="Arial"/>
      <family val="2"/>
    </font>
    <font>
      <b/>
      <sz val="12"/>
      <color indexed="13"/>
      <name val="Arial"/>
      <family val="2"/>
    </font>
    <font>
      <b/>
      <sz val="12"/>
      <color indexed="13"/>
      <name val="Helv"/>
      <family val="2"/>
    </font>
    <font>
      <sz val="14"/>
      <name val="Arial"/>
      <family val="2"/>
    </font>
    <font>
      <sz val="12"/>
      <name val="Arial Narrow"/>
      <family val="2"/>
    </font>
    <font>
      <b/>
      <sz val="12"/>
      <color indexed="10"/>
      <name val="Arial Narrow"/>
      <family val="2"/>
    </font>
    <font>
      <b/>
      <sz val="18"/>
      <name val="Arial"/>
      <family val="2"/>
    </font>
    <font>
      <b/>
      <sz val="10"/>
      <color indexed="10"/>
      <name val="Helv"/>
      <family val="2"/>
    </font>
    <font>
      <b/>
      <i/>
      <sz val="12"/>
      <name val="Arial"/>
      <family val="2"/>
    </font>
    <font>
      <b/>
      <i/>
      <sz val="12"/>
      <color indexed="14"/>
      <name val="Arial"/>
      <family val="2"/>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b/>
      <sz val="9"/>
      <color indexed="10"/>
      <name val="Helv"/>
      <family val="2"/>
    </font>
    <font>
      <sz val="9"/>
      <name val="Arial Narrow"/>
      <family val="2"/>
    </font>
    <font>
      <sz val="9"/>
      <name val="Arial"/>
      <family val="2"/>
    </font>
    <font>
      <b/>
      <sz val="9"/>
      <name val="Arial Narrow"/>
      <family val="2"/>
    </font>
    <font>
      <b/>
      <sz val="12"/>
      <color indexed="13"/>
      <name val="Helvetica"/>
      <family val="2"/>
    </font>
    <font>
      <sz val="12"/>
      <color indexed="43"/>
      <name val="Arial"/>
      <family val="2"/>
    </font>
    <font>
      <b/>
      <u val="single"/>
      <sz val="10"/>
      <name val="Arial"/>
      <family val="2"/>
    </font>
    <font>
      <sz val="12"/>
      <color indexed="14"/>
      <name val="Arial Narrow"/>
      <family val="2"/>
    </font>
    <font>
      <sz val="10"/>
      <color indexed="14"/>
      <name val="Arial"/>
      <family val="2"/>
    </font>
    <font>
      <b/>
      <i/>
      <sz val="14"/>
      <name val="Arial Narrow"/>
      <family val="2"/>
    </font>
    <font>
      <b/>
      <i/>
      <sz val="11"/>
      <name val="Arial Narrow"/>
      <family val="2"/>
    </font>
    <font>
      <sz val="9"/>
      <color indexed="10"/>
      <name val="Arial Narrow"/>
      <family val="2"/>
    </font>
    <font>
      <b/>
      <u val="single"/>
      <sz val="12"/>
      <name val="Arial"/>
      <family val="2"/>
    </font>
    <font>
      <b/>
      <sz val="16"/>
      <name val="Arial"/>
      <family val="2"/>
    </font>
    <font>
      <sz val="10"/>
      <color indexed="14"/>
      <name val="Arial Narrow"/>
      <family val="2"/>
    </font>
    <font>
      <sz val="10"/>
      <color indexed="48"/>
      <name val="Arial"/>
      <family val="2"/>
    </font>
    <font>
      <b/>
      <sz val="20"/>
      <color indexed="12"/>
      <name val="Arial"/>
      <family val="2"/>
    </font>
    <font>
      <b/>
      <sz val="10"/>
      <color indexed="8"/>
      <name val="Arial"/>
      <family val="2"/>
    </font>
    <font>
      <b/>
      <sz val="9"/>
      <color indexed="10"/>
      <name val="Arial Narrow"/>
      <family val="2"/>
    </font>
    <font>
      <sz val="8"/>
      <name val="Arial Narrow"/>
      <family val="2"/>
    </font>
    <font>
      <sz val="10"/>
      <name val="MS Sans Serif"/>
      <family val="2"/>
    </font>
    <font>
      <b/>
      <sz val="10"/>
      <name val="MS Sans Serif"/>
      <family val="2"/>
    </font>
    <font>
      <sz val="8"/>
      <color indexed="10"/>
      <name val="Arial Narrow"/>
      <family val="2"/>
    </font>
    <font>
      <b/>
      <sz val="9"/>
      <name val="Arial"/>
      <family val="2"/>
    </font>
    <font>
      <b/>
      <sz val="11"/>
      <name val="Arial"/>
      <family val="2"/>
    </font>
    <font>
      <sz val="16"/>
      <name val="Arial"/>
      <family val="2"/>
    </font>
    <font>
      <sz val="18"/>
      <name val="Arial"/>
      <family val="2"/>
    </font>
    <font>
      <b/>
      <vertAlign val="superscript"/>
      <sz val="11"/>
      <name val="Arial"/>
      <family val="2"/>
    </font>
    <font>
      <sz val="9"/>
      <color indexed="10"/>
      <name val="Arial"/>
      <family val="2"/>
    </font>
    <font>
      <sz val="10"/>
      <color indexed="8"/>
      <name val="Arial"/>
      <family val="2"/>
    </font>
    <font>
      <b/>
      <sz val="11"/>
      <color indexed="9"/>
      <name val="Arial Narrow"/>
      <family val="2"/>
    </font>
    <font>
      <sz val="7"/>
      <name val="Arial"/>
      <family val="2"/>
    </font>
    <font>
      <b/>
      <i/>
      <sz val="10"/>
      <name val="Arial"/>
      <family val="2"/>
    </font>
    <font>
      <sz val="12"/>
      <color indexed="9"/>
      <name val="Arial"/>
      <family val="2"/>
    </font>
    <font>
      <b/>
      <sz val="10"/>
      <color indexed="12"/>
      <name val="Arial Narrow"/>
      <family val="2"/>
    </font>
    <font>
      <sz val="8"/>
      <name val="Arial"/>
      <family val="2"/>
    </font>
    <font>
      <b/>
      <sz val="11"/>
      <name val="Arial Narrow"/>
      <family val="2"/>
    </font>
    <font>
      <sz val="10"/>
      <color indexed="47"/>
      <name val="Arial"/>
      <family val="2"/>
    </font>
    <font>
      <b/>
      <sz val="11"/>
      <color indexed="12"/>
      <name val="Arial"/>
      <family val="2"/>
    </font>
    <font>
      <sz val="12"/>
      <color indexed="10"/>
      <name val="Arial MT"/>
      <family val="2"/>
    </font>
    <font>
      <sz val="12"/>
      <color indexed="12"/>
      <name val="Arial MT"/>
      <family val="2"/>
    </font>
    <font>
      <sz val="12"/>
      <color indexed="8"/>
      <name val="Arial"/>
      <family val="2"/>
    </font>
    <font>
      <sz val="12"/>
      <color indexed="8"/>
      <name val="Arial MT"/>
      <family val="2"/>
    </font>
    <font>
      <b/>
      <sz val="12"/>
      <color indexed="12"/>
      <name val="Arial"/>
      <family val="2"/>
    </font>
    <font>
      <b/>
      <sz val="12"/>
      <color indexed="10"/>
      <name val="Arial MT"/>
      <family val="2"/>
    </font>
    <font>
      <b/>
      <sz val="9"/>
      <name val="Tahoma"/>
      <family val="2"/>
    </font>
    <font>
      <sz val="9"/>
      <name val="Tahoma"/>
      <family val="2"/>
    </font>
    <font>
      <sz val="8"/>
      <color indexed="10"/>
      <name val="Arial"/>
      <family val="2"/>
    </font>
    <font>
      <sz val="11"/>
      <name val="Calibri"/>
      <family val="2"/>
    </font>
    <font>
      <b/>
      <sz val="20"/>
      <name val="Arial"/>
      <family val="2"/>
    </font>
    <font>
      <sz val="10"/>
      <color rgb="FFFF0000"/>
      <name val="Arial"/>
      <family val="2"/>
    </font>
    <font>
      <sz val="24"/>
      <color rgb="FFFF0000"/>
      <name val="Arial"/>
      <family val="2"/>
    </font>
    <font>
      <sz val="10"/>
      <color rgb="FFFF0000"/>
      <name val="Arial Narrow"/>
      <family val="2"/>
    </font>
    <font>
      <sz val="12"/>
      <color rgb="FFFF0000"/>
      <name val="Arial Narrow"/>
      <family val="2"/>
    </font>
    <font>
      <b/>
      <sz val="11"/>
      <color theme="1"/>
      <name val="Calibri"/>
      <family val="2"/>
      <scheme val="minor"/>
    </font>
    <font>
      <b/>
      <sz val="12"/>
      <name val="Times New Roman"/>
      <family val="1"/>
    </font>
    <font>
      <sz val="12"/>
      <name val="Times New Roman"/>
      <family val="1"/>
    </font>
    <font>
      <b/>
      <sz val="12"/>
      <name val="Calibri"/>
      <family val="2"/>
      <scheme val="minor"/>
    </font>
    <font>
      <sz val="12"/>
      <name val="Calibri"/>
      <family val="2"/>
      <scheme val="minor"/>
    </font>
    <font>
      <b/>
      <sz val="12"/>
      <color rgb="FFFF0000"/>
      <name val="Calibri"/>
      <family val="2"/>
      <scheme val="minor"/>
    </font>
    <font>
      <sz val="11"/>
      <name val="Calibri"/>
      <family val="2"/>
      <scheme val="minor"/>
    </font>
    <font>
      <b/>
      <sz val="12"/>
      <color theme="1"/>
      <name val="Calibri"/>
      <family val="2"/>
      <scheme val="minor"/>
    </font>
    <font>
      <b/>
      <sz val="11"/>
      <color rgb="FFFF0000"/>
      <name val="Calibri"/>
      <family val="2"/>
      <scheme val="minor"/>
    </font>
    <font>
      <b/>
      <sz val="10"/>
      <color rgb="FFFF0000"/>
      <name val="Arial Narrow"/>
      <family val="2"/>
    </font>
    <font>
      <u val="single"/>
      <sz val="11"/>
      <name val="Calibri"/>
      <family val="2"/>
      <scheme val="minor"/>
    </font>
    <font>
      <b/>
      <u val="single"/>
      <sz val="11"/>
      <color theme="1"/>
      <name val="Calibri"/>
      <family val="2"/>
      <scheme val="minor"/>
    </font>
    <font>
      <b/>
      <sz val="11"/>
      <name val="Calibri"/>
      <family val="2"/>
      <scheme val="minor"/>
    </font>
    <font>
      <sz val="11"/>
      <name val="Times New Roman"/>
      <family val="1"/>
    </font>
    <font>
      <sz val="11"/>
      <color theme="1"/>
      <name val="Calibri"/>
      <family val="2"/>
    </font>
    <font>
      <b/>
      <sz val="11"/>
      <name val="Calibri"/>
      <family val="2"/>
    </font>
    <font>
      <b/>
      <sz val="11"/>
      <color theme="1"/>
      <name val="Calibri"/>
      <family val="2"/>
    </font>
    <font>
      <i/>
      <sz val="12"/>
      <name val="Arial"/>
      <family val="2"/>
    </font>
    <font>
      <u val="single"/>
      <sz val="12"/>
      <name val="Arial"/>
      <family val="2"/>
    </font>
    <font>
      <sz val="12"/>
      <color indexed="56"/>
      <name val="Arial"/>
      <family val="2"/>
    </font>
    <font>
      <vertAlign val="subscript"/>
      <sz val="12"/>
      <name val="Arial"/>
      <family val="2"/>
    </font>
    <font>
      <strike/>
      <vertAlign val="superscript"/>
      <sz val="12"/>
      <name val="Arial"/>
      <family val="2"/>
    </font>
    <font>
      <u val="single"/>
      <sz val="11"/>
      <name val="Calibri"/>
      <family val="2"/>
    </font>
    <font>
      <b/>
      <sz val="11"/>
      <color rgb="FF0070C0"/>
      <name val="Calibri"/>
      <family val="2"/>
      <scheme val="minor"/>
    </font>
    <font>
      <b/>
      <sz val="11"/>
      <color rgb="FF0070C0"/>
      <name val="Calibri"/>
      <family val="2"/>
    </font>
  </fonts>
  <fills count="15">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27"/>
        <bgColor indexed="64"/>
      </patternFill>
    </fill>
    <fill>
      <patternFill patternType="solid">
        <fgColor rgb="FFFFFF00"/>
        <bgColor indexed="64"/>
      </patternFill>
    </fill>
    <fill>
      <patternFill patternType="solid">
        <fgColor theme="5" tint="0.799979984760284"/>
        <bgColor indexed="64"/>
      </patternFill>
    </fill>
    <fill>
      <patternFill patternType="solid">
        <fgColor rgb="FFFF0000"/>
        <bgColor indexed="64"/>
      </patternFill>
    </fill>
    <fill>
      <patternFill patternType="solid">
        <fgColor rgb="FFFFFF99"/>
        <bgColor indexed="64"/>
      </patternFill>
    </fill>
    <fill>
      <patternFill patternType="solid">
        <fgColor theme="5"/>
        <bgColor indexed="64"/>
      </patternFill>
    </fill>
  </fills>
  <borders count="59">
    <border>
      <left/>
      <right/>
      <top/>
      <bottom/>
      <diagonal/>
    </border>
    <border>
      <left/>
      <right/>
      <top/>
      <bottom style="medium">
        <color auto="1"/>
      </bottom>
    </border>
    <border>
      <left/>
      <right/>
      <top style="thin">
        <color auto="1"/>
      </top>
      <bottom/>
    </border>
    <border>
      <left/>
      <right/>
      <top style="thin">
        <color auto="1"/>
      </top>
      <bottom style="double">
        <color auto="1"/>
      </bottom>
    </border>
    <border>
      <left/>
      <right/>
      <top/>
      <bottom style="thin">
        <color auto="1"/>
      </bottom>
    </border>
    <border>
      <left/>
      <right/>
      <top style="medium">
        <color auto="1"/>
      </top>
      <bottom style="medium">
        <color auto="1"/>
      </bottom>
    </border>
    <border>
      <left style="medium">
        <color auto="1"/>
      </left>
      <right/>
      <top style="medium">
        <color auto="1"/>
      </top>
      <bottom style="medium">
        <color auto="1"/>
      </bottom>
    </border>
    <border>
      <left style="medium">
        <color auto="1"/>
      </left>
      <right/>
      <top/>
      <bottom style="medium">
        <color auto="1"/>
      </bottom>
    </border>
    <border>
      <left/>
      <right style="medium">
        <color auto="1"/>
      </right>
      <top/>
      <bottom style="medium">
        <color auto="1"/>
      </bottom>
    </border>
    <border>
      <left/>
      <right style="medium">
        <color auto="1"/>
      </right>
      <top/>
      <bottom/>
    </border>
    <border>
      <left style="medium">
        <color auto="1"/>
      </left>
      <right/>
      <top/>
      <bottom/>
    </border>
    <border>
      <left/>
      <right/>
      <top style="medium">
        <color auto="1"/>
      </top>
      <bottom/>
    </border>
    <border>
      <left style="medium">
        <color auto="1"/>
      </left>
      <right/>
      <top style="medium">
        <color auto="1"/>
      </top>
      <bottom/>
    </border>
    <border>
      <left/>
      <right style="medium">
        <color auto="1"/>
      </right>
      <top style="medium">
        <color auto="1"/>
      </top>
      <bottom/>
    </border>
    <border>
      <left style="medium">
        <color auto="1"/>
      </left>
      <right style="medium">
        <color auto="1"/>
      </right>
      <top/>
      <bottom/>
    </border>
    <border>
      <left/>
      <right style="medium">
        <color auto="1"/>
      </right>
      <top/>
      <bottom style="thin">
        <color auto="1"/>
      </bottom>
    </border>
    <border>
      <left style="medium">
        <color auto="1"/>
      </left>
      <right style="medium">
        <color auto="1"/>
      </right>
      <top/>
      <bottom style="medium">
        <color auto="1"/>
      </bottom>
    </border>
    <border>
      <left/>
      <right/>
      <top/>
      <bottom style="double">
        <color auto="1"/>
      </bottom>
    </border>
    <border>
      <left style="medium">
        <color auto="1"/>
      </left>
      <right style="medium">
        <color auto="1"/>
      </right>
      <top style="medium">
        <color auto="1"/>
      </top>
      <bottom/>
    </border>
    <border>
      <left/>
      <right style="medium">
        <color auto="1"/>
      </right>
      <top style="thin">
        <color auto="1"/>
      </top>
      <bottom style="double">
        <color auto="1"/>
      </bottom>
    </border>
    <border>
      <left style="medium">
        <color auto="1"/>
      </left>
      <right/>
      <top style="thin">
        <color auto="1"/>
      </top>
      <bottom style="double">
        <color auto="1"/>
      </bottom>
    </border>
    <border>
      <left style="medium">
        <color auto="1"/>
      </left>
      <right style="thin">
        <color auto="1"/>
      </right>
      <top style="medium">
        <color auto="1"/>
      </top>
      <bottom style="thin">
        <color auto="1"/>
      </bottom>
    </border>
    <border>
      <left style="medium">
        <color auto="1"/>
      </left>
      <right style="medium">
        <color auto="1"/>
      </right>
      <top style="medium">
        <color auto="1"/>
      </top>
      <bottom style="medium">
        <color auto="1"/>
      </bottom>
    </border>
    <border>
      <left style="medium">
        <color auto="1"/>
      </left>
      <right/>
      <top/>
      <bottom style="thin">
        <color auto="1"/>
      </bottom>
    </border>
    <border>
      <left/>
      <right/>
      <top style="thin">
        <color auto="1"/>
      </top>
      <bottom style="thin">
        <color auto="1"/>
      </bottom>
    </border>
    <border>
      <left style="thin">
        <color auto="1"/>
      </left>
      <right style="thin">
        <color auto="1"/>
      </right>
      <top style="thin">
        <color auto="1"/>
      </top>
      <bottom style="thin">
        <color auto="1"/>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style="medium">
        <color auto="1"/>
      </top>
      <bottom style="medium">
        <color auto="1"/>
      </bottom>
    </border>
    <border>
      <left style="medium">
        <color auto="1"/>
      </left>
      <right style="thin">
        <color auto="1"/>
      </right>
      <top style="thin">
        <color auto="1"/>
      </top>
      <bottom style="medium">
        <color auto="1"/>
      </bottom>
    </border>
    <border>
      <left style="medium">
        <color auto="1"/>
      </left>
      <right/>
      <top style="thin">
        <color auto="1"/>
      </top>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right style="thin">
        <color auto="1"/>
      </right>
      <top style="medium">
        <color auto="1"/>
      </top>
      <bottom style="thin">
        <color auto="1"/>
      </bottom>
    </border>
    <border>
      <left/>
      <right style="medium">
        <color auto="1"/>
      </right>
      <top style="medium">
        <color auto="1"/>
      </top>
      <bottom style="thin">
        <color auto="1"/>
      </bottom>
    </border>
    <border>
      <left/>
      <right style="medium">
        <color auto="1"/>
      </right>
      <top style="thin">
        <color auto="1"/>
      </top>
      <bottom style="medium">
        <color auto="1"/>
      </bottom>
    </border>
    <border>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thin">
        <color auto="1"/>
      </right>
      <top/>
      <bottom style="thin">
        <color auto="1"/>
      </bottom>
    </border>
    <border>
      <left style="medium">
        <color auto="1"/>
      </left>
      <right style="medium">
        <color auto="1"/>
      </right>
      <top style="medium">
        <color auto="1"/>
      </top>
      <bottom style="thin">
        <color auto="1"/>
      </bottom>
    </border>
    <border>
      <left/>
      <right/>
      <top style="thick">
        <color auto="1"/>
      </top>
      <bottom/>
    </border>
    <border>
      <left style="medium">
        <color auto="1"/>
      </left>
      <right style="medium">
        <color auto="1"/>
      </right>
      <top/>
      <bottom style="thin">
        <color auto="1"/>
      </bottom>
    </border>
    <border>
      <left style="thin">
        <color auto="1"/>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right style="thin">
        <color auto="1"/>
      </right>
      <top/>
      <bottom style="thin">
        <color auto="1"/>
      </bottom>
    </border>
    <border>
      <left style="thin">
        <color auto="1"/>
      </left>
      <right/>
      <top/>
      <bottom style="thin">
        <color auto="1"/>
      </bottom>
    </border>
    <border>
      <left/>
      <right style="thin">
        <color auto="1"/>
      </right>
      <top/>
      <bottom style="double">
        <color auto="1"/>
      </bottom>
    </border>
    <border>
      <left style="thin">
        <color auto="1"/>
      </left>
      <right style="medium">
        <color auto="1"/>
      </right>
      <top/>
      <bottom style="thin">
        <color auto="1"/>
      </bottom>
    </border>
    <border>
      <left style="medium">
        <color auto="1"/>
      </left>
      <right/>
      <top style="thin">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top style="medium">
        <color auto="1"/>
      </top>
      <bottom style="thin">
        <color auto="1"/>
      </bottom>
    </border>
    <border>
      <left style="medium">
        <color auto="1"/>
      </left>
      <right style="medium">
        <color auto="1"/>
      </right>
      <top style="thin">
        <color auto="1"/>
      </top>
      <bottom style="medium">
        <color auto="1"/>
      </bottom>
    </border>
  </borders>
  <cellStyleXfs count="6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2" fillId="0" borderId="0">
      <alignment/>
      <protection/>
    </xf>
    <xf numFmtId="169" fontId="11" fillId="0" borderId="0" applyProtection="0">
      <alignment/>
    </xf>
    <xf numFmtId="9" fontId="0" fillId="0" borderId="0" applyFont="0" applyFill="0" applyBorder="0" applyAlignment="0" applyProtection="0"/>
    <xf numFmtId="9" fontId="0" fillId="0" borderId="0" applyFont="0" applyFill="0" applyBorder="0" applyAlignment="0" applyProtection="0"/>
    <xf numFmtId="9" fontId="2" fillId="0" borderId="0" applyFont="0" applyFill="0" applyBorder="0" applyAlignment="0" applyProtection="0"/>
    <xf numFmtId="0" fontId="61" fillId="0" borderId="0" applyNumberFormat="0" applyFont="0" applyFill="0" applyBorder="0" applyProtection="0">
      <alignment/>
    </xf>
    <xf numFmtId="15" fontId="61" fillId="0" borderId="0" applyFont="0" applyFill="0" applyBorder="0" applyAlignment="0" applyProtection="0"/>
    <xf numFmtId="4" fontId="61" fillId="0" borderId="0" applyFont="0" applyFill="0" applyBorder="0" applyAlignment="0" applyProtection="0"/>
    <xf numFmtId="0" fontId="62" fillId="0" borderId="1">
      <alignment horizontal="center"/>
      <protection/>
    </xf>
    <xf numFmtId="3" fontId="61" fillId="0" borderId="0" applyFont="0" applyFill="0" applyBorder="0" applyAlignment="0" applyProtection="0"/>
    <xf numFmtId="0" fontId="61" fillId="2" borderId="0" applyNumberFormat="0" applyFont="0" applyBorder="0" applyAlignment="0" applyProtection="0"/>
    <xf numFmtId="0" fontId="2" fillId="0" borderId="0">
      <alignment/>
      <protection/>
    </xf>
    <xf numFmtId="0" fontId="2"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2" fillId="0" borderId="0">
      <alignment/>
      <protection/>
    </xf>
    <xf numFmtId="43" fontId="0" fillId="0" borderId="0" applyFont="0" applyFill="0" applyBorder="0" applyAlignment="0" applyProtection="0"/>
    <xf numFmtId="0" fontId="2" fillId="0" borderId="0">
      <alignment/>
      <protection/>
    </xf>
    <xf numFmtId="0" fontId="2"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cellStyleXfs>
  <cellXfs count="1822">
    <xf numFmtId="0" fontId="0" fillId="0" borderId="0" xfId="0"/>
    <xf numFmtId="0" fontId="4" fillId="0" borderId="0" xfId="0" applyFont="1"/>
    <xf numFmtId="0" fontId="6" fillId="0" borderId="0" xfId="0" applyFont="1"/>
    <xf numFmtId="0" fontId="6" fillId="0" borderId="0" xfId="0" applyFont="1" applyAlignment="1">
      <alignment horizontal="left"/>
    </xf>
    <xf numFmtId="3" fontId="6" fillId="0" borderId="0" xfId="0" applyNumberFormat="1" applyFont="1"/>
    <xf numFmtId="0" fontId="6" fillId="0" borderId="0" xfId="0" applyFont="1" applyAlignment="1">
      <alignment horizontal="center"/>
    </xf>
    <xf numFmtId="168" fontId="6" fillId="0" borderId="0" xfId="0" applyNumberFormat="1" applyFont="1"/>
    <xf numFmtId="0" fontId="4" fillId="0" borderId="0" xfId="0" applyFont="1" applyAlignment="1">
      <alignment horizontal="center"/>
    </xf>
    <xf numFmtId="3" fontId="4" fillId="0" borderId="0" xfId="0" applyNumberFormat="1" applyFont="1"/>
    <xf numFmtId="167" fontId="6" fillId="0" borderId="0" xfId="0" applyNumberFormat="1" applyFont="1" applyAlignment="1">
      <alignment horizontal="center"/>
    </xf>
    <xf numFmtId="167" fontId="6" fillId="0" borderId="0" xfId="0" applyNumberFormat="1" applyFont="1" applyAlignment="1">
      <alignment horizontal="left"/>
    </xf>
    <xf numFmtId="168" fontId="6" fillId="0" borderId="0" xfId="0" applyNumberFormat="1" applyFont="1" applyAlignment="1">
      <alignment horizontal="center"/>
    </xf>
    <xf numFmtId="10" fontId="6" fillId="0" borderId="0" xfId="0" applyNumberFormat="1" applyFont="1" applyAlignment="1">
      <alignment horizontal="right"/>
    </xf>
    <xf numFmtId="3" fontId="6" fillId="0" borderId="0" xfId="0" applyNumberFormat="1" applyFont="1" applyAlignment="1">
      <alignment horizontal="right"/>
    </xf>
    <xf numFmtId="3" fontId="6" fillId="0" borderId="0" xfId="0" applyNumberFormat="1" applyFont="1" applyAlignment="1">
      <alignment horizontal="center"/>
    </xf>
    <xf numFmtId="165" fontId="6" fillId="0" borderId="0" xfId="0" applyNumberFormat="1" applyFont="1"/>
    <xf numFmtId="169" fontId="6" fillId="0" borderId="0" xfId="0" applyNumberFormat="1" applyFont="1"/>
    <xf numFmtId="0" fontId="4" fillId="0" borderId="0" xfId="0" applyFont="1" applyAlignment="1">
      <alignment horizontal="right"/>
    </xf>
    <xf numFmtId="3" fontId="6" fillId="0" borderId="0" xfId="0" applyNumberFormat="1" applyFont="1" applyAlignment="1" quotePrefix="1">
      <alignment horizontal="right"/>
    </xf>
    <xf numFmtId="0" fontId="6" fillId="0" borderId="0" xfId="0" applyFont="1" applyAlignment="1">
      <alignment horizontal="center"/>
    </xf>
    <xf numFmtId="0" fontId="6" fillId="0" borderId="0" xfId="0" applyFont="1"/>
    <xf numFmtId="0" fontId="11" fillId="0" borderId="0" xfId="0" applyFont="1"/>
    <xf numFmtId="0" fontId="9" fillId="0" borderId="0" xfId="0" applyFont="1"/>
    <xf numFmtId="3" fontId="6" fillId="0" borderId="2" xfId="0" applyNumberFormat="1" applyFont="1" applyBorder="1"/>
    <xf numFmtId="172" fontId="4" fillId="0" borderId="0" xfId="15" applyNumberFormat="1" applyFont="1" applyAlignment="1">
      <alignment/>
    </xf>
    <xf numFmtId="0" fontId="4" fillId="0" borderId="2" xfId="0" applyFont="1" applyBorder="1"/>
    <xf numFmtId="0" fontId="4" fillId="0" borderId="3" xfId="0" applyFont="1" applyBorder="1"/>
    <xf numFmtId="3" fontId="4" fillId="0" borderId="3" xfId="0" applyNumberFormat="1" applyFont="1" applyBorder="1"/>
    <xf numFmtId="0" fontId="6" fillId="0" borderId="2" xfId="0" applyFont="1" applyBorder="1"/>
    <xf numFmtId="0" fontId="6" fillId="0" borderId="0" xfId="0" applyFont="1" applyAlignment="1">
      <alignment horizontal="left"/>
    </xf>
    <xf numFmtId="0" fontId="6" fillId="0" borderId="0" xfId="0" applyFont="1" applyAlignment="1">
      <alignment horizontal="right"/>
    </xf>
    <xf numFmtId="0" fontId="6" fillId="0" borderId="2" xfId="0" applyFont="1" applyBorder="1"/>
    <xf numFmtId="3" fontId="14" fillId="0" borderId="0" xfId="0" applyNumberFormat="1" applyFont="1" applyAlignment="1">
      <alignment horizontal="right"/>
    </xf>
    <xf numFmtId="172" fontId="6" fillId="0" borderId="0" xfId="0" applyNumberFormat="1" applyFont="1" applyAlignment="1">
      <alignment horizontal="right"/>
    </xf>
    <xf numFmtId="3" fontId="15" fillId="0" borderId="0" xfId="0" applyNumberFormat="1" applyFont="1" applyAlignment="1">
      <alignment horizontal="right"/>
    </xf>
    <xf numFmtId="3" fontId="6" fillId="0" borderId="2" xfId="0" applyNumberFormat="1" applyFont="1" applyBorder="1" applyAlignment="1">
      <alignment horizontal="right"/>
    </xf>
    <xf numFmtId="3" fontId="18" fillId="0" borderId="2" xfId="0" applyNumberFormat="1" applyFont="1" applyBorder="1" applyAlignment="1">
      <alignment horizontal="right"/>
    </xf>
    <xf numFmtId="0" fontId="4" fillId="0" borderId="0" xfId="0" applyFont="1"/>
    <xf numFmtId="3" fontId="4" fillId="0" borderId="2" xfId="0" applyNumberFormat="1" applyFont="1" applyBorder="1" applyAlignment="1">
      <alignment horizontal="right"/>
    </xf>
    <xf numFmtId="165" fontId="4" fillId="0" borderId="0" xfId="0" applyNumberFormat="1" applyFont="1"/>
    <xf numFmtId="3" fontId="4" fillId="0" borderId="0" xfId="0" applyNumberFormat="1" applyFont="1" applyAlignment="1" quotePrefix="1">
      <alignment horizontal="right"/>
    </xf>
    <xf numFmtId="3" fontId="6" fillId="0" borderId="0" xfId="0" applyNumberFormat="1" applyFont="1"/>
    <xf numFmtId="0" fontId="20" fillId="3" borderId="0" xfId="0" applyFont="1" applyFill="1"/>
    <xf numFmtId="0" fontId="20" fillId="3" borderId="0" xfId="0" applyFont="1" applyFill="1" applyAlignment="1">
      <alignment horizontal="left"/>
    </xf>
    <xf numFmtId="0" fontId="6" fillId="0" borderId="4" xfId="0" applyFont="1" applyBorder="1" applyAlignment="1">
      <alignment horizontal="left"/>
    </xf>
    <xf numFmtId="3" fontId="14" fillId="0" borderId="4" xfId="0" applyNumberFormat="1" applyFont="1" applyBorder="1" applyAlignment="1">
      <alignment horizontal="right"/>
    </xf>
    <xf numFmtId="0" fontId="6" fillId="0" borderId="4" xfId="0" applyFont="1" applyBorder="1"/>
    <xf numFmtId="0" fontId="4" fillId="0" borderId="3" xfId="0" applyFont="1" applyBorder="1" applyAlignment="1">
      <alignment horizontal="right"/>
    </xf>
    <xf numFmtId="0" fontId="4" fillId="0" borderId="0" xfId="0" applyFont="1" applyAlignment="1">
      <alignment horizontal="left"/>
    </xf>
    <xf numFmtId="0" fontId="9" fillId="0" borderId="0" xfId="0" applyFont="1" applyAlignment="1">
      <alignment horizontal="center"/>
    </xf>
    <xf numFmtId="172" fontId="4" fillId="0" borderId="3" xfId="15" applyNumberFormat="1" applyFont="1" applyBorder="1" applyAlignment="1">
      <alignment/>
    </xf>
    <xf numFmtId="0" fontId="6" fillId="0" borderId="3" xfId="0" applyFont="1" applyBorder="1"/>
    <xf numFmtId="3" fontId="6" fillId="0" borderId="4" xfId="0" applyNumberFormat="1" applyFont="1" applyBorder="1"/>
    <xf numFmtId="3" fontId="6" fillId="0" borderId="4" xfId="0" applyNumberFormat="1" applyFont="1" applyBorder="1" applyAlignment="1">
      <alignment horizontal="right"/>
    </xf>
    <xf numFmtId="167" fontId="4" fillId="0" borderId="3" xfId="0" applyNumberFormat="1" applyFont="1" applyBorder="1" applyAlignment="1">
      <alignment horizontal="left"/>
    </xf>
    <xf numFmtId="168" fontId="4" fillId="0" borderId="3" xfId="0" applyNumberFormat="1" applyFont="1" applyBorder="1" applyAlignment="1">
      <alignment horizontal="center"/>
    </xf>
    <xf numFmtId="0" fontId="6" fillId="0" borderId="0" xfId="0" applyFont="1" applyAlignment="1">
      <alignment horizontal="center" wrapText="1"/>
    </xf>
    <xf numFmtId="0" fontId="6" fillId="3" borderId="0" xfId="0" applyFont="1" applyFill="1"/>
    <xf numFmtId="0" fontId="19" fillId="0" borderId="0" xfId="0" applyFont="1" applyAlignment="1">
      <alignment horizontal="center"/>
    </xf>
    <xf numFmtId="0" fontId="20" fillId="0" borderId="0" xfId="0" applyFont="1"/>
    <xf numFmtId="0" fontId="21" fillId="3" borderId="0" xfId="0" applyFont="1" applyFill="1" applyAlignment="1">
      <alignment horizontal="left"/>
    </xf>
    <xf numFmtId="0" fontId="21" fillId="3" borderId="0" xfId="0" applyFont="1" applyFill="1"/>
    <xf numFmtId="0" fontId="16" fillId="3" borderId="0" xfId="0" applyFont="1" applyFill="1" applyAlignment="1">
      <alignment horizontal="left"/>
    </xf>
    <xf numFmtId="0" fontId="6" fillId="3" borderId="0" xfId="0" applyFont="1" applyFill="1" applyAlignment="1">
      <alignment horizontal="center" wrapText="1"/>
    </xf>
    <xf numFmtId="0" fontId="15" fillId="0" borderId="0" xfId="0" applyFont="1"/>
    <xf numFmtId="168" fontId="4" fillId="0" borderId="3" xfId="0" applyNumberFormat="1" applyFont="1" applyBorder="1"/>
    <xf numFmtId="167" fontId="4" fillId="0" borderId="0" xfId="0" applyNumberFormat="1" applyFont="1" applyAlignment="1">
      <alignment horizontal="left"/>
    </xf>
    <xf numFmtId="173" fontId="6" fillId="0" borderId="0" xfId="15" applyNumberFormat="1" applyFont="1" applyFill="1" applyAlignment="1">
      <alignment horizontal="right"/>
    </xf>
    <xf numFmtId="3" fontId="4" fillId="0" borderId="2" xfId="0" applyNumberFormat="1" applyFont="1" applyBorder="1"/>
    <xf numFmtId="37" fontId="15" fillId="0" borderId="0" xfId="0" applyNumberFormat="1" applyFont="1" applyAlignment="1">
      <alignment horizontal="left"/>
    </xf>
    <xf numFmtId="0" fontId="5" fillId="0" borderId="0" xfId="0" applyFont="1"/>
    <xf numFmtId="0" fontId="22" fillId="0" borderId="5" xfId="0" applyFont="1" applyBorder="1" applyAlignment="1">
      <alignment horizontal="center"/>
    </xf>
    <xf numFmtId="0" fontId="13" fillId="0" borderId="5" xfId="0" applyFont="1" applyBorder="1"/>
    <xf numFmtId="0" fontId="22" fillId="0" borderId="5" xfId="0" applyFont="1" applyBorder="1"/>
    <xf numFmtId="0" fontId="13" fillId="0" borderId="6" xfId="0" applyFont="1" applyBorder="1" applyAlignment="1">
      <alignment horizontal="center"/>
    </xf>
    <xf numFmtId="0" fontId="13" fillId="0" borderId="5" xfId="0" applyFont="1" applyBorder="1" applyAlignment="1">
      <alignment horizontal="left"/>
    </xf>
    <xf numFmtId="0" fontId="13" fillId="0" borderId="5" xfId="0" applyFont="1" applyBorder="1"/>
    <xf numFmtId="0" fontId="4" fillId="0" borderId="5" xfId="0" applyFont="1" applyBorder="1"/>
    <xf numFmtId="0" fontId="13" fillId="0" borderId="0" xfId="0" applyFont="1" applyAlignment="1">
      <alignment horizontal="center"/>
    </xf>
    <xf numFmtId="0" fontId="13" fillId="0" borderId="5" xfId="0" applyFont="1" applyBorder="1" applyAlignment="1">
      <alignment horizontal="center"/>
    </xf>
    <xf numFmtId="0" fontId="6" fillId="0" borderId="4" xfId="0" applyFont="1" applyBorder="1"/>
    <xf numFmtId="3" fontId="6" fillId="0" borderId="0" xfId="0" applyNumberFormat="1" applyFont="1" applyAlignment="1">
      <alignment horizontal="left"/>
    </xf>
    <xf numFmtId="164" fontId="4" fillId="0" borderId="3" xfId="18" applyNumberFormat="1" applyFont="1" applyFill="1" applyBorder="1" applyAlignment="1">
      <alignment horizontal="right"/>
    </xf>
    <xf numFmtId="0" fontId="6" fillId="0" borderId="4" xfId="0" applyFont="1" applyBorder="1" applyAlignment="1">
      <alignment horizontal="left"/>
    </xf>
    <xf numFmtId="165" fontId="6" fillId="0" borderId="4" xfId="0" applyNumberFormat="1" applyFont="1" applyBorder="1"/>
    <xf numFmtId="0" fontId="16" fillId="0" borderId="0" xfId="0" applyFont="1" applyAlignment="1">
      <alignment horizontal="center"/>
    </xf>
    <xf numFmtId="0" fontId="16" fillId="3" borderId="0" xfId="0" applyFont="1" applyFill="1" applyAlignment="1">
      <alignment horizontal="center"/>
    </xf>
    <xf numFmtId="0" fontId="7"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center"/>
    </xf>
    <xf numFmtId="3" fontId="4" fillId="0" borderId="3" xfId="0" applyNumberFormat="1" applyFont="1" applyBorder="1" applyAlignment="1">
      <alignment horizontal="center"/>
    </xf>
    <xf numFmtId="3" fontId="4" fillId="0" borderId="2" xfId="0" applyNumberFormat="1" applyFont="1" applyBorder="1" applyAlignment="1">
      <alignment horizontal="center"/>
    </xf>
    <xf numFmtId="0" fontId="17" fillId="0" borderId="0" xfId="0" applyFont="1" applyAlignment="1">
      <alignment horizontal="center"/>
    </xf>
    <xf numFmtId="0" fontId="23" fillId="0" borderId="0" xfId="0" applyFont="1"/>
    <xf numFmtId="0" fontId="24" fillId="0" borderId="0" xfId="0" applyFont="1" applyAlignment="1">
      <alignment horizontal="center"/>
    </xf>
    <xf numFmtId="37" fontId="23" fillId="0" borderId="0" xfId="0" applyNumberFormat="1" applyFont="1" applyAlignment="1">
      <alignment horizontal="left"/>
    </xf>
    <xf numFmtId="0" fontId="7" fillId="0" borderId="4" xfId="0" applyFont="1" applyBorder="1"/>
    <xf numFmtId="0" fontId="7" fillId="0" borderId="4" xfId="0" applyFont="1" applyBorder="1" applyAlignment="1">
      <alignment horizontal="center"/>
    </xf>
    <xf numFmtId="0" fontId="7" fillId="0" borderId="0" xfId="0" applyFont="1" applyAlignment="1">
      <alignment horizontal="left"/>
    </xf>
    <xf numFmtId="0" fontId="22" fillId="0" borderId="0" xfId="0" applyFont="1" applyAlignment="1">
      <alignment horizontal="center"/>
    </xf>
    <xf numFmtId="0" fontId="13" fillId="0" borderId="0" xfId="0" applyFont="1"/>
    <xf numFmtId="0" fontId="22" fillId="0" borderId="0" xfId="0" applyFont="1"/>
    <xf numFmtId="0" fontId="13" fillId="0" borderId="4" xfId="0" applyFont="1" applyBorder="1"/>
    <xf numFmtId="10" fontId="6" fillId="0" borderId="0" xfId="15" applyNumberFormat="1" applyFont="1" applyFill="1" applyBorder="1"/>
    <xf numFmtId="10" fontId="8" fillId="0" borderId="0" xfId="0" applyNumberFormat="1" applyFont="1" applyAlignment="1">
      <alignment horizontal="right"/>
    </xf>
    <xf numFmtId="0" fontId="0" fillId="4" borderId="0" xfId="0" applyFill="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0" fillId="0" borderId="0" xfId="0" applyFont="1"/>
    <xf numFmtId="0" fontId="0" fillId="0" borderId="0" xfId="0" applyAlignment="1">
      <alignment wrapText="1"/>
    </xf>
    <xf numFmtId="164" fontId="0" fillId="0" borderId="0" xfId="18" applyNumberFormat="1" applyAlignment="1">
      <alignment/>
    </xf>
    <xf numFmtId="0" fontId="28" fillId="0" borderId="0" xfId="0" applyFont="1" applyAlignment="1">
      <alignment horizontal="left"/>
    </xf>
    <xf numFmtId="0" fontId="28" fillId="0" borderId="0" xfId="0" applyFont="1"/>
    <xf numFmtId="0" fontId="30" fillId="0" borderId="0" xfId="0" applyFont="1"/>
    <xf numFmtId="0" fontId="29" fillId="0" borderId="0" xfId="0" applyFont="1"/>
    <xf numFmtId="0" fontId="0" fillId="0" borderId="0" xfId="0" applyAlignment="1">
      <alignment horizontal="right"/>
    </xf>
    <xf numFmtId="0" fontId="0" fillId="4" borderId="0" xfId="0" applyFont="1" applyFill="1"/>
    <xf numFmtId="0" fontId="10" fillId="0" borderId="0" xfId="0" applyFont="1"/>
    <xf numFmtId="0" fontId="31" fillId="0" borderId="0" xfId="0" applyFont="1" applyAlignment="1">
      <alignment horizontal="center"/>
    </xf>
    <xf numFmtId="3" fontId="6" fillId="0" borderId="0" xfId="0" applyNumberFormat="1" applyFont="1" applyAlignment="1">
      <alignment horizontal="right"/>
    </xf>
    <xf numFmtId="0" fontId="25" fillId="0" borderId="0" xfId="0" applyFont="1" applyAlignment="1">
      <alignment horizontal="left"/>
    </xf>
    <xf numFmtId="0" fontId="16" fillId="0" borderId="0" xfId="0" applyFont="1"/>
    <xf numFmtId="0" fontId="4" fillId="0" borderId="0" xfId="0" applyFont="1" applyAlignment="1">
      <alignment horizontal="center" wrapText="1"/>
    </xf>
    <xf numFmtId="0" fontId="6" fillId="0" borderId="0" xfId="0" applyFont="1" applyAlignment="1">
      <alignment wrapText="1"/>
    </xf>
    <xf numFmtId="43" fontId="0" fillId="0" borderId="0" xfId="0" applyNumberFormat="1"/>
    <xf numFmtId="0" fontId="0" fillId="0" borderId="7" xfId="0" applyBorder="1"/>
    <xf numFmtId="0" fontId="0" fillId="0" borderId="1" xfId="0" applyBorder="1"/>
    <xf numFmtId="0" fontId="0" fillId="0" borderId="8" xfId="0" applyBorder="1"/>
    <xf numFmtId="0" fontId="3" fillId="0" borderId="0" xfId="0" applyFont="1" applyAlignment="1">
      <alignment horizontal="left"/>
    </xf>
    <xf numFmtId="164" fontId="4" fillId="0" borderId="0" xfId="18" applyNumberFormat="1" applyFont="1" applyFill="1" applyAlignment="1">
      <alignment/>
    </xf>
    <xf numFmtId="10" fontId="11" fillId="0" borderId="0" xfId="0" applyNumberFormat="1" applyFont="1"/>
    <xf numFmtId="0" fontId="0" fillId="0" borderId="0" xfId="0" applyFont="1" applyAlignment="1">
      <alignment horizontal="left"/>
    </xf>
    <xf numFmtId="0" fontId="33" fillId="0" borderId="0" xfId="0" applyFont="1" applyAlignment="1">
      <alignment horizontal="center"/>
    </xf>
    <xf numFmtId="0" fontId="33" fillId="0" borderId="0" xfId="0" applyFont="1" applyAlignment="1">
      <alignment horizontal="left"/>
    </xf>
    <xf numFmtId="0" fontId="23" fillId="0" borderId="0" xfId="0" applyFont="1" applyAlignment="1">
      <alignment horizontal="center"/>
    </xf>
    <xf numFmtId="0" fontId="36" fillId="0" borderId="0" xfId="0" applyFont="1" applyAlignment="1">
      <alignment horizontal="center"/>
    </xf>
    <xf numFmtId="3" fontId="23" fillId="0" borderId="0" xfId="0" applyNumberFormat="1" applyFont="1" applyAlignment="1">
      <alignment horizontal="center"/>
    </xf>
    <xf numFmtId="0" fontId="35" fillId="0" borderId="0" xfId="0" applyFont="1" applyAlignment="1">
      <alignment horizontal="left"/>
    </xf>
    <xf numFmtId="3" fontId="23" fillId="0" borderId="0" xfId="0" applyNumberFormat="1" applyFont="1"/>
    <xf numFmtId="3" fontId="36" fillId="0" borderId="0" xfId="0" applyNumberFormat="1" applyFont="1" applyAlignment="1">
      <alignment horizontal="center"/>
    </xf>
    <xf numFmtId="0" fontId="23" fillId="0" borderId="0" xfId="0" applyFont="1" applyAlignment="1">
      <alignment horizontal="left"/>
    </xf>
    <xf numFmtId="167" fontId="35" fillId="0" borderId="0" xfId="0" applyNumberFormat="1" applyFont="1" applyAlignment="1">
      <alignment horizontal="left"/>
    </xf>
    <xf numFmtId="0" fontId="37" fillId="0" borderId="0" xfId="0" applyFont="1" applyAlignment="1">
      <alignment horizontal="center"/>
    </xf>
    <xf numFmtId="0" fontId="37" fillId="0" borderId="0" xfId="0" applyFont="1"/>
    <xf numFmtId="3" fontId="37" fillId="0" borderId="0" xfId="0" applyNumberFormat="1" applyFont="1" applyAlignment="1">
      <alignment horizontal="center"/>
    </xf>
    <xf numFmtId="0" fontId="35" fillId="0" borderId="0" xfId="0" applyFont="1"/>
    <xf numFmtId="3" fontId="23" fillId="0" borderId="9" xfId="0" applyNumberFormat="1" applyFont="1" applyBorder="1"/>
    <xf numFmtId="0" fontId="23" fillId="0" borderId="10" xfId="0" applyFont="1" applyBorder="1" applyAlignment="1">
      <alignment horizontal="center"/>
    </xf>
    <xf numFmtId="0" fontId="23" fillId="0" borderId="9" xfId="0" applyFont="1" applyBorder="1"/>
    <xf numFmtId="0" fontId="23" fillId="0" borderId="0" xfId="0" applyFont="1" applyAlignment="1">
      <alignment horizontal="right"/>
    </xf>
    <xf numFmtId="0" fontId="23" fillId="0" borderId="9" xfId="0" applyFont="1" applyBorder="1" applyAlignment="1">
      <alignment horizontal="left"/>
    </xf>
    <xf numFmtId="0" fontId="37" fillId="0" borderId="10" xfId="0" applyFont="1" applyBorder="1" applyAlignment="1">
      <alignment horizontal="center"/>
    </xf>
    <xf numFmtId="0" fontId="36" fillId="0" borderId="0" xfId="0" applyFont="1"/>
    <xf numFmtId="0" fontId="23" fillId="0" borderId="7" xfId="0" applyFont="1" applyBorder="1" applyAlignment="1">
      <alignment horizontal="center"/>
    </xf>
    <xf numFmtId="0" fontId="23" fillId="0" borderId="1" xfId="0" applyFont="1" applyBorder="1" applyAlignment="1">
      <alignment horizontal="center"/>
    </xf>
    <xf numFmtId="0" fontId="23" fillId="0" borderId="1" xfId="0" applyFont="1" applyBorder="1"/>
    <xf numFmtId="0" fontId="39" fillId="0" borderId="0" xfId="0" applyFont="1" applyAlignment="1">
      <alignment horizontal="left"/>
    </xf>
    <xf numFmtId="0" fontId="23" fillId="0" borderId="1" xfId="0" applyFont="1" applyBorder="1" applyAlignment="1">
      <alignment horizontal="right"/>
    </xf>
    <xf numFmtId="0" fontId="23" fillId="0" borderId="1" xfId="0" applyFont="1" applyBorder="1" applyAlignment="1">
      <alignment horizontal="left"/>
    </xf>
    <xf numFmtId="0" fontId="36" fillId="0" borderId="1" xfId="0" applyFont="1" applyBorder="1" applyAlignment="1">
      <alignment horizontal="center"/>
    </xf>
    <xf numFmtId="0" fontId="23" fillId="0" borderId="8" xfId="0" applyFont="1" applyBorder="1" applyAlignment="1">
      <alignment horizontal="left"/>
    </xf>
    <xf numFmtId="169" fontId="23" fillId="0" borderId="1" xfId="0" applyNumberFormat="1" applyFont="1" applyBorder="1"/>
    <xf numFmtId="0" fontId="36" fillId="0" borderId="1" xfId="0" applyFont="1" applyBorder="1"/>
    <xf numFmtId="0" fontId="23" fillId="0" borderId="9" xfId="0" applyFont="1" applyBorder="1" applyAlignment="1">
      <alignment horizontal="center"/>
    </xf>
    <xf numFmtId="0" fontId="23" fillId="0" borderId="8" xfId="0" applyFont="1" applyBorder="1" applyAlignment="1">
      <alignment horizontal="center"/>
    </xf>
    <xf numFmtId="0" fontId="30" fillId="0" borderId="9" xfId="0" applyFont="1" applyBorder="1"/>
    <xf numFmtId="0" fontId="30" fillId="0" borderId="1" xfId="0" applyFont="1" applyBorder="1"/>
    <xf numFmtId="0" fontId="30" fillId="0" borderId="10" xfId="0" applyFont="1" applyBorder="1"/>
    <xf numFmtId="0" fontId="30" fillId="0" borderId="0" xfId="0" applyFont="1" applyAlignment="1">
      <alignment horizontal="center" wrapText="1"/>
    </xf>
    <xf numFmtId="0" fontId="33" fillId="0" borderId="0" xfId="0" applyFont="1" applyAlignment="1">
      <alignment horizontal="center" wrapText="1"/>
    </xf>
    <xf numFmtId="0" fontId="30" fillId="0" borderId="7" xfId="0" applyFont="1" applyBorder="1"/>
    <xf numFmtId="0" fontId="30" fillId="0" borderId="8" xfId="0" applyFont="1" applyBorder="1"/>
    <xf numFmtId="0" fontId="40" fillId="0" borderId="0" xfId="0" applyFont="1"/>
    <xf numFmtId="0" fontId="29" fillId="5" borderId="11" xfId="0" applyFont="1" applyFill="1" applyBorder="1" applyAlignment="1">
      <alignment horizontal="center" wrapText="1"/>
    </xf>
    <xf numFmtId="0" fontId="29" fillId="0" borderId="1" xfId="0" applyFont="1" applyBorder="1"/>
    <xf numFmtId="0" fontId="38" fillId="5" borderId="12" xfId="0" applyFont="1" applyFill="1" applyBorder="1" applyAlignment="1">
      <alignment horizontal="center"/>
    </xf>
    <xf numFmtId="0" fontId="38" fillId="5" borderId="11" xfId="0" applyFont="1" applyFill="1" applyBorder="1" applyAlignment="1">
      <alignment horizontal="center"/>
    </xf>
    <xf numFmtId="0" fontId="20" fillId="3" borderId="0" xfId="0" applyFont="1" applyFill="1" applyAlignment="1">
      <alignment horizontal="center"/>
    </xf>
    <xf numFmtId="0" fontId="34" fillId="5" borderId="11" xfId="0" applyFont="1" applyFill="1" applyBorder="1" applyAlignment="1">
      <alignment horizontal="center"/>
    </xf>
    <xf numFmtId="0" fontId="34" fillId="5" borderId="13" xfId="0" applyFont="1" applyFill="1" applyBorder="1" applyAlignment="1">
      <alignment horizontal="center"/>
    </xf>
    <xf numFmtId="0" fontId="30" fillId="0" borderId="0" xfId="0" applyFont="1" applyAlignment="1">
      <alignment horizontal="center"/>
    </xf>
    <xf numFmtId="0" fontId="30" fillId="0" borderId="9" xfId="0" applyFont="1" applyBorder="1" applyAlignment="1">
      <alignment horizontal="center"/>
    </xf>
    <xf numFmtId="0" fontId="8" fillId="5" borderId="11" xfId="0" applyFont="1" applyFill="1" applyBorder="1" applyAlignment="1">
      <alignment horizontal="center"/>
    </xf>
    <xf numFmtId="3" fontId="4" fillId="0" borderId="0" xfId="0" applyNumberFormat="1" applyFont="1" applyAlignment="1">
      <alignment horizontal="left"/>
    </xf>
    <xf numFmtId="3" fontId="6" fillId="0" borderId="4" xfId="0" applyNumberFormat="1" applyFont="1" applyBorder="1" applyAlignment="1">
      <alignment horizontal="left"/>
    </xf>
    <xf numFmtId="3" fontId="4" fillId="0" borderId="3" xfId="0" applyNumberFormat="1" applyFont="1" applyBorder="1" applyAlignment="1">
      <alignment horizontal="left"/>
    </xf>
    <xf numFmtId="0" fontId="41" fillId="0" borderId="0" xfId="0" applyFont="1"/>
    <xf numFmtId="0" fontId="8" fillId="0" borderId="0" xfId="0" applyFont="1"/>
    <xf numFmtId="164" fontId="30" fillId="0" borderId="0" xfId="18" applyNumberFormat="1" applyFont="1" applyBorder="1"/>
    <xf numFmtId="0" fontId="30" fillId="0" borderId="1" xfId="0" applyFont="1" applyBorder="1" applyAlignment="1">
      <alignment horizontal="center"/>
    </xf>
    <xf numFmtId="164" fontId="30" fillId="0" borderId="0" xfId="0" applyNumberFormat="1" applyFont="1"/>
    <xf numFmtId="164" fontId="30" fillId="0" borderId="0" xfId="18" applyNumberFormat="1" applyFont="1" applyFill="1" applyBorder="1"/>
    <xf numFmtId="164" fontId="30" fillId="0" borderId="9" xfId="18" applyNumberFormat="1" applyFont="1" applyFill="1" applyBorder="1"/>
    <xf numFmtId="0" fontId="30" fillId="0" borderId="13" xfId="0" applyFont="1" applyBorder="1"/>
    <xf numFmtId="0" fontId="42" fillId="0" borderId="0" xfId="0" applyFont="1" applyAlignment="1">
      <alignment horizontal="center"/>
    </xf>
    <xf numFmtId="0" fontId="42" fillId="0" borderId="0" xfId="0" applyFont="1"/>
    <xf numFmtId="0" fontId="43" fillId="0" borderId="0" xfId="0" applyFont="1"/>
    <xf numFmtId="0" fontId="44" fillId="0" borderId="0" xfId="0" applyFont="1" applyAlignment="1">
      <alignment horizontal="left"/>
    </xf>
    <xf numFmtId="164" fontId="42" fillId="0" borderId="0" xfId="18" applyNumberFormat="1" applyFont="1"/>
    <xf numFmtId="166" fontId="42" fillId="0" borderId="0" xfId="16" applyNumberFormat="1" applyFont="1"/>
    <xf numFmtId="0" fontId="42" fillId="0" borderId="0" xfId="0" applyFont="1" applyAlignment="1">
      <alignment horizontal="left"/>
    </xf>
    <xf numFmtId="164" fontId="42" fillId="0" borderId="0" xfId="0" applyNumberFormat="1" applyFont="1"/>
    <xf numFmtId="166" fontId="42" fillId="0" borderId="0" xfId="0" applyNumberFormat="1" applyFont="1"/>
    <xf numFmtId="166" fontId="42" fillId="0" borderId="0" xfId="16" applyNumberFormat="1" applyFont="1" applyAlignment="1">
      <alignment horizontal="left"/>
    </xf>
    <xf numFmtId="164" fontId="42" fillId="0" borderId="0" xfId="0" applyNumberFormat="1" applyFont="1" applyAlignment="1">
      <alignment horizontal="left"/>
    </xf>
    <xf numFmtId="164" fontId="42" fillId="0" borderId="0" xfId="0" applyNumberFormat="1" applyFont="1" applyAlignment="1">
      <alignment horizontal="center"/>
    </xf>
    <xf numFmtId="172" fontId="42" fillId="0" borderId="0" xfId="0" applyNumberFormat="1" applyFont="1"/>
    <xf numFmtId="166" fontId="42" fillId="0" borderId="0" xfId="0" applyNumberFormat="1" applyFont="1" applyAlignment="1">
      <alignment horizontal="center"/>
    </xf>
    <xf numFmtId="0" fontId="45" fillId="3" borderId="0" xfId="0" applyFont="1" applyFill="1"/>
    <xf numFmtId="172" fontId="42" fillId="4" borderId="0" xfId="15" applyNumberFormat="1" applyFont="1" applyFill="1"/>
    <xf numFmtId="166" fontId="42" fillId="0" borderId="0" xfId="16" applyNumberFormat="1" applyFont="1" applyFill="1" applyAlignment="1">
      <alignment horizontal="left"/>
    </xf>
    <xf numFmtId="172" fontId="42" fillId="0" borderId="0" xfId="15" applyNumberFormat="1" applyFont="1" applyFill="1"/>
    <xf numFmtId="3" fontId="6" fillId="0" borderId="0" xfId="0" applyNumberFormat="1" applyFont="1" applyAlignment="1">
      <alignment horizontal="center"/>
    </xf>
    <xf numFmtId="0" fontId="30" fillId="0" borderId="0" xfId="0" applyFont="1" applyAlignment="1">
      <alignment horizontal="right"/>
    </xf>
    <xf numFmtId="0" fontId="4" fillId="0" borderId="9" xfId="0" applyFont="1" applyBorder="1"/>
    <xf numFmtId="0" fontId="6" fillId="6" borderId="11" xfId="0" applyFont="1" applyFill="1" applyBorder="1"/>
    <xf numFmtId="0" fontId="6" fillId="6" borderId="11" xfId="0" applyFont="1" applyFill="1" applyBorder="1" applyAlignment="1">
      <alignment horizontal="center"/>
    </xf>
    <xf numFmtId="0" fontId="6" fillId="6" borderId="13" xfId="0" applyFont="1" applyFill="1" applyBorder="1"/>
    <xf numFmtId="0" fontId="16" fillId="6" borderId="1" xfId="0" applyFont="1" applyFill="1" applyBorder="1"/>
    <xf numFmtId="0" fontId="4" fillId="6" borderId="1" xfId="0" applyFont="1" applyFill="1" applyBorder="1"/>
    <xf numFmtId="0" fontId="16" fillId="6" borderId="1" xfId="0" applyFont="1" applyFill="1" applyBorder="1" applyAlignment="1">
      <alignment horizontal="center"/>
    </xf>
    <xf numFmtId="0" fontId="4" fillId="6" borderId="8" xfId="0" applyFont="1" applyFill="1" applyBorder="1" applyAlignment="1">
      <alignment horizontal="center" wrapText="1"/>
    </xf>
    <xf numFmtId="0" fontId="25" fillId="6" borderId="12" xfId="0" applyFont="1" applyFill="1" applyBorder="1" applyAlignment="1">
      <alignment horizontal="left"/>
    </xf>
    <xf numFmtId="37" fontId="0" fillId="0" borderId="0" xfId="0" applyNumberFormat="1"/>
    <xf numFmtId="37" fontId="0" fillId="0" borderId="0" xfId="0" applyNumberFormat="1" applyAlignment="1">
      <alignment horizontal="right" wrapText="1"/>
    </xf>
    <xf numFmtId="0" fontId="31" fillId="0" borderId="0" xfId="0" applyFont="1" applyAlignment="1">
      <alignment horizontal="right"/>
    </xf>
    <xf numFmtId="0" fontId="3" fillId="0" borderId="0" xfId="0" applyFont="1"/>
    <xf numFmtId="0" fontId="0" fillId="0" borderId="0" xfId="0" applyAlignment="1">
      <alignment horizontal="left"/>
    </xf>
    <xf numFmtId="0" fontId="5" fillId="0" borderId="0" xfId="0" applyFont="1"/>
    <xf numFmtId="0" fontId="0" fillId="0" borderId="0" xfId="0" applyAlignment="1">
      <alignment horizontal="left" vertical="center"/>
    </xf>
    <xf numFmtId="164" fontId="0" fillId="0" borderId="0" xfId="18" applyNumberFormat="1" applyFont="1" applyAlignment="1">
      <alignment/>
    </xf>
    <xf numFmtId="164" fontId="0" fillId="4" borderId="0" xfId="18" applyNumberFormat="1" applyFill="1" applyAlignment="1">
      <alignment/>
    </xf>
    <xf numFmtId="164" fontId="0" fillId="4" borderId="0" xfId="18" applyNumberFormat="1" applyFill="1" applyAlignment="1">
      <alignment wrapText="1"/>
    </xf>
    <xf numFmtId="164" fontId="0" fillId="4" borderId="0" xfId="18" applyNumberFormat="1" applyFont="1" applyFill="1" applyAlignment="1">
      <alignment/>
    </xf>
    <xf numFmtId="164" fontId="0" fillId="0" borderId="0" xfId="18" applyNumberFormat="1" applyFont="1" applyFill="1" applyAlignment="1">
      <alignment/>
    </xf>
    <xf numFmtId="164" fontId="0" fillId="0" borderId="0" xfId="18" applyNumberFormat="1" applyFont="1" applyFill="1" applyBorder="1" applyAlignment="1">
      <alignment/>
    </xf>
    <xf numFmtId="3" fontId="30" fillId="0" borderId="0" xfId="0" applyNumberFormat="1" applyFont="1" applyAlignment="1">
      <alignment horizontal="center"/>
    </xf>
    <xf numFmtId="164" fontId="0" fillId="0" borderId="0" xfId="18" applyNumberFormat="1"/>
    <xf numFmtId="167" fontId="30" fillId="0" borderId="1" xfId="15" applyNumberFormat="1" applyFont="1" applyBorder="1" applyAlignment="1">
      <alignment horizontal="center"/>
    </xf>
    <xf numFmtId="3" fontId="23" fillId="0" borderId="9" xfId="0" applyNumberFormat="1" applyFont="1" applyBorder="1" applyAlignment="1">
      <alignment horizontal="left"/>
    </xf>
    <xf numFmtId="164" fontId="30" fillId="0" borderId="1" xfId="0" applyNumberFormat="1" applyFont="1" applyBorder="1" applyAlignment="1">
      <alignment horizontal="center"/>
    </xf>
    <xf numFmtId="0" fontId="29" fillId="5" borderId="12" xfId="0" applyFont="1" applyFill="1" applyBorder="1" applyAlignment="1">
      <alignment horizontal="center" wrapText="1"/>
    </xf>
    <xf numFmtId="0" fontId="30" fillId="4" borderId="10" xfId="0" applyFont="1" applyFill="1" applyBorder="1" applyAlignment="1">
      <alignment horizontal="center"/>
    </xf>
    <xf numFmtId="0" fontId="30" fillId="0" borderId="9" xfId="0" applyFont="1" applyBorder="1" applyAlignment="1">
      <alignment horizontal="center" wrapText="1"/>
    </xf>
    <xf numFmtId="3" fontId="4" fillId="0" borderId="0" xfId="0" applyNumberFormat="1" applyFont="1" applyAlignment="1">
      <alignment horizontal="right"/>
    </xf>
    <xf numFmtId="41" fontId="0" fillId="0" borderId="0" xfId="0" applyNumberFormat="1" applyAlignment="1">
      <alignment horizontal="right"/>
    </xf>
    <xf numFmtId="0" fontId="48" fillId="0" borderId="0" xfId="0" applyFont="1" applyAlignment="1">
      <alignment vertical="center" wrapText="1"/>
    </xf>
    <xf numFmtId="0" fontId="49" fillId="0" borderId="0" xfId="0" applyFont="1"/>
    <xf numFmtId="164" fontId="0" fillId="0" borderId="0" xfId="18" applyNumberFormat="1" applyFont="1" applyFill="1" applyBorder="1" applyAlignment="1">
      <alignment/>
    </xf>
    <xf numFmtId="164" fontId="30" fillId="0" borderId="0" xfId="0" applyNumberFormat="1" applyFont="1" applyAlignment="1">
      <alignment horizontal="center"/>
    </xf>
    <xf numFmtId="164" fontId="35" fillId="0" borderId="0" xfId="18" applyNumberFormat="1" applyFont="1" applyBorder="1"/>
    <xf numFmtId="164" fontId="33" fillId="0" borderId="7" xfId="18" applyNumberFormat="1" applyFont="1" applyBorder="1" applyAlignment="1">
      <alignment horizontal="center"/>
    </xf>
    <xf numFmtId="164" fontId="0" fillId="0" borderId="0" xfId="0" applyNumberFormat="1"/>
    <xf numFmtId="164" fontId="49" fillId="0" borderId="0" xfId="0" applyNumberFormat="1" applyFont="1"/>
    <xf numFmtId="0" fontId="3" fillId="0" borderId="0" xfId="0" applyFont="1" applyAlignment="1">
      <alignment horizontal="center"/>
    </xf>
    <xf numFmtId="0" fontId="50" fillId="0" borderId="0" xfId="0" applyFont="1" applyAlignment="1">
      <alignment horizontal="center"/>
    </xf>
    <xf numFmtId="0" fontId="51" fillId="0" borderId="0" xfId="0" applyFont="1"/>
    <xf numFmtId="164" fontId="33" fillId="0" borderId="0" xfId="18" applyNumberFormat="1" applyFont="1" applyFill="1" applyBorder="1" applyAlignment="1">
      <alignment horizontal="center" wrapText="1"/>
    </xf>
    <xf numFmtId="0" fontId="30" fillId="0" borderId="11" xfId="0" applyFont="1" applyBorder="1"/>
    <xf numFmtId="0" fontId="33" fillId="0" borderId="10" xfId="0" applyFont="1" applyBorder="1" applyAlignment="1">
      <alignment horizontal="center"/>
    </xf>
    <xf numFmtId="0" fontId="33" fillId="4" borderId="10" xfId="0" applyFont="1" applyFill="1" applyBorder="1" applyAlignment="1">
      <alignment horizontal="center"/>
    </xf>
    <xf numFmtId="37" fontId="0" fillId="0" borderId="0" xfId="0" applyNumberFormat="1" applyFont="1"/>
    <xf numFmtId="0" fontId="0" fillId="0" borderId="10" xfId="0" applyBorder="1"/>
    <xf numFmtId="164" fontId="0" fillId="0" borderId="0" xfId="18" applyNumberFormat="1" applyFont="1" applyFill="1" applyAlignment="1">
      <alignment/>
    </xf>
    <xf numFmtId="0" fontId="0" fillId="0" borderId="0" xfId="0" applyFont="1"/>
    <xf numFmtId="164" fontId="0" fillId="0" borderId="0" xfId="18" applyNumberFormat="1" applyFont="1" applyFill="1" applyBorder="1"/>
    <xf numFmtId="0" fontId="10" fillId="0" borderId="0" xfId="0" applyFont="1" applyAlignment="1">
      <alignment horizontal="center"/>
    </xf>
    <xf numFmtId="0" fontId="35" fillId="0" borderId="0" xfId="0" applyFont="1" applyAlignment="1">
      <alignment horizontal="center"/>
    </xf>
    <xf numFmtId="164" fontId="6" fillId="0" borderId="0" xfId="18" applyNumberFormat="1" applyFont="1" applyFill="1"/>
    <xf numFmtId="3" fontId="35" fillId="0" borderId="0" xfId="0" applyNumberFormat="1" applyFont="1"/>
    <xf numFmtId="0" fontId="33" fillId="0" borderId="10" xfId="0" applyFont="1" applyBorder="1"/>
    <xf numFmtId="0" fontId="24" fillId="0" borderId="0" xfId="0" applyFont="1"/>
    <xf numFmtId="0" fontId="30" fillId="0" borderId="12" xfId="0" applyFont="1" applyBorder="1"/>
    <xf numFmtId="0" fontId="0" fillId="0" borderId="0" xfId="0" applyAlignment="1">
      <alignment horizontal="center" vertical="top"/>
    </xf>
    <xf numFmtId="0" fontId="45" fillId="0" borderId="0" xfId="0" applyFont="1"/>
    <xf numFmtId="0" fontId="42" fillId="0" borderId="0" xfId="0" applyFont="1" applyAlignment="1">
      <alignment horizontal="center" vertical="top"/>
    </xf>
    <xf numFmtId="3" fontId="13" fillId="0" borderId="5" xfId="0" applyNumberFormat="1" applyFont="1" applyBorder="1"/>
    <xf numFmtId="0" fontId="32" fillId="0" borderId="0" xfId="0" applyFont="1"/>
    <xf numFmtId="0" fontId="20" fillId="0" borderId="0" xfId="0" applyFont="1" applyAlignment="1">
      <alignment horizontal="left"/>
    </xf>
    <xf numFmtId="0" fontId="4" fillId="0" borderId="2" xfId="0" applyFont="1" applyBorder="1" applyAlignment="1">
      <alignment horizontal="left"/>
    </xf>
    <xf numFmtId="0" fontId="6" fillId="0" borderId="0" xfId="0" applyFont="1" applyAlignment="1">
      <alignment horizontal="right"/>
    </xf>
    <xf numFmtId="0" fontId="53" fillId="0" borderId="0" xfId="0" applyFont="1" applyAlignment="1">
      <alignment horizontal="left"/>
    </xf>
    <xf numFmtId="0" fontId="4" fillId="0" borderId="3" xfId="0" applyFont="1" applyBorder="1" applyAlignment="1">
      <alignment horizontal="left"/>
    </xf>
    <xf numFmtId="0" fontId="4" fillId="3" borderId="0" xfId="0" applyFont="1" applyFill="1" applyAlignment="1">
      <alignment horizontal="left"/>
    </xf>
    <xf numFmtId="0" fontId="6" fillId="3" borderId="0" xfId="0" applyFont="1" applyFill="1"/>
    <xf numFmtId="0" fontId="6" fillId="0" borderId="4" xfId="0" applyFont="1" applyBorder="1" applyAlignment="1">
      <alignment horizontal="center"/>
    </xf>
    <xf numFmtId="0" fontId="6" fillId="0" borderId="3" xfId="0" applyFont="1" applyBorder="1"/>
    <xf numFmtId="37" fontId="4" fillId="0" borderId="0" xfId="0" applyNumberFormat="1" applyFont="1" applyAlignment="1">
      <alignment horizontal="right"/>
    </xf>
    <xf numFmtId="166" fontId="0" fillId="0" borderId="0" xfId="16" applyNumberFormat="1" applyFont="1"/>
    <xf numFmtId="4" fontId="7" fillId="0" borderId="0" xfId="0" applyNumberFormat="1" applyFont="1" applyAlignment="1">
      <alignment horizontal="right"/>
    </xf>
    <xf numFmtId="3" fontId="7" fillId="0" borderId="0" xfId="0" applyNumberFormat="1" applyFont="1" applyAlignment="1">
      <alignment horizontal="right"/>
    </xf>
    <xf numFmtId="0" fontId="0" fillId="0" borderId="0" xfId="0" applyFont="1" applyAlignment="1">
      <alignment wrapText="1"/>
    </xf>
    <xf numFmtId="0" fontId="0" fillId="0" borderId="0" xfId="0" applyFont="1" applyAlignment="1">
      <alignment vertical="center" wrapText="1"/>
    </xf>
    <xf numFmtId="164" fontId="0" fillId="0" borderId="0" xfId="0" applyNumberFormat="1" applyFont="1"/>
    <xf numFmtId="0" fontId="0" fillId="0" borderId="0" xfId="0" applyFont="1" applyAlignment="1">
      <alignment horizontal="center"/>
    </xf>
    <xf numFmtId="0" fontId="0" fillId="0" borderId="0" xfId="0" applyFont="1" applyAlignment="1">
      <alignment horizontal="center"/>
    </xf>
    <xf numFmtId="0" fontId="0" fillId="0" borderId="0" xfId="0" applyFont="1"/>
    <xf numFmtId="164" fontId="0" fillId="0" borderId="4" xfId="18" applyNumberFormat="1" applyFont="1" applyFill="1" applyBorder="1" applyAlignment="1">
      <alignment/>
    </xf>
    <xf numFmtId="0" fontId="0" fillId="0" borderId="0" xfId="0" applyFont="1" applyAlignment="1">
      <alignment horizontal="center"/>
    </xf>
    <xf numFmtId="0" fontId="47" fillId="0" borderId="0" xfId="0" applyFont="1"/>
    <xf numFmtId="164" fontId="0" fillId="0" borderId="0" xfId="18" applyNumberFormat="1" applyFont="1" applyFill="1" applyBorder="1" applyAlignment="1">
      <alignment/>
    </xf>
    <xf numFmtId="0" fontId="0" fillId="0" borderId="0" xfId="0" applyFont="1" applyAlignment="1">
      <alignment horizontal="center" vertical="top"/>
    </xf>
    <xf numFmtId="0" fontId="0" fillId="0" borderId="0" xfId="0" applyFont="1" applyAlignment="1">
      <alignment horizontal="center" vertical="top"/>
    </xf>
    <xf numFmtId="164" fontId="0" fillId="0" borderId="0" xfId="18" applyNumberFormat="1" applyFont="1" applyAlignment="1">
      <alignment/>
    </xf>
    <xf numFmtId="0" fontId="30" fillId="0" borderId="0" xfId="0" applyFont="1" applyAlignment="1">
      <alignment vertical="center" wrapText="1"/>
    </xf>
    <xf numFmtId="164" fontId="0" fillId="4" borderId="0" xfId="18" applyNumberFormat="1" applyFont="1" applyFill="1" applyBorder="1" applyAlignment="1">
      <alignment/>
    </xf>
    <xf numFmtId="0" fontId="54" fillId="6" borderId="7" xfId="0" applyFont="1" applyFill="1" applyBorder="1" applyAlignment="1">
      <alignment horizontal="left"/>
    </xf>
    <xf numFmtId="0" fontId="13" fillId="0" borderId="0" xfId="0" applyFont="1"/>
    <xf numFmtId="0" fontId="6" fillId="0" borderId="2" xfId="0" applyFont="1" applyBorder="1" applyAlignment="1">
      <alignment horizontal="left"/>
    </xf>
    <xf numFmtId="0" fontId="30" fillId="0" borderId="14" xfId="0" applyFont="1" applyBorder="1" applyAlignment="1">
      <alignment horizontal="center"/>
    </xf>
    <xf numFmtId="166" fontId="42" fillId="4" borderId="0" xfId="16" applyNumberFormat="1" applyFont="1" applyFill="1"/>
    <xf numFmtId="0" fontId="31" fillId="0" borderId="0" xfId="0" applyFont="1"/>
    <xf numFmtId="164" fontId="0" fillId="0" borderId="0" xfId="18" applyNumberFormat="1" applyFont="1" applyFill="1" applyBorder="1"/>
    <xf numFmtId="164" fontId="0" fillId="0" borderId="0" xfId="0" applyNumberFormat="1" applyFont="1"/>
    <xf numFmtId="0" fontId="12" fillId="0" borderId="0" xfId="0" applyFont="1"/>
    <xf numFmtId="164" fontId="3" fillId="0" borderId="0" xfId="18" applyNumberFormat="1" applyFont="1" applyFill="1" applyBorder="1"/>
    <xf numFmtId="164" fontId="33" fillId="0" borderId="10" xfId="18" applyNumberFormat="1" applyFont="1" applyBorder="1"/>
    <xf numFmtId="0" fontId="0" fillId="0" borderId="0" xfId="0" applyFont="1" applyAlignment="1">
      <alignment horizontal="right"/>
    </xf>
    <xf numFmtId="0" fontId="3" fillId="0" borderId="0" xfId="0" applyFont="1" applyAlignment="1">
      <alignment horizontal="right"/>
    </xf>
    <xf numFmtId="0" fontId="0" fillId="4" borderId="0" xfId="0" applyFont="1" applyFill="1" applyAlignment="1">
      <alignment horizontal="left" wrapText="1"/>
    </xf>
    <xf numFmtId="0" fontId="0" fillId="0" borderId="0" xfId="0" applyFont="1" applyAlignment="1">
      <alignment horizontal="left" wrapText="1"/>
    </xf>
    <xf numFmtId="172" fontId="0" fillId="4" borderId="0" xfId="15" applyNumberFormat="1" applyFont="1" applyFill="1" applyAlignment="1">
      <alignment horizontal="center" wrapText="1"/>
    </xf>
    <xf numFmtId="0" fontId="0" fillId="0" borderId="0" xfId="0" applyFont="1" applyAlignment="1">
      <alignment horizontal="right" wrapText="1"/>
    </xf>
    <xf numFmtId="0" fontId="0" fillId="0" borderId="0" xfId="0" applyFont="1" applyAlignment="1">
      <alignment horizontal="left" vertical="center" wrapText="1"/>
    </xf>
    <xf numFmtId="172" fontId="0" fillId="4" borderId="0" xfId="0" applyNumberFormat="1" applyFont="1" applyFill="1" applyAlignment="1">
      <alignment horizontal="center" wrapText="1"/>
    </xf>
    <xf numFmtId="37" fontId="0" fillId="0" borderId="0" xfId="0" applyNumberFormat="1" applyFont="1" applyAlignment="1">
      <alignment horizontal="right" wrapText="1"/>
    </xf>
    <xf numFmtId="41" fontId="0" fillId="0" borderId="0" xfId="0" applyNumberFormat="1" applyFont="1" applyAlignment="1">
      <alignment horizontal="right"/>
    </xf>
    <xf numFmtId="164" fontId="0" fillId="0" borderId="0" xfId="18" applyNumberFormat="1" applyFont="1" applyFill="1"/>
    <xf numFmtId="164" fontId="0" fillId="0" borderId="0" xfId="18" applyNumberFormat="1" applyFont="1" applyBorder="1"/>
    <xf numFmtId="166" fontId="4" fillId="0" borderId="0" xfId="16" applyNumberFormat="1" applyFont="1" applyBorder="1" applyAlignment="1">
      <alignment horizontal="center"/>
    </xf>
    <xf numFmtId="0" fontId="33" fillId="0" borderId="13" xfId="0" applyFont="1" applyBorder="1" applyAlignment="1">
      <alignment horizontal="center" wrapText="1"/>
    </xf>
    <xf numFmtId="49" fontId="42" fillId="0" borderId="0" xfId="0" applyNumberFormat="1" applyFont="1"/>
    <xf numFmtId="0" fontId="59" fillId="0" borderId="0" xfId="0" applyFont="1"/>
    <xf numFmtId="0" fontId="0" fillId="0" borderId="11" xfId="0" applyBorder="1" applyAlignment="1">
      <alignment horizontal="center"/>
    </xf>
    <xf numFmtId="0" fontId="0" fillId="0" borderId="13" xfId="0" applyBorder="1" applyAlignment="1">
      <alignment horizontal="center"/>
    </xf>
    <xf numFmtId="0" fontId="39" fillId="0" borderId="0" xfId="0" applyFont="1"/>
    <xf numFmtId="0" fontId="24" fillId="5" borderId="11" xfId="0" applyFont="1" applyFill="1" applyBorder="1" applyAlignment="1">
      <alignment horizontal="center" wrapText="1"/>
    </xf>
    <xf numFmtId="0" fontId="38" fillId="0" borderId="0" xfId="0" applyFont="1" applyAlignment="1">
      <alignment horizontal="center"/>
    </xf>
    <xf numFmtId="0" fontId="29" fillId="0" borderId="10" xfId="0" applyFont="1" applyBorder="1" applyAlignment="1">
      <alignment horizontal="center" wrapText="1"/>
    </xf>
    <xf numFmtId="0" fontId="24" fillId="0" borderId="0" xfId="0" applyFont="1" applyAlignment="1">
      <alignment horizontal="center" wrapText="1"/>
    </xf>
    <xf numFmtId="0" fontId="38" fillId="0" borderId="10" xfId="0" applyFont="1" applyBorder="1" applyAlignment="1">
      <alignment horizontal="center"/>
    </xf>
    <xf numFmtId="0" fontId="38" fillId="0" borderId="9" xfId="0" applyFont="1" applyBorder="1" applyAlignment="1">
      <alignment horizontal="center"/>
    </xf>
    <xf numFmtId="0" fontId="0" fillId="0" borderId="11" xfId="0" applyBorder="1"/>
    <xf numFmtId="164" fontId="0" fillId="4" borderId="0" xfId="18" applyNumberFormat="1" applyFont="1" applyFill="1" applyBorder="1"/>
    <xf numFmtId="0" fontId="30" fillId="4" borderId="12" xfId="0" applyFont="1" applyFill="1" applyBorder="1" applyAlignment="1">
      <alignment horizontal="center"/>
    </xf>
    <xf numFmtId="0" fontId="0" fillId="0" borderId="0" xfId="0" applyAlignment="1">
      <alignment horizontal="center" wrapText="1"/>
    </xf>
    <xf numFmtId="0" fontId="64" fillId="0" borderId="0" xfId="0" applyFont="1"/>
    <xf numFmtId="0" fontId="10" fillId="0" borderId="0" xfId="0" applyFont="1" applyAlignment="1">
      <alignment horizontal="left"/>
    </xf>
    <xf numFmtId="43" fontId="0" fillId="0" borderId="0" xfId="18" applyFont="1" applyAlignment="1">
      <alignment/>
    </xf>
    <xf numFmtId="0" fontId="0" fillId="0" borderId="10" xfId="0" applyBorder="1" applyAlignment="1">
      <alignment horizontal="center"/>
    </xf>
    <xf numFmtId="164" fontId="0" fillId="0" borderId="9" xfId="18" applyNumberFormat="1" applyFont="1" applyBorder="1"/>
    <xf numFmtId="0" fontId="0" fillId="0" borderId="1" xfId="0" applyBorder="1" applyAlignment="1">
      <alignment horizontal="center"/>
    </xf>
    <xf numFmtId="0" fontId="0" fillId="0" borderId="13" xfId="0" applyBorder="1"/>
    <xf numFmtId="10" fontId="7" fillId="0" borderId="0" xfId="0" applyNumberFormat="1" applyFont="1"/>
    <xf numFmtId="164" fontId="23" fillId="0" borderId="0" xfId="0" applyNumberFormat="1" applyFont="1" applyAlignment="1">
      <alignment horizontal="center" wrapText="1"/>
    </xf>
    <xf numFmtId="172" fontId="23" fillId="0" borderId="0" xfId="15" applyNumberFormat="1" applyFont="1" applyFill="1"/>
    <xf numFmtId="164" fontId="23" fillId="0" borderId="0" xfId="18" applyNumberFormat="1" applyFont="1" applyFill="1" applyBorder="1" applyAlignment="1">
      <alignment horizontal="center" wrapText="1"/>
    </xf>
    <xf numFmtId="3" fontId="35" fillId="0" borderId="0" xfId="0" applyNumberFormat="1" applyFont="1" applyAlignment="1">
      <alignment horizontal="center"/>
    </xf>
    <xf numFmtId="164" fontId="23" fillId="0" borderId="0" xfId="18" applyNumberFormat="1" applyFont="1" applyFill="1" applyBorder="1" applyAlignment="1">
      <alignment horizontal="left"/>
    </xf>
    <xf numFmtId="37" fontId="6" fillId="0" borderId="0" xfId="0" applyNumberFormat="1" applyFont="1" applyAlignment="1">
      <alignment horizontal="left"/>
    </xf>
    <xf numFmtId="37" fontId="6" fillId="0" borderId="0" xfId="0" applyNumberFormat="1" applyFont="1" applyAlignment="1">
      <alignment horizontal="center"/>
    </xf>
    <xf numFmtId="2" fontId="0" fillId="0" borderId="0" xfId="0" applyNumberFormat="1"/>
    <xf numFmtId="164" fontId="30" fillId="4" borderId="0" xfId="18" applyNumberFormat="1" applyFont="1" applyFill="1" applyBorder="1" applyAlignment="1">
      <alignment horizontal="left"/>
    </xf>
    <xf numFmtId="164" fontId="30" fillId="0" borderId="0" xfId="18" applyNumberFormat="1" applyFont="1" applyFill="1" applyBorder="1" applyAlignment="1">
      <alignment horizontal="left"/>
    </xf>
    <xf numFmtId="164" fontId="33" fillId="0" borderId="0" xfId="18" applyNumberFormat="1" applyFont="1" applyBorder="1" applyAlignment="1">
      <alignment horizontal="left"/>
    </xf>
    <xf numFmtId="0" fontId="30" fillId="0" borderId="0" xfId="0" applyFont="1" applyAlignment="1">
      <alignment horizontal="left"/>
    </xf>
    <xf numFmtId="44" fontId="30" fillId="0" borderId="0" xfId="0" applyNumberFormat="1" applyFont="1" applyAlignment="1">
      <alignment horizontal="center" wrapText="1"/>
    </xf>
    <xf numFmtId="44" fontId="33" fillId="0" borderId="0" xfId="16" applyFont="1" applyFill="1" applyBorder="1" applyAlignment="1">
      <alignment horizontal="center" wrapText="1"/>
    </xf>
    <xf numFmtId="0" fontId="0" fillId="0" borderId="10" xfId="33" applyBorder="1" applyAlignment="1">
      <alignment horizontal="center"/>
      <protection/>
    </xf>
    <xf numFmtId="0" fontId="0" fillId="0" borderId="0" xfId="33">
      <alignment/>
      <protection/>
    </xf>
    <xf numFmtId="0" fontId="47" fillId="0" borderId="0" xfId="33" applyFont="1">
      <alignment/>
      <protection/>
    </xf>
    <xf numFmtId="1" fontId="12" fillId="0" borderId="0" xfId="33" applyNumberFormat="1" applyFont="1" applyAlignment="1">
      <alignment horizontal="center"/>
      <protection/>
    </xf>
    <xf numFmtId="164" fontId="0" fillId="0" borderId="0" xfId="18" applyNumberFormat="1" applyFont="1" applyFill="1" applyBorder="1"/>
    <xf numFmtId="0" fontId="7" fillId="0" borderId="0" xfId="0" applyFont="1"/>
    <xf numFmtId="164" fontId="3" fillId="0" borderId="0" xfId="18" applyNumberFormat="1" applyFont="1" applyAlignment="1">
      <alignment/>
    </xf>
    <xf numFmtId="0" fontId="0" fillId="5" borderId="11" xfId="0" applyFill="1" applyBorder="1" applyAlignment="1">
      <alignment horizontal="center"/>
    </xf>
    <xf numFmtId="166" fontId="30" fillId="0" borderId="0" xfId="16" applyNumberFormat="1" applyFont="1" applyFill="1" applyBorder="1"/>
    <xf numFmtId="166" fontId="30" fillId="0" borderId="0" xfId="0" applyNumberFormat="1" applyFont="1"/>
    <xf numFmtId="0" fontId="0" fillId="0" borderId="9" xfId="0" applyBorder="1"/>
    <xf numFmtId="164" fontId="35" fillId="0" borderId="0" xfId="18" applyNumberFormat="1" applyFont="1" applyFill="1" applyBorder="1"/>
    <xf numFmtId="0" fontId="33" fillId="0" borderId="0" xfId="0" applyFont="1" applyAlignment="1">
      <alignment horizontal="right" wrapText="1"/>
    </xf>
    <xf numFmtId="0" fontId="33" fillId="0" borderId="0" xfId="0" applyFont="1" applyAlignment="1">
      <alignment horizontal="right"/>
    </xf>
    <xf numFmtId="164" fontId="30" fillId="4" borderId="10" xfId="18" applyNumberFormat="1" applyFont="1" applyFill="1" applyBorder="1" applyAlignment="1">
      <alignment horizontal="left"/>
    </xf>
    <xf numFmtId="164" fontId="30" fillId="4" borderId="1" xfId="18" applyNumberFormat="1" applyFont="1" applyFill="1" applyBorder="1" applyAlignment="1">
      <alignment horizontal="right"/>
    </xf>
    <xf numFmtId="0" fontId="30" fillId="0" borderId="13" xfId="0" applyFont="1" applyBorder="1" applyAlignment="1">
      <alignment horizontal="center"/>
    </xf>
    <xf numFmtId="172" fontId="30" fillId="0" borderId="10" xfId="0" applyNumberFormat="1" applyFont="1" applyBorder="1"/>
    <xf numFmtId="0" fontId="30" fillId="0" borderId="0" xfId="0" applyFont="1" applyAlignment="1">
      <alignment wrapText="1"/>
    </xf>
    <xf numFmtId="0" fontId="30" fillId="0" borderId="8" xfId="0" applyFont="1" applyBorder="1" applyAlignment="1">
      <alignment horizontal="center"/>
    </xf>
    <xf numFmtId="164" fontId="42" fillId="0" borderId="0" xfId="18" applyNumberFormat="1" applyFont="1" applyFill="1" applyAlignment="1">
      <alignment horizontal="left"/>
    </xf>
    <xf numFmtId="164" fontId="0" fillId="4" borderId="0" xfId="18" applyNumberFormat="1" applyFont="1" applyFill="1" applyBorder="1"/>
    <xf numFmtId="43" fontId="0" fillId="0" borderId="0" xfId="18" applyFont="1" applyFill="1" applyAlignment="1">
      <alignment/>
    </xf>
    <xf numFmtId="181" fontId="6" fillId="0" borderId="0" xfId="0" applyNumberFormat="1" applyFont="1"/>
    <xf numFmtId="43" fontId="6" fillId="0" borderId="0" xfId="18" applyFont="1"/>
    <xf numFmtId="43" fontId="0" fillId="0" borderId="0" xfId="18" applyFont="1" applyFill="1" applyBorder="1"/>
    <xf numFmtId="164" fontId="42" fillId="0" borderId="0" xfId="18" applyNumberFormat="1" applyFont="1" applyFill="1" applyBorder="1"/>
    <xf numFmtId="0" fontId="42" fillId="0" borderId="12" xfId="0" applyFont="1" applyBorder="1" applyAlignment="1">
      <alignment horizontal="center"/>
    </xf>
    <xf numFmtId="0" fontId="42" fillId="0" borderId="11" xfId="0" applyFont="1" applyBorder="1" applyAlignment="1">
      <alignment horizontal="center"/>
    </xf>
    <xf numFmtId="0" fontId="42" fillId="0" borderId="7" xfId="0" applyFont="1" applyBorder="1"/>
    <xf numFmtId="0" fontId="42" fillId="0" borderId="7" xfId="0" applyFont="1" applyBorder="1" applyAlignment="1">
      <alignment horizontal="center"/>
    </xf>
    <xf numFmtId="0" fontId="0" fillId="0" borderId="12" xfId="0" applyBorder="1"/>
    <xf numFmtId="43" fontId="0" fillId="0" borderId="0" xfId="18" applyFont="1" applyFill="1" applyBorder="1" applyAlignment="1">
      <alignment/>
    </xf>
    <xf numFmtId="0" fontId="30" fillId="0" borderId="11" xfId="0" applyFont="1" applyBorder="1" applyAlignment="1">
      <alignment wrapText="1"/>
    </xf>
    <xf numFmtId="0" fontId="30" fillId="0" borderId="12" xfId="0" applyFont="1" applyBorder="1" applyAlignment="1">
      <alignment wrapText="1"/>
    </xf>
    <xf numFmtId="0" fontId="30" fillId="0" borderId="13" xfId="0" applyFont="1" applyBorder="1" applyAlignment="1">
      <alignment wrapText="1"/>
    </xf>
    <xf numFmtId="43" fontId="6" fillId="0" borderId="0" xfId="0" applyNumberFormat="1" applyFont="1"/>
    <xf numFmtId="172" fontId="4" fillId="0" borderId="0" xfId="15" applyNumberFormat="1" applyFont="1" applyFill="1" applyAlignment="1">
      <alignment/>
    </xf>
    <xf numFmtId="175" fontId="4" fillId="0" borderId="0" xfId="18" applyNumberFormat="1" applyFont="1" applyFill="1" applyAlignment="1">
      <alignment horizontal="center"/>
    </xf>
    <xf numFmtId="164" fontId="30" fillId="0" borderId="4" xfId="18" applyNumberFormat="1" applyFont="1" applyFill="1" applyBorder="1" applyAlignment="1">
      <alignment horizontal="left"/>
    </xf>
    <xf numFmtId="43" fontId="42" fillId="0" borderId="0" xfId="0" applyNumberFormat="1" applyFont="1"/>
    <xf numFmtId="0" fontId="43" fillId="0" borderId="0" xfId="0" applyFont="1" applyAlignment="1">
      <alignment horizontal="center"/>
    </xf>
    <xf numFmtId="0" fontId="43" fillId="0" borderId="0" xfId="0" applyFont="1" applyAlignment="1">
      <alignment horizontal="left"/>
    </xf>
    <xf numFmtId="16" fontId="43" fillId="0" borderId="0" xfId="0" applyNumberFormat="1" applyFont="1" applyAlignment="1">
      <alignment horizontal="center"/>
    </xf>
    <xf numFmtId="0" fontId="43" fillId="0" borderId="0" xfId="0" applyFont="1" applyAlignment="1">
      <alignment horizontal="center" vertical="top"/>
    </xf>
    <xf numFmtId="0" fontId="0" fillId="0" borderId="12" xfId="0" applyBorder="1" applyAlignment="1">
      <alignment horizontal="left"/>
    </xf>
    <xf numFmtId="172" fontId="0" fillId="0" borderId="13" xfId="15" applyNumberFormat="1" applyBorder="1"/>
    <xf numFmtId="0" fontId="0" fillId="0" borderId="10" xfId="0" applyBorder="1" applyAlignment="1">
      <alignment horizontal="left"/>
    </xf>
    <xf numFmtId="172" fontId="0" fillId="0" borderId="9" xfId="15" applyNumberFormat="1" applyBorder="1"/>
    <xf numFmtId="0" fontId="0" fillId="0" borderId="7" xfId="0" applyBorder="1" applyAlignment="1">
      <alignment horizontal="left"/>
    </xf>
    <xf numFmtId="172" fontId="0" fillId="0" borderId="8" xfId="15" applyNumberFormat="1" applyBorder="1"/>
    <xf numFmtId="0" fontId="3" fillId="0" borderId="12" xfId="0" applyFont="1" applyBorder="1" applyAlignment="1">
      <alignment horizontal="left"/>
    </xf>
    <xf numFmtId="0" fontId="3" fillId="0" borderId="10" xfId="0" applyFont="1" applyBorder="1" applyAlignment="1">
      <alignment horizontal="left"/>
    </xf>
    <xf numFmtId="0" fontId="0" fillId="0" borderId="7" xfId="0" applyBorder="1" applyAlignment="1">
      <alignment horizontal="center"/>
    </xf>
    <xf numFmtId="0" fontId="0" fillId="0" borderId="1" xfId="0" applyBorder="1" applyAlignment="1">
      <alignment horizontal="left"/>
    </xf>
    <xf numFmtId="0" fontId="33" fillId="0" borderId="13" xfId="0" applyFont="1" applyBorder="1" applyAlignment="1">
      <alignment horizontal="center"/>
    </xf>
    <xf numFmtId="164" fontId="30" fillId="0" borderId="1" xfId="18" applyNumberFormat="1" applyFont="1" applyFill="1" applyBorder="1"/>
    <xf numFmtId="166" fontId="23" fillId="0" borderId="10" xfId="0" applyNumberFormat="1" applyFont="1" applyBorder="1" applyAlignment="1">
      <alignment horizontal="center"/>
    </xf>
    <xf numFmtId="0" fontId="3" fillId="0" borderId="12" xfId="0" applyFont="1" applyBorder="1"/>
    <xf numFmtId="0" fontId="3" fillId="0" borderId="11" xfId="0" applyFont="1" applyBorder="1"/>
    <xf numFmtId="0" fontId="0" fillId="0" borderId="13" xfId="0" applyBorder="1" applyAlignment="1">
      <alignment horizontal="center" wrapText="1"/>
    </xf>
    <xf numFmtId="0" fontId="3" fillId="0" borderId="12" xfId="0" applyFont="1" applyBorder="1" applyAlignment="1">
      <alignment horizontal="center" wrapText="1"/>
    </xf>
    <xf numFmtId="0" fontId="0" fillId="0" borderId="11" xfId="0" applyBorder="1" applyAlignment="1">
      <alignment horizontal="center" wrapText="1"/>
    </xf>
    <xf numFmtId="164" fontId="0" fillId="4" borderId="9" xfId="0" applyNumberFormat="1" applyFill="1" applyBorder="1"/>
    <xf numFmtId="164" fontId="0" fillId="4" borderId="0" xfId="18" applyNumberFormat="1" applyFont="1" applyFill="1" applyBorder="1" applyAlignment="1">
      <alignment/>
    </xf>
    <xf numFmtId="0" fontId="0" fillId="4" borderId="4" xfId="0" applyFill="1" applyBorder="1"/>
    <xf numFmtId="164" fontId="0" fillId="4" borderId="15" xfId="0" applyNumberFormat="1" applyFill="1" applyBorder="1"/>
    <xf numFmtId="164" fontId="0" fillId="0" borderId="9" xfId="0" applyNumberFormat="1" applyBorder="1"/>
    <xf numFmtId="183" fontId="0" fillId="0" borderId="0" xfId="0" applyNumberFormat="1"/>
    <xf numFmtId="164" fontId="0" fillId="0" borderId="8" xfId="0" applyNumberFormat="1" applyBorder="1"/>
    <xf numFmtId="0" fontId="3" fillId="0" borderId="10" xfId="0" applyFont="1" applyBorder="1" applyAlignment="1">
      <alignment horizontal="center" wrapText="1"/>
    </xf>
    <xf numFmtId="0" fontId="0" fillId="0" borderId="9" xfId="0" applyBorder="1" applyAlignment="1">
      <alignment horizontal="center" wrapText="1"/>
    </xf>
    <xf numFmtId="164" fontId="0" fillId="4" borderId="9" xfId="18" applyNumberFormat="1" applyFont="1" applyFill="1" applyBorder="1"/>
    <xf numFmtId="164" fontId="0" fillId="0" borderId="0" xfId="18" applyNumberFormat="1" applyFont="1" applyBorder="1" applyAlignment="1">
      <alignment/>
    </xf>
    <xf numFmtId="164" fontId="0" fillId="0" borderId="1" xfId="18" applyNumberFormat="1" applyFont="1" applyBorder="1" applyAlignment="1">
      <alignment/>
    </xf>
    <xf numFmtId="169" fontId="6" fillId="0" borderId="0" xfId="36" applyFont="1" applyProtection="1">
      <alignment/>
      <protection locked="0"/>
    </xf>
    <xf numFmtId="0" fontId="6" fillId="0" borderId="0" xfId="0" applyFont="1" applyAlignment="1">
      <alignment horizontal="center"/>
    </xf>
    <xf numFmtId="37" fontId="4" fillId="0" borderId="0" xfId="0" applyNumberFormat="1" applyFont="1" applyAlignment="1">
      <alignment horizontal="left"/>
    </xf>
    <xf numFmtId="164" fontId="0" fillId="0" borderId="3" xfId="18" applyNumberFormat="1" applyFont="1" applyFill="1" applyBorder="1" applyAlignment="1">
      <alignment/>
    </xf>
    <xf numFmtId="0" fontId="0" fillId="0" borderId="1" xfId="0" applyBorder="1" applyAlignment="1">
      <alignment wrapText="1"/>
    </xf>
    <xf numFmtId="0" fontId="44" fillId="0" borderId="6" xfId="0" applyFont="1" applyBorder="1" applyAlignment="1">
      <alignment horizontal="center" wrapText="1"/>
    </xf>
    <xf numFmtId="0" fontId="44" fillId="0" borderId="5" xfId="0" applyFont="1" applyBorder="1" applyAlignment="1">
      <alignment horizontal="center" wrapText="1"/>
    </xf>
    <xf numFmtId="0" fontId="0" fillId="4" borderId="10" xfId="0" applyFill="1" applyBorder="1" applyAlignment="1">
      <alignment horizontal="center"/>
    </xf>
    <xf numFmtId="43" fontId="30" fillId="0" borderId="7" xfId="18" applyFont="1" applyFill="1" applyBorder="1"/>
    <xf numFmtId="164" fontId="30" fillId="0" borderId="8" xfId="18" applyNumberFormat="1" applyFont="1" applyFill="1" applyBorder="1"/>
    <xf numFmtId="0" fontId="0" fillId="0" borderId="9" xfId="0" applyBorder="1" applyAlignment="1">
      <alignment horizontal="center"/>
    </xf>
    <xf numFmtId="164" fontId="30" fillId="0" borderId="7" xfId="18" applyNumberFormat="1" applyFont="1" applyFill="1" applyBorder="1"/>
    <xf numFmtId="0" fontId="33" fillId="0" borderId="12" xfId="0" applyFont="1" applyBorder="1" applyAlignment="1">
      <alignment horizontal="center"/>
    </xf>
    <xf numFmtId="0" fontId="33" fillId="0" borderId="11" xfId="0" applyFont="1" applyBorder="1" applyAlignment="1">
      <alignment horizontal="center" wrapText="1"/>
    </xf>
    <xf numFmtId="3" fontId="6" fillId="0" borderId="4" xfId="0" applyNumberFormat="1" applyFont="1" applyBorder="1"/>
    <xf numFmtId="0" fontId="46" fillId="0" borderId="4" xfId="0" applyFont="1" applyBorder="1"/>
    <xf numFmtId="3" fontId="36" fillId="0" borderId="9" xfId="0" applyNumberFormat="1" applyFont="1" applyBorder="1"/>
    <xf numFmtId="43" fontId="43" fillId="0" borderId="0" xfId="0" applyNumberFormat="1" applyFont="1"/>
    <xf numFmtId="166" fontId="43" fillId="0" borderId="0" xfId="0" applyNumberFormat="1" applyFont="1"/>
    <xf numFmtId="10" fontId="0" fillId="0" borderId="0" xfId="0" applyNumberFormat="1"/>
    <xf numFmtId="164" fontId="0" fillId="4" borderId="9" xfId="18" applyNumberFormat="1" applyFont="1" applyFill="1" applyBorder="1" applyAlignment="1">
      <alignment/>
    </xf>
    <xf numFmtId="164" fontId="0" fillId="0" borderId="9" xfId="18" applyNumberFormat="1" applyFont="1" applyBorder="1" applyAlignment="1">
      <alignment/>
    </xf>
    <xf numFmtId="164" fontId="0" fillId="0" borderId="1" xfId="18" applyNumberFormat="1" applyFont="1" applyBorder="1"/>
    <xf numFmtId="164" fontId="0" fillId="0" borderId="9" xfId="18" applyNumberFormat="1" applyFont="1" applyFill="1" applyBorder="1" applyAlignment="1">
      <alignment/>
    </xf>
    <xf numFmtId="164" fontId="0" fillId="0" borderId="8" xfId="18" applyNumberFormat="1" applyFont="1" applyFill="1" applyBorder="1" applyAlignment="1">
      <alignment/>
    </xf>
    <xf numFmtId="0" fontId="30" fillId="0" borderId="16" xfId="0" applyFont="1" applyBorder="1" applyAlignment="1">
      <alignment horizontal="center"/>
    </xf>
    <xf numFmtId="168" fontId="0" fillId="0" borderId="17" xfId="0" applyNumberFormat="1" applyBorder="1"/>
    <xf numFmtId="178" fontId="0" fillId="0" borderId="0" xfId="18" applyNumberFormat="1" applyFont="1" applyFill="1"/>
    <xf numFmtId="178" fontId="0" fillId="0" borderId="4" xfId="18" applyNumberFormat="1" applyFont="1" applyFill="1" applyBorder="1"/>
    <xf numFmtId="164" fontId="0" fillId="0" borderId="0" xfId="18" applyNumberFormat="1" applyFont="1" applyAlignment="1">
      <alignment horizontal="right" wrapText="1"/>
    </xf>
    <xf numFmtId="43" fontId="0" fillId="0" borderId="0" xfId="18" applyFont="1"/>
    <xf numFmtId="164" fontId="0" fillId="0" borderId="8" xfId="18" applyNumberFormat="1" applyFont="1" applyFill="1" applyBorder="1"/>
    <xf numFmtId="0" fontId="74" fillId="0" borderId="0" xfId="0" applyFont="1"/>
    <xf numFmtId="3" fontId="74" fillId="0" borderId="0" xfId="0" applyNumberFormat="1" applyFont="1"/>
    <xf numFmtId="164" fontId="0" fillId="0" borderId="1" xfId="18" applyNumberFormat="1" applyFont="1" applyFill="1" applyBorder="1"/>
    <xf numFmtId="164" fontId="0" fillId="0" borderId="17" xfId="18" applyNumberFormat="1" applyFont="1" applyFill="1" applyBorder="1"/>
    <xf numFmtId="3" fontId="4" fillId="0" borderId="0" xfId="18" applyNumberFormat="1" applyFont="1" applyFill="1"/>
    <xf numFmtId="3" fontId="6" fillId="3" borderId="0" xfId="0" applyNumberFormat="1" applyFont="1" applyFill="1" applyAlignment="1">
      <alignment horizontal="center" wrapText="1"/>
    </xf>
    <xf numFmtId="3" fontId="4" fillId="0" borderId="0" xfId="15" applyNumberFormat="1" applyFont="1" applyAlignment="1">
      <alignment/>
    </xf>
    <xf numFmtId="3" fontId="6" fillId="0" borderId="0" xfId="18" applyNumberFormat="1" applyFont="1"/>
    <xf numFmtId="3" fontId="4" fillId="0" borderId="0" xfId="18" applyNumberFormat="1" applyFont="1" applyAlignment="1">
      <alignment/>
    </xf>
    <xf numFmtId="3" fontId="4" fillId="0" borderId="0" xfId="18" applyNumberFormat="1" applyFont="1" applyFill="1" applyAlignment="1">
      <alignment/>
    </xf>
    <xf numFmtId="3" fontId="6" fillId="0" borderId="0" xfId="18" applyNumberFormat="1" applyFont="1" applyFill="1" applyAlignment="1">
      <alignment/>
    </xf>
    <xf numFmtId="164" fontId="0" fillId="0" borderId="0" xfId="18" applyNumberFormat="1" applyFont="1"/>
    <xf numFmtId="164" fontId="0" fillId="0" borderId="0" xfId="18" applyNumberFormat="1" applyFont="1" applyAlignment="1">
      <alignment horizontal="left" wrapText="1"/>
    </xf>
    <xf numFmtId="164" fontId="0" fillId="0" borderId="0" xfId="18" applyNumberFormat="1" applyFont="1" applyAlignment="1">
      <alignment horizontal="left" vertical="center" wrapText="1"/>
    </xf>
    <xf numFmtId="164" fontId="0" fillId="0" borderId="4" xfId="18" applyNumberFormat="1" applyFont="1" applyBorder="1"/>
    <xf numFmtId="164" fontId="3" fillId="0" borderId="3" xfId="18" applyNumberFormat="1" applyFont="1" applyFill="1" applyBorder="1" applyAlignment="1">
      <alignment horizontal="right" wrapText="1"/>
    </xf>
    <xf numFmtId="165" fontId="6" fillId="4" borderId="0" xfId="18" applyNumberFormat="1" applyFont="1" applyFill="1" applyBorder="1" applyAlignment="1">
      <alignment/>
    </xf>
    <xf numFmtId="3" fontId="4" fillId="0" borderId="3" xfId="18" applyNumberFormat="1" applyFont="1" applyFill="1" applyBorder="1" applyAlignment="1">
      <alignment horizontal="right"/>
    </xf>
    <xf numFmtId="3" fontId="0" fillId="0" borderId="0" xfId="0" applyNumberFormat="1"/>
    <xf numFmtId="0" fontId="40" fillId="0" borderId="9" xfId="0" applyFont="1" applyBorder="1"/>
    <xf numFmtId="0" fontId="40" fillId="0" borderId="1" xfId="0" applyFont="1" applyBorder="1"/>
    <xf numFmtId="0" fontId="40" fillId="0" borderId="8" xfId="0" applyFont="1" applyBorder="1"/>
    <xf numFmtId="0" fontId="0" fillId="0" borderId="7" xfId="33" applyBorder="1" applyAlignment="1">
      <alignment horizontal="center"/>
      <protection/>
    </xf>
    <xf numFmtId="10" fontId="30" fillId="0" borderId="10" xfId="15" applyNumberFormat="1" applyFont="1" applyFill="1" applyBorder="1" applyAlignment="1">
      <alignment horizontal="right"/>
    </xf>
    <xf numFmtId="0" fontId="30" fillId="0" borderId="9" xfId="0" applyFont="1" applyBorder="1" applyAlignment="1">
      <alignment horizontal="right"/>
    </xf>
    <xf numFmtId="0" fontId="63" fillId="0" borderId="0" xfId="0" applyFont="1" applyAlignment="1">
      <alignment horizontal="right"/>
    </xf>
    <xf numFmtId="0" fontId="34" fillId="0" borderId="0" xfId="0" applyFont="1" applyAlignment="1">
      <alignment horizontal="right"/>
    </xf>
    <xf numFmtId="0" fontId="34" fillId="0" borderId="9" xfId="0" applyFont="1" applyBorder="1" applyAlignment="1">
      <alignment horizontal="right"/>
    </xf>
    <xf numFmtId="0" fontId="30" fillId="0" borderId="10" xfId="0" applyFont="1" applyBorder="1" applyAlignment="1">
      <alignment horizontal="right"/>
    </xf>
    <xf numFmtId="10" fontId="30" fillId="0" borderId="10" xfId="0" applyNumberFormat="1" applyFont="1" applyBorder="1" applyAlignment="1">
      <alignment horizontal="right"/>
    </xf>
    <xf numFmtId="3" fontId="0" fillId="0" borderId="0" xfId="18" applyNumberFormat="1" applyFont="1"/>
    <xf numFmtId="3" fontId="0" fillId="0" borderId="0" xfId="18" applyNumberFormat="1" applyFont="1" applyAlignment="1">
      <alignment horizontal="right" wrapText="1"/>
    </xf>
    <xf numFmtId="164" fontId="30" fillId="4" borderId="0" xfId="18" applyNumberFormat="1" applyFont="1" applyFill="1" applyBorder="1" applyAlignment="1">
      <alignment horizontal="right"/>
    </xf>
    <xf numFmtId="164" fontId="30" fillId="0" borderId="0" xfId="18" applyNumberFormat="1" applyFont="1" applyBorder="1" applyAlignment="1">
      <alignment horizontal="right"/>
    </xf>
    <xf numFmtId="164" fontId="30" fillId="0" borderId="1" xfId="18" applyNumberFormat="1" applyFont="1" applyBorder="1" applyAlignment="1">
      <alignment horizontal="right"/>
    </xf>
    <xf numFmtId="43" fontId="30" fillId="0" borderId="1" xfId="18" applyFont="1" applyFill="1" applyBorder="1" applyAlignment="1">
      <alignment horizontal="center"/>
    </xf>
    <xf numFmtId="3" fontId="0" fillId="0" borderId="0" xfId="18" applyNumberFormat="1" applyFont="1" applyAlignment="1">
      <alignment horizontal="right"/>
    </xf>
    <xf numFmtId="3" fontId="0" fillId="4" borderId="0" xfId="18" applyNumberFormat="1" applyFont="1" applyFill="1" applyAlignment="1">
      <alignment/>
    </xf>
    <xf numFmtId="3" fontId="0" fillId="0" borderId="0" xfId="18" applyNumberFormat="1" applyFont="1" applyFill="1" applyAlignment="1">
      <alignment horizontal="right"/>
    </xf>
    <xf numFmtId="3" fontId="0" fillId="0" borderId="0" xfId="18" applyNumberFormat="1" applyFont="1" applyFill="1" applyAlignment="1">
      <alignment horizontal="right" wrapText="1"/>
    </xf>
    <xf numFmtId="3" fontId="0" fillId="4" borderId="4" xfId="18" applyNumberFormat="1" applyFont="1" applyFill="1" applyBorder="1" applyAlignment="1">
      <alignment horizontal="right"/>
    </xf>
    <xf numFmtId="43" fontId="3" fillId="0" borderId="0" xfId="18" applyFont="1" applyFill="1" applyBorder="1" applyAlignment="1">
      <alignment/>
    </xf>
    <xf numFmtId="1" fontId="0" fillId="0" borderId="0" xfId="18" applyNumberFormat="1" applyFont="1" applyFill="1" applyAlignment="1">
      <alignment horizontal="right"/>
    </xf>
    <xf numFmtId="1" fontId="0" fillId="0" borderId="0" xfId="0" applyNumberFormat="1" applyAlignment="1">
      <alignment horizontal="right" wrapText="1"/>
    </xf>
    <xf numFmtId="0" fontId="3" fillId="0" borderId="11" xfId="0" applyFont="1" applyBorder="1" applyAlignment="1">
      <alignment horizontal="center" wrapText="1"/>
    </xf>
    <xf numFmtId="0" fontId="33" fillId="0" borderId="11" xfId="0" applyFont="1" applyBorder="1" applyAlignment="1">
      <alignment horizontal="center"/>
    </xf>
    <xf numFmtId="0" fontId="33" fillId="0" borderId="18" xfId="0" applyFont="1" applyBorder="1" applyAlignment="1">
      <alignment horizontal="center"/>
    </xf>
    <xf numFmtId="37" fontId="4" fillId="0" borderId="0" xfId="0" applyNumberFormat="1" applyFont="1" applyAlignment="1">
      <alignment horizontal="center"/>
    </xf>
    <xf numFmtId="43" fontId="30" fillId="0" borderId="0" xfId="18" applyFont="1" applyFill="1" applyBorder="1"/>
    <xf numFmtId="37" fontId="4" fillId="0" borderId="0" xfId="0" applyNumberFormat="1" applyFont="1" applyAlignment="1">
      <alignment horizontal="center" wrapText="1"/>
    </xf>
    <xf numFmtId="37" fontId="6" fillId="0" borderId="0" xfId="0" applyNumberFormat="1" applyFont="1" applyAlignment="1">
      <alignment horizontal="center" wrapText="1"/>
    </xf>
    <xf numFmtId="2" fontId="0" fillId="0" borderId="0" xfId="0" applyNumberFormat="1" applyAlignment="1">
      <alignment horizontal="center" wrapText="1"/>
    </xf>
    <xf numFmtId="181" fontId="6" fillId="0" borderId="0" xfId="0" applyNumberFormat="1" applyFont="1" applyAlignment="1">
      <alignment horizontal="right"/>
    </xf>
    <xf numFmtId="43" fontId="30" fillId="0" borderId="1" xfId="18" applyFont="1" applyBorder="1"/>
    <xf numFmtId="0" fontId="42" fillId="0" borderId="10" xfId="0" applyFont="1" applyBorder="1" applyAlignment="1">
      <alignment horizontal="center"/>
    </xf>
    <xf numFmtId="0" fontId="24" fillId="0" borderId="0" xfId="0" applyFont="1" applyAlignment="1">
      <alignment horizontal="left"/>
    </xf>
    <xf numFmtId="43" fontId="30" fillId="0" borderId="0" xfId="0" applyNumberFormat="1" applyFont="1"/>
    <xf numFmtId="0" fontId="59" fillId="0" borderId="0" xfId="0" applyFont="1" applyAlignment="1">
      <alignment horizontal="center"/>
    </xf>
    <xf numFmtId="0" fontId="0" fillId="4" borderId="12" xfId="0" applyFill="1" applyBorder="1" applyAlignment="1">
      <alignment horizontal="center"/>
    </xf>
    <xf numFmtId="172" fontId="30" fillId="0" borderId="10" xfId="0" applyNumberFormat="1" applyFont="1" applyBorder="1" applyAlignment="1">
      <alignment horizontal="right"/>
    </xf>
    <xf numFmtId="0" fontId="43" fillId="0" borderId="0" xfId="34" applyFont="1">
      <alignment/>
      <protection/>
    </xf>
    <xf numFmtId="0" fontId="0" fillId="0" borderId="0" xfId="34">
      <alignment/>
      <protection/>
    </xf>
    <xf numFmtId="43" fontId="43" fillId="0" borderId="0" xfId="34" applyNumberFormat="1" applyFont="1">
      <alignment/>
      <protection/>
    </xf>
    <xf numFmtId="0" fontId="65" fillId="0" borderId="12" xfId="34" applyFont="1" applyBorder="1">
      <alignment/>
      <protection/>
    </xf>
    <xf numFmtId="0" fontId="32" fillId="0" borderId="11" xfId="34" applyFont="1" applyBorder="1">
      <alignment/>
      <protection/>
    </xf>
    <xf numFmtId="0" fontId="32" fillId="0" borderId="13" xfId="34" applyFont="1" applyBorder="1">
      <alignment/>
      <protection/>
    </xf>
    <xf numFmtId="0" fontId="32" fillId="0" borderId="0" xfId="34" applyFont="1">
      <alignment/>
      <protection/>
    </xf>
    <xf numFmtId="0" fontId="65" fillId="0" borderId="7" xfId="34" applyFont="1" applyBorder="1">
      <alignment/>
      <protection/>
    </xf>
    <xf numFmtId="0" fontId="32" fillId="0" borderId="1" xfId="34" applyFont="1" applyBorder="1">
      <alignment/>
      <protection/>
    </xf>
    <xf numFmtId="166" fontId="65" fillId="4" borderId="8" xfId="29" applyNumberFormat="1" applyFont="1" applyFill="1" applyBorder="1"/>
    <xf numFmtId="166" fontId="65" fillId="0" borderId="0" xfId="29" applyNumberFormat="1" applyFont="1" applyFill="1" applyBorder="1"/>
    <xf numFmtId="0" fontId="65" fillId="0" borderId="0" xfId="34" applyFont="1">
      <alignment/>
      <protection/>
    </xf>
    <xf numFmtId="0" fontId="65" fillId="0" borderId="10" xfId="34" applyFont="1" applyBorder="1">
      <alignment/>
      <protection/>
    </xf>
    <xf numFmtId="9" fontId="65" fillId="0" borderId="9" xfId="15" applyFont="1" applyFill="1" applyBorder="1"/>
    <xf numFmtId="0" fontId="64" fillId="0" borderId="10" xfId="34" applyFont="1" applyBorder="1">
      <alignment/>
      <protection/>
    </xf>
    <xf numFmtId="10" fontId="64" fillId="0" borderId="9" xfId="38" applyNumberFormat="1" applyFont="1" applyFill="1" applyBorder="1"/>
    <xf numFmtId="10" fontId="64" fillId="0" borderId="0" xfId="38" applyNumberFormat="1" applyFont="1" applyFill="1" applyBorder="1"/>
    <xf numFmtId="0" fontId="25" fillId="0" borderId="10" xfId="34" applyFont="1" applyBorder="1">
      <alignment/>
      <protection/>
    </xf>
    <xf numFmtId="0" fontId="0" fillId="0" borderId="0" xfId="34" applyAlignment="1">
      <alignment horizontal="center"/>
      <protection/>
    </xf>
    <xf numFmtId="0" fontId="66" fillId="0" borderId="0" xfId="34" applyFont="1">
      <alignment/>
      <protection/>
    </xf>
    <xf numFmtId="166" fontId="43" fillId="0" borderId="0" xfId="16" applyNumberFormat="1" applyFont="1" applyFill="1" applyBorder="1"/>
    <xf numFmtId="0" fontId="67" fillId="0" borderId="0" xfId="34" applyFont="1" applyAlignment="1">
      <alignment horizontal="center"/>
      <protection/>
    </xf>
    <xf numFmtId="0" fontId="64" fillId="0" borderId="7" xfId="34" applyFont="1" applyBorder="1">
      <alignment/>
      <protection/>
    </xf>
    <xf numFmtId="0" fontId="43" fillId="0" borderId="1" xfId="34" applyFont="1" applyBorder="1">
      <alignment/>
      <protection/>
    </xf>
    <xf numFmtId="10" fontId="64" fillId="0" borderId="8" xfId="38" applyNumberFormat="1" applyFont="1" applyFill="1" applyBorder="1"/>
    <xf numFmtId="0" fontId="64" fillId="0" borderId="0" xfId="34" applyFont="1">
      <alignment/>
      <protection/>
    </xf>
    <xf numFmtId="166" fontId="43" fillId="0" borderId="0" xfId="29" applyNumberFormat="1" applyFont="1" applyFill="1" applyBorder="1"/>
    <xf numFmtId="0" fontId="43" fillId="0" borderId="11" xfId="34" applyFont="1" applyBorder="1">
      <alignment/>
      <protection/>
    </xf>
    <xf numFmtId="166" fontId="43" fillId="0" borderId="13" xfId="29" applyNumberFormat="1" applyFont="1" applyFill="1" applyBorder="1"/>
    <xf numFmtId="166" fontId="43" fillId="0" borderId="9" xfId="29" applyNumberFormat="1" applyFont="1" applyFill="1" applyBorder="1"/>
    <xf numFmtId="0" fontId="43" fillId="0" borderId="10" xfId="34" applyFont="1" applyBorder="1">
      <alignment/>
      <protection/>
    </xf>
    <xf numFmtId="164" fontId="43" fillId="4" borderId="9" xfId="21" applyNumberFormat="1" applyFont="1" applyFill="1" applyBorder="1"/>
    <xf numFmtId="164" fontId="43" fillId="0" borderId="0" xfId="21" applyNumberFormat="1" applyFont="1" applyFill="1" applyBorder="1"/>
    <xf numFmtId="164" fontId="64" fillId="0" borderId="19" xfId="21" applyNumberFormat="1" applyFont="1" applyFill="1" applyBorder="1"/>
    <xf numFmtId="164" fontId="64" fillId="0" borderId="0" xfId="21" applyNumberFormat="1" applyFont="1" applyFill="1" applyBorder="1"/>
    <xf numFmtId="167" fontId="43" fillId="0" borderId="0" xfId="15" applyNumberFormat="1" applyFont="1" applyFill="1" applyBorder="1"/>
    <xf numFmtId="164" fontId="43" fillId="0" borderId="0" xfId="18" applyNumberFormat="1" applyFont="1" applyFill="1" applyBorder="1"/>
    <xf numFmtId="171" fontId="43" fillId="4" borderId="9" xfId="18" applyNumberFormat="1" applyFont="1" applyFill="1" applyBorder="1"/>
    <xf numFmtId="177" fontId="43" fillId="0" borderId="0" xfId="18" applyNumberFormat="1" applyFont="1" applyFill="1" applyBorder="1"/>
    <xf numFmtId="164" fontId="43" fillId="0" borderId="1" xfId="21" applyNumberFormat="1" applyFont="1" applyFill="1" applyBorder="1"/>
    <xf numFmtId="171" fontId="43" fillId="4" borderId="8" xfId="18" applyNumberFormat="1" applyFont="1" applyFill="1" applyBorder="1"/>
    <xf numFmtId="171" fontId="43" fillId="0" borderId="0" xfId="18" applyNumberFormat="1" applyFont="1" applyFill="1" applyBorder="1"/>
    <xf numFmtId="179" fontId="43" fillId="0" borderId="0" xfId="34" applyNumberFormat="1" applyFont="1">
      <alignment/>
      <protection/>
    </xf>
    <xf numFmtId="172" fontId="0" fillId="4" borderId="16" xfId="15" applyNumberFormat="1" applyFont="1" applyFill="1" applyBorder="1"/>
    <xf numFmtId="167" fontId="0" fillId="4" borderId="16" xfId="15" applyNumberFormat="1" applyFont="1" applyFill="1" applyBorder="1"/>
    <xf numFmtId="0" fontId="3" fillId="0" borderId="0" xfId="34" applyFont="1" applyAlignment="1">
      <alignment horizontal="center" wrapText="1"/>
      <protection/>
    </xf>
    <xf numFmtId="43" fontId="0" fillId="0" borderId="0" xfId="34" applyNumberFormat="1">
      <alignment/>
      <protection/>
    </xf>
    <xf numFmtId="49" fontId="0" fillId="0" borderId="0" xfId="34" applyNumberFormat="1" applyAlignment="1">
      <alignment horizontal="right"/>
      <protection/>
    </xf>
    <xf numFmtId="164" fontId="11" fillId="0" borderId="0" xfId="21" applyNumberFormat="1" applyFont="1" applyFill="1" applyBorder="1"/>
    <xf numFmtId="4" fontId="0" fillId="0" borderId="0" xfId="0" applyNumberFormat="1"/>
    <xf numFmtId="0" fontId="24" fillId="0" borderId="8" xfId="0" applyFont="1" applyBorder="1" applyAlignment="1">
      <alignment horizontal="left"/>
    </xf>
    <xf numFmtId="0" fontId="29" fillId="0" borderId="0" xfId="0" applyFont="1" applyAlignment="1">
      <alignment horizontal="center" wrapText="1"/>
    </xf>
    <xf numFmtId="0" fontId="3" fillId="0" borderId="5" xfId="0" applyFont="1" applyBorder="1" applyAlignment="1">
      <alignment wrapText="1"/>
    </xf>
    <xf numFmtId="0" fontId="72" fillId="0" borderId="0" xfId="0" applyFont="1" applyAlignment="1">
      <alignment horizontal="center"/>
    </xf>
    <xf numFmtId="3" fontId="24" fillId="0" borderId="0" xfId="0" applyNumberFormat="1" applyFont="1" applyAlignment="1">
      <alignment horizontal="center"/>
    </xf>
    <xf numFmtId="164" fontId="75" fillId="0" borderId="0" xfId="18" applyNumberFormat="1" applyFont="1" applyFill="1" applyBorder="1" applyAlignment="1">
      <alignment horizontal="left"/>
    </xf>
    <xf numFmtId="0" fontId="6" fillId="0" borderId="0" xfId="34" applyFont="1">
      <alignment/>
      <protection/>
    </xf>
    <xf numFmtId="164" fontId="3" fillId="0" borderId="0" xfId="18" applyNumberFormat="1" applyFont="1" applyFill="1" applyBorder="1" applyAlignment="1">
      <alignment/>
    </xf>
    <xf numFmtId="164" fontId="3" fillId="0" borderId="4" xfId="18" applyNumberFormat="1" applyFont="1" applyFill="1" applyBorder="1" applyAlignment="1">
      <alignment wrapText="1"/>
    </xf>
    <xf numFmtId="164" fontId="0" fillId="0" borderId="0" xfId="18" applyNumberFormat="1" applyFont="1" applyFill="1" applyBorder="1" applyAlignment="1">
      <alignment wrapText="1"/>
    </xf>
    <xf numFmtId="164" fontId="47" fillId="0" borderId="0" xfId="18" applyNumberFormat="1" applyFont="1" applyBorder="1" applyAlignment="1">
      <alignment/>
    </xf>
    <xf numFmtId="164" fontId="6" fillId="0" borderId="0" xfId="18" applyNumberFormat="1" applyFont="1" applyFill="1" applyBorder="1" applyAlignment="1">
      <alignment/>
    </xf>
    <xf numFmtId="164" fontId="6" fillId="0" borderId="4" xfId="18" applyNumberFormat="1" applyFont="1" applyFill="1" applyBorder="1" applyAlignment="1">
      <alignment/>
    </xf>
    <xf numFmtId="164" fontId="3" fillId="0" borderId="0" xfId="18" applyNumberFormat="1" applyFont="1" applyFill="1" applyBorder="1" applyAlignment="1">
      <alignment wrapText="1"/>
    </xf>
    <xf numFmtId="164" fontId="47" fillId="0" borderId="0" xfId="18" applyNumberFormat="1" applyFont="1" applyFill="1" applyBorder="1" applyAlignment="1">
      <alignment/>
    </xf>
    <xf numFmtId="164" fontId="3" fillId="0" borderId="1" xfId="18" applyNumberFormat="1" applyFont="1" applyFill="1" applyBorder="1" applyAlignment="1">
      <alignment wrapText="1"/>
    </xf>
    <xf numFmtId="164" fontId="3" fillId="0" borderId="3" xfId="18" applyNumberFormat="1" applyFont="1" applyFill="1" applyBorder="1" applyAlignment="1">
      <alignment/>
    </xf>
    <xf numFmtId="164" fontId="3" fillId="0" borderId="20" xfId="18" applyNumberFormat="1" applyFont="1" applyFill="1" applyBorder="1" applyAlignment="1">
      <alignment/>
    </xf>
    <xf numFmtId="164" fontId="3" fillId="0" borderId="10" xfId="18" applyNumberFormat="1" applyFont="1" applyFill="1" applyBorder="1" applyAlignment="1">
      <alignment/>
    </xf>
    <xf numFmtId="164" fontId="3" fillId="0" borderId="10" xfId="18" applyNumberFormat="1" applyFont="1" applyFill="1" applyBorder="1" applyAlignment="1">
      <alignment wrapText="1"/>
    </xf>
    <xf numFmtId="164" fontId="0" fillId="0" borderId="0" xfId="18" applyNumberFormat="1" applyFont="1" applyFill="1" applyBorder="1" applyAlignment="1">
      <alignment horizontal="right"/>
    </xf>
    <xf numFmtId="164" fontId="4" fillId="0" borderId="20" xfId="18" applyNumberFormat="1" applyFont="1" applyFill="1" applyBorder="1" applyAlignment="1">
      <alignment horizontal="right"/>
    </xf>
    <xf numFmtId="164" fontId="55" fillId="0" borderId="10" xfId="18" applyNumberFormat="1" applyFont="1" applyFill="1" applyBorder="1"/>
    <xf numFmtId="0" fontId="42" fillId="0" borderId="21" xfId="0" applyFont="1" applyBorder="1" applyAlignment="1">
      <alignment horizontal="center" wrapText="1"/>
    </xf>
    <xf numFmtId="3" fontId="4" fillId="0" borderId="0" xfId="18" applyNumberFormat="1" applyFont="1" applyFill="1" applyBorder="1" applyAlignment="1">
      <alignment/>
    </xf>
    <xf numFmtId="43" fontId="0" fillId="0" borderId="0" xfId="18" applyFont="1" applyBorder="1"/>
    <xf numFmtId="0" fontId="0" fillId="5" borderId="11" xfId="0" applyFill="1" applyBorder="1"/>
    <xf numFmtId="10" fontId="0" fillId="0" borderId="0" xfId="15" applyNumberFormat="1" applyFont="1"/>
    <xf numFmtId="164" fontId="47" fillId="0" borderId="12" xfId="18" applyNumberFormat="1" applyFont="1" applyBorder="1" applyAlignment="1">
      <alignment/>
    </xf>
    <xf numFmtId="164" fontId="47" fillId="0" borderId="10" xfId="18" applyNumberFormat="1" applyFont="1" applyBorder="1" applyAlignment="1">
      <alignment/>
    </xf>
    <xf numFmtId="164" fontId="3" fillId="0" borderId="10" xfId="18" applyNumberFormat="1" applyFont="1" applyFill="1" applyBorder="1" applyAlignment="1">
      <alignment horizontal="left"/>
    </xf>
    <xf numFmtId="164" fontId="47" fillId="0" borderId="10" xfId="18" applyNumberFormat="1" applyFont="1" applyFill="1" applyBorder="1" applyAlignment="1">
      <alignment horizontal="left"/>
    </xf>
    <xf numFmtId="164" fontId="3" fillId="0" borderId="22" xfId="18" applyNumberFormat="1" applyFont="1" applyBorder="1" applyAlignment="1">
      <alignment horizontal="center"/>
    </xf>
    <xf numFmtId="43" fontId="3" fillId="0" borderId="22" xfId="18" applyFont="1" applyBorder="1" applyAlignment="1">
      <alignment horizontal="center"/>
    </xf>
    <xf numFmtId="164" fontId="3" fillId="0" borderId="23" xfId="18" applyNumberFormat="1" applyFont="1" applyFill="1" applyBorder="1" applyAlignment="1">
      <alignment wrapText="1"/>
    </xf>
    <xf numFmtId="164" fontId="3" fillId="0" borderId="7" xfId="18" applyNumberFormat="1" applyFont="1" applyFill="1" applyBorder="1" applyAlignment="1">
      <alignment wrapText="1"/>
    </xf>
    <xf numFmtId="3" fontId="0" fillId="0" borderId="24" xfId="18" applyNumberFormat="1" applyFont="1" applyBorder="1"/>
    <xf numFmtId="0" fontId="42" fillId="0" borderId="5" xfId="0" applyFont="1" applyBorder="1" applyAlignment="1">
      <alignment horizontal="center" wrapText="1"/>
    </xf>
    <xf numFmtId="43" fontId="0" fillId="0" borderId="0" xfId="18" applyFont="1" applyBorder="1"/>
    <xf numFmtId="39" fontId="30" fillId="0" borderId="0" xfId="18" applyNumberFormat="1" applyFont="1" applyFill="1" applyBorder="1" applyAlignment="1">
      <alignment horizontal="right"/>
    </xf>
    <xf numFmtId="39" fontId="30" fillId="0" borderId="0" xfId="18" applyNumberFormat="1" applyFont="1" applyFill="1" applyBorder="1" applyAlignment="1">
      <alignment horizontal="right" wrapText="1"/>
    </xf>
    <xf numFmtId="39" fontId="30" fillId="0" borderId="0" xfId="0" applyNumberFormat="1" applyFont="1"/>
    <xf numFmtId="39" fontId="30" fillId="0" borderId="9" xfId="0" applyNumberFormat="1" applyFont="1" applyBorder="1"/>
    <xf numFmtId="39" fontId="30" fillId="0" borderId="1" xfId="18" applyNumberFormat="1" applyFont="1" applyFill="1" applyBorder="1" applyAlignment="1">
      <alignment horizontal="right"/>
    </xf>
    <xf numFmtId="39" fontId="30" fillId="0" borderId="1" xfId="18" applyNumberFormat="1" applyFont="1" applyFill="1" applyBorder="1" applyAlignment="1">
      <alignment horizontal="right" wrapText="1"/>
    </xf>
    <xf numFmtId="39" fontId="30" fillId="0" borderId="1" xfId="0" applyNumberFormat="1" applyFont="1" applyBorder="1"/>
    <xf numFmtId="39" fontId="30" fillId="0" borderId="8" xfId="0" applyNumberFormat="1" applyFont="1" applyBorder="1"/>
    <xf numFmtId="8" fontId="43" fillId="0" borderId="0" xfId="34" applyNumberFormat="1" applyFont="1">
      <alignment/>
      <protection/>
    </xf>
    <xf numFmtId="0" fontId="43" fillId="4" borderId="0" xfId="34" applyFont="1" applyFill="1" applyAlignment="1">
      <alignment horizontal="center"/>
      <protection/>
    </xf>
    <xf numFmtId="164" fontId="43" fillId="4" borderId="9" xfId="18" applyNumberFormat="1" applyFont="1" applyFill="1" applyBorder="1" applyAlignment="1">
      <alignment horizontal="center"/>
    </xf>
    <xf numFmtId="0" fontId="43" fillId="4" borderId="0" xfId="34" applyFont="1" applyFill="1">
      <alignment/>
      <protection/>
    </xf>
    <xf numFmtId="0" fontId="43" fillId="4" borderId="1" xfId="34" applyFont="1" applyFill="1" applyBorder="1">
      <alignment/>
      <protection/>
    </xf>
    <xf numFmtId="49" fontId="6" fillId="4" borderId="12" xfId="0" applyNumberFormat="1" applyFont="1" applyFill="1" applyBorder="1" applyAlignment="1">
      <alignment horizontal="center"/>
    </xf>
    <xf numFmtId="0" fontId="6" fillId="4" borderId="11" xfId="0" applyFont="1" applyFill="1" applyBorder="1" applyAlignment="1">
      <alignment horizontal="center"/>
    </xf>
    <xf numFmtId="164" fontId="6" fillId="4" borderId="11" xfId="18" applyNumberFormat="1" applyFont="1" applyFill="1" applyBorder="1"/>
    <xf numFmtId="0" fontId="6" fillId="4" borderId="11" xfId="34" applyFont="1" applyFill="1" applyBorder="1">
      <alignment/>
      <protection/>
    </xf>
    <xf numFmtId="49" fontId="6" fillId="4" borderId="10" xfId="0" applyNumberFormat="1" applyFont="1" applyFill="1" applyBorder="1" applyAlignment="1">
      <alignment horizontal="center"/>
    </xf>
    <xf numFmtId="0" fontId="6" fillId="4" borderId="0" xfId="0" applyFont="1" applyFill="1" applyAlignment="1">
      <alignment horizontal="center"/>
    </xf>
    <xf numFmtId="164" fontId="6" fillId="4" borderId="0" xfId="18" applyNumberFormat="1" applyFont="1" applyFill="1" applyBorder="1"/>
    <xf numFmtId="164" fontId="6" fillId="4" borderId="0" xfId="18" applyNumberFormat="1" applyFont="1" applyFill="1" applyBorder="1"/>
    <xf numFmtId="164" fontId="0" fillId="0" borderId="0" xfId="34" applyNumberFormat="1">
      <alignment/>
      <protection/>
    </xf>
    <xf numFmtId="164" fontId="11" fillId="4" borderId="0" xfId="21" applyNumberFormat="1" applyFont="1" applyFill="1" applyBorder="1"/>
    <xf numFmtId="0" fontId="6" fillId="4" borderId="0" xfId="34" applyFont="1" applyFill="1">
      <alignment/>
      <protection/>
    </xf>
    <xf numFmtId="14" fontId="6" fillId="4" borderId="10" xfId="0" applyNumberFormat="1" applyFont="1" applyFill="1" applyBorder="1" applyAlignment="1">
      <alignment horizontal="center"/>
    </xf>
    <xf numFmtId="164" fontId="0" fillId="0" borderId="0" xfId="34" applyNumberFormat="1" applyAlignment="1">
      <alignment horizontal="center"/>
      <protection/>
    </xf>
    <xf numFmtId="166" fontId="0" fillId="0" borderId="0" xfId="34" applyNumberFormat="1">
      <alignment/>
      <protection/>
    </xf>
    <xf numFmtId="164" fontId="6" fillId="0" borderId="0" xfId="34" applyNumberFormat="1" applyFont="1">
      <alignment/>
      <protection/>
    </xf>
    <xf numFmtId="164" fontId="4" fillId="0" borderId="0" xfId="18" applyNumberFormat="1" applyFont="1" applyFill="1" applyBorder="1" applyAlignment="1">
      <alignment horizontal="right"/>
    </xf>
    <xf numFmtId="3" fontId="6" fillId="0" borderId="0" xfId="18" applyNumberFormat="1" applyFont="1" applyFill="1" applyBorder="1"/>
    <xf numFmtId="3" fontId="13" fillId="0" borderId="0" xfId="0" applyNumberFormat="1" applyFont="1"/>
    <xf numFmtId="3" fontId="57" fillId="0" borderId="0" xfId="18" applyNumberFormat="1" applyFont="1" applyFill="1" applyBorder="1" applyAlignment="1">
      <alignment/>
    </xf>
    <xf numFmtId="164" fontId="6" fillId="0" borderId="22" xfId="0" applyNumberFormat="1" applyFont="1" applyBorder="1"/>
    <xf numFmtId="41" fontId="6" fillId="0" borderId="22" xfId="0" applyNumberFormat="1" applyFont="1" applyBorder="1"/>
    <xf numFmtId="0" fontId="35" fillId="0" borderId="1" xfId="0" applyFont="1" applyBorder="1" applyAlignment="1">
      <alignment horizontal="left"/>
    </xf>
    <xf numFmtId="0" fontId="6" fillId="0" borderId="1" xfId="0" applyFont="1" applyBorder="1" applyAlignment="1">
      <alignment horizontal="center"/>
    </xf>
    <xf numFmtId="41" fontId="6" fillId="0" borderId="0" xfId="0" applyNumberFormat="1" applyFont="1"/>
    <xf numFmtId="0" fontId="42" fillId="0" borderId="13" xfId="0" applyFont="1" applyBorder="1" applyAlignment="1">
      <alignment horizontal="center"/>
    </xf>
    <xf numFmtId="0" fontId="42" fillId="0" borderId="6" xfId="0" applyFont="1" applyBorder="1" applyAlignment="1">
      <alignment horizontal="center" wrapText="1"/>
    </xf>
    <xf numFmtId="0" fontId="42" fillId="0" borderId="23" xfId="0" applyFont="1" applyBorder="1" applyAlignment="1">
      <alignment horizontal="center" wrapText="1"/>
    </xf>
    <xf numFmtId="164" fontId="44" fillId="0" borderId="0" xfId="18" applyNumberFormat="1" applyFont="1" applyFill="1" applyBorder="1" applyAlignment="1">
      <alignment horizontal="center" wrapText="1"/>
    </xf>
    <xf numFmtId="164" fontId="59" fillId="0" borderId="0" xfId="18" applyNumberFormat="1" applyFont="1" applyFill="1" applyBorder="1" applyAlignment="1">
      <alignment horizontal="center" wrapText="1"/>
    </xf>
    <xf numFmtId="3" fontId="0" fillId="0" borderId="4" xfId="18" applyNumberFormat="1" applyFont="1" applyBorder="1" applyAlignment="1">
      <alignment horizontal="right"/>
    </xf>
    <xf numFmtId="3" fontId="0" fillId="4" borderId="4" xfId="18" applyNumberFormat="1" applyFont="1" applyFill="1" applyBorder="1" applyAlignment="1">
      <alignment/>
    </xf>
    <xf numFmtId="37" fontId="3" fillId="0" borderId="0" xfId="0" applyNumberFormat="1" applyFont="1"/>
    <xf numFmtId="3" fontId="70" fillId="4" borderId="4" xfId="18" applyNumberFormat="1" applyFont="1" applyFill="1" applyBorder="1" applyAlignment="1">
      <alignment horizontal="right" wrapText="1"/>
    </xf>
    <xf numFmtId="3" fontId="0" fillId="0" borderId="4" xfId="18" applyNumberFormat="1" applyFont="1" applyBorder="1"/>
    <xf numFmtId="3" fontId="70" fillId="4" borderId="0" xfId="18" applyNumberFormat="1" applyFont="1" applyFill="1" applyBorder="1" applyAlignment="1">
      <alignment horizontal="right" wrapText="1"/>
    </xf>
    <xf numFmtId="172" fontId="0" fillId="4" borderId="0" xfId="15" applyNumberFormat="1" applyFont="1" applyFill="1" applyBorder="1" applyAlignment="1">
      <alignment horizontal="center" wrapText="1"/>
    </xf>
    <xf numFmtId="3" fontId="0" fillId="0" borderId="0" xfId="18" applyNumberFormat="1" applyFont="1" applyBorder="1"/>
    <xf numFmtId="188" fontId="43" fillId="0" borderId="0" xfId="15" applyNumberFormat="1" applyFont="1" applyFill="1" applyBorder="1"/>
    <xf numFmtId="0" fontId="3" fillId="0" borderId="0" xfId="34" applyFont="1">
      <alignment/>
      <protection/>
    </xf>
    <xf numFmtId="10" fontId="0" fillId="4" borderId="0" xfId="0" applyNumberFormat="1" applyFill="1"/>
    <xf numFmtId="0" fontId="6" fillId="0" borderId="13" xfId="34" applyFont="1" applyBorder="1">
      <alignment/>
      <protection/>
    </xf>
    <xf numFmtId="0" fontId="6" fillId="0" borderId="18" xfId="34" applyFont="1" applyBorder="1">
      <alignment/>
      <protection/>
    </xf>
    <xf numFmtId="164" fontId="11" fillId="0" borderId="9" xfId="21" applyNumberFormat="1" applyFont="1" applyFill="1" applyBorder="1"/>
    <xf numFmtId="164" fontId="11" fillId="0" borderId="14" xfId="21" applyNumberFormat="1" applyFont="1" applyFill="1" applyBorder="1"/>
    <xf numFmtId="0" fontId="0" fillId="0" borderId="0" xfId="34" applyAlignment="1">
      <alignment horizontal="right"/>
      <protection/>
    </xf>
    <xf numFmtId="164" fontId="11" fillId="0" borderId="10" xfId="21" applyNumberFormat="1" applyFont="1" applyFill="1" applyBorder="1"/>
    <xf numFmtId="164" fontId="6" fillId="0" borderId="8" xfId="34" applyNumberFormat="1" applyFont="1" applyBorder="1">
      <alignment/>
      <protection/>
    </xf>
    <xf numFmtId="164" fontId="6" fillId="0" borderId="16" xfId="34" applyNumberFormat="1" applyFont="1" applyBorder="1">
      <alignment/>
      <protection/>
    </xf>
    <xf numFmtId="10" fontId="0" fillId="4" borderId="25" xfId="0" applyNumberFormat="1" applyFont="1" applyFill="1" applyBorder="1" applyAlignment="1">
      <alignment wrapText="1"/>
    </xf>
    <xf numFmtId="167" fontId="0" fillId="4" borderId="25" xfId="15" applyNumberFormat="1" applyFont="1" applyFill="1" applyBorder="1"/>
    <xf numFmtId="166" fontId="0" fillId="4" borderId="25" xfId="16" applyNumberFormat="1" applyFont="1" applyFill="1" applyBorder="1"/>
    <xf numFmtId="10" fontId="0" fillId="4" borderId="25" xfId="0" applyNumberFormat="1" applyFont="1" applyFill="1" applyBorder="1"/>
    <xf numFmtId="167" fontId="0" fillId="4" borderId="25" xfId="0" applyNumberFormat="1" applyFont="1" applyFill="1" applyBorder="1"/>
    <xf numFmtId="167" fontId="0" fillId="4" borderId="0" xfId="15" applyNumberFormat="1" applyFont="1" applyFill="1" applyBorder="1"/>
    <xf numFmtId="0" fontId="0" fillId="4" borderId="0" xfId="34" applyFill="1">
      <alignment/>
      <protection/>
    </xf>
    <xf numFmtId="43" fontId="11" fillId="4" borderId="0" xfId="21" applyFont="1" applyFill="1" applyBorder="1"/>
    <xf numFmtId="49" fontId="0" fillId="4" borderId="0" xfId="34" applyNumberFormat="1" applyFill="1" applyAlignment="1">
      <alignment horizontal="right"/>
      <protection/>
    </xf>
    <xf numFmtId="0" fontId="5" fillId="0" borderId="0" xfId="34" applyFont="1">
      <alignment/>
      <protection/>
    </xf>
    <xf numFmtId="0" fontId="0" fillId="4" borderId="25" xfId="0" applyFont="1" applyFill="1" applyBorder="1" applyAlignment="1">
      <alignment wrapText="1"/>
    </xf>
    <xf numFmtId="43" fontId="6" fillId="4" borderId="0" xfId="18" applyFont="1" applyFill="1" applyBorder="1"/>
    <xf numFmtId="10" fontId="6" fillId="0" borderId="0" xfId="0" applyNumberFormat="1" applyFont="1"/>
    <xf numFmtId="41" fontId="42" fillId="0" borderId="0" xfId="18" applyNumberFormat="1" applyFont="1" applyFill="1"/>
    <xf numFmtId="166" fontId="30" fillId="4" borderId="10" xfId="16" applyNumberFormat="1" applyFont="1" applyFill="1" applyBorder="1"/>
    <xf numFmtId="166" fontId="30" fillId="4" borderId="0" xfId="16" applyNumberFormat="1" applyFont="1" applyFill="1" applyBorder="1"/>
    <xf numFmtId="3" fontId="0" fillId="0" borderId="0" xfId="0" applyNumberFormat="1" applyFont="1"/>
    <xf numFmtId="164" fontId="66" fillId="0" borderId="10" xfId="18" applyNumberFormat="1" applyFont="1" applyBorder="1" applyAlignment="1">
      <alignment/>
    </xf>
    <xf numFmtId="0" fontId="3" fillId="0" borderId="9" xfId="0" applyFont="1" applyBorder="1" applyAlignment="1">
      <alignment horizontal="center" wrapText="1"/>
    </xf>
    <xf numFmtId="3" fontId="6" fillId="0" borderId="4" xfId="0" applyNumberFormat="1" applyFont="1" applyBorder="1" applyAlignment="1">
      <alignment horizontal="right"/>
    </xf>
    <xf numFmtId="172" fontId="6" fillId="0" borderId="4" xfId="0" applyNumberFormat="1" applyFont="1" applyBorder="1" applyAlignment="1">
      <alignment horizontal="right"/>
    </xf>
    <xf numFmtId="41" fontId="30" fillId="4" borderId="14" xfId="18" applyNumberFormat="1" applyFont="1" applyFill="1" applyBorder="1" applyAlignment="1">
      <alignment wrapText="1"/>
    </xf>
    <xf numFmtId="41" fontId="30" fillId="4" borderId="14" xfId="18" applyNumberFormat="1" applyFont="1" applyFill="1" applyBorder="1" applyAlignment="1">
      <alignment horizontal="center" wrapText="1"/>
    </xf>
    <xf numFmtId="0" fontId="38" fillId="0" borderId="0" xfId="0" applyFont="1"/>
    <xf numFmtId="0" fontId="8" fillId="0" borderId="0" xfId="34" applyFont="1">
      <alignment/>
      <protection/>
    </xf>
    <xf numFmtId="174" fontId="79" fillId="4" borderId="13" xfId="38" applyNumberFormat="1" applyFont="1" applyFill="1" applyBorder="1"/>
    <xf numFmtId="174" fontId="79" fillId="0" borderId="0" xfId="38" applyNumberFormat="1" applyFont="1" applyFill="1" applyBorder="1"/>
    <xf numFmtId="174" fontId="69" fillId="0" borderId="0" xfId="15" applyNumberFormat="1" applyFont="1" applyFill="1" applyBorder="1"/>
    <xf numFmtId="167" fontId="32" fillId="0" borderId="0" xfId="15" applyNumberFormat="1" applyFont="1" applyFill="1" applyBorder="1" applyAlignment="1">
      <alignment horizontal="right"/>
    </xf>
    <xf numFmtId="164" fontId="69" fillId="0" borderId="0" xfId="18" applyNumberFormat="1" applyFont="1" applyFill="1" applyBorder="1"/>
    <xf numFmtId="174" fontId="64" fillId="0" borderId="0" xfId="38" applyNumberFormat="1" applyFont="1" applyFill="1" applyBorder="1"/>
    <xf numFmtId="174" fontId="43" fillId="0" borderId="0" xfId="34" applyNumberFormat="1" applyFont="1">
      <alignment/>
      <protection/>
    </xf>
    <xf numFmtId="0" fontId="0" fillId="0" borderId="1" xfId="34" applyBorder="1" applyAlignment="1">
      <alignment horizontal="center"/>
      <protection/>
    </xf>
    <xf numFmtId="0" fontId="43" fillId="0" borderId="12" xfId="34" applyFont="1" applyBorder="1">
      <alignment/>
      <protection/>
    </xf>
    <xf numFmtId="0" fontId="0" fillId="0" borderId="11" xfId="34" applyBorder="1">
      <alignment/>
      <protection/>
    </xf>
    <xf numFmtId="0" fontId="43" fillId="0" borderId="23" xfId="34" applyFont="1" applyBorder="1">
      <alignment/>
      <protection/>
    </xf>
    <xf numFmtId="164" fontId="43" fillId="0" borderId="4" xfId="21" applyNumberFormat="1" applyFont="1" applyFill="1" applyBorder="1"/>
    <xf numFmtId="0" fontId="43" fillId="0" borderId="4" xfId="34" applyFont="1" applyBorder="1">
      <alignment/>
      <protection/>
    </xf>
    <xf numFmtId="164" fontId="43" fillId="0" borderId="15" xfId="21" applyNumberFormat="1" applyFont="1" applyFill="1" applyBorder="1"/>
    <xf numFmtId="164" fontId="43" fillId="0" borderId="11" xfId="21" applyNumberFormat="1" applyFont="1" applyFill="1" applyBorder="1"/>
    <xf numFmtId="164" fontId="43" fillId="0" borderId="13" xfId="21" applyNumberFormat="1" applyFont="1" applyFill="1" applyBorder="1"/>
    <xf numFmtId="0" fontId="0" fillId="0" borderId="6" xfId="34" applyBorder="1">
      <alignment/>
      <protection/>
    </xf>
    <xf numFmtId="0" fontId="3" fillId="0" borderId="22" xfId="34" applyFont="1" applyBorder="1">
      <alignment/>
      <protection/>
    </xf>
    <xf numFmtId="0" fontId="3" fillId="0" borderId="5" xfId="34" applyFont="1" applyBorder="1">
      <alignment/>
      <protection/>
    </xf>
    <xf numFmtId="0" fontId="0" fillId="0" borderId="7" xfId="34" applyBorder="1">
      <alignment/>
      <protection/>
    </xf>
    <xf numFmtId="0" fontId="3" fillId="4" borderId="10" xfId="0" applyFont="1" applyFill="1" applyBorder="1" applyAlignment="1">
      <alignment wrapText="1"/>
    </xf>
    <xf numFmtId="10" fontId="0" fillId="4" borderId="14" xfId="0" applyNumberFormat="1" applyFill="1" applyBorder="1"/>
    <xf numFmtId="10" fontId="0" fillId="0" borderId="25" xfId="0" applyNumberFormat="1" applyBorder="1"/>
    <xf numFmtId="0" fontId="0" fillId="0" borderId="13" xfId="34" applyBorder="1" applyAlignment="1">
      <alignment horizontal="center"/>
      <protection/>
    </xf>
    <xf numFmtId="0" fontId="3" fillId="0" borderId="9" xfId="34" applyFont="1" applyBorder="1" applyAlignment="1">
      <alignment horizontal="center" wrapText="1"/>
      <protection/>
    </xf>
    <xf numFmtId="0" fontId="3" fillId="0" borderId="8" xfId="34" applyFont="1" applyBorder="1" applyAlignment="1">
      <alignment horizontal="center" wrapText="1"/>
      <protection/>
    </xf>
    <xf numFmtId="0" fontId="0" fillId="0" borderId="13" xfId="34" applyBorder="1">
      <alignment/>
      <protection/>
    </xf>
    <xf numFmtId="43" fontId="0" fillId="0" borderId="0" xfId="18" applyFont="1"/>
    <xf numFmtId="164" fontId="0" fillId="0" borderId="0" xfId="18" applyNumberFormat="1" applyFont="1" applyFill="1"/>
    <xf numFmtId="0" fontId="0" fillId="0" borderId="0" xfId="34" applyAlignment="1">
      <alignment horizontal="center" wrapText="1"/>
      <protection/>
    </xf>
    <xf numFmtId="164" fontId="0" fillId="0" borderId="0" xfId="18" applyNumberFormat="1" applyFont="1" applyFill="1" applyAlignment="1">
      <alignment horizontal="center" wrapText="1"/>
    </xf>
    <xf numFmtId="14" fontId="0" fillId="0" borderId="0" xfId="18" applyNumberFormat="1" applyFont="1" applyFill="1"/>
    <xf numFmtId="1" fontId="0" fillId="0" borderId="0" xfId="34" applyNumberFormat="1" applyAlignment="1">
      <alignment horizontal="center"/>
      <protection/>
    </xf>
    <xf numFmtId="14" fontId="0" fillId="0" borderId="0" xfId="34" applyNumberFormat="1">
      <alignment/>
      <protection/>
    </xf>
    <xf numFmtId="1" fontId="3" fillId="0" borderId="0" xfId="34" applyNumberFormat="1" applyFont="1" applyAlignment="1">
      <alignment horizontal="center"/>
      <protection/>
    </xf>
    <xf numFmtId="164" fontId="0" fillId="7" borderId="0" xfId="18" applyNumberFormat="1" applyFont="1" applyFill="1"/>
    <xf numFmtId="0" fontId="3" fillId="0" borderId="0" xfId="34" applyFont="1" applyAlignment="1">
      <alignment horizontal="center"/>
      <protection/>
    </xf>
    <xf numFmtId="164" fontId="0" fillId="8" borderId="0" xfId="18" applyNumberFormat="1" applyFont="1" applyFill="1"/>
    <xf numFmtId="164" fontId="0" fillId="8" borderId="0" xfId="34" applyNumberFormat="1" applyFill="1">
      <alignment/>
      <protection/>
    </xf>
    <xf numFmtId="15" fontId="3" fillId="0" borderId="0" xfId="34" applyNumberFormat="1" applyFont="1">
      <alignment/>
      <protection/>
    </xf>
    <xf numFmtId="164" fontId="10" fillId="0" borderId="0" xfId="18" applyNumberFormat="1" applyFont="1" applyFill="1" applyBorder="1"/>
    <xf numFmtId="49" fontId="3" fillId="0" borderId="0" xfId="18" applyNumberFormat="1" applyFont="1" applyFill="1" applyBorder="1" applyAlignment="1">
      <alignment horizontal="center"/>
    </xf>
    <xf numFmtId="0" fontId="10" fillId="0" borderId="0" xfId="34" applyFont="1">
      <alignment/>
      <protection/>
    </xf>
    <xf numFmtId="43" fontId="4" fillId="0" borderId="0" xfId="18" applyFont="1" applyFill="1" applyBorder="1"/>
    <xf numFmtId="43" fontId="65" fillId="0" borderId="0" xfId="18" applyFont="1" applyFill="1" applyBorder="1"/>
    <xf numFmtId="2" fontId="0" fillId="0" borderId="0" xfId="34" applyNumberFormat="1">
      <alignment/>
      <protection/>
    </xf>
    <xf numFmtId="1" fontId="0" fillId="0" borderId="0" xfId="34" applyNumberFormat="1">
      <alignment/>
      <protection/>
    </xf>
    <xf numFmtId="164" fontId="3" fillId="0" borderId="0" xfId="34" applyNumberFormat="1" applyFont="1">
      <alignment/>
      <protection/>
    </xf>
    <xf numFmtId="43" fontId="10" fillId="0" borderId="0" xfId="18" applyFont="1" applyFill="1" applyBorder="1"/>
    <xf numFmtId="43" fontId="0" fillId="0" borderId="0" xfId="18" applyFont="1" applyFill="1" applyBorder="1"/>
    <xf numFmtId="179" fontId="0" fillId="0" borderId="0" xfId="34" applyNumberFormat="1">
      <alignment/>
      <protection/>
    </xf>
    <xf numFmtId="14" fontId="6" fillId="0" borderId="10" xfId="0" applyNumberFormat="1" applyFont="1" applyBorder="1" applyAlignment="1">
      <alignment horizontal="center"/>
    </xf>
    <xf numFmtId="164" fontId="6" fillId="0" borderId="0" xfId="18" applyNumberFormat="1" applyFont="1" applyBorder="1"/>
    <xf numFmtId="164" fontId="6" fillId="0" borderId="0" xfId="18" applyNumberFormat="1" applyFont="1" applyFill="1" applyBorder="1"/>
    <xf numFmtId="14" fontId="6" fillId="0" borderId="7" xfId="0" applyNumberFormat="1" applyFont="1" applyBorder="1" applyAlignment="1">
      <alignment horizontal="center"/>
    </xf>
    <xf numFmtId="0" fontId="6" fillId="0" borderId="1" xfId="0" applyFont="1" applyBorder="1" applyAlignment="1">
      <alignment horizontal="center"/>
    </xf>
    <xf numFmtId="164" fontId="6" fillId="0" borderId="1" xfId="18" applyNumberFormat="1" applyFont="1" applyBorder="1"/>
    <xf numFmtId="0" fontId="6" fillId="0" borderId="1" xfId="34" applyFont="1" applyBorder="1">
      <alignment/>
      <protection/>
    </xf>
    <xf numFmtId="164" fontId="6" fillId="0" borderId="1" xfId="34" applyNumberFormat="1" applyFont="1" applyBorder="1">
      <alignment/>
      <protection/>
    </xf>
    <xf numFmtId="178" fontId="0" fillId="0" borderId="0" xfId="34" applyNumberFormat="1">
      <alignment/>
      <protection/>
    </xf>
    <xf numFmtId="0" fontId="3" fillId="4" borderId="25" xfId="0" applyFont="1" applyFill="1" applyBorder="1" applyAlignment="1">
      <alignment wrapText="1"/>
    </xf>
    <xf numFmtId="166" fontId="0" fillId="4" borderId="25" xfId="16" applyNumberFormat="1" applyFont="1" applyFill="1" applyBorder="1"/>
    <xf numFmtId="10" fontId="0" fillId="4" borderId="25" xfId="0" applyNumberFormat="1" applyFill="1" applyBorder="1"/>
    <xf numFmtId="167" fontId="0" fillId="4" borderId="25" xfId="0" applyNumberFormat="1" applyFill="1" applyBorder="1"/>
    <xf numFmtId="10" fontId="0" fillId="4" borderId="25" xfId="0" applyNumberFormat="1" applyFill="1" applyBorder="1" applyAlignment="1">
      <alignment wrapText="1"/>
    </xf>
    <xf numFmtId="10" fontId="5" fillId="4" borderId="25" xfId="0" applyNumberFormat="1" applyFont="1" applyFill="1" applyBorder="1"/>
    <xf numFmtId="167" fontId="5" fillId="4" borderId="25" xfId="15" applyNumberFormat="1" applyFont="1" applyFill="1" applyBorder="1"/>
    <xf numFmtId="0" fontId="3" fillId="4" borderId="0" xfId="0" applyFont="1" applyFill="1" applyAlignment="1">
      <alignment wrapText="1"/>
    </xf>
    <xf numFmtId="166" fontId="0" fillId="4" borderId="0" xfId="16" applyNumberFormat="1" applyFont="1" applyFill="1" applyBorder="1"/>
    <xf numFmtId="10" fontId="3" fillId="4" borderId="0" xfId="0" applyNumberFormat="1" applyFont="1" applyFill="1" applyAlignment="1">
      <alignment wrapText="1"/>
    </xf>
    <xf numFmtId="0" fontId="0" fillId="4" borderId="12" xfId="34" applyFill="1" applyBorder="1" applyAlignment="1">
      <alignment horizontal="center"/>
      <protection/>
    </xf>
    <xf numFmtId="0" fontId="0" fillId="4" borderId="11" xfId="34" applyFill="1" applyBorder="1" applyAlignment="1">
      <alignment horizontal="center"/>
      <protection/>
    </xf>
    <xf numFmtId="0" fontId="3" fillId="4" borderId="10" xfId="34" applyFont="1" applyFill="1" applyBorder="1" applyAlignment="1">
      <alignment horizontal="center"/>
      <protection/>
    </xf>
    <xf numFmtId="0" fontId="0" fillId="4" borderId="0" xfId="34" applyFill="1" applyAlignment="1">
      <alignment horizontal="center"/>
      <protection/>
    </xf>
    <xf numFmtId="0" fontId="3" fillId="4" borderId="0" xfId="34" applyFont="1" applyFill="1" applyAlignment="1">
      <alignment horizontal="center" wrapText="1"/>
      <protection/>
    </xf>
    <xf numFmtId="0" fontId="3" fillId="4" borderId="7" xfId="34" applyFont="1" applyFill="1" applyBorder="1" applyAlignment="1">
      <alignment horizontal="center"/>
      <protection/>
    </xf>
    <xf numFmtId="0" fontId="0" fillId="4" borderId="1" xfId="34" applyFill="1" applyBorder="1" applyAlignment="1">
      <alignment horizontal="center"/>
      <protection/>
    </xf>
    <xf numFmtId="0" fontId="3" fillId="4" borderId="1" xfId="34" applyFont="1" applyFill="1" applyBorder="1" applyAlignment="1">
      <alignment horizontal="center" wrapText="1"/>
      <protection/>
    </xf>
    <xf numFmtId="0" fontId="0" fillId="4" borderId="11" xfId="34" applyFill="1" applyBorder="1">
      <alignment/>
      <protection/>
    </xf>
    <xf numFmtId="43" fontId="6" fillId="4" borderId="11" xfId="34" applyNumberFormat="1" applyFont="1" applyFill="1" applyBorder="1">
      <alignment/>
      <protection/>
    </xf>
    <xf numFmtId="43" fontId="6" fillId="4" borderId="0" xfId="34" applyNumberFormat="1" applyFont="1" applyFill="1">
      <alignment/>
      <protection/>
    </xf>
    <xf numFmtId="43" fontId="9" fillId="4" borderId="0" xfId="34" applyNumberFormat="1" applyFont="1" applyFill="1">
      <alignment/>
      <protection/>
    </xf>
    <xf numFmtId="43" fontId="11" fillId="4" borderId="0" xfId="18" applyFont="1" applyFill="1" applyBorder="1"/>
    <xf numFmtId="43" fontId="6" fillId="4" borderId="0" xfId="18" applyFont="1" applyFill="1" applyBorder="1"/>
    <xf numFmtId="43" fontId="9" fillId="4" borderId="0" xfId="18" applyFont="1" applyFill="1" applyBorder="1"/>
    <xf numFmtId="43" fontId="80" fillId="4" borderId="0" xfId="18" applyFont="1" applyFill="1" applyBorder="1"/>
    <xf numFmtId="164" fontId="9" fillId="4" borderId="0" xfId="18" applyNumberFormat="1" applyFont="1" applyFill="1" applyBorder="1"/>
    <xf numFmtId="43" fontId="81" fillId="4" borderId="0" xfId="21" applyFont="1" applyFill="1" applyBorder="1"/>
    <xf numFmtId="164" fontId="4" fillId="4" borderId="0" xfId="18" applyNumberFormat="1" applyFont="1" applyFill="1" applyBorder="1"/>
    <xf numFmtId="164" fontId="80" fillId="4" borderId="0" xfId="21" applyNumberFormat="1" applyFont="1" applyFill="1" applyBorder="1"/>
    <xf numFmtId="164" fontId="82" fillId="4" borderId="0" xfId="18" applyNumberFormat="1" applyFont="1" applyFill="1" applyBorder="1"/>
    <xf numFmtId="43" fontId="83" fillId="4" borderId="0" xfId="21" applyFont="1" applyFill="1" applyBorder="1"/>
    <xf numFmtId="164" fontId="82" fillId="4" borderId="0" xfId="18" applyNumberFormat="1" applyFont="1" applyFill="1" applyBorder="1"/>
    <xf numFmtId="164" fontId="84" fillId="4" borderId="0" xfId="18" applyNumberFormat="1" applyFont="1" applyFill="1" applyBorder="1"/>
    <xf numFmtId="43" fontId="85" fillId="4" borderId="0" xfId="21" applyFont="1" applyFill="1" applyBorder="1"/>
    <xf numFmtId="164" fontId="7" fillId="4" borderId="0" xfId="18" applyNumberFormat="1" applyFont="1" applyFill="1" applyBorder="1"/>
    <xf numFmtId="164" fontId="85" fillId="4" borderId="0" xfId="21" applyNumberFormat="1" applyFont="1" applyFill="1" applyBorder="1"/>
    <xf numFmtId="41" fontId="42" fillId="0" borderId="0" xfId="18" applyNumberFormat="1" applyFont="1" applyFill="1" applyBorder="1"/>
    <xf numFmtId="41" fontId="42" fillId="0" borderId="0" xfId="18" applyNumberFormat="1" applyFont="1" applyFill="1" applyBorder="1" applyAlignment="1">
      <alignment horizontal="center" wrapText="1"/>
    </xf>
    <xf numFmtId="41" fontId="42" fillId="0" borderId="1" xfId="18" applyNumberFormat="1" applyFont="1" applyFill="1" applyBorder="1"/>
    <xf numFmtId="41" fontId="59" fillId="0" borderId="0" xfId="18" applyNumberFormat="1" applyFont="1" applyFill="1" applyBorder="1" applyAlignment="1">
      <alignment horizontal="center" wrapText="1"/>
    </xf>
    <xf numFmtId="41" fontId="59" fillId="0" borderId="9" xfId="18" applyNumberFormat="1" applyFont="1" applyFill="1" applyBorder="1" applyAlignment="1">
      <alignment horizontal="center" wrapText="1"/>
    </xf>
    <xf numFmtId="41" fontId="59" fillId="0" borderId="1" xfId="18" applyNumberFormat="1" applyFont="1" applyFill="1" applyBorder="1" applyAlignment="1">
      <alignment horizontal="center" wrapText="1"/>
    </xf>
    <xf numFmtId="41" fontId="59" fillId="0" borderId="8" xfId="18" applyNumberFormat="1" applyFont="1" applyFill="1" applyBorder="1" applyAlignment="1">
      <alignment horizontal="center" wrapText="1"/>
    </xf>
    <xf numFmtId="164" fontId="0" fillId="0" borderId="9" xfId="18" applyNumberFormat="1" applyFont="1" applyFill="1" applyBorder="1"/>
    <xf numFmtId="41" fontId="0" fillId="0" borderId="0" xfId="18" applyNumberFormat="1" applyFont="1" applyFill="1" applyBorder="1"/>
    <xf numFmtId="41" fontId="0" fillId="0" borderId="1" xfId="18" applyNumberFormat="1" applyFont="1" applyFill="1" applyBorder="1"/>
    <xf numFmtId="3" fontId="30" fillId="0" borderId="0" xfId="0" applyNumberFormat="1" applyFont="1"/>
    <xf numFmtId="164" fontId="0" fillId="4" borderId="0" xfId="18" applyNumberFormat="1" applyFont="1" applyFill="1" applyBorder="1" applyAlignment="1">
      <alignment/>
    </xf>
    <xf numFmtId="164" fontId="0" fillId="0" borderId="0" xfId="18" applyNumberFormat="1" applyFont="1" applyBorder="1" applyAlignment="1">
      <alignment/>
    </xf>
    <xf numFmtId="164" fontId="0" fillId="0" borderId="0" xfId="18" applyNumberFormat="1" applyFont="1"/>
    <xf numFmtId="165" fontId="6" fillId="0" borderId="0" xfId="0" applyNumberFormat="1" applyFont="1"/>
    <xf numFmtId="172" fontId="6" fillId="0" borderId="0" xfId="15" applyNumberFormat="1" applyFont="1" applyAlignment="1">
      <alignment/>
    </xf>
    <xf numFmtId="172" fontId="6" fillId="0" borderId="0" xfId="15" applyNumberFormat="1" applyFont="1" applyFill="1" applyBorder="1" applyAlignment="1">
      <alignment/>
    </xf>
    <xf numFmtId="41" fontId="30" fillId="4" borderId="10" xfId="18" applyNumberFormat="1" applyFont="1" applyFill="1" applyBorder="1" applyAlignment="1">
      <alignment wrapText="1"/>
    </xf>
    <xf numFmtId="41" fontId="30" fillId="4" borderId="0" xfId="18" applyNumberFormat="1" applyFont="1" applyFill="1" applyBorder="1" applyAlignment="1">
      <alignment wrapText="1"/>
    </xf>
    <xf numFmtId="41" fontId="0" fillId="0" borderId="7" xfId="18" applyNumberFormat="1" applyFont="1" applyFill="1" applyBorder="1"/>
    <xf numFmtId="41" fontId="0" fillId="0" borderId="1" xfId="18" applyNumberFormat="1" applyFont="1" applyFill="1" applyBorder="1"/>
    <xf numFmtId="41" fontId="30" fillId="0" borderId="1" xfId="18" applyNumberFormat="1" applyFont="1" applyFill="1" applyBorder="1"/>
    <xf numFmtId="41" fontId="0" fillId="0" borderId="1" xfId="0" applyNumberFormat="1" applyFont="1" applyBorder="1"/>
    <xf numFmtId="41" fontId="30" fillId="0" borderId="1" xfId="0" applyNumberFormat="1" applyFont="1" applyBorder="1"/>
    <xf numFmtId="41" fontId="0" fillId="0" borderId="1" xfId="0" applyNumberFormat="1" applyBorder="1"/>
    <xf numFmtId="172" fontId="0" fillId="0" borderId="0" xfId="15" applyNumberFormat="1" applyFont="1" applyFill="1" applyBorder="1"/>
    <xf numFmtId="167" fontId="0" fillId="0" borderId="0" xfId="15" applyNumberFormat="1" applyFont="1" applyFill="1" applyBorder="1"/>
    <xf numFmtId="164" fontId="4" fillId="0" borderId="3" xfId="18" applyNumberFormat="1" applyFont="1" applyFill="1" applyBorder="1" applyAlignment="1">
      <alignment/>
    </xf>
    <xf numFmtId="164" fontId="4" fillId="0" borderId="20" xfId="18" applyNumberFormat="1" applyFont="1" applyFill="1" applyBorder="1" applyAlignment="1">
      <alignment/>
    </xf>
    <xf numFmtId="43" fontId="0" fillId="0" borderId="0" xfId="0" applyNumberFormat="1" applyFont="1"/>
    <xf numFmtId="164" fontId="5" fillId="4" borderId="18" xfId="18" applyNumberFormat="1" applyFont="1" applyFill="1" applyBorder="1"/>
    <xf numFmtId="187" fontId="30" fillId="4" borderId="10" xfId="18" applyNumberFormat="1" applyFont="1" applyFill="1" applyBorder="1" applyAlignment="1">
      <alignment horizontal="center" wrapText="1"/>
    </xf>
    <xf numFmtId="187" fontId="30" fillId="4" borderId="0" xfId="18" applyNumberFormat="1" applyFont="1" applyFill="1" applyBorder="1" applyAlignment="1">
      <alignment horizontal="center" wrapText="1"/>
    </xf>
    <xf numFmtId="187" fontId="30" fillId="4" borderId="0" xfId="0" applyNumberFormat="1" applyFont="1" applyFill="1" applyAlignment="1">
      <alignment horizontal="center" wrapText="1"/>
    </xf>
    <xf numFmtId="187" fontId="30" fillId="4" borderId="0" xfId="0" applyNumberFormat="1" applyFont="1" applyFill="1"/>
    <xf numFmtId="4" fontId="4" fillId="0" borderId="0" xfId="18" applyNumberFormat="1" applyFont="1" applyFill="1" applyAlignment="1">
      <alignment/>
    </xf>
    <xf numFmtId="4" fontId="4" fillId="0" borderId="0" xfId="18" applyNumberFormat="1" applyFont="1" applyFill="1"/>
    <xf numFmtId="4" fontId="4" fillId="0" borderId="0" xfId="18" applyNumberFormat="1" applyFont="1" applyFill="1" applyBorder="1" applyAlignment="1">
      <alignment/>
    </xf>
    <xf numFmtId="0" fontId="54" fillId="4" borderId="0" xfId="0" applyFont="1" applyFill="1" applyAlignment="1">
      <alignment horizontal="center" wrapText="1"/>
    </xf>
    <xf numFmtId="0" fontId="44" fillId="0" borderId="26" xfId="0" applyFont="1" applyBorder="1" applyAlignment="1">
      <alignment horizontal="center" wrapText="1"/>
    </xf>
    <xf numFmtId="0" fontId="44" fillId="0" borderId="27" xfId="0" applyFont="1" applyBorder="1" applyAlignment="1">
      <alignment horizontal="center" wrapText="1"/>
    </xf>
    <xf numFmtId="164" fontId="93" fillId="4" borderId="7" xfId="18" applyNumberFormat="1" applyFont="1" applyFill="1" applyBorder="1" applyAlignment="1">
      <alignment horizontal="center"/>
    </xf>
    <xf numFmtId="164" fontId="93" fillId="4" borderId="1" xfId="18" applyNumberFormat="1" applyFont="1" applyFill="1" applyBorder="1" applyAlignment="1">
      <alignment horizontal="center"/>
    </xf>
    <xf numFmtId="0" fontId="88" fillId="0" borderId="0" xfId="0" applyFont="1" applyAlignment="1">
      <alignment horizontal="right"/>
    </xf>
    <xf numFmtId="164" fontId="43" fillId="4" borderId="0" xfId="18" applyNumberFormat="1" applyFont="1" applyFill="1" applyBorder="1" applyAlignment="1">
      <alignment wrapText="1"/>
    </xf>
    <xf numFmtId="164" fontId="44" fillId="0" borderId="0" xfId="20" applyNumberFormat="1" applyFont="1" applyFill="1" applyBorder="1" applyAlignment="1">
      <alignment horizontal="center" wrapText="1"/>
    </xf>
    <xf numFmtId="164" fontId="0" fillId="0" borderId="0" xfId="20" applyNumberFormat="1" applyFont="1" applyFill="1" applyBorder="1"/>
    <xf numFmtId="0" fontId="42" fillId="0" borderId="7" xfId="0" applyFont="1" applyBorder="1" applyAlignment="1">
      <alignment horizontal="center" wrapText="1"/>
    </xf>
    <xf numFmtId="0" fontId="42" fillId="0" borderId="6" xfId="0" applyFont="1" applyBorder="1"/>
    <xf numFmtId="0" fontId="42" fillId="0" borderId="6" xfId="0" applyFont="1" applyBorder="1" applyAlignment="1">
      <alignment horizontal="center"/>
    </xf>
    <xf numFmtId="0" fontId="42" fillId="0" borderId="5" xfId="0" applyFont="1" applyBorder="1" applyAlignment="1">
      <alignment horizontal="center"/>
    </xf>
    <xf numFmtId="0" fontId="42" fillId="0" borderId="28" xfId="0" applyFont="1" applyBorder="1" applyAlignment="1">
      <alignment horizontal="center"/>
    </xf>
    <xf numFmtId="41" fontId="30" fillId="0" borderId="9" xfId="20" applyNumberFormat="1" applyFont="1" applyFill="1" applyBorder="1" applyAlignment="1">
      <alignment horizontal="center" wrapText="1"/>
    </xf>
    <xf numFmtId="41" fontId="30" fillId="0" borderId="8" xfId="20" applyNumberFormat="1" applyFont="1" applyFill="1" applyBorder="1" applyAlignment="1">
      <alignment horizontal="center" wrapText="1"/>
    </xf>
    <xf numFmtId="41" fontId="42" fillId="0" borderId="0" xfId="20" applyNumberFormat="1" applyFont="1" applyFill="1"/>
    <xf numFmtId="164" fontId="3" fillId="0" borderId="1" xfId="18" applyNumberFormat="1" applyFont="1" applyBorder="1" applyAlignment="1">
      <alignment horizontal="center" wrapText="1"/>
    </xf>
    <xf numFmtId="0" fontId="42" fillId="0" borderId="0" xfId="0" applyFont="1" applyAlignment="1">
      <alignment vertical="top" wrapText="1"/>
    </xf>
    <xf numFmtId="0" fontId="4" fillId="0" borderId="0" xfId="0" applyFont="1" applyAlignment="1">
      <alignment horizontal="center" wrapText="1"/>
    </xf>
    <xf numFmtId="0" fontId="54" fillId="0" borderId="0" xfId="0" applyFont="1" applyAlignment="1">
      <alignment horizontal="center" wrapText="1"/>
    </xf>
    <xf numFmtId="172" fontId="4" fillId="0" borderId="0" xfId="15" applyNumberFormat="1" applyFont="1" applyFill="1" applyBorder="1" applyAlignment="1">
      <alignment/>
    </xf>
    <xf numFmtId="3" fontId="4" fillId="0" borderId="0" xfId="0" applyNumberFormat="1" applyFont="1"/>
    <xf numFmtId="172" fontId="6" fillId="0" borderId="0" xfId="0" applyNumberFormat="1" applyFont="1" applyAlignment="1">
      <alignment horizontal="right"/>
    </xf>
    <xf numFmtId="3" fontId="6" fillId="0" borderId="0" xfId="0" applyNumberFormat="1" applyFont="1" applyAlignment="1">
      <alignment horizontal="center" wrapText="1"/>
    </xf>
    <xf numFmtId="3" fontId="6" fillId="0" borderId="0" xfId="18" applyNumberFormat="1" applyFont="1" applyFill="1" applyBorder="1"/>
    <xf numFmtId="3" fontId="6" fillId="0" borderId="0" xfId="18" applyNumberFormat="1" applyFont="1" applyFill="1" applyAlignment="1">
      <alignment/>
    </xf>
    <xf numFmtId="3" fontId="13" fillId="0" borderId="0" xfId="0" applyNumberFormat="1" applyFont="1"/>
    <xf numFmtId="166" fontId="4" fillId="0" borderId="0" xfId="16" applyNumberFormat="1" applyFont="1" applyFill="1" applyBorder="1" applyAlignment="1">
      <alignment horizontal="center"/>
    </xf>
    <xf numFmtId="166" fontId="13" fillId="0" borderId="0" xfId="16" applyNumberFormat="1" applyFont="1" applyFill="1" applyBorder="1" applyAlignment="1">
      <alignment horizontal="center"/>
    </xf>
    <xf numFmtId="166" fontId="13" fillId="0" borderId="5" xfId="16" applyNumberFormat="1" applyFont="1" applyBorder="1" applyAlignment="1">
      <alignment horizontal="center"/>
    </xf>
    <xf numFmtId="164" fontId="6" fillId="0" borderId="0" xfId="18" applyNumberFormat="1" applyFont="1" applyFill="1" applyBorder="1"/>
    <xf numFmtId="170" fontId="6" fillId="0" borderId="0" xfId="15" applyNumberFormat="1" applyFont="1" applyFill="1" applyBorder="1" applyAlignment="1">
      <alignment horizontal="right"/>
    </xf>
    <xf numFmtId="3" fontId="6" fillId="0" borderId="0" xfId="18" applyNumberFormat="1" applyFont="1" applyFill="1" applyBorder="1" applyAlignment="1">
      <alignment horizontal="right"/>
    </xf>
    <xf numFmtId="172" fontId="7" fillId="0" borderId="0" xfId="0" applyNumberFormat="1" applyFont="1" applyAlignment="1">
      <alignment horizontal="right"/>
    </xf>
    <xf numFmtId="3" fontId="4" fillId="0" borderId="0" xfId="18" applyNumberFormat="1" applyFont="1" applyFill="1" applyBorder="1"/>
    <xf numFmtId="3" fontId="4" fillId="0" borderId="0" xfId="15" applyNumberFormat="1" applyFont="1" applyFill="1" applyBorder="1" applyAlignment="1">
      <alignment/>
    </xf>
    <xf numFmtId="3" fontId="6" fillId="0" borderId="0" xfId="18" applyNumberFormat="1" applyFont="1" applyFill="1" applyBorder="1" applyAlignment="1">
      <alignment/>
    </xf>
    <xf numFmtId="170" fontId="6" fillId="0" borderId="0" xfId="0" applyNumberFormat="1" applyFont="1"/>
    <xf numFmtId="182" fontId="6" fillId="0" borderId="0" xfId="0" applyNumberFormat="1" applyFont="1"/>
    <xf numFmtId="168" fontId="4" fillId="0" borderId="0" xfId="0" applyNumberFormat="1" applyFont="1"/>
    <xf numFmtId="10" fontId="6" fillId="0" borderId="0" xfId="0" applyNumberFormat="1" applyFont="1"/>
    <xf numFmtId="164" fontId="4" fillId="0" borderId="0" xfId="18" applyNumberFormat="1" applyFont="1" applyFill="1" applyBorder="1" applyAlignment="1">
      <alignment/>
    </xf>
    <xf numFmtId="173" fontId="6" fillId="0" borderId="0" xfId="15" applyNumberFormat="1" applyFont="1" applyFill="1" applyBorder="1" applyAlignment="1">
      <alignment horizontal="right"/>
    </xf>
    <xf numFmtId="175" fontId="4" fillId="0" borderId="0" xfId="18" applyNumberFormat="1" applyFont="1" applyFill="1" applyBorder="1" applyAlignment="1">
      <alignment horizontal="center"/>
    </xf>
    <xf numFmtId="166" fontId="0" fillId="0" borderId="0" xfId="16" applyNumberFormat="1" applyFont="1" applyFill="1" applyBorder="1"/>
    <xf numFmtId="43" fontId="6" fillId="0" borderId="0" xfId="18" applyFont="1" applyFill="1" applyBorder="1"/>
    <xf numFmtId="174" fontId="6" fillId="0" borderId="0" xfId="15" applyNumberFormat="1" applyFont="1" applyFill="1" applyBorder="1"/>
    <xf numFmtId="43" fontId="6" fillId="0" borderId="0" xfId="0" applyNumberFormat="1" applyFont="1"/>
    <xf numFmtId="0" fontId="4" fillId="9" borderId="6" xfId="0" applyFont="1" applyFill="1" applyBorder="1" applyAlignment="1">
      <alignment horizontal="center" wrapText="1"/>
    </xf>
    <xf numFmtId="0" fontId="54" fillId="3" borderId="0" xfId="0" applyFont="1" applyFill="1" applyAlignment="1">
      <alignment horizontal="center" wrapText="1"/>
    </xf>
    <xf numFmtId="3" fontId="6" fillId="0" borderId="2" xfId="0" applyNumberFormat="1" applyFont="1" applyBorder="1"/>
    <xf numFmtId="172" fontId="6" fillId="0" borderId="0" xfId="15" applyNumberFormat="1" applyFont="1" applyBorder="1" applyAlignment="1">
      <alignment/>
    </xf>
    <xf numFmtId="170" fontId="6" fillId="0" borderId="0" xfId="15" applyNumberFormat="1" applyFont="1" applyAlignment="1">
      <alignment horizontal="right"/>
    </xf>
    <xf numFmtId="3" fontId="6" fillId="0" borderId="0" xfId="18" applyNumberFormat="1" applyFont="1" applyFill="1" applyAlignment="1">
      <alignment horizontal="right"/>
    </xf>
    <xf numFmtId="3" fontId="4" fillId="0" borderId="3" xfId="0" applyNumberFormat="1" applyFont="1" applyBorder="1" applyAlignment="1">
      <alignment horizontal="right"/>
    </xf>
    <xf numFmtId="185" fontId="6" fillId="0" borderId="0" xfId="0" applyNumberFormat="1" applyFont="1" applyAlignment="1">
      <alignment horizontal="center"/>
    </xf>
    <xf numFmtId="165" fontId="6" fillId="0" borderId="4" xfId="0" applyNumberFormat="1" applyFont="1" applyBorder="1"/>
    <xf numFmtId="10" fontId="6" fillId="0" borderId="0" xfId="0" applyNumberFormat="1" applyFont="1" applyAlignment="1">
      <alignment horizontal="right"/>
    </xf>
    <xf numFmtId="10" fontId="4" fillId="0" borderId="0" xfId="0" applyNumberFormat="1" applyFont="1" applyAlignment="1">
      <alignment horizontal="right"/>
    </xf>
    <xf numFmtId="173" fontId="6" fillId="0" borderId="0" xfId="15" applyNumberFormat="1" applyFont="1" applyFill="1" applyAlignment="1">
      <alignment horizontal="right"/>
    </xf>
    <xf numFmtId="3" fontId="6" fillId="0" borderId="4" xfId="18" applyNumberFormat="1" applyFont="1" applyFill="1" applyBorder="1"/>
    <xf numFmtId="10" fontId="6" fillId="0" borderId="0" xfId="15" applyNumberFormat="1" applyFont="1" applyFill="1" applyBorder="1"/>
    <xf numFmtId="4" fontId="90" fillId="0" borderId="6" xfId="18" applyNumberFormat="1" applyFont="1" applyFill="1" applyBorder="1" applyAlignment="1">
      <alignment/>
    </xf>
    <xf numFmtId="174" fontId="6" fillId="0" borderId="0" xfId="15" applyNumberFormat="1" applyFont="1"/>
    <xf numFmtId="164" fontId="0" fillId="4" borderId="0" xfId="18" applyNumberFormat="1" applyFont="1" applyFill="1" applyAlignment="1">
      <alignment horizontal="right" wrapText="1"/>
    </xf>
    <xf numFmtId="3" fontId="0" fillId="4" borderId="0" xfId="18" applyNumberFormat="1" applyFont="1" applyFill="1" applyAlignment="1">
      <alignment horizontal="right" wrapText="1"/>
    </xf>
    <xf numFmtId="3" fontId="0" fillId="4" borderId="0" xfId="18" applyNumberFormat="1" applyFont="1" applyFill="1" applyBorder="1" applyAlignment="1">
      <alignment horizontal="right" wrapText="1"/>
    </xf>
    <xf numFmtId="164" fontId="0" fillId="4" borderId="0" xfId="18" applyNumberFormat="1" applyFont="1" applyFill="1" applyAlignment="1">
      <alignment/>
    </xf>
    <xf numFmtId="164" fontId="0" fillId="4" borderId="0" xfId="18" applyNumberFormat="1" applyFont="1" applyFill="1" applyAlignment="1">
      <alignment wrapText="1"/>
    </xf>
    <xf numFmtId="164" fontId="0" fillId="0" borderId="0" xfId="18" applyNumberFormat="1" applyFont="1" applyAlignment="1">
      <alignment/>
    </xf>
    <xf numFmtId="164" fontId="0" fillId="0" borderId="0" xfId="18" applyNumberFormat="1" applyFont="1" applyAlignment="1">
      <alignment vertical="center" wrapText="1"/>
    </xf>
    <xf numFmtId="164" fontId="0" fillId="4" borderId="0" xfId="18" applyNumberFormat="1" applyFont="1" applyFill="1" applyAlignment="1">
      <alignment vertical="center" wrapText="1"/>
    </xf>
    <xf numFmtId="164" fontId="43" fillId="4" borderId="2" xfId="18" applyNumberFormat="1" applyFont="1" applyFill="1" applyBorder="1" applyAlignment="1">
      <alignment wrapText="1"/>
    </xf>
    <xf numFmtId="41" fontId="65" fillId="0" borderId="3" xfId="18" applyNumberFormat="1" applyFont="1" applyFill="1" applyBorder="1" applyAlignment="1">
      <alignment/>
    </xf>
    <xf numFmtId="164" fontId="65" fillId="0" borderId="20" xfId="18" applyNumberFormat="1" applyFont="1" applyFill="1" applyBorder="1" applyAlignment="1">
      <alignment/>
    </xf>
    <xf numFmtId="164" fontId="65" fillId="0" borderId="10" xfId="18" applyNumberFormat="1" applyFont="1" applyFill="1" applyBorder="1" applyAlignment="1">
      <alignment/>
    </xf>
    <xf numFmtId="164" fontId="65" fillId="0" borderId="0" xfId="18" applyNumberFormat="1" applyFont="1" applyFill="1" applyBorder="1" applyAlignment="1">
      <alignment/>
    </xf>
    <xf numFmtId="41" fontId="3" fillId="0" borderId="3" xfId="18" applyNumberFormat="1" applyFont="1" applyFill="1" applyBorder="1" applyAlignment="1">
      <alignment/>
    </xf>
    <xf numFmtId="164" fontId="3" fillId="0" borderId="7" xfId="18" applyNumberFormat="1" applyFont="1" applyFill="1" applyBorder="1" applyAlignment="1">
      <alignment horizontal="center" wrapText="1"/>
    </xf>
    <xf numFmtId="187" fontId="66" fillId="0" borderId="0" xfId="18" applyNumberFormat="1" applyFont="1" applyFill="1" applyBorder="1" applyAlignment="1">
      <alignment wrapText="1"/>
    </xf>
    <xf numFmtId="164" fontId="3" fillId="0" borderId="10" xfId="18" applyNumberFormat="1" applyFont="1" applyBorder="1" applyAlignment="1">
      <alignment/>
    </xf>
    <xf numFmtId="164" fontId="3" fillId="0" borderId="10" xfId="18" applyNumberFormat="1" applyFont="1" applyBorder="1"/>
    <xf numFmtId="164" fontId="30" fillId="4" borderId="4" xfId="18" applyNumberFormat="1" applyFont="1" applyFill="1" applyBorder="1" applyAlignment="1">
      <alignment horizontal="left"/>
    </xf>
    <xf numFmtId="0" fontId="30" fillId="0" borderId="7" xfId="0" applyFont="1" applyBorder="1" applyAlignment="1">
      <alignment horizontal="center"/>
    </xf>
    <xf numFmtId="0" fontId="30" fillId="4" borderId="1" xfId="0" applyFont="1" applyFill="1" applyBorder="1" applyAlignment="1">
      <alignment horizontal="center"/>
    </xf>
    <xf numFmtId="41" fontId="30" fillId="4" borderId="7" xfId="18" applyNumberFormat="1" applyFont="1" applyFill="1" applyBorder="1" applyAlignment="1">
      <alignment horizontal="center"/>
    </xf>
    <xf numFmtId="41" fontId="30" fillId="4" borderId="1" xfId="18" applyNumberFormat="1" applyFont="1" applyFill="1" applyBorder="1" applyAlignment="1">
      <alignment horizontal="center"/>
    </xf>
    <xf numFmtId="164" fontId="30" fillId="4" borderId="7" xfId="0" applyNumberFormat="1" applyFont="1" applyFill="1" applyBorder="1" applyAlignment="1">
      <alignment horizontal="center"/>
    </xf>
    <xf numFmtId="164" fontId="30" fillId="4" borderId="1" xfId="18" applyNumberFormat="1" applyFont="1" applyFill="1" applyBorder="1" applyAlignment="1">
      <alignment horizontal="center"/>
    </xf>
    <xf numFmtId="0" fontId="33" fillId="0" borderId="12" xfId="0" applyFont="1" applyBorder="1" applyAlignment="1">
      <alignment horizontal="center" wrapText="1"/>
    </xf>
    <xf numFmtId="166" fontId="6" fillId="0" borderId="10" xfId="0" applyNumberFormat="1" applyFont="1" applyBorder="1" applyAlignment="1">
      <alignment horizontal="center"/>
    </xf>
    <xf numFmtId="0" fontId="89" fillId="0" borderId="0" xfId="0" applyFont="1"/>
    <xf numFmtId="6" fontId="89" fillId="0" borderId="0" xfId="0" applyNumberFormat="1" applyFont="1"/>
    <xf numFmtId="189" fontId="77" fillId="0" borderId="29" xfId="29" applyNumberFormat="1" applyFont="1" applyFill="1" applyBorder="1" applyAlignment="1">
      <alignment horizontal="left"/>
    </xf>
    <xf numFmtId="41" fontId="30" fillId="0" borderId="0" xfId="18" applyNumberFormat="1" applyFont="1" applyFill="1" applyBorder="1" applyAlignment="1">
      <alignment horizontal="center" wrapText="1"/>
    </xf>
    <xf numFmtId="41" fontId="30" fillId="0" borderId="1" xfId="18" applyNumberFormat="1" applyFont="1" applyFill="1" applyBorder="1" applyAlignment="1">
      <alignment horizontal="center" wrapText="1"/>
    </xf>
    <xf numFmtId="43" fontId="0" fillId="0" borderId="10" xfId="0" applyNumberFormat="1" applyBorder="1"/>
    <xf numFmtId="164" fontId="65" fillId="0" borderId="2" xfId="18" applyNumberFormat="1" applyFont="1" applyFill="1" applyBorder="1" applyAlignment="1">
      <alignment/>
    </xf>
    <xf numFmtId="164" fontId="3" fillId="0" borderId="9" xfId="18" applyNumberFormat="1" applyFont="1" applyBorder="1" applyAlignment="1">
      <alignment horizontal="center" wrapText="1"/>
    </xf>
    <xf numFmtId="0" fontId="44" fillId="0" borderId="11" xfId="0" applyFont="1" applyBorder="1" applyAlignment="1">
      <alignment horizontal="center" wrapText="1"/>
    </xf>
    <xf numFmtId="164" fontId="43" fillId="4" borderId="30" xfId="18" applyNumberFormat="1" applyFont="1" applyFill="1" applyBorder="1" applyAlignment="1">
      <alignment/>
    </xf>
    <xf numFmtId="164" fontId="43" fillId="4" borderId="10" xfId="18" applyNumberFormat="1" applyFont="1" applyFill="1" applyBorder="1" applyAlignment="1">
      <alignment wrapText="1"/>
    </xf>
    <xf numFmtId="164" fontId="3" fillId="0" borderId="0" xfId="18" applyNumberFormat="1" applyFont="1" applyBorder="1" applyAlignment="1">
      <alignment horizontal="center" wrapText="1"/>
    </xf>
    <xf numFmtId="189" fontId="40" fillId="0" borderId="29" xfId="29" applyNumberFormat="1" applyFont="1" applyFill="1" applyBorder="1" applyAlignment="1">
      <alignment horizontal="left"/>
    </xf>
    <xf numFmtId="164" fontId="43" fillId="4" borderId="23" xfId="18" applyNumberFormat="1" applyFont="1" applyFill="1" applyBorder="1" applyAlignment="1">
      <alignment wrapText="1"/>
    </xf>
    <xf numFmtId="164" fontId="43" fillId="4" borderId="4" xfId="18" applyNumberFormat="1" applyFont="1" applyFill="1" applyBorder="1" applyAlignment="1">
      <alignment wrapText="1"/>
    </xf>
    <xf numFmtId="164" fontId="6" fillId="0" borderId="4" xfId="18" applyNumberFormat="1" applyFont="1" applyFill="1" applyBorder="1" applyAlignment="1" applyProtection="1">
      <alignment wrapText="1"/>
      <protection locked="0"/>
    </xf>
    <xf numFmtId="3" fontId="6" fillId="4" borderId="0" xfId="0" applyNumberFormat="1" applyFont="1" applyFill="1"/>
    <xf numFmtId="3" fontId="6" fillId="4" borderId="0" xfId="0" applyNumberFormat="1" applyFont="1" applyFill="1" applyAlignment="1">
      <alignment horizontal="right"/>
    </xf>
    <xf numFmtId="3" fontId="6" fillId="4" borderId="0" xfId="18" applyNumberFormat="1" applyFont="1" applyFill="1" applyBorder="1"/>
    <xf numFmtId="3" fontId="6" fillId="4" borderId="0" xfId="18" applyNumberFormat="1" applyFont="1" applyFill="1" applyAlignment="1">
      <alignment/>
    </xf>
    <xf numFmtId="3" fontId="6" fillId="4" borderId="4" xfId="0" applyNumberFormat="1" applyFont="1" applyFill="1" applyBorder="1"/>
    <xf numFmtId="10" fontId="6" fillId="4" borderId="0" xfId="0" applyNumberFormat="1" applyFont="1" applyFill="1"/>
    <xf numFmtId="164" fontId="3" fillId="0" borderId="6" xfId="18" applyNumberFormat="1" applyFont="1" applyBorder="1" applyAlignment="1">
      <alignment/>
    </xf>
    <xf numFmtId="164" fontId="3" fillId="0" borderId="5" xfId="18" applyNumberFormat="1" applyFont="1" applyBorder="1" applyAlignment="1">
      <alignment/>
    </xf>
    <xf numFmtId="164" fontId="3" fillId="0" borderId="6" xfId="18" applyNumberFormat="1" applyFont="1" applyBorder="1" applyAlignment="1">
      <alignment horizontal="center"/>
    </xf>
    <xf numFmtId="172" fontId="30" fillId="4" borderId="1" xfId="38" applyNumberFormat="1" applyFont="1" applyFill="1" applyBorder="1" applyAlignment="1">
      <alignment horizontal="center"/>
    </xf>
    <xf numFmtId="186" fontId="0" fillId="0" borderId="0" xfId="0" applyNumberFormat="1" applyFont="1" applyAlignment="1">
      <alignment horizontal="center"/>
    </xf>
    <xf numFmtId="42" fontId="40" fillId="0" borderId="29" xfId="29" applyNumberFormat="1" applyFont="1" applyFill="1" applyBorder="1" applyAlignment="1">
      <alignment horizontal="left"/>
    </xf>
    <xf numFmtId="0" fontId="30" fillId="0" borderId="18" xfId="0" applyFont="1" applyBorder="1"/>
    <xf numFmtId="164" fontId="33" fillId="0" borderId="13" xfId="18" applyNumberFormat="1" applyFont="1" applyFill="1" applyBorder="1" applyAlignment="1">
      <alignment horizontal="center"/>
    </xf>
    <xf numFmtId="7" fontId="0" fillId="0" borderId="0" xfId="0" applyNumberFormat="1"/>
    <xf numFmtId="0" fontId="30" fillId="0" borderId="14" xfId="0" applyFont="1" applyBorder="1"/>
    <xf numFmtId="39" fontId="30" fillId="0" borderId="10" xfId="18" applyNumberFormat="1" applyFont="1" applyFill="1" applyBorder="1" applyAlignment="1">
      <alignment horizontal="right"/>
    </xf>
    <xf numFmtId="39" fontId="30" fillId="0" borderId="9" xfId="18" applyNumberFormat="1" applyFont="1" applyFill="1" applyBorder="1" applyAlignment="1">
      <alignment horizontal="right"/>
    </xf>
    <xf numFmtId="39" fontId="30" fillId="0" borderId="14" xfId="16" applyNumberFormat="1" applyFont="1" applyFill="1" applyBorder="1"/>
    <xf numFmtId="0" fontId="30" fillId="0" borderId="16" xfId="0" applyFont="1" applyBorder="1"/>
    <xf numFmtId="39" fontId="30" fillId="0" borderId="7" xfId="18" applyNumberFormat="1" applyFont="1" applyFill="1" applyBorder="1" applyAlignment="1">
      <alignment horizontal="right"/>
    </xf>
    <xf numFmtId="39" fontId="30" fillId="0" borderId="8" xfId="18" applyNumberFormat="1" applyFont="1" applyFill="1" applyBorder="1" applyAlignment="1">
      <alignment horizontal="right"/>
    </xf>
    <xf numFmtId="39" fontId="30" fillId="0" borderId="16" xfId="16" applyNumberFormat="1" applyFont="1" applyFill="1" applyBorder="1"/>
    <xf numFmtId="164" fontId="94" fillId="0" borderId="0" xfId="18" applyNumberFormat="1" applyFont="1" applyFill="1" applyBorder="1" applyAlignment="1">
      <alignment/>
    </xf>
    <xf numFmtId="4" fontId="6" fillId="0" borderId="0" xfId="0" applyNumberFormat="1" applyFont="1" applyAlignment="1">
      <alignment horizontal="right"/>
    </xf>
    <xf numFmtId="43" fontId="66" fillId="0" borderId="10" xfId="18" applyFont="1" applyBorder="1" applyAlignment="1">
      <alignment/>
    </xf>
    <xf numFmtId="164" fontId="30" fillId="0" borderId="0" xfId="18" applyNumberFormat="1" applyFont="1" applyFill="1" applyBorder="1" applyAlignment="1">
      <alignment/>
    </xf>
    <xf numFmtId="41" fontId="42" fillId="0" borderId="0" xfId="20" applyNumberFormat="1" applyFont="1" applyFill="1" applyBorder="1"/>
    <xf numFmtId="0" fontId="91" fillId="4" borderId="0" xfId="0" applyFont="1" applyFill="1" applyAlignment="1">
      <alignment horizontal="left" wrapText="1"/>
    </xf>
    <xf numFmtId="3" fontId="91" fillId="4" borderId="0" xfId="18" applyNumberFormat="1" applyFont="1" applyFill="1" applyAlignment="1">
      <alignment/>
    </xf>
    <xf numFmtId="175" fontId="0" fillId="0" borderId="0" xfId="18" applyNumberFormat="1" applyFont="1" applyFill="1" applyBorder="1"/>
    <xf numFmtId="0" fontId="0" fillId="10" borderId="11" xfId="0" applyFill="1" applyBorder="1"/>
    <xf numFmtId="3" fontId="0" fillId="4" borderId="0" xfId="18" applyNumberFormat="1" applyFont="1" applyFill="1" applyAlignment="1">
      <alignment/>
    </xf>
    <xf numFmtId="164" fontId="0" fillId="4" borderId="0" xfId="18" applyNumberFormat="1" applyFont="1" applyFill="1" applyAlignment="1">
      <alignment horizontal="right" wrapText="1"/>
    </xf>
    <xf numFmtId="164" fontId="0" fillId="0" borderId="0" xfId="18" applyNumberFormat="1" applyFont="1" applyFill="1" applyBorder="1" applyAlignment="1">
      <alignment/>
    </xf>
    <xf numFmtId="164" fontId="0" fillId="0" borderId="4" xfId="18" applyNumberFormat="1" applyFont="1" applyFill="1" applyBorder="1" applyAlignment="1">
      <alignment/>
    </xf>
    <xf numFmtId="164" fontId="3" fillId="0" borderId="5" xfId="18" applyNumberFormat="1" applyFont="1" applyFill="1" applyBorder="1" applyAlignment="1">
      <alignment/>
    </xf>
    <xf numFmtId="171" fontId="0" fillId="0" borderId="0" xfId="18" applyNumberFormat="1" applyFont="1" applyFill="1" applyBorder="1"/>
    <xf numFmtId="3" fontId="0" fillId="4" borderId="4" xfId="18" applyNumberFormat="1" applyFont="1" applyFill="1" applyBorder="1" applyAlignment="1">
      <alignment horizontal="right"/>
    </xf>
    <xf numFmtId="0" fontId="2" fillId="0" borderId="0" xfId="49">
      <alignment/>
      <protection/>
    </xf>
    <xf numFmtId="0" fontId="97" fillId="0" borderId="0" xfId="0" applyFont="1" applyAlignment="1">
      <alignment horizontal="right"/>
    </xf>
    <xf numFmtId="0" fontId="98" fillId="0" borderId="0" xfId="49" applyFont="1" applyAlignment="1">
      <alignment vertical="top"/>
      <protection/>
    </xf>
    <xf numFmtId="0" fontId="95" fillId="0" borderId="0" xfId="49" applyFont="1">
      <alignment/>
      <protection/>
    </xf>
    <xf numFmtId="0" fontId="98" fillId="0" borderId="0" xfId="50" applyFont="1" applyAlignment="1">
      <alignment horizontal="center" vertical="center"/>
      <protection/>
    </xf>
    <xf numFmtId="0" fontId="100" fillId="0" borderId="0" xfId="49" applyFont="1">
      <alignment/>
      <protection/>
    </xf>
    <xf numFmtId="0" fontId="96" fillId="0" borderId="0" xfId="0" applyFont="1"/>
    <xf numFmtId="0" fontId="97" fillId="0" borderId="0" xfId="0" applyFont="1"/>
    <xf numFmtId="164" fontId="98" fillId="0" borderId="0" xfId="23" applyNumberFormat="1" applyFont="1" applyFill="1" applyBorder="1" applyAlignment="1">
      <alignment vertical="top"/>
    </xf>
    <xf numFmtId="0" fontId="96" fillId="0" borderId="0" xfId="0" applyFont="1" applyAlignment="1">
      <alignment vertical="center"/>
    </xf>
    <xf numFmtId="0" fontId="97" fillId="0" borderId="0" xfId="0" applyFont="1" applyAlignment="1">
      <alignment horizontal="right" vertical="center"/>
    </xf>
    <xf numFmtId="0" fontId="101" fillId="0" borderId="0" xfId="49" applyFont="1" applyAlignment="1">
      <alignment vertical="top"/>
      <protection/>
    </xf>
    <xf numFmtId="164" fontId="0" fillId="0" borderId="0" xfId="23" applyNumberFormat="1" applyFont="1" applyFill="1" applyAlignment="1">
      <alignment vertical="top"/>
    </xf>
    <xf numFmtId="164" fontId="0" fillId="0" borderId="0" xfId="23" applyNumberFormat="1" applyFont="1" applyAlignment="1">
      <alignment vertical="top"/>
    </xf>
    <xf numFmtId="167" fontId="4" fillId="0" borderId="17" xfId="0" applyNumberFormat="1" applyFont="1" applyBorder="1" applyAlignment="1">
      <alignment horizontal="left"/>
    </xf>
    <xf numFmtId="0" fontId="4" fillId="0" borderId="17" xfId="0" applyFont="1" applyBorder="1"/>
    <xf numFmtId="0" fontId="4" fillId="0" borderId="17" xfId="0" applyFont="1" applyBorder="1" applyAlignment="1">
      <alignment horizontal="center"/>
    </xf>
    <xf numFmtId="3" fontId="4" fillId="0" borderId="17" xfId="0" applyNumberFormat="1" applyFont="1" applyBorder="1"/>
    <xf numFmtId="168" fontId="4" fillId="0" borderId="17" xfId="0" applyNumberFormat="1" applyFont="1" applyBorder="1"/>
    <xf numFmtId="164" fontId="4" fillId="0" borderId="17" xfId="18" applyNumberFormat="1" applyFont="1" applyFill="1" applyBorder="1" applyAlignment="1">
      <alignment horizontal="right"/>
    </xf>
    <xf numFmtId="0" fontId="4" fillId="0" borderId="4" xfId="0" applyFont="1" applyBorder="1"/>
    <xf numFmtId="164" fontId="4" fillId="0" borderId="4" xfId="18" applyNumberFormat="1" applyFont="1" applyFill="1" applyBorder="1" applyAlignment="1">
      <alignment/>
    </xf>
    <xf numFmtId="164" fontId="0" fillId="0" borderId="0" xfId="20" applyNumberFormat="1" applyFont="1" applyFill="1" applyBorder="1"/>
    <xf numFmtId="0" fontId="104" fillId="0" borderId="0" xfId="0" applyFont="1" applyAlignment="1">
      <alignment horizontal="left" wrapText="1"/>
    </xf>
    <xf numFmtId="0" fontId="101" fillId="0" borderId="0" xfId="0" applyFont="1" applyAlignment="1">
      <alignment horizontal="left"/>
    </xf>
    <xf numFmtId="0" fontId="105" fillId="0" borderId="0" xfId="48" applyFont="1" applyAlignment="1">
      <alignment horizontal="center"/>
      <protection/>
    </xf>
    <xf numFmtId="0" fontId="101" fillId="0" borderId="0" xfId="0" applyFont="1"/>
    <xf numFmtId="0" fontId="0" fillId="0" borderId="25" xfId="0" applyBorder="1" applyAlignment="1">
      <alignment horizontal="center" vertical="center" wrapText="1"/>
    </xf>
    <xf numFmtId="0" fontId="0" fillId="0" borderId="3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06" fillId="0" borderId="0" xfId="0" applyFont="1"/>
    <xf numFmtId="0" fontId="101" fillId="11" borderId="0" xfId="52" applyFont="1" applyFill="1" applyAlignment="1">
      <alignment horizontal="left"/>
      <protection/>
    </xf>
    <xf numFmtId="164" fontId="101" fillId="11" borderId="0" xfId="52" applyNumberFormat="1" applyFont="1" applyFill="1" applyAlignment="1">
      <alignment horizontal="center"/>
      <protection/>
    </xf>
    <xf numFmtId="177" fontId="0" fillId="0" borderId="0" xfId="0" applyNumberFormat="1"/>
    <xf numFmtId="164" fontId="0" fillId="0" borderId="24" xfId="18" applyNumberFormat="1" applyFont="1" applyFill="1" applyBorder="1"/>
    <xf numFmtId="164" fontId="0" fillId="0" borderId="2" xfId="18" applyNumberFormat="1" applyFont="1" applyFill="1" applyBorder="1"/>
    <xf numFmtId="0" fontId="95" fillId="0" borderId="0" xfId="0" applyFont="1"/>
    <xf numFmtId="164" fontId="95" fillId="0" borderId="0" xfId="18" applyNumberFormat="1" applyFont="1" applyFill="1" applyBorder="1"/>
    <xf numFmtId="164" fontId="95" fillId="0" borderId="3" xfId="18" applyNumberFormat="1" applyFont="1" applyFill="1" applyBorder="1"/>
    <xf numFmtId="0" fontId="95" fillId="0" borderId="0" xfId="0" applyFont="1" applyAlignment="1">
      <alignment horizontal="center"/>
    </xf>
    <xf numFmtId="164" fontId="95" fillId="0" borderId="0" xfId="18" applyNumberFormat="1" applyFont="1" applyFill="1"/>
    <xf numFmtId="0" fontId="101" fillId="0" borderId="0" xfId="53" applyFont="1" applyAlignment="1">
      <alignment horizontal="left"/>
      <protection/>
    </xf>
    <xf numFmtId="0" fontId="101" fillId="0" borderId="0" xfId="53" applyFont="1">
      <alignment/>
      <protection/>
    </xf>
    <xf numFmtId="164" fontId="101" fillId="0" borderId="0" xfId="23" applyNumberFormat="1" applyFont="1"/>
    <xf numFmtId="164" fontId="107" fillId="0" borderId="0" xfId="23" applyNumberFormat="1" applyFont="1" applyFill="1" applyBorder="1"/>
    <xf numFmtId="0" fontId="101" fillId="0" borderId="0" xfId="52" applyFont="1">
      <alignment/>
      <protection/>
    </xf>
    <xf numFmtId="164" fontId="101" fillId="0" borderId="0" xfId="53" applyNumberFormat="1" applyFont="1">
      <alignment/>
      <protection/>
    </xf>
    <xf numFmtId="0" fontId="101" fillId="0" borderId="0" xfId="52" applyFont="1" applyAlignment="1">
      <alignment horizontal="center"/>
      <protection/>
    </xf>
    <xf numFmtId="0" fontId="101" fillId="0" borderId="0" xfId="53" applyFont="1" applyAlignment="1">
      <alignment horizontal="center" vertical="top"/>
      <protection/>
    </xf>
    <xf numFmtId="0" fontId="0" fillId="0" borderId="0" xfId="46" applyFont="1" applyAlignment="1">
      <alignment horizontal="center" vertical="top"/>
      <protection/>
    </xf>
    <xf numFmtId="0" fontId="2" fillId="0" borderId="0" xfId="46" applyAlignment="1">
      <alignment vertical="top"/>
      <protection/>
    </xf>
    <xf numFmtId="10" fontId="6" fillId="0" borderId="4" xfId="0" applyNumberFormat="1" applyFont="1" applyBorder="1"/>
    <xf numFmtId="0" fontId="2" fillId="0" borderId="0" xfId="46">
      <alignment/>
      <protection/>
    </xf>
    <xf numFmtId="0" fontId="0" fillId="0" borderId="0" xfId="49" applyFont="1">
      <alignment/>
      <protection/>
    </xf>
    <xf numFmtId="10" fontId="0" fillId="0" borderId="0" xfId="15" applyNumberFormat="1"/>
    <xf numFmtId="43" fontId="2" fillId="0" borderId="0" xfId="46" applyNumberFormat="1">
      <alignment/>
      <protection/>
    </xf>
    <xf numFmtId="0" fontId="108" fillId="11" borderId="0" xfId="46" applyFont="1" applyFill="1" applyAlignment="1">
      <alignment horizontal="right"/>
      <protection/>
    </xf>
    <xf numFmtId="10" fontId="4" fillId="0" borderId="0" xfId="15" applyNumberFormat="1" applyFont="1" applyAlignment="1">
      <alignment/>
    </xf>
    <xf numFmtId="164" fontId="2" fillId="0" borderId="0" xfId="46" applyNumberFormat="1">
      <alignment/>
      <protection/>
    </xf>
    <xf numFmtId="0" fontId="101" fillId="11" borderId="0" xfId="46" applyFont="1" applyFill="1" applyAlignment="1">
      <alignment horizontal="right"/>
      <protection/>
    </xf>
    <xf numFmtId="10" fontId="99" fillId="0" borderId="0" xfId="15" applyNumberFormat="1" applyFont="1" applyAlignment="1">
      <alignment horizontal="right"/>
    </xf>
    <xf numFmtId="43" fontId="97" fillId="0" borderId="0" xfId="0" applyNumberFormat="1" applyFont="1" applyAlignment="1">
      <alignment horizontal="right"/>
    </xf>
    <xf numFmtId="0" fontId="2" fillId="0" borderId="0" xfId="46" applyAlignment="1">
      <alignment horizontal="center" vertical="center"/>
      <protection/>
    </xf>
    <xf numFmtId="0" fontId="101" fillId="0" borderId="0" xfId="46" applyFont="1" applyAlignment="1">
      <alignment horizontal="left"/>
      <protection/>
    </xf>
    <xf numFmtId="0" fontId="101" fillId="0" borderId="0" xfId="46" applyFont="1" applyAlignment="1">
      <alignment horizontal="center" vertical="center"/>
      <protection/>
    </xf>
    <xf numFmtId="0" fontId="101" fillId="0" borderId="0" xfId="46" applyFont="1">
      <alignment/>
      <protection/>
    </xf>
    <xf numFmtId="0" fontId="107" fillId="0" borderId="25" xfId="46" applyFont="1" applyBorder="1" applyAlignment="1">
      <alignment horizontal="left" vertical="center" wrapText="1"/>
      <protection/>
    </xf>
    <xf numFmtId="0" fontId="107" fillId="0" borderId="25" xfId="46" applyFont="1" applyBorder="1" applyAlignment="1">
      <alignment horizontal="center" vertical="center" wrapText="1"/>
      <protection/>
    </xf>
    <xf numFmtId="0" fontId="107" fillId="11" borderId="25" xfId="46" applyFont="1" applyFill="1" applyBorder="1" applyAlignment="1">
      <alignment horizontal="center" vertical="center" wrapText="1"/>
      <protection/>
    </xf>
    <xf numFmtId="0" fontId="98" fillId="0" borderId="0" xfId="46" applyFont="1" applyAlignment="1">
      <alignment horizontal="center" vertical="center" wrapText="1"/>
      <protection/>
    </xf>
    <xf numFmtId="0" fontId="98" fillId="0" borderId="0" xfId="46" applyFont="1" applyAlignment="1">
      <alignment vertical="center" wrapText="1"/>
      <protection/>
    </xf>
    <xf numFmtId="0" fontId="98" fillId="0" borderId="0" xfId="46" applyFont="1" applyAlignment="1">
      <alignment horizontal="center" wrapText="1"/>
      <protection/>
    </xf>
    <xf numFmtId="0" fontId="101" fillId="11" borderId="0" xfId="46" applyFont="1" applyFill="1" applyAlignment="1">
      <alignment horizontal="left"/>
      <protection/>
    </xf>
    <xf numFmtId="0" fontId="101" fillId="11" borderId="0" xfId="46" applyFont="1" applyFill="1" applyAlignment="1">
      <alignment horizontal="center"/>
      <protection/>
    </xf>
    <xf numFmtId="0" fontId="2" fillId="0" borderId="0" xfId="46" applyAlignment="1">
      <alignment horizontal="center"/>
      <protection/>
    </xf>
    <xf numFmtId="0" fontId="2" fillId="11" borderId="0" xfId="46" applyFill="1" applyAlignment="1">
      <alignment horizontal="center"/>
      <protection/>
    </xf>
    <xf numFmtId="0" fontId="102" fillId="11" borderId="0" xfId="46" applyFont="1" applyFill="1">
      <alignment/>
      <protection/>
    </xf>
    <xf numFmtId="0" fontId="102" fillId="0" borderId="0" xfId="46" applyFont="1">
      <alignment/>
      <protection/>
    </xf>
    <xf numFmtId="164" fontId="2" fillId="0" borderId="4" xfId="46" applyNumberFormat="1" applyBorder="1">
      <alignment/>
      <protection/>
    </xf>
    <xf numFmtId="0" fontId="98" fillId="11" borderId="0" xfId="46" applyFont="1" applyFill="1">
      <alignment/>
      <protection/>
    </xf>
    <xf numFmtId="0" fontId="98" fillId="0" borderId="0" xfId="46" applyFont="1">
      <alignment/>
      <protection/>
    </xf>
    <xf numFmtId="0" fontId="101" fillId="0" borderId="0" xfId="46" applyFont="1" applyAlignment="1">
      <alignment horizontal="center"/>
      <protection/>
    </xf>
    <xf numFmtId="164" fontId="98" fillId="0" borderId="0" xfId="46" applyNumberFormat="1" applyFont="1">
      <alignment/>
      <protection/>
    </xf>
    <xf numFmtId="0" fontId="101" fillId="11" borderId="0" xfId="46" applyFont="1" applyFill="1" applyAlignment="1">
      <alignment horizontal="left" wrapText="1"/>
      <protection/>
    </xf>
    <xf numFmtId="164" fontId="107" fillId="0" borderId="0" xfId="46" applyNumberFormat="1" applyFont="1">
      <alignment/>
      <protection/>
    </xf>
    <xf numFmtId="0" fontId="107" fillId="0" borderId="0" xfId="46" applyFont="1">
      <alignment/>
      <protection/>
    </xf>
    <xf numFmtId="0" fontId="107" fillId="11" borderId="0" xfId="46" applyFont="1" applyFill="1">
      <alignment/>
      <protection/>
    </xf>
    <xf numFmtId="0" fontId="101" fillId="11" borderId="0" xfId="46" applyFont="1" applyFill="1">
      <alignment/>
      <protection/>
    </xf>
    <xf numFmtId="0" fontId="2" fillId="0" borderId="0" xfId="46" applyAlignment="1">
      <alignment horizontal="left"/>
      <protection/>
    </xf>
    <xf numFmtId="0" fontId="2" fillId="0" borderId="0" xfId="46" applyAlignment="1">
      <alignment horizontal="center" vertical="top"/>
      <protection/>
    </xf>
    <xf numFmtId="0" fontId="2" fillId="0" borderId="0" xfId="46" applyAlignment="1">
      <alignment horizontal="right"/>
      <protection/>
    </xf>
    <xf numFmtId="0" fontId="0" fillId="0" borderId="0" xfId="0" applyFont="1" applyAlignment="1">
      <alignment horizontal="centerContinuous"/>
    </xf>
    <xf numFmtId="0" fontId="73" fillId="0" borderId="0" xfId="0" applyFont="1" applyAlignment="1">
      <alignment horizontal="center"/>
    </xf>
    <xf numFmtId="0" fontId="3" fillId="0" borderId="0" xfId="0" applyFont="1" applyAlignment="1">
      <alignment horizontal="center" wrapText="1"/>
    </xf>
    <xf numFmtId="0" fontId="0" fillId="3" borderId="0" xfId="0" applyFont="1" applyFill="1"/>
    <xf numFmtId="37" fontId="0" fillId="0" borderId="0" xfId="0" applyNumberFormat="1" applyFont="1"/>
    <xf numFmtId="0" fontId="0" fillId="0" borderId="0" xfId="0" applyFont="1" applyAlignment="1">
      <alignment horizontal="left"/>
    </xf>
    <xf numFmtId="172" fontId="0" fillId="11" borderId="0" xfId="15" applyNumberFormat="1" applyFont="1" applyFill="1"/>
    <xf numFmtId="0" fontId="0" fillId="11" borderId="0" xfId="0" applyFont="1" applyFill="1"/>
    <xf numFmtId="0" fontId="2" fillId="11" borderId="0" xfId="46" applyFill="1" applyAlignment="1">
      <alignment horizontal="left"/>
      <protection/>
    </xf>
    <xf numFmtId="0" fontId="0" fillId="0" borderId="0" xfId="0" applyAlignment="1">
      <alignment vertical="top"/>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4" xfId="0" applyBorder="1" applyAlignment="1">
      <alignment horizontal="center" vertical="center" wrapText="1"/>
    </xf>
    <xf numFmtId="0" fontId="2" fillId="0" borderId="0" xfId="46" applyAlignment="1">
      <alignment horizontal="left" vertical="top" wrapText="1"/>
      <protection/>
    </xf>
    <xf numFmtId="0" fontId="0" fillId="0" borderId="0" xfId="0" applyFont="1" applyAlignment="1">
      <alignment vertical="top"/>
    </xf>
    <xf numFmtId="0" fontId="44" fillId="0" borderId="0" xfId="0" applyFont="1" applyAlignment="1">
      <alignment horizontal="center"/>
    </xf>
    <xf numFmtId="0" fontId="44" fillId="0" borderId="0" xfId="0" applyFont="1"/>
    <xf numFmtId="0" fontId="52" fillId="0" borderId="0" xfId="0" applyFont="1" applyAlignment="1">
      <alignment horizontal="left"/>
    </xf>
    <xf numFmtId="0" fontId="42" fillId="0" borderId="0" xfId="0" applyFont="1" applyAlignment="1">
      <alignment horizontal="center" wrapText="1"/>
    </xf>
    <xf numFmtId="0" fontId="42" fillId="0" borderId="28" xfId="0" applyFont="1" applyBorder="1" applyAlignment="1">
      <alignment horizontal="center" wrapText="1"/>
    </xf>
    <xf numFmtId="0" fontId="60" fillId="0" borderId="0" xfId="0" applyFont="1" applyAlignment="1">
      <alignment horizontal="center" wrapText="1"/>
    </xf>
    <xf numFmtId="0" fontId="30" fillId="0" borderId="12" xfId="0" applyFont="1" applyBorder="1" applyAlignment="1">
      <alignment horizontal="center" wrapText="1"/>
    </xf>
    <xf numFmtId="0" fontId="30" fillId="0" borderId="10" xfId="0" applyFont="1" applyBorder="1" applyAlignment="1">
      <alignment horizontal="center" wrapText="1"/>
    </xf>
    <xf numFmtId="41" fontId="0" fillId="0" borderId="0" xfId="20" applyNumberFormat="1" applyFont="1" applyFill="1" applyBorder="1"/>
    <xf numFmtId="41" fontId="0" fillId="0" borderId="1" xfId="20" applyNumberFormat="1" applyFont="1" applyFill="1" applyBorder="1"/>
    <xf numFmtId="43" fontId="42" fillId="0" borderId="0" xfId="20" applyFont="1" applyFill="1" applyBorder="1"/>
    <xf numFmtId="164" fontId="3" fillId="0" borderId="0" xfId="0" applyNumberFormat="1" applyFont="1"/>
    <xf numFmtId="0" fontId="0" fillId="0" borderId="5" xfId="0" applyFont="1" applyBorder="1" applyAlignment="1">
      <alignment horizontal="center"/>
    </xf>
    <xf numFmtId="0" fontId="0" fillId="0" borderId="12" xfId="0" applyFont="1" applyBorder="1"/>
    <xf numFmtId="164" fontId="0" fillId="0" borderId="11" xfId="20" applyNumberFormat="1" applyFont="1" applyFill="1" applyBorder="1"/>
    <xf numFmtId="164" fontId="0" fillId="0" borderId="13" xfId="20" applyNumberFormat="1" applyFont="1" applyFill="1" applyBorder="1"/>
    <xf numFmtId="0" fontId="0" fillId="0" borderId="10" xfId="0" applyFont="1" applyBorder="1"/>
    <xf numFmtId="164" fontId="0" fillId="0" borderId="9" xfId="20" applyNumberFormat="1" applyFont="1" applyFill="1" applyBorder="1"/>
    <xf numFmtId="0" fontId="0" fillId="0" borderId="7" xfId="0" applyFont="1" applyBorder="1"/>
    <xf numFmtId="164" fontId="0" fillId="0" borderId="1" xfId="20" applyNumberFormat="1" applyFont="1" applyFill="1" applyBorder="1"/>
    <xf numFmtId="164" fontId="0" fillId="0" borderId="8" xfId="20" applyNumberFormat="1" applyFont="1" applyFill="1" applyBorder="1"/>
    <xf numFmtId="0" fontId="42" fillId="0" borderId="33" xfId="0" applyFont="1" applyBorder="1" applyAlignment="1">
      <alignment horizontal="center" wrapText="1"/>
    </xf>
    <xf numFmtId="0" fontId="42" fillId="0" borderId="34" xfId="0" applyFont="1" applyBorder="1" applyAlignment="1">
      <alignment horizontal="center" wrapText="1"/>
    </xf>
    <xf numFmtId="0" fontId="42" fillId="0" borderId="35" xfId="0" applyFont="1" applyBorder="1" applyAlignment="1">
      <alignment horizontal="center" wrapText="1"/>
    </xf>
    <xf numFmtId="0" fontId="42" fillId="0" borderId="36" xfId="0" applyFont="1" applyBorder="1" applyAlignment="1">
      <alignment horizontal="center" wrapText="1"/>
    </xf>
    <xf numFmtId="43" fontId="42" fillId="0" borderId="0" xfId="20" applyFont="1" applyFill="1"/>
    <xf numFmtId="0" fontId="59" fillId="0" borderId="0" xfId="0" applyFont="1" applyAlignment="1">
      <alignment horizontal="center" vertical="top" wrapText="1"/>
    </xf>
    <xf numFmtId="0" fontId="42" fillId="0" borderId="1" xfId="0" applyFont="1" applyBorder="1" applyAlignment="1">
      <alignment horizontal="center" wrapText="1"/>
    </xf>
    <xf numFmtId="0" fontId="42" fillId="0" borderId="8" xfId="0" applyFont="1" applyBorder="1" applyAlignment="1">
      <alignment horizontal="center" wrapText="1"/>
    </xf>
    <xf numFmtId="43" fontId="44" fillId="0" borderId="0" xfId="18" applyFont="1" applyFill="1" applyBorder="1" applyAlignment="1">
      <alignment horizontal="center" wrapText="1"/>
    </xf>
    <xf numFmtId="43" fontId="44" fillId="0" borderId="0" xfId="18" applyFont="1" applyFill="1" applyBorder="1"/>
    <xf numFmtId="43" fontId="0" fillId="0" borderId="0" xfId="18" applyFont="1" applyFill="1" applyBorder="1"/>
    <xf numFmtId="43" fontId="42" fillId="0" borderId="0" xfId="18" applyFont="1" applyFill="1" applyBorder="1"/>
    <xf numFmtId="164" fontId="52" fillId="0" borderId="0" xfId="0" applyNumberFormat="1" applyFont="1"/>
    <xf numFmtId="41" fontId="0" fillId="0" borderId="37" xfId="54" applyNumberFormat="1" applyFont="1" applyFill="1" applyBorder="1"/>
    <xf numFmtId="41" fontId="0" fillId="0" borderId="38" xfId="54" applyNumberFormat="1" applyFont="1" applyFill="1" applyBorder="1"/>
    <xf numFmtId="44" fontId="42" fillId="0" borderId="0" xfId="0" applyNumberFormat="1" applyFont="1"/>
    <xf numFmtId="41" fontId="0" fillId="0" borderId="39" xfId="54" applyNumberFormat="1" applyFont="1" applyFill="1" applyBorder="1"/>
    <xf numFmtId="41" fontId="42" fillId="0" borderId="39" xfId="54" applyNumberFormat="1" applyFont="1" applyFill="1" applyBorder="1"/>
    <xf numFmtId="41" fontId="0" fillId="0" borderId="39" xfId="54" applyNumberFormat="1" applyFont="1" applyFill="1" applyBorder="1" applyAlignment="1">
      <alignment horizontal="left"/>
    </xf>
    <xf numFmtId="41" fontId="0" fillId="0" borderId="40" xfId="54" applyNumberFormat="1" applyFont="1" applyFill="1" applyBorder="1"/>
    <xf numFmtId="41" fontId="0" fillId="0" borderId="41" xfId="54" applyNumberFormat="1" applyFont="1" applyFill="1" applyBorder="1"/>
    <xf numFmtId="41" fontId="0" fillId="0" borderId="29" xfId="54" applyNumberFormat="1" applyFont="1" applyFill="1" applyBorder="1"/>
    <xf numFmtId="164" fontId="0" fillId="0" borderId="0" xfId="54" applyNumberFormat="1" applyFont="1" applyBorder="1"/>
    <xf numFmtId="164" fontId="0" fillId="0" borderId="0" xfId="54" applyNumberFormat="1" applyFont="1"/>
    <xf numFmtId="164" fontId="0" fillId="0" borderId="4" xfId="54" applyNumberFormat="1" applyFont="1" applyBorder="1"/>
    <xf numFmtId="164" fontId="0" fillId="0" borderId="0" xfId="54" applyNumberFormat="1" applyFont="1" applyFill="1" applyBorder="1"/>
    <xf numFmtId="164" fontId="30" fillId="11" borderId="0" xfId="54" applyNumberFormat="1" applyFont="1" applyFill="1"/>
    <xf numFmtId="164" fontId="0" fillId="11" borderId="0" xfId="54" applyNumberFormat="1" applyFont="1" applyFill="1"/>
    <xf numFmtId="164" fontId="0" fillId="11" borderId="0" xfId="54" applyNumberFormat="1" applyFont="1" applyFill="1" applyAlignment="1">
      <alignment wrapText="1"/>
    </xf>
    <xf numFmtId="164" fontId="33" fillId="0" borderId="0" xfId="54" applyNumberFormat="1" applyFont="1" applyBorder="1"/>
    <xf numFmtId="164" fontId="0" fillId="0" borderId="2" xfId="54" applyNumberFormat="1" applyFont="1" applyFill="1" applyBorder="1"/>
    <xf numFmtId="164" fontId="0" fillId="0" borderId="0" xfId="54" applyNumberFormat="1" applyFont="1" applyFill="1"/>
    <xf numFmtId="164" fontId="33" fillId="0" borderId="0" xfId="54" applyNumberFormat="1" applyFont="1" applyFill="1" applyBorder="1"/>
    <xf numFmtId="164" fontId="0" fillId="0" borderId="0" xfId="54" applyNumberFormat="1" applyFont="1" applyFill="1" applyAlignment="1">
      <alignment horizontal="center"/>
    </xf>
    <xf numFmtId="164" fontId="0" fillId="11" borderId="4" xfId="54" applyNumberFormat="1" applyFont="1" applyFill="1" applyBorder="1"/>
    <xf numFmtId="164" fontId="0" fillId="11" borderId="4" xfId="54" applyNumberFormat="1" applyFont="1" applyFill="1" applyBorder="1" applyAlignment="1">
      <alignment horizontal="center"/>
    </xf>
    <xf numFmtId="164" fontId="0" fillId="0" borderId="0" xfId="54" applyNumberFormat="1" applyFont="1" applyFill="1" applyBorder="1" applyAlignment="1">
      <alignment horizontal="center"/>
    </xf>
    <xf numFmtId="164" fontId="0" fillId="0" borderId="3" xfId="54" applyNumberFormat="1" applyFont="1" applyFill="1" applyBorder="1"/>
    <xf numFmtId="164" fontId="29" fillId="0" borderId="0" xfId="54" applyNumberFormat="1" applyFont="1" applyFill="1" applyBorder="1"/>
    <xf numFmtId="164" fontId="26" fillId="0" borderId="0" xfId="54" applyNumberFormat="1" applyFont="1" applyFill="1" applyBorder="1"/>
    <xf numFmtId="164" fontId="33" fillId="0" borderId="0" xfId="54" applyNumberFormat="1" applyFont="1" applyFill="1" applyBorder="1" applyAlignment="1">
      <alignment horizontal="left"/>
    </xf>
    <xf numFmtId="164" fontId="4" fillId="0" borderId="0" xfId="54" applyNumberFormat="1" applyFont="1" applyAlignment="1">
      <alignment horizontal="center"/>
    </xf>
    <xf numFmtId="164" fontId="3" fillId="0" borderId="0" xfId="54" applyNumberFormat="1" applyFont="1"/>
    <xf numFmtId="164" fontId="92" fillId="0" borderId="0" xfId="54" applyNumberFormat="1" applyFont="1"/>
    <xf numFmtId="164" fontId="26" fillId="0" borderId="0" xfId="54" applyNumberFormat="1" applyFont="1" applyFill="1" applyBorder="1" applyAlignment="1">
      <alignment horizontal="left"/>
    </xf>
    <xf numFmtId="164" fontId="3" fillId="0" borderId="0" xfId="54" applyNumberFormat="1" applyFont="1" applyFill="1" applyAlignment="1">
      <alignment horizontal="center"/>
    </xf>
    <xf numFmtId="164" fontId="30" fillId="0" borderId="0" xfId="54" applyNumberFormat="1" applyFont="1"/>
    <xf numFmtId="164" fontId="12" fillId="11" borderId="0" xfId="54" applyNumberFormat="1" applyFont="1" applyFill="1"/>
    <xf numFmtId="164" fontId="56" fillId="11" borderId="0" xfId="54" applyNumberFormat="1" applyFont="1" applyFill="1"/>
    <xf numFmtId="164" fontId="29" fillId="0" borderId="0" xfId="54" applyNumberFormat="1" applyFont="1" applyFill="1" applyBorder="1" applyAlignment="1">
      <alignment horizontal="left"/>
    </xf>
    <xf numFmtId="164" fontId="3" fillId="0" borderId="0" xfId="54" applyNumberFormat="1" applyFont="1" applyFill="1"/>
    <xf numFmtId="164" fontId="3" fillId="0" borderId="0" xfId="54" applyNumberFormat="1" applyFont="1" applyFill="1" applyBorder="1" applyAlignment="1">
      <alignment horizontal="center"/>
    </xf>
    <xf numFmtId="164" fontId="3" fillId="0" borderId="0" xfId="54" applyNumberFormat="1" applyFont="1" applyFill="1" applyBorder="1"/>
    <xf numFmtId="164" fontId="30" fillId="0" borderId="0" xfId="54" applyNumberFormat="1" applyFont="1" applyFill="1" applyBorder="1"/>
    <xf numFmtId="164" fontId="12" fillId="0" borderId="0" xfId="54" applyNumberFormat="1" applyFont="1" applyFill="1" applyBorder="1"/>
    <xf numFmtId="164" fontId="56" fillId="0" borderId="0" xfId="54" applyNumberFormat="1" applyFont="1" applyFill="1" applyBorder="1"/>
    <xf numFmtId="43" fontId="0" fillId="0" borderId="0" xfId="54" applyFont="1"/>
    <xf numFmtId="0" fontId="89" fillId="11" borderId="0" xfId="55" applyFont="1" applyFill="1" applyAlignment="1">
      <alignment horizontal="left"/>
      <protection/>
    </xf>
    <xf numFmtId="0" fontId="89" fillId="11" borderId="0" xfId="49" applyFont="1" applyFill="1" applyAlignment="1">
      <alignment horizontal="left"/>
      <protection/>
    </xf>
    <xf numFmtId="0" fontId="109" fillId="11" borderId="0" xfId="56" applyFont="1" applyFill="1">
      <alignment/>
      <protection/>
    </xf>
    <xf numFmtId="0" fontId="109" fillId="0" borderId="0" xfId="49" applyFont="1">
      <alignment/>
      <protection/>
    </xf>
    <xf numFmtId="164" fontId="89" fillId="11" borderId="0" xfId="57" applyNumberFormat="1" applyFont="1" applyFill="1" applyAlignment="1">
      <alignment vertical="center"/>
    </xf>
    <xf numFmtId="164" fontId="109" fillId="0" borderId="0" xfId="49" applyNumberFormat="1" applyFont="1">
      <alignment/>
      <protection/>
    </xf>
    <xf numFmtId="0" fontId="89" fillId="11" borderId="0" xfId="46" applyFont="1" applyFill="1" applyAlignment="1">
      <alignment horizontal="center"/>
      <protection/>
    </xf>
    <xf numFmtId="164" fontId="101" fillId="0" borderId="0" xfId="57" applyNumberFormat="1" applyFont="1" applyFill="1" applyAlignment="1">
      <alignment vertical="center"/>
    </xf>
    <xf numFmtId="164" fontId="101" fillId="11" borderId="0" xfId="57" applyNumberFormat="1" applyFont="1" applyFill="1" applyAlignment="1">
      <alignment vertical="center"/>
    </xf>
    <xf numFmtId="0" fontId="0" fillId="0" borderId="0" xfId="48">
      <alignment/>
      <protection/>
    </xf>
    <xf numFmtId="0" fontId="110" fillId="0" borderId="0" xfId="49" applyFont="1" applyAlignment="1">
      <alignment horizontal="center" wrapText="1"/>
      <protection/>
    </xf>
    <xf numFmtId="0" fontId="110" fillId="0" borderId="0" xfId="49" applyFont="1" applyAlignment="1">
      <alignment vertical="center" wrapText="1"/>
      <protection/>
    </xf>
    <xf numFmtId="0" fontId="110" fillId="0" borderId="0" xfId="49" applyFont="1" applyAlignment="1">
      <alignment horizontal="center" vertical="center" wrapText="1"/>
      <protection/>
    </xf>
    <xf numFmtId="0" fontId="111" fillId="11" borderId="0" xfId="49" applyFont="1" applyFill="1">
      <alignment/>
      <protection/>
    </xf>
    <xf numFmtId="0" fontId="89" fillId="11" borderId="0" xfId="49" applyFont="1" applyFill="1" applyAlignment="1">
      <alignment horizontal="center"/>
      <protection/>
    </xf>
    <xf numFmtId="164" fontId="101" fillId="0" borderId="4" xfId="57" applyNumberFormat="1" applyFont="1" applyFill="1" applyBorder="1" applyAlignment="1">
      <alignment vertical="center"/>
    </xf>
    <xf numFmtId="164" fontId="98" fillId="0" borderId="0" xfId="57" applyNumberFormat="1" applyFont="1" applyFill="1" applyBorder="1"/>
    <xf numFmtId="164" fontId="0" fillId="0" borderId="0" xfId="57" applyNumberFormat="1" applyFont="1"/>
    <xf numFmtId="164" fontId="0" fillId="0" borderId="0" xfId="57" applyNumberFormat="1" applyFont="1" applyAlignment="1">
      <alignment horizontal="center"/>
    </xf>
    <xf numFmtId="164" fontId="0" fillId="11" borderId="0" xfId="57" applyNumberFormat="1" applyFont="1" applyFill="1"/>
    <xf numFmtId="164" fontId="101" fillId="11" borderId="0" xfId="57" applyNumberFormat="1" applyFont="1" applyFill="1" applyBorder="1" applyAlignment="1">
      <alignment vertical="center"/>
    </xf>
    <xf numFmtId="164" fontId="101" fillId="11" borderId="4" xfId="57" applyNumberFormat="1" applyFont="1" applyFill="1" applyBorder="1" applyAlignment="1">
      <alignment vertical="center"/>
    </xf>
    <xf numFmtId="164" fontId="11" fillId="0" borderId="0" xfId="57" applyNumberFormat="1" applyFont="1"/>
    <xf numFmtId="164" fontId="103" fillId="0" borderId="0" xfId="57" applyNumberFormat="1" applyFont="1" applyFill="1" applyBorder="1" applyAlignment="1">
      <alignment vertical="center"/>
    </xf>
    <xf numFmtId="164" fontId="98" fillId="0" borderId="0" xfId="57" applyNumberFormat="1" applyFont="1" applyFill="1"/>
    <xf numFmtId="164" fontId="109" fillId="0" borderId="4" xfId="49" applyNumberFormat="1" applyFont="1" applyBorder="1">
      <alignment/>
      <protection/>
    </xf>
    <xf numFmtId="164" fontId="107" fillId="0" borderId="0" xfId="57" applyNumberFormat="1" applyFont="1" applyFill="1" applyBorder="1" applyAlignment="1">
      <alignment vertical="center"/>
    </xf>
    <xf numFmtId="164" fontId="101" fillId="0" borderId="0" xfId="57" applyNumberFormat="1" applyFont="1"/>
    <xf numFmtId="164" fontId="107" fillId="11" borderId="0" xfId="57" applyNumberFormat="1" applyFont="1" applyFill="1"/>
    <xf numFmtId="164" fontId="107" fillId="0" borderId="0" xfId="57" applyNumberFormat="1" applyFont="1" applyFill="1" applyBorder="1"/>
    <xf numFmtId="164" fontId="101" fillId="11" borderId="0" xfId="57" applyNumberFormat="1" applyFont="1" applyFill="1"/>
    <xf numFmtId="164" fontId="107" fillId="11" borderId="0" xfId="57" applyNumberFormat="1" applyFont="1" applyFill="1" applyBorder="1"/>
    <xf numFmtId="164" fontId="0" fillId="0" borderId="0" xfId="57" applyNumberFormat="1" applyFont="1" applyFill="1"/>
    <xf numFmtId="0" fontId="101" fillId="11" borderId="42" xfId="55" applyFont="1" applyFill="1" applyBorder="1" applyAlignment="1">
      <alignment horizontal="center" vertical="center" wrapText="1"/>
      <protection/>
    </xf>
    <xf numFmtId="0" fontId="101" fillId="11" borderId="25" xfId="55" applyFont="1" applyFill="1" applyBorder="1" applyAlignment="1">
      <alignment horizontal="center" vertical="center" wrapText="1"/>
      <protection/>
    </xf>
    <xf numFmtId="0" fontId="101" fillId="0" borderId="25" xfId="55" applyFont="1" applyBorder="1" applyAlignment="1">
      <alignment horizontal="center" vertical="center" wrapText="1"/>
      <protection/>
    </xf>
    <xf numFmtId="0" fontId="101" fillId="0" borderId="42" xfId="55" applyFont="1" applyBorder="1" applyAlignment="1">
      <alignment horizontal="center" vertical="center" wrapText="1"/>
      <protection/>
    </xf>
    <xf numFmtId="0" fontId="101" fillId="0" borderId="32" xfId="55" applyFont="1" applyBorder="1" applyAlignment="1">
      <alignment horizontal="center" vertical="center" wrapText="1"/>
      <protection/>
    </xf>
    <xf numFmtId="0" fontId="101" fillId="11" borderId="32" xfId="55" applyFont="1" applyFill="1" applyBorder="1" applyAlignment="1">
      <alignment horizontal="center" vertical="center" wrapText="1"/>
      <protection/>
    </xf>
    <xf numFmtId="0" fontId="101" fillId="11" borderId="0" xfId="55" applyFont="1" applyFill="1" applyAlignment="1">
      <alignment horizontal="left"/>
      <protection/>
    </xf>
    <xf numFmtId="0" fontId="0" fillId="11" borderId="0" xfId="0" applyFill="1"/>
    <xf numFmtId="164" fontId="89" fillId="0" borderId="24" xfId="18" applyNumberFormat="1" applyFont="1" applyFill="1" applyBorder="1"/>
    <xf numFmtId="164" fontId="0" fillId="11" borderId="0" xfId="18" applyNumberFormat="1" applyFont="1" applyFill="1" applyBorder="1"/>
    <xf numFmtId="164" fontId="101" fillId="0" borderId="0" xfId="55" applyNumberFormat="1" applyFont="1" applyAlignment="1">
      <alignment horizontal="center"/>
      <protection/>
    </xf>
    <xf numFmtId="164" fontId="101" fillId="11" borderId="0" xfId="55" applyNumberFormat="1" applyFont="1" applyFill="1" applyAlignment="1">
      <alignment horizontal="left"/>
      <protection/>
    </xf>
    <xf numFmtId="164" fontId="101" fillId="11" borderId="0" xfId="55" applyNumberFormat="1" applyFont="1" applyFill="1" applyAlignment="1">
      <alignment horizontal="center"/>
      <protection/>
    </xf>
    <xf numFmtId="164" fontId="0" fillId="11" borderId="0" xfId="18" applyNumberFormat="1" applyFont="1" applyFill="1"/>
    <xf numFmtId="164" fontId="2" fillId="0" borderId="0" xfId="18" applyNumberFormat="1" applyFont="1" applyFill="1" applyBorder="1"/>
    <xf numFmtId="0" fontId="101" fillId="0" borderId="0" xfId="55" applyFont="1" applyAlignment="1">
      <alignment horizontal="left"/>
      <protection/>
    </xf>
    <xf numFmtId="164" fontId="2" fillId="0" borderId="0" xfId="18" applyNumberFormat="1" applyFont="1" applyFill="1"/>
    <xf numFmtId="0" fontId="101" fillId="0" borderId="0" xfId="55" applyFont="1">
      <alignment/>
      <protection/>
    </xf>
    <xf numFmtId="0" fontId="101" fillId="0" borderId="0" xfId="55" applyFont="1" applyAlignment="1">
      <alignment horizontal="center"/>
      <protection/>
    </xf>
    <xf numFmtId="0" fontId="0" fillId="0" borderId="0" xfId="46" applyFont="1" applyAlignment="1">
      <alignment horizontal="left" vertical="top"/>
      <protection/>
    </xf>
    <xf numFmtId="0" fontId="0" fillId="4" borderId="0" xfId="0" applyFont="1" applyFill="1" applyAlignment="1">
      <alignment wrapText="1"/>
    </xf>
    <xf numFmtId="0" fontId="0" fillId="12" borderId="0" xfId="0" applyFont="1" applyFill="1"/>
    <xf numFmtId="0" fontId="3" fillId="0" borderId="0" xfId="48" applyFont="1" applyAlignment="1">
      <alignment horizontal="left"/>
      <protection/>
    </xf>
    <xf numFmtId="0" fontId="0" fillId="0" borderId="0" xfId="48" applyAlignment="1">
      <alignment horizontal="left"/>
      <protection/>
    </xf>
    <xf numFmtId="0" fontId="0" fillId="5" borderId="12" xfId="48" applyFill="1" applyBorder="1" applyAlignment="1">
      <alignment horizontal="center" wrapText="1"/>
      <protection/>
    </xf>
    <xf numFmtId="0" fontId="0" fillId="5" borderId="6" xfId="48" applyFill="1" applyBorder="1">
      <alignment/>
      <protection/>
    </xf>
    <xf numFmtId="0" fontId="0" fillId="5" borderId="5" xfId="48" applyFill="1" applyBorder="1">
      <alignment/>
      <protection/>
    </xf>
    <xf numFmtId="0" fontId="0" fillId="5" borderId="5" xfId="48" applyFill="1" applyBorder="1" applyAlignment="1">
      <alignment horizontal="center" vertical="top"/>
      <protection/>
    </xf>
    <xf numFmtId="0" fontId="0" fillId="0" borderId="10" xfId="48" applyBorder="1">
      <alignment/>
      <protection/>
    </xf>
    <xf numFmtId="0" fontId="0" fillId="5" borderId="0" xfId="48" applyFill="1" applyAlignment="1">
      <alignment horizontal="center" wrapText="1"/>
      <protection/>
    </xf>
    <xf numFmtId="0" fontId="0" fillId="5" borderId="10" xfId="48" applyFill="1" applyBorder="1" applyAlignment="1">
      <alignment horizontal="center"/>
      <protection/>
    </xf>
    <xf numFmtId="0" fontId="0" fillId="0" borderId="0" xfId="48" applyAlignment="1">
      <alignment horizontal="center"/>
      <protection/>
    </xf>
    <xf numFmtId="0" fontId="3" fillId="0" borderId="0" xfId="48" applyFont="1" applyAlignment="1">
      <alignment horizontal="center" wrapText="1"/>
      <protection/>
    </xf>
    <xf numFmtId="0" fontId="3" fillId="0" borderId="10" xfId="48" applyFont="1" applyBorder="1" applyAlignment="1">
      <alignment horizontal="center" wrapText="1"/>
      <protection/>
    </xf>
    <xf numFmtId="0" fontId="0" fillId="0" borderId="5" xfId="0" applyFont="1" applyBorder="1" applyAlignment="1">
      <alignment horizontal="center" wrapText="1"/>
    </xf>
    <xf numFmtId="0" fontId="3" fillId="0" borderId="5" xfId="48" applyFont="1" applyBorder="1">
      <alignment/>
      <protection/>
    </xf>
    <xf numFmtId="0" fontId="3" fillId="0" borderId="10" xfId="48" applyFont="1" applyBorder="1">
      <alignment/>
      <protection/>
    </xf>
    <xf numFmtId="0" fontId="3" fillId="0" borderId="0" xfId="48" applyFont="1">
      <alignment/>
      <protection/>
    </xf>
    <xf numFmtId="0" fontId="0" fillId="0" borderId="10" xfId="48" applyBorder="1" applyAlignment="1">
      <alignment horizontal="center"/>
      <protection/>
    </xf>
    <xf numFmtId="0" fontId="47" fillId="0" borderId="0" xfId="48" applyFont="1" applyAlignment="1">
      <alignment horizontal="left"/>
      <protection/>
    </xf>
    <xf numFmtId="0" fontId="3" fillId="0" borderId="0" xfId="48" applyFont="1" applyAlignment="1">
      <alignment horizontal="center"/>
      <protection/>
    </xf>
    <xf numFmtId="0" fontId="3" fillId="0" borderId="10" xfId="48" applyFont="1" applyBorder="1" applyAlignment="1">
      <alignment horizontal="center"/>
      <protection/>
    </xf>
    <xf numFmtId="0" fontId="3" fillId="0" borderId="27" xfId="48" applyFont="1" applyBorder="1" applyAlignment="1">
      <alignment horizontal="center" wrapText="1"/>
      <protection/>
    </xf>
    <xf numFmtId="0" fontId="3" fillId="0" borderId="24" xfId="48" applyFont="1" applyBorder="1">
      <alignment/>
      <protection/>
    </xf>
    <xf numFmtId="0" fontId="3" fillId="0" borderId="27" xfId="48" applyFont="1" applyBorder="1" applyAlignment="1">
      <alignment horizontal="center"/>
      <protection/>
    </xf>
    <xf numFmtId="0" fontId="4" fillId="0" borderId="43" xfId="48" applyFont="1" applyBorder="1" applyAlignment="1">
      <alignment horizontal="center"/>
      <protection/>
    </xf>
    <xf numFmtId="164" fontId="0" fillId="0" borderId="10" xfId="18" applyNumberFormat="1" applyFont="1" applyBorder="1" applyAlignment="1">
      <alignment/>
    </xf>
    <xf numFmtId="41" fontId="0" fillId="4" borderId="0" xfId="18" applyNumberFormat="1" applyFont="1" applyFill="1" applyBorder="1" applyAlignment="1">
      <alignment/>
    </xf>
    <xf numFmtId="164" fontId="0" fillId="0" borderId="10" xfId="18" applyNumberFormat="1" applyFont="1" applyFill="1" applyBorder="1" applyAlignment="1">
      <alignment/>
    </xf>
    <xf numFmtId="164" fontId="0" fillId="4" borderId="2" xfId="48" applyNumberFormat="1" applyFill="1" applyBorder="1">
      <alignment/>
      <protection/>
    </xf>
    <xf numFmtId="164" fontId="0" fillId="4" borderId="2" xfId="18" applyNumberFormat="1" applyFont="1" applyFill="1" applyBorder="1"/>
    <xf numFmtId="43" fontId="0" fillId="13" borderId="0" xfId="18" applyFont="1" applyFill="1"/>
    <xf numFmtId="164" fontId="0" fillId="0" borderId="14" xfId="54" applyNumberFormat="1" applyFont="1" applyBorder="1" applyAlignment="1">
      <alignment/>
    </xf>
    <xf numFmtId="0" fontId="91" fillId="0" borderId="0" xfId="48" applyFont="1">
      <alignment/>
      <protection/>
    </xf>
    <xf numFmtId="164" fontId="0" fillId="4" borderId="0" xfId="48" applyNumberFormat="1" applyFill="1">
      <alignment/>
      <protection/>
    </xf>
    <xf numFmtId="164" fontId="0" fillId="4" borderId="4" xfId="48" applyNumberFormat="1" applyFill="1" applyBorder="1">
      <alignment/>
      <protection/>
    </xf>
    <xf numFmtId="164" fontId="0" fillId="4" borderId="4" xfId="18" applyNumberFormat="1" applyFont="1" applyFill="1" applyBorder="1"/>
    <xf numFmtId="164" fontId="0" fillId="4" borderId="15" xfId="18" applyNumberFormat="1" applyFont="1" applyFill="1" applyBorder="1"/>
    <xf numFmtId="164" fontId="65" fillId="0" borderId="0" xfId="48" applyNumberFormat="1" applyFont="1">
      <alignment/>
      <protection/>
    </xf>
    <xf numFmtId="43" fontId="0" fillId="0" borderId="10" xfId="18" applyFont="1" applyBorder="1" applyAlignment="1">
      <alignment/>
    </xf>
    <xf numFmtId="43" fontId="0" fillId="0" borderId="0" xfId="18" applyFont="1" applyBorder="1" applyAlignment="1">
      <alignment/>
    </xf>
    <xf numFmtId="43" fontId="0" fillId="0" borderId="0" xfId="18" applyFont="1" applyFill="1" applyBorder="1" applyAlignment="1">
      <alignment wrapText="1"/>
    </xf>
    <xf numFmtId="43" fontId="0" fillId="0" borderId="0" xfId="18" applyFont="1" applyBorder="1"/>
    <xf numFmtId="43" fontId="0" fillId="0" borderId="0" xfId="48" applyNumberFormat="1">
      <alignment/>
      <protection/>
    </xf>
    <xf numFmtId="0" fontId="0" fillId="0" borderId="9" xfId="48" applyBorder="1">
      <alignment/>
      <protection/>
    </xf>
    <xf numFmtId="43" fontId="0" fillId="0" borderId="10" xfId="18" applyFont="1" applyBorder="1"/>
    <xf numFmtId="43" fontId="0" fillId="0" borderId="0" xfId="18" applyFont="1"/>
    <xf numFmtId="164" fontId="0" fillId="0" borderId="0" xfId="18" applyNumberFormat="1" applyFont="1" applyFill="1" applyBorder="1" applyAlignment="1">
      <alignment wrapText="1"/>
    </xf>
    <xf numFmtId="164" fontId="0" fillId="0" borderId="0" xfId="18" applyNumberFormat="1" applyFont="1" applyBorder="1"/>
    <xf numFmtId="164" fontId="0" fillId="0" borderId="0" xfId="48" applyNumberFormat="1">
      <alignment/>
      <protection/>
    </xf>
    <xf numFmtId="164" fontId="0" fillId="0" borderId="3" xfId="18" applyNumberFormat="1" applyFont="1" applyFill="1" applyBorder="1" applyAlignment="1">
      <alignment/>
    </xf>
    <xf numFmtId="164" fontId="0" fillId="0" borderId="20" xfId="18" applyNumberFormat="1" applyFont="1" applyFill="1" applyBorder="1" applyAlignment="1">
      <alignment/>
    </xf>
    <xf numFmtId="164" fontId="0" fillId="4" borderId="4" xfId="18" applyNumberFormat="1" applyFont="1" applyFill="1" applyBorder="1" applyAlignment="1">
      <alignment/>
    </xf>
    <xf numFmtId="164" fontId="0" fillId="0" borderId="7" xfId="18" applyNumberFormat="1" applyFont="1" applyFill="1" applyBorder="1" applyAlignment="1">
      <alignment/>
    </xf>
    <xf numFmtId="164" fontId="0" fillId="0" borderId="1" xfId="18" applyNumberFormat="1" applyFont="1" applyBorder="1" applyAlignment="1">
      <alignment/>
    </xf>
    <xf numFmtId="164" fontId="0" fillId="0" borderId="1" xfId="18" applyNumberFormat="1" applyFont="1" applyFill="1" applyBorder="1" applyAlignment="1">
      <alignment/>
    </xf>
    <xf numFmtId="164" fontId="0" fillId="0" borderId="7" xfId="18" applyNumberFormat="1" applyFont="1" applyBorder="1" applyAlignment="1">
      <alignment/>
    </xf>
    <xf numFmtId="164" fontId="0" fillId="0" borderId="1" xfId="18" applyNumberFormat="1" applyFont="1" applyFill="1" applyBorder="1" applyAlignment="1">
      <alignment wrapText="1"/>
    </xf>
    <xf numFmtId="164" fontId="0" fillId="0" borderId="1" xfId="18" applyNumberFormat="1" applyFont="1" applyBorder="1"/>
    <xf numFmtId="0" fontId="0" fillId="0" borderId="1" xfId="48" applyBorder="1">
      <alignment/>
      <protection/>
    </xf>
    <xf numFmtId="43" fontId="44" fillId="0" borderId="0" xfId="54" applyFont="1" applyFill="1" applyBorder="1" applyAlignment="1">
      <alignment horizontal="center" wrapText="1"/>
    </xf>
    <xf numFmtId="43" fontId="44" fillId="0" borderId="0" xfId="54" applyFont="1" applyFill="1" applyBorder="1" applyAlignment="1">
      <alignment wrapText="1"/>
    </xf>
    <xf numFmtId="43" fontId="3" fillId="0" borderId="0" xfId="54" applyFont="1" applyBorder="1" applyAlignment="1">
      <alignment wrapText="1"/>
    </xf>
    <xf numFmtId="43" fontId="4" fillId="0" borderId="9" xfId="54" applyFont="1" applyBorder="1" applyAlignment="1">
      <alignment/>
    </xf>
    <xf numFmtId="164" fontId="0" fillId="5" borderId="12" xfId="18" applyNumberFormat="1" applyFont="1" applyFill="1" applyBorder="1" applyAlignment="1">
      <alignment wrapText="1"/>
    </xf>
    <xf numFmtId="164" fontId="0" fillId="5" borderId="6" xfId="18" applyNumberFormat="1" applyFont="1" applyFill="1" applyBorder="1" applyAlignment="1">
      <alignment/>
    </xf>
    <xf numFmtId="164" fontId="0" fillId="5" borderId="5" xfId="18" applyNumberFormat="1" applyFont="1" applyFill="1" applyBorder="1" applyAlignment="1">
      <alignment/>
    </xf>
    <xf numFmtId="164" fontId="0" fillId="5" borderId="5" xfId="18" applyNumberFormat="1" applyFont="1" applyFill="1" applyBorder="1" applyAlignment="1">
      <alignment horizontal="center"/>
    </xf>
    <xf numFmtId="164" fontId="0" fillId="12" borderId="0" xfId="18" applyNumberFormat="1" applyFont="1" applyFill="1" applyBorder="1" applyAlignment="1">
      <alignment horizontal="center" wrapText="1"/>
    </xf>
    <xf numFmtId="164" fontId="0" fillId="12" borderId="9" xfId="18" applyNumberFormat="1" applyFont="1" applyFill="1" applyBorder="1" applyAlignment="1">
      <alignment horizontal="center" wrapText="1"/>
    </xf>
    <xf numFmtId="164" fontId="0" fillId="0" borderId="11" xfId="18" applyNumberFormat="1" applyFont="1" applyBorder="1" applyAlignment="1">
      <alignment/>
    </xf>
    <xf numFmtId="164" fontId="0" fillId="0" borderId="12" xfId="18" applyNumberFormat="1" applyFont="1" applyBorder="1" applyAlignment="1">
      <alignment/>
    </xf>
    <xf numFmtId="43" fontId="44" fillId="0" borderId="6" xfId="54" applyFont="1" applyFill="1" applyBorder="1" applyAlignment="1">
      <alignment horizontal="center" wrapText="1"/>
    </xf>
    <xf numFmtId="43" fontId="44" fillId="0" borderId="5" xfId="54" applyFont="1" applyFill="1" applyBorder="1" applyAlignment="1">
      <alignment horizontal="center" wrapText="1"/>
    </xf>
    <xf numFmtId="43" fontId="3" fillId="0" borderId="5" xfId="54" applyFont="1" applyBorder="1" applyAlignment="1">
      <alignment horizontal="center" wrapText="1"/>
    </xf>
    <xf numFmtId="0" fontId="3" fillId="0" borderId="5" xfId="48" applyFont="1" applyBorder="1" applyAlignment="1">
      <alignment horizontal="center" wrapText="1"/>
      <protection/>
    </xf>
    <xf numFmtId="0" fontId="3" fillId="0" borderId="5" xfId="48" applyFont="1" applyBorder="1" applyAlignment="1">
      <alignment horizontal="center"/>
      <protection/>
    </xf>
    <xf numFmtId="0" fontId="3" fillId="0" borderId="11" xfId="48" applyFont="1" applyBorder="1" applyAlignment="1">
      <alignment horizontal="center" wrapText="1"/>
      <protection/>
    </xf>
    <xf numFmtId="43" fontId="4" fillId="0" borderId="22" xfId="54" applyFont="1" applyBorder="1" applyAlignment="1">
      <alignment horizontal="center"/>
    </xf>
    <xf numFmtId="164" fontId="43" fillId="4" borderId="0" xfId="54" applyNumberFormat="1" applyFont="1" applyFill="1" applyBorder="1" applyAlignment="1">
      <alignment wrapText="1"/>
    </xf>
    <xf numFmtId="164" fontId="0" fillId="4" borderId="0" xfId="54" applyNumberFormat="1" applyFont="1" applyFill="1" applyBorder="1"/>
    <xf numFmtId="164" fontId="0" fillId="4" borderId="11" xfId="54" applyNumberFormat="1" applyFont="1" applyFill="1" applyBorder="1"/>
    <xf numFmtId="164" fontId="0" fillId="4" borderId="44" xfId="54" applyNumberFormat="1" applyFont="1" applyFill="1" applyBorder="1"/>
    <xf numFmtId="0" fontId="0" fillId="13" borderId="13" xfId="48" applyFill="1" applyBorder="1">
      <alignment/>
      <protection/>
    </xf>
    <xf numFmtId="164" fontId="0" fillId="0" borderId="9" xfId="48" applyNumberFormat="1" applyBorder="1">
      <alignment/>
      <protection/>
    </xf>
    <xf numFmtId="164" fontId="43" fillId="4" borderId="10" xfId="54" applyNumberFormat="1" applyFont="1" applyFill="1" applyBorder="1" applyAlignment="1">
      <alignment wrapText="1"/>
    </xf>
    <xf numFmtId="0" fontId="0" fillId="13" borderId="9" xfId="48" applyFill="1" applyBorder="1">
      <alignment/>
      <protection/>
    </xf>
    <xf numFmtId="164" fontId="0" fillId="0" borderId="23" xfId="18" applyNumberFormat="1" applyFont="1" applyFill="1" applyBorder="1" applyAlignment="1">
      <alignment/>
    </xf>
    <xf numFmtId="164" fontId="43" fillId="4" borderId="23" xfId="54" applyNumberFormat="1" applyFont="1" applyFill="1" applyBorder="1" applyAlignment="1">
      <alignment wrapText="1"/>
    </xf>
    <xf numFmtId="164" fontId="43" fillId="4" borderId="4" xfId="54" applyNumberFormat="1" applyFont="1" applyFill="1" applyBorder="1" applyAlignment="1">
      <alignment wrapText="1"/>
    </xf>
    <xf numFmtId="0" fontId="0" fillId="13" borderId="8" xfId="48" applyFill="1" applyBorder="1">
      <alignment/>
      <protection/>
    </xf>
    <xf numFmtId="41" fontId="0" fillId="0" borderId="10" xfId="18" applyNumberFormat="1" applyFont="1" applyBorder="1" applyAlignment="1">
      <alignment horizontal="center"/>
    </xf>
    <xf numFmtId="41" fontId="0" fillId="0" borderId="0" xfId="18" applyNumberFormat="1" applyFont="1" applyFill="1" applyBorder="1" applyAlignment="1">
      <alignment horizontal="center" wrapText="1"/>
    </xf>
    <xf numFmtId="187" fontId="0" fillId="0" borderId="0" xfId="18" applyNumberFormat="1" applyFont="1" applyFill="1" applyBorder="1" applyAlignment="1">
      <alignment horizontal="center" wrapText="1"/>
    </xf>
    <xf numFmtId="41" fontId="0" fillId="0" borderId="0" xfId="18" applyNumberFormat="1" applyFont="1" applyFill="1" applyBorder="1" applyAlignment="1">
      <alignment wrapText="1"/>
    </xf>
    <xf numFmtId="41" fontId="0" fillId="0" borderId="0" xfId="18" applyNumberFormat="1" applyFont="1" applyBorder="1" applyAlignment="1">
      <alignment horizontal="center"/>
    </xf>
    <xf numFmtId="41" fontId="0" fillId="0" borderId="0" xfId="48" applyNumberFormat="1" applyAlignment="1">
      <alignment horizontal="center"/>
      <protection/>
    </xf>
    <xf numFmtId="41" fontId="0" fillId="0" borderId="0" xfId="18" applyNumberFormat="1" applyFont="1" applyBorder="1" applyAlignment="1">
      <alignment/>
    </xf>
    <xf numFmtId="187" fontId="0" fillId="0" borderId="0" xfId="48" applyNumberFormat="1">
      <alignment/>
      <protection/>
    </xf>
    <xf numFmtId="41" fontId="0" fillId="0" borderId="0" xfId="48" applyNumberFormat="1">
      <alignment/>
      <protection/>
    </xf>
    <xf numFmtId="164" fontId="0" fillId="4" borderId="9" xfId="18" applyNumberFormat="1" applyFont="1" applyFill="1" applyBorder="1" applyAlignment="1">
      <alignment/>
    </xf>
    <xf numFmtId="164" fontId="0" fillId="0" borderId="10" xfId="18" applyNumberFormat="1" applyFont="1" applyFill="1" applyBorder="1" applyAlignment="1">
      <alignment horizontal="center"/>
    </xf>
    <xf numFmtId="164" fontId="0" fillId="0" borderId="10" xfId="18" applyNumberFormat="1" applyFont="1" applyFill="1" applyBorder="1" applyAlignment="1">
      <alignment horizontal="left"/>
    </xf>
    <xf numFmtId="164" fontId="0" fillId="0" borderId="0" xfId="18" applyNumberFormat="1" applyFont="1" applyFill="1" applyBorder="1" applyAlignment="1">
      <alignment horizontal="center" wrapText="1"/>
    </xf>
    <xf numFmtId="164" fontId="0" fillId="0" borderId="10" xfId="18" applyNumberFormat="1" applyFont="1" applyFill="1" applyBorder="1"/>
    <xf numFmtId="164" fontId="0" fillId="0" borderId="10" xfId="18" applyNumberFormat="1" applyFont="1" applyFill="1" applyBorder="1" applyAlignment="1">
      <alignment horizontal="right"/>
    </xf>
    <xf numFmtId="164" fontId="0" fillId="0" borderId="10" xfId="18" applyNumberFormat="1" applyFont="1" applyBorder="1" applyAlignment="1">
      <alignment horizontal="center"/>
    </xf>
    <xf numFmtId="164" fontId="0" fillId="0" borderId="0" xfId="18" applyNumberFormat="1" applyFont="1" applyBorder="1" applyAlignment="1">
      <alignment horizontal="center"/>
    </xf>
    <xf numFmtId="164" fontId="0" fillId="0" borderId="23" xfId="18" applyNumberFormat="1" applyFont="1" applyFill="1" applyBorder="1" applyAlignment="1">
      <alignment horizontal="left"/>
    </xf>
    <xf numFmtId="164" fontId="0" fillId="0" borderId="23" xfId="18" applyNumberFormat="1" applyFont="1" applyFill="1" applyBorder="1" applyAlignment="1">
      <alignment horizontal="right"/>
    </xf>
    <xf numFmtId="164" fontId="0" fillId="0" borderId="0" xfId="18" applyNumberFormat="1" applyFont="1" applyFill="1" applyBorder="1" applyAlignment="1">
      <alignment horizontal="center"/>
    </xf>
    <xf numFmtId="164" fontId="0" fillId="0" borderId="0" xfId="18" applyNumberFormat="1" applyFont="1" applyFill="1" applyBorder="1" applyAlignment="1">
      <alignment horizontal="right"/>
    </xf>
    <xf numFmtId="164" fontId="0" fillId="0" borderId="0" xfId="18" applyNumberFormat="1" applyFont="1" applyFill="1" applyBorder="1" applyAlignment="1">
      <alignment horizontal="left"/>
    </xf>
    <xf numFmtId="164" fontId="0" fillId="0" borderId="7" xfId="18" applyNumberFormat="1" applyFont="1" applyFill="1" applyBorder="1" applyAlignment="1">
      <alignment horizontal="center"/>
    </xf>
    <xf numFmtId="164" fontId="0" fillId="0" borderId="1" xfId="18" applyNumberFormat="1" applyFont="1" applyBorder="1" applyAlignment="1">
      <alignment horizontal="center"/>
    </xf>
    <xf numFmtId="164" fontId="0" fillId="0" borderId="7" xfId="18" applyNumberFormat="1" applyFont="1" applyFill="1" applyBorder="1" applyAlignment="1">
      <alignment horizontal="left"/>
    </xf>
    <xf numFmtId="164" fontId="0" fillId="0" borderId="1" xfId="18" applyNumberFormat="1" applyFont="1" applyFill="1" applyBorder="1" applyAlignment="1">
      <alignment horizontal="center"/>
    </xf>
    <xf numFmtId="164" fontId="0" fillId="0" borderId="7" xfId="18" applyNumberFormat="1" applyFont="1" applyBorder="1" applyAlignment="1">
      <alignment horizontal="center"/>
    </xf>
    <xf numFmtId="164" fontId="0" fillId="0" borderId="1" xfId="18" applyNumberFormat="1" applyFont="1" applyFill="1" applyBorder="1" applyAlignment="1">
      <alignment horizontal="center" wrapText="1"/>
    </xf>
    <xf numFmtId="0" fontId="0" fillId="0" borderId="8" xfId="48" applyBorder="1">
      <alignment/>
      <protection/>
    </xf>
    <xf numFmtId="164" fontId="0" fillId="0" borderId="0" xfId="18" applyNumberFormat="1" applyFont="1"/>
    <xf numFmtId="0" fontId="10" fillId="5" borderId="0" xfId="48" applyFont="1" applyFill="1" applyAlignment="1">
      <alignment horizontal="center" wrapText="1"/>
      <protection/>
    </xf>
    <xf numFmtId="0" fontId="10" fillId="5" borderId="12" xfId="48" applyFont="1" applyFill="1" applyBorder="1" applyAlignment="1">
      <alignment horizontal="center" wrapText="1"/>
      <protection/>
    </xf>
    <xf numFmtId="0" fontId="10" fillId="5" borderId="11" xfId="48" applyFont="1" applyFill="1" applyBorder="1" applyAlignment="1">
      <alignment horizontal="center" wrapText="1"/>
      <protection/>
    </xf>
    <xf numFmtId="0" fontId="0" fillId="0" borderId="9" xfId="48" applyBorder="1" applyAlignment="1">
      <alignment horizontal="left" wrapText="1"/>
      <protection/>
    </xf>
    <xf numFmtId="3" fontId="0" fillId="4" borderId="0" xfId="18" applyNumberFormat="1" applyFont="1" applyFill="1" applyBorder="1"/>
    <xf numFmtId="3" fontId="0" fillId="0" borderId="0" xfId="18" applyNumberFormat="1" applyFont="1" applyFill="1" applyBorder="1"/>
    <xf numFmtId="3" fontId="0" fillId="0" borderId="0" xfId="0" applyNumberFormat="1" applyFont="1" applyAlignment="1">
      <alignment horizontal="right"/>
    </xf>
    <xf numFmtId="9" fontId="0" fillId="0" borderId="0" xfId="15" applyFont="1" applyBorder="1" applyAlignment="1">
      <alignment horizontal="center"/>
    </xf>
    <xf numFmtId="164" fontId="0" fillId="4" borderId="23" xfId="18" applyNumberFormat="1" applyFont="1" applyFill="1" applyBorder="1"/>
    <xf numFmtId="3" fontId="0" fillId="4" borderId="4" xfId="18" applyNumberFormat="1" applyFont="1" applyFill="1" applyBorder="1"/>
    <xf numFmtId="3" fontId="0" fillId="0" borderId="4" xfId="0" applyNumberFormat="1" applyFont="1" applyBorder="1" applyAlignment="1">
      <alignment horizontal="right"/>
    </xf>
    <xf numFmtId="164" fontId="3" fillId="0" borderId="10" xfId="15" applyNumberFormat="1" applyFont="1" applyFill="1" applyBorder="1" applyAlignment="1">
      <alignment horizontal="center"/>
    </xf>
    <xf numFmtId="3" fontId="3" fillId="0" borderId="0" xfId="18" applyNumberFormat="1" applyFont="1" applyFill="1" applyBorder="1" applyAlignment="1">
      <alignment horizontal="right" wrapText="1"/>
    </xf>
    <xf numFmtId="3" fontId="3" fillId="0" borderId="0" xfId="18" applyNumberFormat="1" applyFont="1" applyFill="1" applyBorder="1" applyAlignment="1">
      <alignment horizontal="center" wrapText="1"/>
    </xf>
    <xf numFmtId="3" fontId="0" fillId="0" borderId="0" xfId="0" applyNumberFormat="1" applyFont="1" applyAlignment="1">
      <alignment horizontal="right" wrapText="1"/>
    </xf>
    <xf numFmtId="0" fontId="0" fillId="0" borderId="0" xfId="0" applyFont="1" applyAlignment="1">
      <alignment horizontal="center" wrapText="1"/>
    </xf>
    <xf numFmtId="3" fontId="0" fillId="0" borderId="0" xfId="18" applyNumberFormat="1" applyFont="1" applyFill="1" applyBorder="1" applyAlignment="1">
      <alignment horizontal="right"/>
    </xf>
    <xf numFmtId="164" fontId="6" fillId="4" borderId="10" xfId="54" applyNumberFormat="1" applyFont="1" applyFill="1" applyBorder="1" applyAlignment="1">
      <alignment horizontal="center"/>
    </xf>
    <xf numFmtId="164" fontId="6" fillId="4" borderId="23" xfId="54" applyNumberFormat="1" applyFont="1" applyFill="1" applyBorder="1" applyAlignment="1">
      <alignment horizontal="center"/>
    </xf>
    <xf numFmtId="164" fontId="30" fillId="4" borderId="0" xfId="54" applyNumberFormat="1" applyFont="1" applyFill="1" applyBorder="1" applyAlignment="1">
      <alignment horizontal="center" wrapText="1"/>
    </xf>
    <xf numFmtId="164" fontId="30" fillId="4" borderId="4" xfId="54" applyNumberFormat="1" applyFont="1" applyFill="1" applyBorder="1" applyAlignment="1">
      <alignment horizontal="center" wrapText="1"/>
    </xf>
    <xf numFmtId="0" fontId="3" fillId="0" borderId="1" xfId="48" applyFont="1" applyBorder="1" applyAlignment="1">
      <alignment horizontal="center"/>
      <protection/>
    </xf>
    <xf numFmtId="0" fontId="3" fillId="0" borderId="6" xfId="48" applyFont="1" applyBorder="1">
      <alignment/>
      <protection/>
    </xf>
    <xf numFmtId="0" fontId="3" fillId="0" borderId="7" xfId="48" applyFont="1" applyBorder="1" applyAlignment="1">
      <alignment horizontal="center"/>
      <protection/>
    </xf>
    <xf numFmtId="0" fontId="3" fillId="0" borderId="28" xfId="48" applyFont="1" applyBorder="1">
      <alignment/>
      <protection/>
    </xf>
    <xf numFmtId="0" fontId="3" fillId="0" borderId="1" xfId="48" applyFont="1" applyBorder="1" applyAlignment="1">
      <alignment horizontal="center" wrapText="1"/>
      <protection/>
    </xf>
    <xf numFmtId="0" fontId="3" fillId="0" borderId="28" xfId="48" applyFont="1" applyBorder="1" applyAlignment="1">
      <alignment horizontal="center" wrapText="1"/>
      <protection/>
    </xf>
    <xf numFmtId="0" fontId="3" fillId="0" borderId="22" xfId="48" applyFont="1" applyBorder="1" applyAlignment="1">
      <alignment horizontal="center" wrapText="1"/>
      <protection/>
    </xf>
    <xf numFmtId="187" fontId="0" fillId="4" borderId="0" xfId="0" applyNumberFormat="1" applyFont="1" applyFill="1"/>
    <xf numFmtId="187" fontId="0" fillId="4" borderId="0" xfId="48" applyNumberFormat="1" applyFill="1">
      <alignment/>
      <protection/>
    </xf>
    <xf numFmtId="187" fontId="0" fillId="4" borderId="11" xfId="48" applyNumberFormat="1" applyFill="1" applyBorder="1">
      <alignment/>
      <protection/>
    </xf>
    <xf numFmtId="187" fontId="0" fillId="4" borderId="13" xfId="48" applyNumberFormat="1" applyFill="1" applyBorder="1">
      <alignment/>
      <protection/>
    </xf>
    <xf numFmtId="41" fontId="0" fillId="4" borderId="14" xfId="18" applyNumberFormat="1" applyFont="1" applyFill="1" applyBorder="1"/>
    <xf numFmtId="41" fontId="0" fillId="0" borderId="0" xfId="18" applyNumberFormat="1" applyFont="1" applyFill="1" applyBorder="1"/>
    <xf numFmtId="0" fontId="0" fillId="13" borderId="0" xfId="0" applyFill="1"/>
    <xf numFmtId="8" fontId="30" fillId="4" borderId="0" xfId="18" applyNumberFormat="1" applyFont="1" applyFill="1" applyBorder="1" applyAlignment="1">
      <alignment wrapText="1"/>
    </xf>
    <xf numFmtId="41" fontId="0" fillId="0" borderId="10" xfId="18" applyNumberFormat="1" applyFont="1" applyFill="1" applyBorder="1" applyAlignment="1">
      <alignment/>
    </xf>
    <xf numFmtId="41" fontId="0" fillId="0" borderId="0" xfId="18" applyNumberFormat="1" applyFont="1" applyFill="1" applyBorder="1" applyAlignment="1">
      <alignment/>
    </xf>
    <xf numFmtId="187" fontId="0" fillId="0" borderId="0" xfId="18" applyNumberFormat="1" applyFont="1" applyFill="1" applyBorder="1" applyAlignment="1">
      <alignment/>
    </xf>
    <xf numFmtId="41" fontId="0" fillId="0" borderId="14" xfId="18" applyNumberFormat="1" applyFont="1" applyFill="1" applyBorder="1" applyAlignment="1">
      <alignment/>
    </xf>
    <xf numFmtId="41" fontId="0" fillId="0" borderId="1" xfId="18" applyNumberFormat="1" applyFont="1" applyBorder="1"/>
    <xf numFmtId="41" fontId="0" fillId="0" borderId="8" xfId="18" applyNumberFormat="1" applyFont="1" applyBorder="1"/>
    <xf numFmtId="10" fontId="0" fillId="0" borderId="0" xfId="15" applyNumberFormat="1" applyFont="1" applyFill="1" applyBorder="1"/>
    <xf numFmtId="41" fontId="30" fillId="4" borderId="43" xfId="18" applyNumberFormat="1" applyFont="1" applyFill="1" applyBorder="1" applyAlignment="1">
      <alignment wrapText="1"/>
    </xf>
    <xf numFmtId="41" fontId="0" fillId="0" borderId="16" xfId="18" applyNumberFormat="1" applyFont="1" applyFill="1" applyBorder="1"/>
    <xf numFmtId="43" fontId="0" fillId="0" borderId="14" xfId="18" applyFont="1" applyFill="1" applyBorder="1"/>
    <xf numFmtId="164" fontId="0" fillId="4" borderId="45" xfId="18" applyNumberFormat="1" applyFont="1" applyFill="1" applyBorder="1"/>
    <xf numFmtId="164" fontId="0" fillId="0" borderId="14" xfId="18" applyNumberFormat="1" applyFont="1" applyFill="1" applyBorder="1"/>
    <xf numFmtId="43" fontId="0" fillId="0" borderId="16" xfId="18" applyFont="1" applyBorder="1"/>
    <xf numFmtId="3" fontId="6" fillId="0" borderId="0" xfId="33" applyNumberFormat="1" applyFont="1">
      <alignment/>
      <protection/>
    </xf>
    <xf numFmtId="184" fontId="0" fillId="4" borderId="0" xfId="0" applyNumberFormat="1" applyFont="1" applyFill="1"/>
    <xf numFmtId="3" fontId="0" fillId="4" borderId="0" xfId="0" applyNumberFormat="1" applyFont="1" applyFill="1"/>
    <xf numFmtId="164" fontId="6" fillId="0" borderId="0" xfId="18" applyNumberFormat="1" applyFont="1" applyBorder="1"/>
    <xf numFmtId="0" fontId="6" fillId="0" borderId="0" xfId="48" applyFont="1">
      <alignment/>
      <protection/>
    </xf>
    <xf numFmtId="0" fontId="4" fillId="0" borderId="0" xfId="48" applyFont="1">
      <alignment/>
      <protection/>
    </xf>
    <xf numFmtId="0" fontId="4" fillId="0" borderId="0" xfId="48" applyFont="1" applyAlignment="1">
      <alignment horizontal="left"/>
      <protection/>
    </xf>
    <xf numFmtId="0" fontId="6" fillId="0" borderId="46" xfId="48" applyFont="1" applyBorder="1">
      <alignment/>
      <protection/>
    </xf>
    <xf numFmtId="0" fontId="4" fillId="0" borderId="2" xfId="48" applyFont="1" applyBorder="1" applyAlignment="1">
      <alignment horizontal="left"/>
      <protection/>
    </xf>
    <xf numFmtId="0" fontId="4" fillId="0" borderId="47" xfId="48" applyFont="1" applyBorder="1" applyAlignment="1">
      <alignment horizontal="left"/>
      <protection/>
    </xf>
    <xf numFmtId="0" fontId="6" fillId="0" borderId="48" xfId="48" applyFont="1" applyBorder="1">
      <alignment/>
      <protection/>
    </xf>
    <xf numFmtId="0" fontId="8" fillId="0" borderId="0" xfId="48" applyFont="1" applyAlignment="1">
      <alignment horizontal="left"/>
      <protection/>
    </xf>
    <xf numFmtId="0" fontId="4" fillId="0" borderId="49" xfId="48" applyFont="1" applyBorder="1" applyAlignment="1">
      <alignment horizontal="left"/>
      <protection/>
    </xf>
    <xf numFmtId="0" fontId="4" fillId="0" borderId="6" xfId="48" applyFont="1" applyBorder="1">
      <alignment/>
      <protection/>
    </xf>
    <xf numFmtId="14" fontId="4" fillId="11" borderId="28" xfId="48" applyNumberFormat="1" applyFont="1" applyFill="1" applyBorder="1">
      <alignment/>
      <protection/>
    </xf>
    <xf numFmtId="0" fontId="6" fillId="0" borderId="0" xfId="48" applyFont="1" applyAlignment="1">
      <alignment horizontal="left"/>
      <protection/>
    </xf>
    <xf numFmtId="0" fontId="4" fillId="0" borderId="48" xfId="48" applyFont="1" applyBorder="1" applyAlignment="1">
      <alignment horizontal="center"/>
      <protection/>
    </xf>
    <xf numFmtId="0" fontId="4" fillId="0" borderId="0" xfId="48" applyFont="1" applyAlignment="1">
      <alignment horizontal="center"/>
      <protection/>
    </xf>
    <xf numFmtId="0" fontId="4" fillId="0" borderId="0" xfId="48" applyFont="1" applyAlignment="1" quotePrefix="1">
      <alignment horizontal="center"/>
      <protection/>
    </xf>
    <xf numFmtId="0" fontId="4" fillId="0" borderId="49" xfId="48" applyFont="1" applyBorder="1" applyAlignment="1">
      <alignment horizontal="center"/>
      <protection/>
    </xf>
    <xf numFmtId="0" fontId="6" fillId="0" borderId="0" xfId="48" applyFont="1" applyAlignment="1">
      <alignment horizontal="center"/>
      <protection/>
    </xf>
    <xf numFmtId="0" fontId="9" fillId="0" borderId="0" xfId="48" applyFont="1">
      <alignment/>
      <protection/>
    </xf>
    <xf numFmtId="0" fontId="6" fillId="0" borderId="49" xfId="48" applyFont="1" applyBorder="1">
      <alignment/>
      <protection/>
    </xf>
    <xf numFmtId="166" fontId="6" fillId="0" borderId="0" xfId="48" applyNumberFormat="1" applyFont="1">
      <alignment/>
      <protection/>
    </xf>
    <xf numFmtId="10" fontId="53" fillId="0" borderId="0" xfId="48" applyNumberFormat="1" applyFont="1" applyAlignment="1">
      <alignment horizontal="left"/>
      <protection/>
    </xf>
    <xf numFmtId="0" fontId="6" fillId="0" borderId="49" xfId="48" applyFont="1" applyBorder="1" applyAlignment="1">
      <alignment horizontal="center"/>
      <protection/>
    </xf>
    <xf numFmtId="10" fontId="112" fillId="0" borderId="0" xfId="48" applyNumberFormat="1" applyFont="1" applyAlignment="1">
      <alignment horizontal="left"/>
      <protection/>
    </xf>
    <xf numFmtId="0" fontId="113" fillId="0" borderId="0" xfId="48" applyFont="1" applyAlignment="1">
      <alignment horizontal="center"/>
      <protection/>
    </xf>
    <xf numFmtId="17" fontId="6" fillId="0" borderId="0" xfId="48" applyNumberFormat="1" applyFont="1" applyAlignment="1">
      <alignment horizontal="left"/>
      <protection/>
    </xf>
    <xf numFmtId="41" fontId="6" fillId="0" borderId="0" xfId="48" applyNumberFormat="1" applyFont="1">
      <alignment/>
      <protection/>
    </xf>
    <xf numFmtId="0" fontId="53" fillId="0" borderId="0" xfId="48" applyFont="1">
      <alignment/>
      <protection/>
    </xf>
    <xf numFmtId="14" fontId="4" fillId="0" borderId="0" xfId="48" applyNumberFormat="1" applyFont="1" applyAlignment="1">
      <alignment horizontal="left"/>
      <protection/>
    </xf>
    <xf numFmtId="0" fontId="113" fillId="0" borderId="0" xfId="48" applyFont="1">
      <alignment/>
      <protection/>
    </xf>
    <xf numFmtId="6" fontId="6" fillId="0" borderId="0" xfId="48" applyNumberFormat="1" applyFont="1" applyAlignment="1">
      <alignment horizontal="center"/>
      <protection/>
    </xf>
    <xf numFmtId="0" fontId="6" fillId="0" borderId="48" xfId="48" applyFont="1" applyBorder="1" quotePrefix="1">
      <alignment/>
      <protection/>
    </xf>
    <xf numFmtId="167" fontId="6" fillId="0" borderId="0" xfId="48" applyNumberFormat="1" applyFont="1" applyAlignment="1">
      <alignment horizontal="left"/>
      <protection/>
    </xf>
    <xf numFmtId="14" fontId="6" fillId="0" borderId="0" xfId="48" applyNumberFormat="1" applyFont="1" applyAlignment="1">
      <alignment horizontal="center"/>
      <protection/>
    </xf>
    <xf numFmtId="166" fontId="6" fillId="0" borderId="0" xfId="30" applyNumberFormat="1" applyFont="1" applyBorder="1" applyAlignment="1">
      <alignment horizontal="center"/>
    </xf>
    <xf numFmtId="44" fontId="6" fillId="0" borderId="0" xfId="30" applyFont="1" applyFill="1" applyBorder="1" applyAlignment="1">
      <alignment horizontal="center"/>
    </xf>
    <xf numFmtId="10" fontId="6" fillId="0" borderId="0" xfId="48" applyNumberFormat="1" applyFont="1">
      <alignment/>
      <protection/>
    </xf>
    <xf numFmtId="10" fontId="6" fillId="0" borderId="49" xfId="48" applyNumberFormat="1" applyFont="1" applyBorder="1">
      <alignment/>
      <protection/>
    </xf>
    <xf numFmtId="44" fontId="6" fillId="0" borderId="0" xfId="48" applyNumberFormat="1" applyFont="1">
      <alignment/>
      <protection/>
    </xf>
    <xf numFmtId="164" fontId="114" fillId="0" borderId="0" xfId="23" applyNumberFormat="1" applyFont="1" applyFill="1" applyBorder="1"/>
    <xf numFmtId="166" fontId="114" fillId="0" borderId="0" xfId="30" applyNumberFormat="1" applyFont="1" applyFill="1" applyBorder="1"/>
    <xf numFmtId="166" fontId="6" fillId="0" borderId="0" xfId="31" applyNumberFormat="1" applyFont="1" applyBorder="1" applyAlignment="1">
      <alignment horizontal="center"/>
    </xf>
    <xf numFmtId="164" fontId="114" fillId="0" borderId="0" xfId="48" applyNumberFormat="1" applyFont="1">
      <alignment/>
      <protection/>
    </xf>
    <xf numFmtId="10" fontId="114" fillId="0" borderId="0" xfId="48" applyNumberFormat="1" applyFont="1">
      <alignment/>
      <protection/>
    </xf>
    <xf numFmtId="0" fontId="114" fillId="0" borderId="0" xfId="48" applyFont="1">
      <alignment/>
      <protection/>
    </xf>
    <xf numFmtId="10" fontId="6" fillId="0" borderId="50" xfId="48" applyNumberFormat="1" applyFont="1" applyBorder="1">
      <alignment/>
      <protection/>
    </xf>
    <xf numFmtId="0" fontId="114" fillId="0" borderId="0" xfId="48" applyFont="1" applyAlignment="1" quotePrefix="1">
      <alignment horizontal="center"/>
      <protection/>
    </xf>
    <xf numFmtId="14" fontId="114" fillId="0" borderId="0" xfId="48" applyNumberFormat="1" applyFont="1" applyAlignment="1" quotePrefix="1">
      <alignment horizontal="center"/>
      <protection/>
    </xf>
    <xf numFmtId="0" fontId="114" fillId="0" borderId="0" xfId="48" applyFont="1" applyAlignment="1">
      <alignment horizontal="center"/>
      <protection/>
    </xf>
    <xf numFmtId="166" fontId="6" fillId="0" borderId="0" xfId="30" applyNumberFormat="1" applyFont="1" applyFill="1" applyBorder="1"/>
    <xf numFmtId="167" fontId="114" fillId="0" borderId="0" xfId="48" applyNumberFormat="1" applyFont="1">
      <alignment/>
      <protection/>
    </xf>
    <xf numFmtId="167" fontId="114" fillId="0" borderId="0" xfId="23" applyNumberFormat="1" applyFont="1" applyFill="1" applyBorder="1" applyAlignment="1">
      <alignment/>
    </xf>
    <xf numFmtId="172" fontId="6" fillId="0" borderId="49" xfId="48" applyNumberFormat="1" applyFont="1" applyBorder="1">
      <alignment/>
      <protection/>
    </xf>
    <xf numFmtId="167" fontId="113" fillId="0" borderId="0" xfId="48" applyNumberFormat="1" applyFont="1">
      <alignment/>
      <protection/>
    </xf>
    <xf numFmtId="49" fontId="6" fillId="0" borderId="0" xfId="48" applyNumberFormat="1" applyFont="1" applyAlignment="1">
      <alignment horizontal="center"/>
      <protection/>
    </xf>
    <xf numFmtId="164" fontId="6" fillId="0" borderId="0" xfId="23" applyNumberFormat="1" applyFont="1" applyFill="1" applyBorder="1"/>
    <xf numFmtId="164" fontId="6" fillId="0" borderId="0" xfId="48" applyNumberFormat="1" applyFont="1">
      <alignment/>
      <protection/>
    </xf>
    <xf numFmtId="167" fontId="6" fillId="0" borderId="0" xfId="48" applyNumberFormat="1" applyFont="1">
      <alignment/>
      <protection/>
    </xf>
    <xf numFmtId="167" fontId="6" fillId="0" borderId="0" xfId="23" applyNumberFormat="1" applyFont="1" applyBorder="1" applyAlignment="1">
      <alignment/>
    </xf>
    <xf numFmtId="166" fontId="6" fillId="0" borderId="0" xfId="30" applyNumberFormat="1" applyFont="1" applyFill="1" applyBorder="1" applyAlignment="1">
      <alignment horizontal="center"/>
    </xf>
    <xf numFmtId="166" fontId="6" fillId="0" borderId="4" xfId="30" applyNumberFormat="1" applyFont="1" applyFill="1" applyBorder="1"/>
    <xf numFmtId="0" fontId="6" fillId="0" borderId="4" xfId="48" applyFont="1" applyBorder="1">
      <alignment/>
      <protection/>
    </xf>
    <xf numFmtId="172" fontId="6" fillId="0" borderId="0" xfId="48" applyNumberFormat="1" applyFont="1">
      <alignment/>
      <protection/>
    </xf>
    <xf numFmtId="0" fontId="6" fillId="0" borderId="50" xfId="48" applyFont="1" applyBorder="1">
      <alignment/>
      <protection/>
    </xf>
    <xf numFmtId="44" fontId="6" fillId="0" borderId="2" xfId="48" applyNumberFormat="1" applyFont="1" applyBorder="1" applyAlignment="1">
      <alignment horizontal="right"/>
      <protection/>
    </xf>
    <xf numFmtId="166" fontId="6" fillId="0" borderId="2" xfId="30" applyNumberFormat="1" applyFont="1" applyBorder="1"/>
    <xf numFmtId="166" fontId="6" fillId="0" borderId="0" xfId="30" applyNumberFormat="1" applyFont="1" applyBorder="1"/>
    <xf numFmtId="166" fontId="6" fillId="0" borderId="2" xfId="30" applyNumberFormat="1" applyFont="1" applyFill="1" applyBorder="1"/>
    <xf numFmtId="167" fontId="6" fillId="0" borderId="2" xfId="48" applyNumberFormat="1" applyFont="1" applyBorder="1">
      <alignment/>
      <protection/>
    </xf>
    <xf numFmtId="44" fontId="6" fillId="0" borderId="0" xfId="48" applyNumberFormat="1" applyFont="1" applyAlignment="1">
      <alignment horizontal="right"/>
      <protection/>
    </xf>
    <xf numFmtId="10" fontId="4" fillId="0" borderId="49" xfId="48" applyNumberFormat="1" applyFont="1" applyBorder="1">
      <alignment/>
      <protection/>
    </xf>
    <xf numFmtId="44" fontId="6" fillId="14" borderId="0" xfId="55" applyNumberFormat="1" applyFont="1" applyFill="1">
      <alignment/>
      <protection/>
    </xf>
    <xf numFmtId="44" fontId="6" fillId="0" borderId="0" xfId="55" applyNumberFormat="1" applyFont="1">
      <alignment/>
      <protection/>
    </xf>
    <xf numFmtId="166" fontId="32" fillId="10" borderId="0" xfId="30" applyNumberFormat="1" applyFont="1" applyFill="1" applyBorder="1" applyAlignment="1">
      <alignment horizontal="center"/>
    </xf>
    <xf numFmtId="44" fontId="32" fillId="0" borderId="0" xfId="55" applyNumberFormat="1" applyFont="1">
      <alignment/>
      <protection/>
    </xf>
    <xf numFmtId="37" fontId="32" fillId="0" borderId="0" xfId="55" applyNumberFormat="1" applyFont="1">
      <alignment/>
      <protection/>
    </xf>
    <xf numFmtId="44" fontId="9" fillId="0" borderId="0" xfId="48" applyNumberFormat="1" applyFont="1">
      <alignment/>
      <protection/>
    </xf>
    <xf numFmtId="167" fontId="6" fillId="0" borderId="49" xfId="48" applyNumberFormat="1" applyFont="1" applyBorder="1">
      <alignment/>
      <protection/>
    </xf>
    <xf numFmtId="0" fontId="6" fillId="0" borderId="9" xfId="48" applyFont="1" applyBorder="1">
      <alignment/>
      <protection/>
    </xf>
    <xf numFmtId="44" fontId="6" fillId="0" borderId="49" xfId="48" applyNumberFormat="1" applyFont="1" applyBorder="1">
      <alignment/>
      <protection/>
    </xf>
    <xf numFmtId="44" fontId="4" fillId="0" borderId="0" xfId="48" applyNumberFormat="1" applyFont="1">
      <alignment/>
      <protection/>
    </xf>
    <xf numFmtId="0" fontId="6" fillId="0" borderId="51" xfId="48" applyFont="1" applyBorder="1">
      <alignment/>
      <protection/>
    </xf>
    <xf numFmtId="167" fontId="6" fillId="0" borderId="4" xfId="48" applyNumberFormat="1" applyFont="1" applyBorder="1">
      <alignment/>
      <protection/>
    </xf>
    <xf numFmtId="44" fontId="6" fillId="0" borderId="4" xfId="48" applyNumberFormat="1" applyFont="1" applyBorder="1">
      <alignment/>
      <protection/>
    </xf>
    <xf numFmtId="44" fontId="6" fillId="0" borderId="50" xfId="48" applyNumberFormat="1" applyFont="1" applyBorder="1">
      <alignment/>
      <protection/>
    </xf>
    <xf numFmtId="0" fontId="53" fillId="0" borderId="2" xfId="48" applyFont="1" applyBorder="1">
      <alignment/>
      <protection/>
    </xf>
    <xf numFmtId="44" fontId="6" fillId="0" borderId="2" xfId="48" applyNumberFormat="1" applyFont="1" applyBorder="1">
      <alignment/>
      <protection/>
    </xf>
    <xf numFmtId="0" fontId="6" fillId="0" borderId="47" xfId="48" applyFont="1" applyBorder="1">
      <alignment/>
      <protection/>
    </xf>
    <xf numFmtId="14" fontId="4" fillId="0" borderId="28" xfId="48" applyNumberFormat="1" applyFont="1" applyBorder="1">
      <alignment/>
      <protection/>
    </xf>
    <xf numFmtId="42" fontId="4" fillId="0" borderId="0" xfId="48" applyNumberFormat="1" applyFont="1" applyAlignment="1">
      <alignment horizontal="center"/>
      <protection/>
    </xf>
    <xf numFmtId="0" fontId="6" fillId="11" borderId="48" xfId="48" applyFont="1" applyFill="1" applyBorder="1" applyAlignment="1" quotePrefix="1">
      <alignment horizontal="center"/>
      <protection/>
    </xf>
    <xf numFmtId="167" fontId="6" fillId="11" borderId="0" xfId="48" applyNumberFormat="1" applyFont="1" applyFill="1" applyAlignment="1">
      <alignment horizontal="left"/>
      <protection/>
    </xf>
    <xf numFmtId="0" fontId="6" fillId="11" borderId="0" xfId="48" applyFont="1" applyFill="1">
      <alignment/>
      <protection/>
    </xf>
    <xf numFmtId="14" fontId="6" fillId="11" borderId="0" xfId="48" applyNumberFormat="1" applyFont="1" applyFill="1" applyAlignment="1">
      <alignment horizontal="center"/>
      <protection/>
    </xf>
    <xf numFmtId="14" fontId="82" fillId="11" borderId="0" xfId="48" applyNumberFormat="1" applyFont="1" applyFill="1" applyAlignment="1" quotePrefix="1">
      <alignment horizontal="center"/>
      <protection/>
    </xf>
    <xf numFmtId="166" fontId="6" fillId="11" borderId="0" xfId="48" applyNumberFormat="1" applyFont="1" applyFill="1">
      <alignment/>
      <protection/>
    </xf>
    <xf numFmtId="3" fontId="6" fillId="11" borderId="0" xfId="48" applyNumberFormat="1" applyFont="1" applyFill="1">
      <alignment/>
      <protection/>
    </xf>
    <xf numFmtId="42" fontId="6" fillId="0" borderId="0" xfId="48" applyNumberFormat="1" applyFont="1">
      <alignment/>
      <protection/>
    </xf>
    <xf numFmtId="164" fontId="6" fillId="11" borderId="0" xfId="23" applyNumberFormat="1" applyFont="1" applyFill="1" applyBorder="1"/>
    <xf numFmtId="42" fontId="6" fillId="0" borderId="0" xfId="23" applyNumberFormat="1" applyFont="1" applyBorder="1"/>
    <xf numFmtId="165" fontId="6" fillId="0" borderId="0" xfId="48" applyNumberFormat="1" applyFont="1">
      <alignment/>
      <protection/>
    </xf>
    <xf numFmtId="10" fontId="6" fillId="11" borderId="0" xfId="15" applyNumberFormat="1" applyFont="1" applyFill="1" applyBorder="1"/>
    <xf numFmtId="10" fontId="6" fillId="0" borderId="49" xfId="23" applyNumberFormat="1" applyFont="1" applyBorder="1" applyAlignment="1">
      <alignment horizontal="center"/>
    </xf>
    <xf numFmtId="180" fontId="6" fillId="0" borderId="0" xfId="48" applyNumberFormat="1" applyFont="1">
      <alignment/>
      <protection/>
    </xf>
    <xf numFmtId="168" fontId="6" fillId="0" borderId="0" xfId="48" applyNumberFormat="1" applyFont="1">
      <alignment/>
      <protection/>
    </xf>
    <xf numFmtId="164" fontId="6" fillId="11" borderId="0" xfId="24" applyNumberFormat="1" applyFont="1" applyFill="1" applyBorder="1" applyAlignment="1">
      <alignment horizontal="center"/>
    </xf>
    <xf numFmtId="0" fontId="6" fillId="11" borderId="0" xfId="48" applyFont="1" applyFill="1" applyAlignment="1">
      <alignment horizontal="center"/>
      <protection/>
    </xf>
    <xf numFmtId="3" fontId="6" fillId="11" borderId="4" xfId="48" applyNumberFormat="1" applyFont="1" applyFill="1" applyBorder="1">
      <alignment/>
      <protection/>
    </xf>
    <xf numFmtId="42" fontId="6" fillId="0" borderId="4" xfId="23" applyNumberFormat="1" applyFont="1" applyBorder="1"/>
    <xf numFmtId="166" fontId="6" fillId="0" borderId="4" xfId="48" applyNumberFormat="1" applyFont="1" applyBorder="1">
      <alignment/>
      <protection/>
    </xf>
    <xf numFmtId="0" fontId="6" fillId="0" borderId="48" xfId="48" applyFont="1" applyBorder="1" applyAlignment="1">
      <alignment horizontal="center"/>
      <protection/>
    </xf>
    <xf numFmtId="164" fontId="6" fillId="0" borderId="0" xfId="23" applyNumberFormat="1" applyFont="1" applyBorder="1"/>
    <xf numFmtId="1" fontId="6" fillId="0" borderId="49" xfId="23" applyNumberFormat="1" applyFont="1" applyBorder="1"/>
    <xf numFmtId="0" fontId="6" fillId="0" borderId="48" xfId="48" applyFont="1" applyBorder="1" applyAlignment="1" quotePrefix="1">
      <alignment horizontal="center"/>
      <protection/>
    </xf>
    <xf numFmtId="167" fontId="6" fillId="0" borderId="49" xfId="23" applyNumberFormat="1" applyFont="1" applyBorder="1" applyAlignment="1">
      <alignment horizontal="center"/>
    </xf>
    <xf numFmtId="0" fontId="6" fillId="0" borderId="0" xfId="48" applyFont="1" applyAlignment="1" quotePrefix="1">
      <alignment horizontal="center"/>
      <protection/>
    </xf>
    <xf numFmtId="14" fontId="6" fillId="0" borderId="0" xfId="48" applyNumberFormat="1" applyFont="1" applyAlignment="1" quotePrefix="1">
      <alignment horizontal="center"/>
      <protection/>
    </xf>
    <xf numFmtId="164" fontId="6" fillId="0" borderId="4" xfId="23" applyNumberFormat="1" applyFont="1" applyBorder="1"/>
    <xf numFmtId="167" fontId="6" fillId="0" borderId="0" xfId="48" applyNumberFormat="1" applyFont="1" applyAlignment="1">
      <alignment horizontal="right"/>
      <protection/>
    </xf>
    <xf numFmtId="42" fontId="6" fillId="0" borderId="2" xfId="23" applyNumberFormat="1" applyFont="1" applyBorder="1"/>
    <xf numFmtId="164" fontId="6" fillId="0" borderId="2" xfId="23" applyNumberFormat="1" applyFont="1" applyBorder="1"/>
    <xf numFmtId="165" fontId="6" fillId="0" borderId="49" xfId="48" applyNumberFormat="1" applyFont="1" applyBorder="1">
      <alignment/>
      <protection/>
    </xf>
    <xf numFmtId="43" fontId="6" fillId="0" borderId="0" xfId="23" applyFont="1" applyBorder="1"/>
    <xf numFmtId="180" fontId="6" fillId="0" borderId="49" xfId="48" applyNumberFormat="1" applyFont="1" applyBorder="1">
      <alignment/>
      <protection/>
    </xf>
    <xf numFmtId="43" fontId="6" fillId="0" borderId="4" xfId="23" applyFont="1" applyBorder="1"/>
    <xf numFmtId="180" fontId="6" fillId="0" borderId="50" xfId="48" applyNumberFormat="1" applyFont="1" applyBorder="1">
      <alignment/>
      <protection/>
    </xf>
    <xf numFmtId="43" fontId="6" fillId="0" borderId="0" xfId="23" applyFont="1"/>
    <xf numFmtId="0" fontId="116" fillId="0" borderId="0" xfId="48" applyFont="1">
      <alignment/>
      <protection/>
    </xf>
    <xf numFmtId="43" fontId="6" fillId="0" borderId="0" xfId="48" applyNumberFormat="1" applyFont="1">
      <alignment/>
      <protection/>
    </xf>
    <xf numFmtId="10" fontId="6" fillId="0" borderId="0" xfId="58" applyNumberFormat="1" applyFont="1" applyBorder="1"/>
    <xf numFmtId="166" fontId="6" fillId="0" borderId="0" xfId="29" applyNumberFormat="1" applyFont="1" applyBorder="1"/>
    <xf numFmtId="0" fontId="6" fillId="0" borderId="0" xfId="48" applyFont="1" applyAlignment="1">
      <alignment horizontal="right"/>
      <protection/>
    </xf>
    <xf numFmtId="0" fontId="53" fillId="0" borderId="0" xfId="48" applyFont="1" applyAlignment="1">
      <alignment horizontal="left"/>
      <protection/>
    </xf>
    <xf numFmtId="167" fontId="6" fillId="0" borderId="0" xfId="48" applyNumberFormat="1" applyFont="1" applyAlignment="1">
      <alignment horizontal="center"/>
      <protection/>
    </xf>
    <xf numFmtId="167" fontId="6" fillId="0" borderId="0" xfId="58" applyNumberFormat="1" applyFont="1" applyBorder="1"/>
    <xf numFmtId="41" fontId="0" fillId="0" borderId="13" xfId="20" applyNumberFormat="1" applyFont="1" applyFill="1" applyBorder="1"/>
    <xf numFmtId="41" fontId="0" fillId="0" borderId="9" xfId="20" applyNumberFormat="1" applyFont="1" applyFill="1" applyBorder="1"/>
    <xf numFmtId="41" fontId="0" fillId="0" borderId="8" xfId="20" applyNumberFormat="1" applyFont="1" applyFill="1" applyBorder="1"/>
    <xf numFmtId="0" fontId="0" fillId="0" borderId="11" xfId="0" applyFont="1" applyBorder="1" applyAlignment="1">
      <alignment horizontal="center" wrapText="1"/>
    </xf>
    <xf numFmtId="164" fontId="0" fillId="4" borderId="0" xfId="54" applyNumberFormat="1" applyFont="1" applyFill="1" applyBorder="1"/>
    <xf numFmtId="164" fontId="0" fillId="4" borderId="0" xfId="54" applyNumberFormat="1" applyFont="1" applyFill="1" applyBorder="1" applyAlignment="1">
      <alignment/>
    </xf>
    <xf numFmtId="164" fontId="0" fillId="4" borderId="4" xfId="54" applyNumberFormat="1" applyFont="1" applyFill="1" applyBorder="1"/>
    <xf numFmtId="164" fontId="0" fillId="4" borderId="4" xfId="54" applyNumberFormat="1" applyFont="1" applyFill="1" applyBorder="1" applyAlignment="1">
      <alignment/>
    </xf>
    <xf numFmtId="164" fontId="0" fillId="4" borderId="9" xfId="18" applyNumberFormat="1" applyFont="1" applyFill="1" applyBorder="1"/>
    <xf numFmtId="164" fontId="0" fillId="0" borderId="9" xfId="18" applyNumberFormat="1" applyFont="1" applyFill="1" applyBorder="1" applyAlignment="1">
      <alignment/>
    </xf>
    <xf numFmtId="164" fontId="0" fillId="0" borderId="9" xfId="18" applyNumberFormat="1" applyFont="1" applyFill="1" applyBorder="1"/>
    <xf numFmtId="41" fontId="0" fillId="0" borderId="9" xfId="18" applyNumberFormat="1" applyFont="1" applyFill="1" applyBorder="1"/>
    <xf numFmtId="164" fontId="0" fillId="4" borderId="0" xfId="54" applyNumberFormat="1" applyFont="1" applyFill="1"/>
    <xf numFmtId="0" fontId="22" fillId="0" borderId="0" xfId="0" applyFont="1" applyAlignment="1">
      <alignment horizontal="left"/>
    </xf>
    <xf numFmtId="0" fontId="30" fillId="0" borderId="12" xfId="0" applyFont="1" applyBorder="1" applyAlignment="1">
      <alignment horizontal="center"/>
    </xf>
    <xf numFmtId="164" fontId="30" fillId="0" borderId="9" xfId="54" applyNumberFormat="1" applyFont="1" applyFill="1" applyBorder="1" applyAlignment="1">
      <alignment horizontal="center"/>
    </xf>
    <xf numFmtId="0" fontId="30" fillId="0" borderId="10" xfId="0" applyFont="1" applyBorder="1" applyAlignment="1">
      <alignment horizontal="center"/>
    </xf>
    <xf numFmtId="164" fontId="30" fillId="0" borderId="9" xfId="54" applyNumberFormat="1" applyFont="1" applyFill="1" applyBorder="1" applyAlignment="1">
      <alignment horizontal="right"/>
    </xf>
    <xf numFmtId="10" fontId="30" fillId="0" borderId="10" xfId="58" applyNumberFormat="1" applyFont="1" applyFill="1" applyBorder="1" applyAlignment="1">
      <alignment horizontal="right"/>
    </xf>
    <xf numFmtId="164" fontId="30" fillId="0" borderId="9" xfId="54" applyNumberFormat="1" applyFont="1" applyFill="1" applyBorder="1"/>
    <xf numFmtId="37" fontId="30" fillId="0" borderId="10" xfId="54" applyNumberFormat="1" applyFont="1" applyFill="1" applyBorder="1" applyAlignment="1">
      <alignment horizontal="right"/>
    </xf>
    <xf numFmtId="164" fontId="30" fillId="0" borderId="0" xfId="54" applyNumberFormat="1" applyFont="1" applyFill="1" applyBorder="1" applyAlignment="1">
      <alignment horizontal="right"/>
    </xf>
    <xf numFmtId="164" fontId="30" fillId="0" borderId="7" xfId="54" applyNumberFormat="1" applyFont="1" applyFill="1" applyBorder="1"/>
    <xf numFmtId="164" fontId="30" fillId="0" borderId="1" xfId="54" applyNumberFormat="1" applyFont="1" applyFill="1" applyBorder="1"/>
    <xf numFmtId="164" fontId="30" fillId="0" borderId="8" xfId="54" applyNumberFormat="1" applyFont="1" applyFill="1" applyBorder="1"/>
    <xf numFmtId="43" fontId="30" fillId="0" borderId="10" xfId="54" applyFont="1" applyFill="1" applyBorder="1"/>
    <xf numFmtId="164" fontId="33" fillId="0" borderId="13" xfId="54" applyNumberFormat="1" applyFont="1" applyFill="1" applyBorder="1" applyAlignment="1">
      <alignment horizontal="center"/>
    </xf>
    <xf numFmtId="39" fontId="30" fillId="0" borderId="10" xfId="54" applyNumberFormat="1" applyFont="1" applyFill="1" applyBorder="1" applyAlignment="1">
      <alignment horizontal="right"/>
    </xf>
    <xf numFmtId="39" fontId="30" fillId="0" borderId="0" xfId="54" applyNumberFormat="1" applyFont="1" applyFill="1" applyBorder="1" applyAlignment="1">
      <alignment horizontal="right"/>
    </xf>
    <xf numFmtId="39" fontId="30" fillId="0" borderId="9" xfId="54" applyNumberFormat="1" applyFont="1" applyFill="1" applyBorder="1" applyAlignment="1">
      <alignment horizontal="right"/>
    </xf>
    <xf numFmtId="37" fontId="30" fillId="0" borderId="0" xfId="54" applyNumberFormat="1" applyFont="1" applyFill="1" applyBorder="1" applyAlignment="1">
      <alignment horizontal="right"/>
    </xf>
    <xf numFmtId="39" fontId="30" fillId="0" borderId="7" xfId="54" applyNumberFormat="1" applyFont="1" applyFill="1" applyBorder="1" applyAlignment="1">
      <alignment horizontal="right"/>
    </xf>
    <xf numFmtId="39" fontId="30" fillId="0" borderId="1" xfId="54" applyNumberFormat="1" applyFont="1" applyFill="1" applyBorder="1" applyAlignment="1">
      <alignment horizontal="right"/>
    </xf>
    <xf numFmtId="39" fontId="30" fillId="0" borderId="8" xfId="54" applyNumberFormat="1" applyFont="1" applyFill="1" applyBorder="1" applyAlignment="1">
      <alignment horizontal="right"/>
    </xf>
    <xf numFmtId="37" fontId="30" fillId="0" borderId="7" xfId="54" applyNumberFormat="1" applyFont="1" applyFill="1" applyBorder="1" applyAlignment="1">
      <alignment horizontal="right"/>
    </xf>
    <xf numFmtId="37" fontId="30" fillId="0" borderId="1" xfId="54" applyNumberFormat="1" applyFont="1" applyFill="1" applyBorder="1" applyAlignment="1">
      <alignment horizontal="right"/>
    </xf>
    <xf numFmtId="43" fontId="0" fillId="0" borderId="0" xfId="54" applyFont="1"/>
    <xf numFmtId="39" fontId="0" fillId="0" borderId="0" xfId="0" applyNumberFormat="1"/>
    <xf numFmtId="0" fontId="101" fillId="11" borderId="0" xfId="57" applyNumberFormat="1" applyFont="1" applyFill="1" applyAlignment="1">
      <alignment horizontal="left" vertical="top"/>
    </xf>
    <xf numFmtId="0" fontId="101" fillId="11" borderId="0" xfId="57" applyNumberFormat="1" applyFont="1" applyFill="1" applyAlignment="1">
      <alignment horizontal="left" vertical="center"/>
    </xf>
    <xf numFmtId="3" fontId="6" fillId="0" borderId="2" xfId="0" applyNumberFormat="1" applyFont="1" applyBorder="1" applyAlignment="1">
      <alignment horizontal="center"/>
    </xf>
    <xf numFmtId="3" fontId="6" fillId="0" borderId="3" xfId="0" applyNumberFormat="1" applyFont="1" applyBorder="1" applyAlignment="1">
      <alignment horizontal="center"/>
    </xf>
    <xf numFmtId="3" fontId="6" fillId="0" borderId="3" xfId="0" applyNumberFormat="1" applyFont="1" applyBorder="1"/>
    <xf numFmtId="167" fontId="6" fillId="0" borderId="0" xfId="0" applyNumberFormat="1" applyFont="1" applyAlignment="1">
      <alignment horizontal="center"/>
    </xf>
    <xf numFmtId="0" fontId="4" fillId="0" borderId="2" xfId="0" applyFont="1" applyBorder="1" applyAlignment="1">
      <alignment horizontal="center"/>
    </xf>
    <xf numFmtId="3" fontId="6" fillId="0" borderId="4" xfId="0" applyNumberFormat="1" applyFont="1" applyBorder="1" applyAlignment="1">
      <alignment horizontal="center"/>
    </xf>
    <xf numFmtId="3" fontId="13" fillId="0" borderId="5" xfId="0" applyNumberFormat="1" applyFont="1" applyBorder="1" applyAlignment="1">
      <alignment horizontal="center"/>
    </xf>
    <xf numFmtId="3" fontId="13" fillId="0" borderId="0" xfId="0" applyNumberFormat="1" applyFont="1" applyAlignment="1">
      <alignment horizontal="center"/>
    </xf>
    <xf numFmtId="3" fontId="13" fillId="0" borderId="4" xfId="0" applyNumberFormat="1" applyFont="1" applyBorder="1" applyAlignment="1">
      <alignment horizontal="center"/>
    </xf>
    <xf numFmtId="0" fontId="0" fillId="11" borderId="0" xfId="0" applyFont="1" applyFill="1" applyAlignment="1">
      <alignment wrapText="1"/>
    </xf>
    <xf numFmtId="10" fontId="4" fillId="0" borderId="52" xfId="48" applyNumberFormat="1" applyFont="1" applyBorder="1">
      <alignment/>
      <protection/>
    </xf>
    <xf numFmtId="166" fontId="6" fillId="0" borderId="0" xfId="31" applyNumberFormat="1" applyFont="1" applyFill="1" applyBorder="1" applyAlignment="1">
      <alignment horizontal="center"/>
    </xf>
    <xf numFmtId="0" fontId="0" fillId="4" borderId="0" xfId="0" applyFont="1" applyFill="1" applyAlignment="1">
      <alignment horizontal="left" wrapText="1"/>
    </xf>
    <xf numFmtId="164" fontId="0" fillId="11" borderId="2" xfId="54" applyNumberFormat="1" applyFont="1" applyFill="1" applyBorder="1"/>
    <xf numFmtId="164" fontId="0" fillId="11" borderId="3" xfId="54" applyNumberFormat="1" applyFont="1" applyFill="1" applyBorder="1"/>
    <xf numFmtId="164" fontId="30" fillId="0" borderId="0" xfId="54" applyNumberFormat="1" applyFont="1" applyFill="1"/>
    <xf numFmtId="164" fontId="33" fillId="11" borderId="0" xfId="54" applyNumberFormat="1" applyFont="1" applyFill="1" applyBorder="1"/>
    <xf numFmtId="166" fontId="101" fillId="0" borderId="0" xfId="16" applyNumberFormat="1" applyFont="1" applyFill="1" applyBorder="1"/>
    <xf numFmtId="164" fontId="0" fillId="0" borderId="0" xfId="18" applyNumberFormat="1" applyFont="1" applyFill="1" applyAlignment="1">
      <alignment horizontal="left" wrapText="1"/>
    </xf>
    <xf numFmtId="164" fontId="0" fillId="11" borderId="0" xfId="54" applyNumberFormat="1" applyFont="1" applyFill="1" applyBorder="1"/>
    <xf numFmtId="164" fontId="42" fillId="0" borderId="33" xfId="0" applyNumberFormat="1" applyFont="1" applyBorder="1" applyAlignment="1">
      <alignment horizontal="center" wrapText="1"/>
    </xf>
    <xf numFmtId="164" fontId="42" fillId="0" borderId="34" xfId="0" applyNumberFormat="1" applyFont="1" applyBorder="1" applyAlignment="1">
      <alignment horizontal="center" wrapText="1"/>
    </xf>
    <xf numFmtId="0" fontId="42" fillId="0" borderId="34" xfId="0" applyFont="1" applyBorder="1"/>
    <xf numFmtId="166" fontId="24" fillId="0" borderId="0" xfId="16" applyNumberFormat="1" applyFont="1" applyFill="1" applyAlignment="1">
      <alignment horizontal="left"/>
    </xf>
    <xf numFmtId="176" fontId="58" fillId="0" borderId="0" xfId="0" applyNumberFormat="1" applyFont="1" applyAlignment="1">
      <alignment horizontal="center"/>
    </xf>
    <xf numFmtId="4" fontId="6" fillId="0" borderId="0" xfId="0" applyNumberFormat="1" applyFont="1"/>
    <xf numFmtId="39" fontId="0" fillId="0" borderId="39" xfId="0" applyNumberFormat="1" applyBorder="1"/>
    <xf numFmtId="41" fontId="0" fillId="0" borderId="39" xfId="20" applyNumberFormat="1" applyFont="1" applyFill="1" applyBorder="1"/>
    <xf numFmtId="41" fontId="42" fillId="0" borderId="39" xfId="20" applyNumberFormat="1" applyFont="1" applyFill="1" applyBorder="1"/>
    <xf numFmtId="41" fontId="0" fillId="0" borderId="39" xfId="20" applyNumberFormat="1" applyFont="1" applyFill="1" applyBorder="1" applyAlignment="1">
      <alignment horizontal="left"/>
    </xf>
    <xf numFmtId="41" fontId="0" fillId="0" borderId="41" xfId="20" applyNumberFormat="1" applyFont="1" applyFill="1" applyBorder="1"/>
    <xf numFmtId="164" fontId="42" fillId="0" borderId="21" xfId="0" applyNumberFormat="1" applyFont="1" applyBorder="1" applyAlignment="1">
      <alignment horizontal="center" wrapText="1"/>
    </xf>
    <xf numFmtId="41" fontId="42" fillId="0" borderId="33" xfId="0" applyNumberFormat="1" applyFont="1" applyBorder="1" applyAlignment="1">
      <alignment horizontal="center" wrapText="1"/>
    </xf>
    <xf numFmtId="189" fontId="71" fillId="0" borderId="0" xfId="29" applyNumberFormat="1" applyFont="1" applyFill="1" applyBorder="1" applyAlignment="1">
      <alignment horizontal="left"/>
    </xf>
    <xf numFmtId="41" fontId="0" fillId="0" borderId="29" xfId="20" applyNumberFormat="1" applyFont="1" applyFill="1" applyBorder="1"/>
    <xf numFmtId="41" fontId="0" fillId="0" borderId="40" xfId="20" applyNumberFormat="1" applyFont="1" applyFill="1" applyBorder="1"/>
    <xf numFmtId="41" fontId="0" fillId="0" borderId="37" xfId="20" applyNumberFormat="1" applyFont="1" applyFill="1" applyBorder="1"/>
    <xf numFmtId="41" fontId="0" fillId="0" borderId="0" xfId="20" applyNumberFormat="1" applyFont="1" applyFill="1" applyBorder="1"/>
    <xf numFmtId="41" fontId="78" fillId="0" borderId="0" xfId="20" applyNumberFormat="1" applyFont="1" applyFill="1" applyBorder="1" applyAlignment="1">
      <alignment horizontal="left"/>
    </xf>
    <xf numFmtId="0" fontId="42" fillId="0" borderId="10" xfId="0" applyFont="1" applyBorder="1" applyAlignment="1">
      <alignment horizontal="center" wrapText="1"/>
    </xf>
    <xf numFmtId="0" fontId="42" fillId="0" borderId="42" xfId="0" applyFont="1" applyBorder="1" applyAlignment="1">
      <alignment horizontal="center" wrapText="1"/>
    </xf>
    <xf numFmtId="164" fontId="42" fillId="0" borderId="42" xfId="0" applyNumberFormat="1" applyFont="1" applyBorder="1" applyAlignment="1">
      <alignment horizontal="center" wrapText="1"/>
    </xf>
    <xf numFmtId="164" fontId="42" fillId="0" borderId="53" xfId="0" applyNumberFormat="1" applyFont="1" applyBorder="1" applyAlignment="1">
      <alignment horizontal="center" wrapText="1"/>
    </xf>
    <xf numFmtId="166" fontId="77" fillId="0" borderId="22" xfId="29" applyNumberFormat="1" applyFont="1" applyFill="1" applyBorder="1" applyAlignment="1">
      <alignment horizontal="left"/>
    </xf>
    <xf numFmtId="41" fontId="0" fillId="0" borderId="39" xfId="20" applyNumberFormat="1" applyFont="1" applyFill="1" applyBorder="1"/>
    <xf numFmtId="41" fontId="0" fillId="0" borderId="41" xfId="20" applyNumberFormat="1" applyFont="1" applyFill="1" applyBorder="1"/>
    <xf numFmtId="41" fontId="0" fillId="0" borderId="29" xfId="20" applyNumberFormat="1" applyFont="1" applyFill="1" applyBorder="1"/>
    <xf numFmtId="41" fontId="0" fillId="0" borderId="38" xfId="20" applyNumberFormat="1" applyFont="1" applyFill="1" applyBorder="1"/>
    <xf numFmtId="41" fontId="0" fillId="0" borderId="37" xfId="20" applyNumberFormat="1" applyFont="1" applyFill="1" applyBorder="1"/>
    <xf numFmtId="41" fontId="0" fillId="0" borderId="54" xfId="20" applyNumberFormat="1" applyFont="1" applyFill="1" applyBorder="1"/>
    <xf numFmtId="0" fontId="43" fillId="0" borderId="43" xfId="0" applyFont="1" applyBorder="1" applyAlignment="1">
      <alignment horizontal="center" wrapText="1"/>
    </xf>
    <xf numFmtId="0" fontId="2" fillId="11" borderId="0" xfId="46" applyFill="1">
      <alignment/>
      <protection/>
    </xf>
    <xf numFmtId="0" fontId="101" fillId="0" borderId="0" xfId="46" applyFont="1" applyAlignment="1">
      <alignment horizontal="right"/>
      <protection/>
    </xf>
    <xf numFmtId="0" fontId="108" fillId="0" borderId="0" xfId="46" applyFont="1" applyAlignment="1">
      <alignment horizontal="right"/>
      <protection/>
    </xf>
    <xf numFmtId="0" fontId="89" fillId="0" borderId="0" xfId="49" applyFont="1" applyAlignment="1">
      <alignment horizontal="left"/>
      <protection/>
    </xf>
    <xf numFmtId="0" fontId="117" fillId="0" borderId="0" xfId="48" applyFont="1" applyAlignment="1">
      <alignment horizontal="center"/>
      <protection/>
    </xf>
    <xf numFmtId="0" fontId="89" fillId="0" borderId="0" xfId="49" applyFont="1" applyAlignment="1">
      <alignment horizontal="center" vertical="center"/>
      <protection/>
    </xf>
    <xf numFmtId="0" fontId="110" fillId="0" borderId="25" xfId="49" applyFont="1" applyBorder="1" applyAlignment="1">
      <alignment horizontal="left" vertical="center" wrapText="1"/>
      <protection/>
    </xf>
    <xf numFmtId="0" fontId="110" fillId="0" borderId="25" xfId="49" applyFont="1" applyBorder="1" applyAlignment="1">
      <alignment horizontal="center" vertical="center" wrapText="1"/>
      <protection/>
    </xf>
    <xf numFmtId="0" fontId="89" fillId="0" borderId="0" xfId="49" applyFont="1">
      <alignment/>
      <protection/>
    </xf>
    <xf numFmtId="0" fontId="110" fillId="11" borderId="25" xfId="49" applyFont="1" applyFill="1" applyBorder="1" applyAlignment="1">
      <alignment horizontal="center" vertical="center" wrapText="1"/>
      <protection/>
    </xf>
    <xf numFmtId="0" fontId="95" fillId="0" borderId="0" xfId="46" applyFont="1">
      <alignment/>
      <protection/>
    </xf>
    <xf numFmtId="164" fontId="107" fillId="11" borderId="0" xfId="57" applyNumberFormat="1" applyFont="1" applyFill="1" applyAlignment="1">
      <alignment vertical="center"/>
    </xf>
    <xf numFmtId="164" fontId="3" fillId="0" borderId="0" xfId="57" applyNumberFormat="1" applyFont="1" applyAlignment="1">
      <alignment horizontal="center"/>
    </xf>
    <xf numFmtId="164" fontId="111" fillId="0" borderId="0" xfId="49" applyNumberFormat="1" applyFont="1">
      <alignment/>
      <protection/>
    </xf>
    <xf numFmtId="164" fontId="2" fillId="11" borderId="0" xfId="18" applyNumberFormat="1" applyFont="1" applyFill="1"/>
    <xf numFmtId="4" fontId="42" fillId="0" borderId="0" xfId="0" applyNumberFormat="1" applyFont="1"/>
    <xf numFmtId="0" fontId="0" fillId="0" borderId="0" xfId="0" applyFont="1" applyAlignment="1">
      <alignment wrapText="1"/>
    </xf>
    <xf numFmtId="0" fontId="42" fillId="0" borderId="55" xfId="0" applyFont="1" applyBorder="1" applyAlignment="1">
      <alignment horizontal="center" wrapText="1"/>
    </xf>
    <xf numFmtId="0" fontId="42" fillId="0" borderId="56" xfId="0" applyFont="1" applyBorder="1" applyAlignment="1">
      <alignment horizontal="center" wrapText="1"/>
    </xf>
    <xf numFmtId="39" fontId="0" fillId="0" borderId="39" xfId="0" applyNumberFormat="1" applyFont="1" applyBorder="1"/>
    <xf numFmtId="0" fontId="42" fillId="0" borderId="57" xfId="0" applyFont="1" applyBorder="1" applyAlignment="1">
      <alignment horizontal="center" wrapText="1"/>
    </xf>
    <xf numFmtId="39" fontId="0" fillId="0" borderId="29" xfId="0" applyNumberFormat="1" applyFont="1" applyBorder="1"/>
    <xf numFmtId="0" fontId="42" fillId="0" borderId="27" xfId="0" applyFont="1" applyBorder="1" applyAlignment="1">
      <alignment horizontal="center" wrapText="1"/>
    </xf>
    <xf numFmtId="0" fontId="44" fillId="0" borderId="21" xfId="0" applyFont="1" applyBorder="1" applyAlignment="1">
      <alignment horizontal="center" wrapText="1"/>
    </xf>
    <xf numFmtId="0" fontId="42" fillId="0" borderId="33" xfId="0" applyFont="1" applyBorder="1" applyAlignment="1">
      <alignment horizontal="center"/>
    </xf>
    <xf numFmtId="39" fontId="42" fillId="0" borderId="0" xfId="0" applyNumberFormat="1" applyFont="1"/>
    <xf numFmtId="3" fontId="0" fillId="0" borderId="0" xfId="0" applyNumberFormat="1" applyAlignment="1">
      <alignment horizontal="center"/>
    </xf>
    <xf numFmtId="0" fontId="0" fillId="0" borderId="5" xfId="0" applyBorder="1" applyAlignment="1">
      <alignment horizontal="center"/>
    </xf>
    <xf numFmtId="0" fontId="101" fillId="0" borderId="0" xfId="57" applyNumberFormat="1" applyFont="1" applyFill="1" applyAlignment="1">
      <alignment horizontal="left" vertical="center"/>
    </xf>
    <xf numFmtId="164" fontId="0" fillId="0" borderId="0" xfId="57" applyNumberFormat="1" applyFont="1" applyFill="1" applyAlignment="1">
      <alignment horizontal="center"/>
    </xf>
    <xf numFmtId="164" fontId="107" fillId="11" borderId="2" xfId="57" applyNumberFormat="1" applyFont="1" applyFill="1" applyBorder="1" applyAlignment="1">
      <alignment vertical="center"/>
    </xf>
    <xf numFmtId="164" fontId="111" fillId="0" borderId="2" xfId="49" applyNumberFormat="1" applyFont="1" applyBorder="1">
      <alignment/>
      <protection/>
    </xf>
    <xf numFmtId="164" fontId="107" fillId="0" borderId="0" xfId="57" applyNumberFormat="1" applyFont="1" applyFill="1" applyAlignment="1">
      <alignment vertical="center"/>
    </xf>
    <xf numFmtId="164" fontId="107" fillId="0" borderId="2" xfId="57" applyNumberFormat="1" applyFont="1" applyFill="1" applyBorder="1" applyAlignment="1">
      <alignment vertical="center"/>
    </xf>
    <xf numFmtId="164" fontId="3" fillId="0" borderId="0" xfId="57" applyNumberFormat="1" applyFont="1" applyFill="1" applyAlignment="1">
      <alignment horizontal="center"/>
    </xf>
    <xf numFmtId="164" fontId="109" fillId="0" borderId="0" xfId="18" applyNumberFormat="1" applyFont="1" applyBorder="1"/>
    <xf numFmtId="0" fontId="89" fillId="11" borderId="0" xfId="49" applyFont="1" applyFill="1" applyAlignment="1">
      <alignment horizontal="left" wrapText="1"/>
      <protection/>
    </xf>
    <xf numFmtId="164" fontId="89" fillId="0" borderId="0" xfId="57" applyNumberFormat="1" applyFont="1" applyFill="1" applyAlignment="1">
      <alignment vertical="center"/>
    </xf>
    <xf numFmtId="0" fontId="109" fillId="0" borderId="0" xfId="49" applyFont="1" applyAlignment="1">
      <alignment horizontal="center"/>
      <protection/>
    </xf>
    <xf numFmtId="0" fontId="89" fillId="11" borderId="0" xfId="35" applyFont="1" applyFill="1">
      <alignment/>
      <protection/>
    </xf>
    <xf numFmtId="164" fontId="89" fillId="0" borderId="0" xfId="46" applyNumberFormat="1" applyFont="1">
      <alignment/>
      <protection/>
    </xf>
    <xf numFmtId="0" fontId="109" fillId="11" borderId="0" xfId="49" applyFont="1" applyFill="1" applyAlignment="1">
      <alignment horizontal="center"/>
      <protection/>
    </xf>
    <xf numFmtId="0" fontId="111" fillId="0" borderId="0" xfId="49" applyFont="1">
      <alignment/>
      <protection/>
    </xf>
    <xf numFmtId="164" fontId="89" fillId="0" borderId="4" xfId="57" applyNumberFormat="1" applyFont="1" applyFill="1" applyBorder="1" applyAlignment="1">
      <alignment vertical="center"/>
    </xf>
    <xf numFmtId="0" fontId="110" fillId="11" borderId="0" xfId="49" applyFont="1" applyFill="1">
      <alignment/>
      <protection/>
    </xf>
    <xf numFmtId="164" fontId="110" fillId="0" borderId="0" xfId="57" applyNumberFormat="1" applyFont="1" applyFill="1" applyBorder="1"/>
    <xf numFmtId="164" fontId="89" fillId="0" borderId="0" xfId="57" applyNumberFormat="1" applyFont="1"/>
    <xf numFmtId="0" fontId="89" fillId="0" borderId="0" xfId="59" applyFont="1">
      <alignment/>
      <protection/>
    </xf>
    <xf numFmtId="0" fontId="110" fillId="0" borderId="0" xfId="49" applyFont="1">
      <alignment/>
      <protection/>
    </xf>
    <xf numFmtId="0" fontId="119" fillId="0" borderId="0" xfId="49" applyFont="1" applyAlignment="1">
      <alignment horizontal="center"/>
      <protection/>
    </xf>
    <xf numFmtId="164" fontId="89" fillId="0" borderId="0" xfId="57" applyNumberFormat="1" applyFont="1" applyAlignment="1">
      <alignment horizontal="center"/>
    </xf>
    <xf numFmtId="0" fontId="89" fillId="0" borderId="0" xfId="49" applyFont="1" applyAlignment="1">
      <alignment horizontal="center"/>
      <protection/>
    </xf>
    <xf numFmtId="164" fontId="89" fillId="11" borderId="0" xfId="57" applyNumberFormat="1" applyFont="1" applyFill="1" applyBorder="1" applyAlignment="1">
      <alignment vertical="center"/>
    </xf>
    <xf numFmtId="164" fontId="109" fillId="0" borderId="0" xfId="18" applyNumberFormat="1" applyFont="1" applyFill="1" applyBorder="1"/>
    <xf numFmtId="164" fontId="89" fillId="11" borderId="4" xfId="57" applyNumberFormat="1" applyFont="1" applyFill="1" applyBorder="1" applyAlignment="1">
      <alignment vertical="center"/>
    </xf>
    <xf numFmtId="164" fontId="110" fillId="0" borderId="0" xfId="49" applyNumberFormat="1" applyFont="1">
      <alignment/>
      <protection/>
    </xf>
    <xf numFmtId="164" fontId="110" fillId="0" borderId="2" xfId="49" applyNumberFormat="1" applyFont="1" applyBorder="1">
      <alignment/>
      <protection/>
    </xf>
    <xf numFmtId="0" fontId="118" fillId="0" borderId="0" xfId="46" applyFont="1" applyAlignment="1">
      <alignment horizontal="center"/>
      <protection/>
    </xf>
    <xf numFmtId="3" fontId="0" fillId="11" borderId="0" xfId="0" applyNumberFormat="1" applyFill="1"/>
    <xf numFmtId="3" fontId="89" fillId="0" borderId="24" xfId="18" applyNumberFormat="1" applyFont="1" applyFill="1" applyBorder="1"/>
    <xf numFmtId="41" fontId="0" fillId="0" borderId="11" xfId="54" applyNumberFormat="1" applyFont="1" applyFill="1" applyBorder="1"/>
    <xf numFmtId="41" fontId="42" fillId="0" borderId="11" xfId="54" applyNumberFormat="1" applyFont="1" applyFill="1" applyBorder="1"/>
    <xf numFmtId="41" fontId="0" fillId="0" borderId="0" xfId="54" applyNumberFormat="1" applyFont="1" applyFill="1" applyBorder="1"/>
    <xf numFmtId="41" fontId="30" fillId="0" borderId="13" xfId="54" applyNumberFormat="1" applyFont="1" applyFill="1" applyBorder="1" applyAlignment="1">
      <alignment horizontal="center" wrapText="1"/>
    </xf>
    <xf numFmtId="164" fontId="0" fillId="0" borderId="11" xfId="20" applyNumberFormat="1" applyFont="1" applyFill="1" applyBorder="1"/>
    <xf numFmtId="164" fontId="0" fillId="0" borderId="13" xfId="20" applyNumberFormat="1" applyFont="1" applyFill="1" applyBorder="1"/>
    <xf numFmtId="41" fontId="42" fillId="0" borderId="0" xfId="54" applyNumberFormat="1" applyFont="1" applyFill="1" applyBorder="1"/>
    <xf numFmtId="41" fontId="30" fillId="0" borderId="9" xfId="54" applyNumberFormat="1" applyFont="1" applyFill="1" applyBorder="1" applyAlignment="1">
      <alignment horizontal="center" wrapText="1"/>
    </xf>
    <xf numFmtId="164" fontId="59" fillId="0" borderId="0" xfId="20" applyNumberFormat="1" applyFont="1" applyFill="1" applyBorder="1" applyAlignment="1">
      <alignment horizontal="center" wrapText="1"/>
    </xf>
    <xf numFmtId="164" fontId="0" fillId="0" borderId="9" xfId="20" applyNumberFormat="1" applyFont="1" applyFill="1" applyBorder="1"/>
    <xf numFmtId="41" fontId="42" fillId="0" borderId="0" xfId="54" applyNumberFormat="1" applyFont="1" applyFill="1" applyBorder="1" applyAlignment="1">
      <alignment horizontal="center" wrapText="1"/>
    </xf>
    <xf numFmtId="38" fontId="0" fillId="0" borderId="0" xfId="0" applyNumberFormat="1"/>
    <xf numFmtId="41" fontId="0" fillId="0" borderId="1" xfId="54" applyNumberFormat="1" applyFont="1" applyFill="1" applyBorder="1"/>
    <xf numFmtId="41" fontId="42" fillId="0" borderId="1" xfId="54" applyNumberFormat="1" applyFont="1" applyFill="1" applyBorder="1"/>
    <xf numFmtId="41" fontId="30" fillId="0" borderId="8" xfId="54" applyNumberFormat="1" applyFont="1" applyFill="1" applyBorder="1" applyAlignment="1">
      <alignment horizontal="center" wrapText="1"/>
    </xf>
    <xf numFmtId="164" fontId="0" fillId="0" borderId="1" xfId="20" applyNumberFormat="1" applyFont="1" applyFill="1" applyBorder="1"/>
    <xf numFmtId="164" fontId="0" fillId="0" borderId="8" xfId="20" applyNumberFormat="1" applyFont="1" applyFill="1" applyBorder="1"/>
    <xf numFmtId="43" fontId="42" fillId="0" borderId="0" xfId="18" applyFont="1" applyFill="1"/>
    <xf numFmtId="41" fontId="0" fillId="0" borderId="9" xfId="54" applyNumberFormat="1" applyFont="1" applyFill="1" applyBorder="1"/>
    <xf numFmtId="43" fontId="0" fillId="0" borderId="0" xfId="0" applyNumberFormat="1" applyFont="1" applyAlignment="1">
      <alignment horizontal="center"/>
    </xf>
    <xf numFmtId="178" fontId="42" fillId="0" borderId="0" xfId="0" applyNumberFormat="1" applyFont="1" applyAlignment="1">
      <alignment horizontal="center"/>
    </xf>
    <xf numFmtId="0" fontId="42" fillId="0" borderId="1" xfId="0" applyFont="1" applyBorder="1"/>
    <xf numFmtId="0" fontId="59" fillId="0" borderId="0" xfId="0" applyFont="1" applyAlignment="1">
      <alignment wrapText="1"/>
    </xf>
    <xf numFmtId="0" fontId="42" fillId="0" borderId="43" xfId="0" applyFont="1" applyBorder="1" applyAlignment="1">
      <alignment horizontal="center" wrapText="1"/>
    </xf>
    <xf numFmtId="0" fontId="42" fillId="0" borderId="41" xfId="0" applyFont="1" applyBorder="1"/>
    <xf numFmtId="41" fontId="0" fillId="0" borderId="58" xfId="54" applyNumberFormat="1" applyFont="1" applyFill="1" applyBorder="1"/>
    <xf numFmtId="189" fontId="77" fillId="0" borderId="0" xfId="29" applyNumberFormat="1" applyFont="1" applyFill="1" applyBorder="1" applyAlignment="1">
      <alignment horizontal="left"/>
    </xf>
    <xf numFmtId="39" fontId="0" fillId="0" borderId="0" xfId="0" applyNumberFormat="1" applyFont="1"/>
    <xf numFmtId="0" fontId="42" fillId="0" borderId="13" xfId="0" applyFont="1" applyBorder="1" applyAlignment="1">
      <alignment horizontal="center" wrapText="1"/>
    </xf>
    <xf numFmtId="41" fontId="101" fillId="11" borderId="0" xfId="18" applyNumberFormat="1" applyFont="1" applyFill="1" applyAlignment="1">
      <alignment horizontal="center"/>
    </xf>
    <xf numFmtId="41" fontId="101" fillId="11" borderId="0" xfId="55" applyNumberFormat="1" applyFont="1" applyFill="1" applyAlignment="1">
      <alignment horizontal="center"/>
      <protection/>
    </xf>
    <xf numFmtId="41" fontId="0" fillId="11" borderId="0" xfId="18" applyNumberFormat="1" applyFont="1" applyFill="1"/>
    <xf numFmtId="41" fontId="0" fillId="11" borderId="0" xfId="0" applyNumberFormat="1" applyFont="1" applyFill="1"/>
    <xf numFmtId="0" fontId="13" fillId="0" borderId="0" xfId="0" applyFont="1" applyAlignment="1">
      <alignment horizontal="center"/>
    </xf>
    <xf numFmtId="169" fontId="6" fillId="0" borderId="0" xfId="36" applyFont="1" applyAlignment="1" applyProtection="1">
      <alignment horizontal="left"/>
      <protection locked="0"/>
    </xf>
    <xf numFmtId="0" fontId="0" fillId="0" borderId="0" xfId="0" applyAlignment="1">
      <alignment horizontal="left"/>
    </xf>
    <xf numFmtId="0" fontId="6" fillId="0" borderId="0" xfId="0" applyFont="1" applyAlignment="1">
      <alignment horizontal="left" vertical="top" wrapText="1"/>
    </xf>
    <xf numFmtId="0" fontId="33" fillId="0" borderId="0" xfId="0" applyFont="1" applyAlignment="1">
      <alignment horizontal="left" wrapText="1"/>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wrapText="1"/>
    </xf>
    <xf numFmtId="0" fontId="3" fillId="0" borderId="6" xfId="0" applyFont="1" applyBorder="1" applyAlignment="1">
      <alignment horizontal="center"/>
    </xf>
    <xf numFmtId="0" fontId="3" fillId="0" borderId="5" xfId="0" applyFont="1" applyBorder="1" applyAlignment="1">
      <alignment horizontal="center"/>
    </xf>
    <xf numFmtId="0" fontId="3" fillId="0" borderId="28" xfId="0" applyFont="1" applyBorder="1" applyAlignment="1">
      <alignment horizontal="center"/>
    </xf>
    <xf numFmtId="164" fontId="4" fillId="0" borderId="0" xfId="54" applyNumberFormat="1" applyFont="1" applyAlignment="1">
      <alignment horizontal="center"/>
    </xf>
    <xf numFmtId="0" fontId="101" fillId="0" borderId="0" xfId="49" applyFont="1" applyAlignment="1">
      <alignment horizontal="left" vertical="top" wrapText="1"/>
      <protection/>
    </xf>
    <xf numFmtId="0" fontId="0" fillId="0" borderId="0" xfId="46" applyFont="1" applyAlignment="1">
      <alignment horizontal="left" vertical="top" wrapText="1"/>
      <protection/>
    </xf>
    <xf numFmtId="0" fontId="96" fillId="0" borderId="0" xfId="0" applyFont="1" applyAlignment="1">
      <alignment horizontal="center"/>
    </xf>
    <xf numFmtId="0" fontId="97" fillId="0" borderId="0" xfId="0" applyFont="1" applyAlignment="1">
      <alignment horizontal="center"/>
    </xf>
    <xf numFmtId="0" fontId="101" fillId="0" borderId="0" xfId="46" applyFont="1" applyAlignment="1">
      <alignment wrapText="1"/>
      <protection/>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0" fillId="0" borderId="0" xfId="0"/>
    <xf numFmtId="0" fontId="6" fillId="0" borderId="0" xfId="0" applyFont="1" applyAlignment="1">
      <alignment horizontal="center"/>
    </xf>
    <xf numFmtId="0" fontId="0" fillId="0" borderId="0" xfId="0" applyFont="1"/>
    <xf numFmtId="0" fontId="27" fillId="0" borderId="0" xfId="0" applyFont="1" applyAlignment="1">
      <alignment horizontal="center"/>
    </xf>
    <xf numFmtId="0" fontId="6" fillId="0" borderId="0" xfId="0" applyFont="1" applyAlignment="1">
      <alignment horizontal="center"/>
    </xf>
    <xf numFmtId="0" fontId="37" fillId="0" borderId="0" xfId="0" applyFont="1" applyAlignment="1">
      <alignment horizontal="center"/>
    </xf>
    <xf numFmtId="0" fontId="30" fillId="0" borderId="1" xfId="0" applyFont="1" applyBorder="1" applyAlignment="1">
      <alignment horizontal="center" wrapText="1"/>
    </xf>
    <xf numFmtId="0" fontId="30" fillId="0" borderId="8" xfId="0" applyFont="1" applyBorder="1" applyAlignment="1">
      <alignment horizontal="center" wrapText="1"/>
    </xf>
    <xf numFmtId="0" fontId="29" fillId="5" borderId="11" xfId="0" applyFont="1" applyFill="1" applyBorder="1" applyAlignment="1">
      <alignment horizontal="center" wrapText="1"/>
    </xf>
    <xf numFmtId="0" fontId="30" fillId="0" borderId="11" xfId="0" applyFont="1" applyBorder="1" applyAlignment="1">
      <alignment horizontal="center" wrapText="1"/>
    </xf>
    <xf numFmtId="0" fontId="30" fillId="0" borderId="13" xfId="0" applyFont="1" applyBorder="1" applyAlignment="1">
      <alignment horizontal="center" wrapText="1"/>
    </xf>
    <xf numFmtId="0" fontId="0" fillId="5" borderId="12" xfId="48" applyFill="1" applyBorder="1" applyAlignment="1">
      <alignment horizontal="center"/>
      <protection/>
    </xf>
    <xf numFmtId="0" fontId="0" fillId="5" borderId="11" xfId="48" applyFill="1" applyBorder="1" applyAlignment="1">
      <alignment horizontal="center"/>
      <protection/>
    </xf>
    <xf numFmtId="164" fontId="0" fillId="5" borderId="12" xfId="18" applyNumberFormat="1" applyFont="1" applyFill="1" applyBorder="1" applyAlignment="1">
      <alignment/>
    </xf>
    <xf numFmtId="164" fontId="0" fillId="5" borderId="11" xfId="18" applyNumberFormat="1" applyFont="1" applyFill="1" applyBorder="1" applyAlignment="1">
      <alignment/>
    </xf>
    <xf numFmtId="0" fontId="33" fillId="0" borderId="0" xfId="0" applyFont="1" applyAlignment="1">
      <alignment horizontal="center" wrapText="1"/>
    </xf>
    <xf numFmtId="0" fontId="30" fillId="0" borderId="0" xfId="0" applyFont="1" applyAlignment="1">
      <alignment horizontal="center" wrapText="1"/>
    </xf>
    <xf numFmtId="0" fontId="30" fillId="0" borderId="9" xfId="0" applyFont="1" applyBorder="1" applyAlignment="1">
      <alignment horizontal="center" wrapText="1"/>
    </xf>
    <xf numFmtId="0" fontId="38" fillId="5" borderId="12" xfId="0" applyFont="1" applyFill="1" applyBorder="1" applyAlignment="1">
      <alignment horizontal="center"/>
    </xf>
    <xf numFmtId="0" fontId="38" fillId="5" borderId="11" xfId="0" applyFont="1" applyFill="1" applyBorder="1" applyAlignment="1">
      <alignment horizontal="center"/>
    </xf>
    <xf numFmtId="0" fontId="38" fillId="5" borderId="13" xfId="0" applyFont="1" applyFill="1" applyBorder="1" applyAlignment="1">
      <alignment horizontal="center"/>
    </xf>
    <xf numFmtId="3" fontId="30" fillId="0" borderId="0" xfId="0" applyNumberFormat="1" applyFont="1" applyAlignment="1">
      <alignment horizontal="left" wrapText="1"/>
    </xf>
    <xf numFmtId="0" fontId="0" fillId="0" borderId="0" xfId="0" applyFont="1" applyAlignment="1">
      <alignment wrapText="1"/>
    </xf>
    <xf numFmtId="0" fontId="0" fillId="0" borderId="9" xfId="0" applyFont="1" applyBorder="1" applyAlignment="1">
      <alignment wrapText="1"/>
    </xf>
    <xf numFmtId="0" fontId="0" fillId="0" borderId="0" xfId="0" applyAlignment="1">
      <alignment wrapText="1"/>
    </xf>
    <xf numFmtId="0" fontId="0" fillId="0" borderId="9" xfId="0" applyBorder="1" applyAlignment="1">
      <alignment wrapText="1"/>
    </xf>
    <xf numFmtId="3" fontId="33" fillId="0" borderId="0" xfId="0" applyNumberFormat="1" applyFont="1" applyAlignment="1">
      <alignment horizontal="left" wrapText="1"/>
    </xf>
    <xf numFmtId="0" fontId="3" fillId="0" borderId="0" xfId="0" applyFont="1" applyAlignment="1">
      <alignment wrapText="1"/>
    </xf>
    <xf numFmtId="0" fontId="3" fillId="0" borderId="9" xfId="0" applyFont="1" applyBorder="1" applyAlignment="1">
      <alignment wrapText="1"/>
    </xf>
    <xf numFmtId="0" fontId="29" fillId="5" borderId="13" xfId="0" applyFont="1" applyFill="1" applyBorder="1" applyAlignment="1">
      <alignment horizontal="center" wrapText="1"/>
    </xf>
    <xf numFmtId="0" fontId="24" fillId="5" borderId="11" xfId="0" applyFont="1" applyFill="1" applyBorder="1" applyAlignment="1">
      <alignment horizontal="center"/>
    </xf>
    <xf numFmtId="0" fontId="0" fillId="0" borderId="11" xfId="0" applyBorder="1" applyAlignment="1">
      <alignment horizontal="center"/>
    </xf>
    <xf numFmtId="0" fontId="33" fillId="0" borderId="1" xfId="0" applyFont="1" applyBorder="1" applyAlignment="1">
      <alignment horizontal="center" wrapText="1"/>
    </xf>
    <xf numFmtId="0" fontId="33" fillId="0" borderId="9" xfId="0" applyFont="1" applyBorder="1" applyAlignment="1">
      <alignment horizontal="center" wrapText="1"/>
    </xf>
    <xf numFmtId="0" fontId="33" fillId="4" borderId="1" xfId="0" applyFont="1" applyFill="1" applyBorder="1" applyAlignment="1">
      <alignment horizontal="center" wrapText="1"/>
    </xf>
    <xf numFmtId="0" fontId="30" fillId="4" borderId="1" xfId="0" applyFont="1" applyFill="1" applyBorder="1" applyAlignment="1">
      <alignment horizontal="center" wrapText="1"/>
    </xf>
    <xf numFmtId="0" fontId="30" fillId="4" borderId="8" xfId="0" applyFont="1" applyFill="1" applyBorder="1" applyAlignment="1">
      <alignment horizontal="center" wrapText="1"/>
    </xf>
    <xf numFmtId="0" fontId="33" fillId="4" borderId="1" xfId="0" applyFont="1" applyFill="1" applyBorder="1" applyAlignment="1">
      <alignment horizontal="left" wrapText="1"/>
    </xf>
    <xf numFmtId="0" fontId="30" fillId="4" borderId="1" xfId="0" applyFont="1" applyFill="1" applyBorder="1" applyAlignment="1">
      <alignment horizontal="left" wrapText="1"/>
    </xf>
    <xf numFmtId="0" fontId="30" fillId="4" borderId="8" xfId="0" applyFont="1" applyFill="1" applyBorder="1" applyAlignment="1">
      <alignment horizontal="left" wrapText="1"/>
    </xf>
    <xf numFmtId="0" fontId="38" fillId="0" borderId="12" xfId="0" applyFont="1" applyBorder="1" applyAlignment="1">
      <alignment horizontal="center"/>
    </xf>
    <xf numFmtId="0" fontId="38" fillId="0" borderId="11" xfId="0" applyFont="1" applyBorder="1" applyAlignment="1">
      <alignment horizontal="center"/>
    </xf>
    <xf numFmtId="0" fontId="38" fillId="0" borderId="13" xfId="0" applyFont="1" applyBorder="1" applyAlignment="1">
      <alignment horizontal="center"/>
    </xf>
    <xf numFmtId="0" fontId="35" fillId="0" borderId="0" xfId="0" applyFont="1" applyAlignment="1">
      <alignment horizontal="center"/>
    </xf>
    <xf numFmtId="0" fontId="34" fillId="5" borderId="11" xfId="0" applyFont="1" applyFill="1" applyBorder="1" applyAlignment="1">
      <alignment horizontal="center" wrapText="1"/>
    </xf>
    <xf numFmtId="0" fontId="34" fillId="5" borderId="13" xfId="0" applyFont="1" applyFill="1" applyBorder="1" applyAlignment="1">
      <alignment horizontal="center"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0" xfId="0" applyAlignment="1">
      <alignment horizontal="center" wrapText="1"/>
    </xf>
    <xf numFmtId="0" fontId="0" fillId="0" borderId="9" xfId="0" applyBorder="1" applyAlignment="1">
      <alignment horizontal="center" wrapText="1"/>
    </xf>
    <xf numFmtId="0" fontId="0" fillId="0" borderId="13" xfId="0" applyBorder="1" applyAlignment="1">
      <alignment horizontal="center"/>
    </xf>
    <xf numFmtId="0" fontId="0" fillId="0" borderId="6" xfId="0" applyFont="1" applyBorder="1" applyAlignment="1">
      <alignment horizontal="center"/>
    </xf>
    <xf numFmtId="0" fontId="0" fillId="0" borderId="5" xfId="0" applyFont="1" applyBorder="1" applyAlignment="1">
      <alignment horizontal="center"/>
    </xf>
    <xf numFmtId="0" fontId="0" fillId="0" borderId="28" xfId="0" applyFont="1" applyBorder="1" applyAlignment="1">
      <alignment horizontal="center"/>
    </xf>
    <xf numFmtId="0" fontId="42" fillId="0" borderId="0" xfId="0" applyFont="1" applyAlignment="1">
      <alignment horizontal="left" vertical="top" wrapText="1"/>
    </xf>
    <xf numFmtId="0" fontId="0" fillId="0" borderId="0" xfId="0" applyAlignment="1">
      <alignment vertical="top"/>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28" xfId="0" applyBorder="1" applyAlignment="1">
      <alignment horizontal="center"/>
    </xf>
    <xf numFmtId="0" fontId="43" fillId="0" borderId="0" xfId="0" applyFont="1" applyAlignment="1">
      <alignment horizontal="left" vertical="top" wrapText="1"/>
    </xf>
    <xf numFmtId="0" fontId="52" fillId="0" borderId="0" xfId="0" applyFont="1" applyAlignment="1">
      <alignment horizontal="center"/>
    </xf>
    <xf numFmtId="0" fontId="3" fillId="0" borderId="12" xfId="0" applyFont="1" applyBorder="1" applyAlignment="1">
      <alignment horizontal="center" wrapText="1"/>
    </xf>
    <xf numFmtId="0" fontId="3" fillId="0" borderId="11" xfId="0" applyFont="1" applyBorder="1" applyAlignment="1">
      <alignment horizontal="center" wrapText="1"/>
    </xf>
    <xf numFmtId="0" fontId="3" fillId="0" borderId="13" xfId="0" applyFont="1" applyBorder="1" applyAlignment="1">
      <alignment horizontal="center"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28" xfId="0" applyFont="1" applyBorder="1" applyAlignment="1">
      <alignment horizontal="center" wrapText="1"/>
    </xf>
    <xf numFmtId="0" fontId="33" fillId="0" borderId="6" xfId="0" applyFont="1" applyBorder="1" applyAlignment="1">
      <alignment horizontal="center" wrapText="1"/>
    </xf>
    <xf numFmtId="0" fontId="33" fillId="0" borderId="5" xfId="0" applyFont="1" applyBorder="1" applyAlignment="1">
      <alignment horizontal="center" wrapText="1"/>
    </xf>
    <xf numFmtId="0" fontId="33" fillId="0" borderId="28" xfId="0" applyFont="1"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6" fillId="0" borderId="0" xfId="48" applyFont="1" applyAlignment="1">
      <alignment horizontal="center"/>
      <protection/>
    </xf>
  </cellXfs>
  <cellStyles count="46">
    <cellStyle name="Normal" xfId="0" builtinId="0"/>
    <cellStyle name="Percent" xfId="15" builtinId="5"/>
    <cellStyle name="Currency" xfId="16" builtinId="4"/>
    <cellStyle name="Currency [0]" xfId="17" builtinId="7"/>
    <cellStyle name="Comma" xfId="18" builtinId="3"/>
    <cellStyle name="Comma [0]" xfId="19" builtinId="6"/>
    <cellStyle name="Comma 2" xfId="20"/>
    <cellStyle name="Comma 2 2" xfId="21"/>
    <cellStyle name="Comma 3" xfId="22"/>
    <cellStyle name="Comma 3 2" xfId="23"/>
    <cellStyle name="Comma 4" xfId="24"/>
    <cellStyle name="Comma 4 2" xfId="25"/>
    <cellStyle name="Comma 5" xfId="26"/>
    <cellStyle name="Comma 9" xfId="27"/>
    <cellStyle name="Currency 2" xfId="28"/>
    <cellStyle name="Currency 2 2" xfId="29"/>
    <cellStyle name="Currency 3" xfId="30"/>
    <cellStyle name="Currency 3 2" xfId="31"/>
    <cellStyle name="Normal 2" xfId="32"/>
    <cellStyle name="Normal 3" xfId="33"/>
    <cellStyle name="Normal 3 2" xfId="34"/>
    <cellStyle name="Normal 4" xfId="35"/>
    <cellStyle name="Normal_FN1 Ratebase Draft SPP template (6-11-04) v2" xfId="36"/>
    <cellStyle name="Percent 2" xfId="37"/>
    <cellStyle name="Percent 2 2" xfId="38"/>
    <cellStyle name="Percent 3" xfId="39"/>
    <cellStyle name="PSChar" xfId="40"/>
    <cellStyle name="PSDate" xfId="41"/>
    <cellStyle name="PSDec" xfId="42"/>
    <cellStyle name="PSHeading" xfId="43"/>
    <cellStyle name="PSInt" xfId="44"/>
    <cellStyle name="PSSpacer" xfId="45"/>
    <cellStyle name="Normal 5" xfId="46"/>
    <cellStyle name="Normal 10" xfId="47"/>
    <cellStyle name="Normal 2 3" xfId="48"/>
    <cellStyle name="Normal 5 4" xfId="49"/>
    <cellStyle name="Normal 10 2" xfId="50"/>
    <cellStyle name="Normal 2 3 2" xfId="51"/>
    <cellStyle name="Normal 6" xfId="52"/>
    <cellStyle name="Normal 5 2" xfId="53"/>
    <cellStyle name="Comma 2 2 2" xfId="54"/>
    <cellStyle name="Normal 6 2" xfId="55"/>
    <cellStyle name="Normal 9" xfId="56"/>
    <cellStyle name="Comma 3 4" xfId="57"/>
    <cellStyle name="Percent 2 2 2" xfId="58"/>
    <cellStyle name="Normal 2 2 2" xfId="59"/>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6" Type="http://schemas.openxmlformats.org/officeDocument/2006/relationships/sharedStrings" Target="sharedStrings.xml" /><Relationship Id="rId14" Type="http://schemas.openxmlformats.org/officeDocument/2006/relationships/worksheet" Target="worksheets/sheet1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17" Type="http://schemas.openxmlformats.org/officeDocument/2006/relationships/calcChain" Target="calcChain.xml" /><Relationship Id="rId6" Type="http://schemas.openxmlformats.org/officeDocument/2006/relationships/worksheet" Target="worksheets/sheet4.xml" /><Relationship Id="rId15" Type="http://schemas.openxmlformats.org/officeDocument/2006/relationships/worksheet" Target="worksheets/sheet13.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vmlDrawing2.vml.rels><?xml version="1.0" encoding="UTF-8" standalone="yes"?><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24</xdr:col>
      <xdr:colOff>0</xdr:colOff>
      <xdr:row>36</xdr:row>
      <xdr:rowOff>114300</xdr:rowOff>
    </xdr:from>
    <xdr:to>
      <xdr:col>24</xdr:col>
      <xdr:colOff>0</xdr:colOff>
      <xdr:row>37</xdr:row>
      <xdr:rowOff>85725</xdr:rowOff>
    </xdr:to>
    <xdr:sp>
      <xdr:nvSpPr>
        <xdr:cNvPr id="7173" name="WordArt 5">
          <a:extLst>
            <a:ext uri="{FF2B5EF4-FFF2-40B4-BE49-F238E27FC236}">
              <a16:creationId xmlns:a16="http://schemas.microsoft.com/office/drawing/2014/main" id="{00000000-0008-0000-0900-0000051c0000}"/>
            </a:ext>
          </a:extLst>
        </xdr:cNvPr>
        <xdr:cNvSpPr>
          <a:spLocks noChangeArrowheads="1" noChangeShapeType="1" noTextEdit="1"/>
        </xdr:cNvSpPr>
      </xdr:nvSpPr>
      <xdr:spPr bwMode="auto">
        <a:xfrm>
          <a:off x="24688800" y="7696200"/>
          <a:ext cx="0" cy="14478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25</xdr:col>
      <xdr:colOff>0</xdr:colOff>
      <xdr:row>137</xdr:row>
      <xdr:rowOff>107950</xdr:rowOff>
    </xdr:from>
    <xdr:to>
      <xdr:col>25</xdr:col>
      <xdr:colOff>0</xdr:colOff>
      <xdr:row>138</xdr:row>
      <xdr:rowOff>89323</xdr:rowOff>
    </xdr:to>
    <xdr:sp>
      <xdr:nvSpPr>
        <xdr:cNvPr id="8" name="WordArt 5">
          <a:extLst>
            <a:ext uri="{FF2B5EF4-FFF2-40B4-BE49-F238E27FC236}">
              <a16:creationId xmlns:a16="http://schemas.microsoft.com/office/drawing/2014/main" id="{00000000-0008-0000-0900-000008000000}"/>
            </a:ext>
          </a:extLst>
        </xdr:cNvPr>
        <xdr:cNvSpPr>
          <a:spLocks noChangeArrowheads="1" noChangeShapeType="1" noTextEdit="1"/>
        </xdr:cNvSpPr>
      </xdr:nvSpPr>
      <xdr:spPr bwMode="auto">
        <a:xfrm>
          <a:off x="27980640" y="27645360"/>
          <a:ext cx="0" cy="16764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xdr:nvSpPr>
        <xdr:cNvPr id="2" name="WordArt 5">
          <a:extLst>
            <a:ext uri="{FF2B5EF4-FFF2-40B4-BE49-F238E27FC236}">
              <a16:creationId xmlns:a16="http://schemas.microsoft.com/office/drawing/2014/main" id="{00000000-0008-0000-0900-000002000000}"/>
            </a:ext>
          </a:extLst>
        </xdr:cNvPr>
        <xdr:cNvSpPr>
          <a:spLocks noChangeArrowheads="1" noChangeShapeType="1" noTextEdit="1"/>
        </xdr:cNvSpPr>
      </xdr:nvSpPr>
      <xdr:spPr bwMode="auto">
        <a:xfrm>
          <a:off x="27980640" y="7696200"/>
          <a:ext cx="0" cy="14478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23</xdr:col>
      <xdr:colOff>0</xdr:colOff>
      <xdr:row>137</xdr:row>
      <xdr:rowOff>107950</xdr:rowOff>
    </xdr:from>
    <xdr:to>
      <xdr:col>23</xdr:col>
      <xdr:colOff>0</xdr:colOff>
      <xdr:row>138</xdr:row>
      <xdr:rowOff>89323</xdr:rowOff>
    </xdr:to>
    <xdr:sp>
      <xdr:nvSpPr>
        <xdr:cNvPr id="4" name="WordArt 5">
          <a:extLst>
            <a:ext uri="{FF2B5EF4-FFF2-40B4-BE49-F238E27FC236}">
              <a16:creationId xmlns:a16="http://schemas.microsoft.com/office/drawing/2014/main" id="{00000000-0008-0000-0900-000004000000}"/>
            </a:ext>
          </a:extLst>
        </xdr:cNvPr>
        <xdr:cNvSpPr>
          <a:spLocks noChangeArrowheads="1" noChangeShapeType="1" noTextEdit="1"/>
        </xdr:cNvSpPr>
      </xdr:nvSpPr>
      <xdr:spPr bwMode="auto">
        <a:xfrm>
          <a:off x="24681180" y="27645360"/>
          <a:ext cx="0" cy="16764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xdr:nvSpPr>
        <xdr:cNvPr id="6" name="WordArt 5">
          <a:extLst>
            <a:ext uri="{FF2B5EF4-FFF2-40B4-BE49-F238E27FC236}">
              <a16:creationId xmlns:a16="http://schemas.microsoft.com/office/drawing/2014/main" id="{00000000-0008-0000-0900-000006000000}"/>
            </a:ext>
          </a:extLst>
        </xdr:cNvPr>
        <xdr:cNvSpPr>
          <a:spLocks noChangeArrowheads="1" noChangeShapeType="1" noTextEdit="1"/>
        </xdr:cNvSpPr>
      </xdr:nvSpPr>
      <xdr:spPr bwMode="auto">
        <a:xfrm>
          <a:off x="27980640" y="7696200"/>
          <a:ext cx="0" cy="14478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23</xdr:col>
      <xdr:colOff>0</xdr:colOff>
      <xdr:row>137</xdr:row>
      <xdr:rowOff>107950</xdr:rowOff>
    </xdr:from>
    <xdr:to>
      <xdr:col>23</xdr:col>
      <xdr:colOff>0</xdr:colOff>
      <xdr:row>138</xdr:row>
      <xdr:rowOff>89323</xdr:rowOff>
    </xdr:to>
    <xdr:sp>
      <xdr:nvSpPr>
        <xdr:cNvPr id="10" name="WordArt 5">
          <a:extLst>
            <a:ext uri="{FF2B5EF4-FFF2-40B4-BE49-F238E27FC236}">
              <a16:creationId xmlns:a16="http://schemas.microsoft.com/office/drawing/2014/main" id="{00000000-0008-0000-0900-00000a000000}"/>
            </a:ext>
          </a:extLst>
        </xdr:cNvPr>
        <xdr:cNvSpPr>
          <a:spLocks noChangeArrowheads="1" noChangeShapeType="1" noTextEdit="1"/>
        </xdr:cNvSpPr>
      </xdr:nvSpPr>
      <xdr:spPr bwMode="auto">
        <a:xfrm>
          <a:off x="24681180" y="27645360"/>
          <a:ext cx="0" cy="16764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24</xdr:col>
      <xdr:colOff>0</xdr:colOff>
      <xdr:row>36</xdr:row>
      <xdr:rowOff>114300</xdr:rowOff>
    </xdr:from>
    <xdr:to>
      <xdr:col>24</xdr:col>
      <xdr:colOff>0</xdr:colOff>
      <xdr:row>37</xdr:row>
      <xdr:rowOff>85725</xdr:rowOff>
    </xdr:to>
    <xdr:sp>
      <xdr:nvSpPr>
        <xdr:cNvPr id="3" name="WordArt 5">
          <a:extLst>
            <a:ext uri="{FF2B5EF4-FFF2-40B4-BE49-F238E27FC236}">
              <a16:creationId xmlns:a16="http://schemas.microsoft.com/office/drawing/2014/main" id="{00000000-0008-0000-0900-000003000000}"/>
            </a:ext>
          </a:extLst>
        </xdr:cNvPr>
        <xdr:cNvSpPr>
          <a:spLocks noChangeArrowheads="1" noChangeShapeType="1" noTextEdit="1"/>
        </xdr:cNvSpPr>
      </xdr:nvSpPr>
      <xdr:spPr bwMode="auto">
        <a:xfrm>
          <a:off x="24688800" y="7696200"/>
          <a:ext cx="0" cy="14478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25</xdr:col>
      <xdr:colOff>0</xdr:colOff>
      <xdr:row>157</xdr:row>
      <xdr:rowOff>107950</xdr:rowOff>
    </xdr:from>
    <xdr:to>
      <xdr:col>25</xdr:col>
      <xdr:colOff>0</xdr:colOff>
      <xdr:row>158</xdr:row>
      <xdr:rowOff>89323</xdr:rowOff>
    </xdr:to>
    <xdr:sp>
      <xdr:nvSpPr>
        <xdr:cNvPr id="5" name="WordArt 5">
          <a:extLst>
            <a:ext uri="{FF2B5EF4-FFF2-40B4-BE49-F238E27FC236}">
              <a16:creationId xmlns:a16="http://schemas.microsoft.com/office/drawing/2014/main" id="{00000000-0008-0000-0900-000005000000}"/>
            </a:ext>
          </a:extLst>
        </xdr:cNvPr>
        <xdr:cNvSpPr>
          <a:spLocks noChangeArrowheads="1" noChangeShapeType="1" noTextEdit="1"/>
        </xdr:cNvSpPr>
      </xdr:nvSpPr>
      <xdr:spPr bwMode="auto">
        <a:xfrm>
          <a:off x="27980640" y="32956500"/>
          <a:ext cx="0" cy="16002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xdr:nvSpPr>
        <xdr:cNvPr id="7" name="WordArt 5">
          <a:extLst>
            <a:ext uri="{FF2B5EF4-FFF2-40B4-BE49-F238E27FC236}">
              <a16:creationId xmlns:a16="http://schemas.microsoft.com/office/drawing/2014/main" id="{00000000-0008-0000-0900-000007000000}"/>
            </a:ext>
          </a:extLst>
        </xdr:cNvPr>
        <xdr:cNvSpPr>
          <a:spLocks noChangeArrowheads="1" noChangeShapeType="1" noTextEdit="1"/>
        </xdr:cNvSpPr>
      </xdr:nvSpPr>
      <xdr:spPr bwMode="auto">
        <a:xfrm>
          <a:off x="27980640" y="7696200"/>
          <a:ext cx="0" cy="14478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23</xdr:col>
      <xdr:colOff>0</xdr:colOff>
      <xdr:row>157</xdr:row>
      <xdr:rowOff>107950</xdr:rowOff>
    </xdr:from>
    <xdr:to>
      <xdr:col>23</xdr:col>
      <xdr:colOff>0</xdr:colOff>
      <xdr:row>158</xdr:row>
      <xdr:rowOff>89323</xdr:rowOff>
    </xdr:to>
    <xdr:sp>
      <xdr:nvSpPr>
        <xdr:cNvPr id="9" name="WordArt 5">
          <a:extLst>
            <a:ext uri="{FF2B5EF4-FFF2-40B4-BE49-F238E27FC236}">
              <a16:creationId xmlns:a16="http://schemas.microsoft.com/office/drawing/2014/main" id="{00000000-0008-0000-0900-000009000000}"/>
            </a:ext>
          </a:extLst>
        </xdr:cNvPr>
        <xdr:cNvSpPr>
          <a:spLocks noChangeArrowheads="1" noChangeShapeType="1" noTextEdit="1"/>
        </xdr:cNvSpPr>
      </xdr:nvSpPr>
      <xdr:spPr bwMode="auto">
        <a:xfrm>
          <a:off x="24681180" y="32956500"/>
          <a:ext cx="0" cy="16002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xdr:nvSpPr>
        <xdr:cNvPr id="11" name="WordArt 5">
          <a:extLst>
            <a:ext uri="{FF2B5EF4-FFF2-40B4-BE49-F238E27FC236}">
              <a16:creationId xmlns:a16="http://schemas.microsoft.com/office/drawing/2014/main" id="{00000000-0008-0000-0900-00000b000000}"/>
            </a:ext>
          </a:extLst>
        </xdr:cNvPr>
        <xdr:cNvSpPr>
          <a:spLocks noChangeArrowheads="1" noChangeShapeType="1" noTextEdit="1"/>
        </xdr:cNvSpPr>
      </xdr:nvSpPr>
      <xdr:spPr bwMode="auto">
        <a:xfrm>
          <a:off x="27980640" y="7696200"/>
          <a:ext cx="0" cy="14478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23</xdr:col>
      <xdr:colOff>0</xdr:colOff>
      <xdr:row>157</xdr:row>
      <xdr:rowOff>107950</xdr:rowOff>
    </xdr:from>
    <xdr:to>
      <xdr:col>23</xdr:col>
      <xdr:colOff>0</xdr:colOff>
      <xdr:row>158</xdr:row>
      <xdr:rowOff>89323</xdr:rowOff>
    </xdr:to>
    <xdr:sp>
      <xdr:nvSpPr>
        <xdr:cNvPr id="12" name="WordArt 5">
          <a:extLst>
            <a:ext uri="{FF2B5EF4-FFF2-40B4-BE49-F238E27FC236}">
              <a16:creationId xmlns:a16="http://schemas.microsoft.com/office/drawing/2014/main" id="{00000000-0008-0000-0900-00000c000000}"/>
            </a:ext>
          </a:extLst>
        </xdr:cNvPr>
        <xdr:cNvSpPr>
          <a:spLocks noChangeArrowheads="1" noChangeShapeType="1" noTextEdit="1"/>
        </xdr:cNvSpPr>
      </xdr:nvSpPr>
      <xdr:spPr bwMode="auto">
        <a:xfrm>
          <a:off x="24681180" y="32956500"/>
          <a:ext cx="0" cy="16002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xdr:from>
          <xdr:col>2</xdr:col>
          <xdr:colOff>121920</xdr:colOff>
          <xdr:row>17</xdr:row>
          <xdr:rowOff>83820</xdr:rowOff>
        </xdr:from>
        <xdr:to>
          <xdr:col>5</xdr:col>
          <xdr:colOff>906780</xdr:colOff>
          <xdr:row>21</xdr:row>
          <xdr:rowOff>144780</xdr:rowOff>
        </xdr:to>
        <xdr:sp>
          <xdr:nvSpPr>
            <xdr:cNvPr id="21983" name="Object 479" hidden="1">
              <a:extLst>
                <a:ext uri="{63B3BB69-23CF-44E3-9099-C40C66FF867C}">
                  <a14:compatExt spid="_x0000_s21983"/>
                </a:ext>
                <a:ext uri="{FF2B5EF4-FFF2-40B4-BE49-F238E27FC236}">
                  <a16:creationId xmlns:a16="http://schemas.microsoft.com/office/drawing/2014/main" id="{00000000-0008-0000-0c00-0000df550000}"/>
                </a:ext>
              </a:extLst>
            </xdr:cNvPr>
            <xdr:cNvSpPr>
              <a:spLocks noChangeAspect="1"/>
            </xdr:cNvSpPr>
          </xdr:nvSpPr>
          <xdr:spPr bwMode="auto">
            <a:xfrm>
              <a:off x="1805940" y="3055620"/>
              <a:ext cx="4991100" cy="1066800"/>
            </a:xfrm>
            <a:prstGeom prst="rect"/>
            <a:noFill/>
            <a:ln w="9525">
              <a:noFill/>
            </a:ln>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printerSettings" Target="../printerSettings/printerSettings3.bin" /><Relationship Id="rId4" Type="http://schemas.openxmlformats.org/officeDocument/2006/relationships/printerSettings" Target="../printerSettings/printerSettings4.bin" /><Relationship Id="rId2" Type="http://schemas.openxmlformats.org/officeDocument/2006/relationships/printerSettings" Target="../printerSettings/printerSettings2.bin" /><Relationship Id="rId9" Type="http://schemas.openxmlformats.org/officeDocument/2006/relationships/printerSettings" Target="../printerSettings/printerSettings9.bin" /><Relationship Id="rId1" Type="http://schemas.openxmlformats.org/officeDocument/2006/relationships/printerSettings" Target="../printerSettings/printerSettings1.bin" /><Relationship Id="rId8" Type="http://schemas.openxmlformats.org/officeDocument/2006/relationships/printerSettings" Target="../printerSettings/printerSettings8.bin" /><Relationship Id="rId6" Type="http://schemas.openxmlformats.org/officeDocument/2006/relationships/printerSettings" Target="../printerSettings/printerSettings6.bin" /><Relationship Id="rId7" Type="http://schemas.openxmlformats.org/officeDocument/2006/relationships/printerSettings" Target="../printerSettings/printerSettings7.bin" /><Relationship Id="rId5" Type="http://schemas.openxmlformats.org/officeDocument/2006/relationships/printerSettings" Target="../printerSettings/printerSettings5.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5.xml.rels><?xml version="1.0" encoding="UTF-8" standalone="yes"?><Relationships xmlns="http://schemas.openxmlformats.org/package/2006/relationships"><Relationship Id="rId3" Type="http://schemas.openxmlformats.org/officeDocument/2006/relationships/printerSettings" Target="../printerSettings/printerSettings15.bin" /><Relationship Id="rId4" Type="http://schemas.openxmlformats.org/officeDocument/2006/relationships/printerSettings" Target="../printerSettings/printerSettings16.bin" /><Relationship Id="rId2" Type="http://schemas.openxmlformats.org/officeDocument/2006/relationships/printerSettings" Target="../printerSettings/printerSettings14.bin" /><Relationship Id="rId9" Type="http://schemas.openxmlformats.org/officeDocument/2006/relationships/printerSettings" Target="../printerSettings/printerSettings21.bin" /><Relationship Id="rId1" Type="http://schemas.openxmlformats.org/officeDocument/2006/relationships/printerSettings" Target="../printerSettings/printerSettings13.bin" /><Relationship Id="rId8" Type="http://schemas.openxmlformats.org/officeDocument/2006/relationships/printerSettings" Target="../printerSettings/printerSettings20.bin" /><Relationship Id="rId6" Type="http://schemas.openxmlformats.org/officeDocument/2006/relationships/printerSettings" Target="../printerSettings/printerSettings18.bin" /><Relationship Id="rId7" Type="http://schemas.openxmlformats.org/officeDocument/2006/relationships/printerSettings" Target="../printerSettings/printerSettings19.bin" /><Relationship Id="rId5" Type="http://schemas.openxmlformats.org/officeDocument/2006/relationships/printerSettings" Target="../printerSettings/printerSettings17.bin" /></Relationships>
</file>

<file path=xl/worksheets/_rels/sheet6.xml.rels><?xml version="1.0" encoding="UTF-8" standalone="yes"?><Relationships xmlns="http://schemas.openxmlformats.org/package/2006/relationships"><Relationship Id="rId3" Type="http://schemas.openxmlformats.org/officeDocument/2006/relationships/printerSettings" Target="../printerSettings/printerSettings24.bin" /><Relationship Id="rId4" Type="http://schemas.openxmlformats.org/officeDocument/2006/relationships/printerSettings" Target="../printerSettings/printerSettings25.bin" /><Relationship Id="rId2" Type="http://schemas.openxmlformats.org/officeDocument/2006/relationships/printerSettings" Target="../printerSettings/printerSettings23.bin" /><Relationship Id="rId9" Type="http://schemas.openxmlformats.org/officeDocument/2006/relationships/printerSettings" Target="../printerSettings/printerSettings30.bin" /><Relationship Id="rId1" Type="http://schemas.openxmlformats.org/officeDocument/2006/relationships/printerSettings" Target="../printerSettings/printerSettings22.bin" /><Relationship Id="rId8" Type="http://schemas.openxmlformats.org/officeDocument/2006/relationships/printerSettings" Target="../printerSettings/printerSettings29.bin" /><Relationship Id="rId6" Type="http://schemas.openxmlformats.org/officeDocument/2006/relationships/printerSettings" Target="../printerSettings/printerSettings27.bin" /><Relationship Id="rId7" Type="http://schemas.openxmlformats.org/officeDocument/2006/relationships/printerSettings" Target="../printerSettings/printerSettings28.bin" /><Relationship Id="rId5" Type="http://schemas.openxmlformats.org/officeDocument/2006/relationships/printerSettings" Target="../printerSettings/printerSettings26.bin" /></Relationships>
</file>

<file path=xl/worksheets/_rels/sheet7.xml.rels><?xml version="1.0" encoding="UTF-8" standalone="yes"?><Relationships xmlns="http://schemas.openxmlformats.org/package/2006/relationships"><Relationship Id="rId3" Type="http://schemas.openxmlformats.org/officeDocument/2006/relationships/printerSettings" Target="../printerSettings/printerSettings33.bin" /><Relationship Id="rId4" Type="http://schemas.openxmlformats.org/officeDocument/2006/relationships/printerSettings" Target="../printerSettings/printerSettings34.bin" /><Relationship Id="rId2" Type="http://schemas.openxmlformats.org/officeDocument/2006/relationships/printerSettings" Target="../printerSettings/printerSettings32.bin" /><Relationship Id="rId9" Type="http://schemas.openxmlformats.org/officeDocument/2006/relationships/printerSettings" Target="../printerSettings/printerSettings39.bin" /><Relationship Id="rId1" Type="http://schemas.openxmlformats.org/officeDocument/2006/relationships/printerSettings" Target="../printerSettings/printerSettings31.bin" /><Relationship Id="rId8" Type="http://schemas.openxmlformats.org/officeDocument/2006/relationships/printerSettings" Target="../printerSettings/printerSettings38.bin" /><Relationship Id="rId6" Type="http://schemas.openxmlformats.org/officeDocument/2006/relationships/printerSettings" Target="../printerSettings/printerSettings36.bin" /><Relationship Id="rId7" Type="http://schemas.openxmlformats.org/officeDocument/2006/relationships/printerSettings" Target="../printerSettings/printerSettings37.bin" /><Relationship Id="rId5" Type="http://schemas.openxmlformats.org/officeDocument/2006/relationships/printerSettings" Target="../printerSettings/printerSettings35.bin" /></Relationships>
</file>

<file path=xl/worksheets/_rels/sheet8.xml.rels><?xml version="1.0" encoding="UTF-8" standalone="yes"?><Relationships xmlns="http://schemas.openxmlformats.org/package/2006/relationships"><Relationship Id="rId3" Type="http://schemas.openxmlformats.org/officeDocument/2006/relationships/printerSettings" Target="../printerSettings/printerSettings42.bin" /><Relationship Id="rId4" Type="http://schemas.openxmlformats.org/officeDocument/2006/relationships/printerSettings" Target="../printerSettings/printerSettings43.bin" /><Relationship Id="rId2" Type="http://schemas.openxmlformats.org/officeDocument/2006/relationships/printerSettings" Target="../printerSettings/printerSettings41.bin" /><Relationship Id="rId9" Type="http://schemas.openxmlformats.org/officeDocument/2006/relationships/printerSettings" Target="../printerSettings/printerSettings48.bin" /><Relationship Id="rId1" Type="http://schemas.openxmlformats.org/officeDocument/2006/relationships/printerSettings" Target="../printerSettings/printerSettings40.bin" /><Relationship Id="rId8" Type="http://schemas.openxmlformats.org/officeDocument/2006/relationships/printerSettings" Target="../printerSettings/printerSettings47.bin" /><Relationship Id="rId6" Type="http://schemas.openxmlformats.org/officeDocument/2006/relationships/printerSettings" Target="../printerSettings/printerSettings45.bin" /><Relationship Id="rId7" Type="http://schemas.openxmlformats.org/officeDocument/2006/relationships/printerSettings" Target="../printerSettings/printerSettings46.bin" /><Relationship Id="rId5" Type="http://schemas.openxmlformats.org/officeDocument/2006/relationships/printerSettings" Target="../printerSettings/printerSettings44.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49.bin" /></Relationships>
</file>

<file path=xl/worksheets/_rels/sheet10.xml.rels><?xml version="1.0" encoding="UTF-8" standalone="yes"?><Relationships xmlns="http://schemas.openxmlformats.org/package/2006/relationships"><Relationship Id="rId3" Type="http://schemas.openxmlformats.org/officeDocument/2006/relationships/printerSettings" Target="../printerSettings/printerSettings51.bin" /><Relationship Id="rId4" Type="http://schemas.openxmlformats.org/officeDocument/2006/relationships/printerSettings" Target="../printerSettings/printerSettings52.bin" /><Relationship Id="rId2" Type="http://schemas.openxmlformats.org/officeDocument/2006/relationships/printerSettings" Target="../printerSettings/printerSettings50.bin" /><Relationship Id="rId9" Type="http://schemas.openxmlformats.org/officeDocument/2006/relationships/printerSettings" Target="../printerSettings/printerSettings57.bin" /><Relationship Id="rId1" Type="http://schemas.openxmlformats.org/officeDocument/2006/relationships/drawing" Target="../drawings/drawing1.xml" /><Relationship Id="rId8" Type="http://schemas.openxmlformats.org/officeDocument/2006/relationships/printerSettings" Target="../printerSettings/printerSettings56.bin" /><Relationship Id="rId6" Type="http://schemas.openxmlformats.org/officeDocument/2006/relationships/printerSettings" Target="../printerSettings/printerSettings54.bin" /><Relationship Id="rId7" Type="http://schemas.openxmlformats.org/officeDocument/2006/relationships/printerSettings" Target="../printerSettings/printerSettings55.bin" /><Relationship Id="rId10" Type="http://schemas.openxmlformats.org/officeDocument/2006/relationships/printerSettings" Target="../printerSettings/printerSettings58.bin" /><Relationship Id="rId5" Type="http://schemas.openxmlformats.org/officeDocument/2006/relationships/printerSettings" Target="../printerSettings/printerSettings53.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59.bin" /></Relationships>
</file>

<file path=xl/worksheets/_rels/sheet1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60.bin" /><Relationship Id="rId1" Type="http://schemas.openxmlformats.org/officeDocument/2006/relationships/comments" Target="../comments12.xml" /></Relationships>
</file>

<file path=xl/worksheets/_rels/sheet13.xml.rels><?xml version="1.0" encoding="UTF-8" standalone="yes"?><Relationships xmlns="http://schemas.openxmlformats.org/package/2006/relationships"><Relationship Id="rId3" Type="http://schemas.openxmlformats.org/officeDocument/2006/relationships/oleObject" Target="../embeddings/oleObject1.bin" /><Relationship Id="rId4" Type="http://schemas.openxmlformats.org/officeDocument/2006/relationships/image" Target="../media/image1.emf" /><Relationship Id="rId2" Type="http://schemas.openxmlformats.org/officeDocument/2006/relationships/drawing" Target="../drawings/drawing2.xml" /><Relationship Id="rId1" Type="http://schemas.openxmlformats.org/officeDocument/2006/relationships/comments" Target="../comments13.xml" /><Relationship Id="rId6" Type="http://schemas.openxmlformats.org/officeDocument/2006/relationships/printerSettings" Target="../printerSettings/printerSettings61.bin" /><Relationship Id="rId5"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K632"/>
  <sheetViews>
    <sheetView tabSelected="1" zoomScale="80" zoomScaleNormal="80" zoomScaleSheetLayoutView="70" workbookViewId="0" topLeftCell="A1"/>
  </sheetViews>
  <sheetFormatPr defaultColWidth="9.10555555555556" defaultRowHeight="15"/>
  <cols>
    <col min="1" max="1" width="7.44444444444444" style="29" customWidth="1"/>
    <col min="2" max="2" width="3.44444444444444" style="20" customWidth="1"/>
    <col min="3" max="3" width="60.4444444444444" style="20" customWidth="1"/>
    <col min="4" max="4" width="34.1111111111111" style="20" customWidth="1"/>
    <col min="5" max="5" width="20.1111111111111" style="19" customWidth="1"/>
    <col min="6" max="6" width="50.8888888888889" style="20" customWidth="1"/>
    <col min="7" max="7" width="2.55555555555556" style="20" customWidth="1"/>
    <col min="8" max="8" width="31.5555555555556" style="20" customWidth="1"/>
    <col min="9" max="9" width="2" style="20" customWidth="1"/>
    <col min="10" max="10" width="14.8888888888889" style="20" customWidth="1"/>
    <col min="11" max="11" width="10.8888888888889" style="20" bestFit="1" customWidth="1"/>
    <col min="12" max="14" width="9.11111111111111" style="20"/>
    <col min="15" max="15" width="12.8888888888889" style="20" bestFit="1" customWidth="1"/>
    <col min="16" max="16384" width="9.11111111111111" style="20"/>
  </cols>
  <sheetData>
    <row r="1" spans="1:9" ht="28.5" customHeight="1">
      <c r="A1" s="120"/>
      <c r="B1" s="1726" t="s">
        <v>367</v>
      </c>
      <c r="C1" s="1726"/>
      <c r="D1" s="1726"/>
      <c r="E1" s="1726"/>
      <c r="F1" s="1726"/>
      <c r="G1" s="1726"/>
      <c r="H1" s="1726"/>
      <c r="I1" s="78"/>
    </row>
    <row r="2" ht="25.5" customHeight="1" thickBot="1"/>
    <row r="3" spans="1:6" ht="27.75" customHeight="1" thickBot="1">
      <c r="A3" s="225" t="s">
        <v>368</v>
      </c>
      <c r="B3" s="218"/>
      <c r="C3" s="218"/>
      <c r="D3" s="218"/>
      <c r="E3" s="219"/>
      <c r="F3" s="220"/>
    </row>
    <row r="4" spans="1:9" s="37" customFormat="1" ht="42" customHeight="1" thickBot="1">
      <c r="A4" s="309" t="s">
        <v>766</v>
      </c>
      <c r="B4" s="221"/>
      <c r="C4" s="222"/>
      <c r="D4" s="222"/>
      <c r="E4" s="223" t="s">
        <v>546</v>
      </c>
      <c r="F4" s="224" t="s">
        <v>845</v>
      </c>
      <c r="G4" s="217"/>
      <c r="H4" s="897" t="s">
        <v>650</v>
      </c>
      <c r="I4" s="867"/>
    </row>
    <row r="5" spans="1:9" s="37" customFormat="1" ht="23.25" customHeight="1">
      <c r="A5" s="123" t="s">
        <v>332</v>
      </c>
      <c r="B5" s="124"/>
      <c r="E5" s="85"/>
      <c r="F5" s="125"/>
      <c r="H5" s="898" t="s">
        <v>1404</v>
      </c>
      <c r="I5" s="868"/>
    </row>
    <row r="6" spans="1:9" s="37" customFormat="1" ht="23.25" customHeight="1">
      <c r="A6" s="123"/>
      <c r="B6" s="124"/>
      <c r="E6" s="85"/>
      <c r="F6" s="125"/>
      <c r="H6" s="848" t="s">
        <v>1442</v>
      </c>
      <c r="I6" s="868"/>
    </row>
    <row r="7" spans="1:9" ht="15.6">
      <c r="A7" s="43" t="s">
        <v>472</v>
      </c>
      <c r="B7" s="42"/>
      <c r="C7" s="57"/>
      <c r="D7" s="57"/>
      <c r="E7" s="86"/>
      <c r="F7" s="57"/>
      <c r="G7" s="57"/>
      <c r="H7" s="63"/>
      <c r="I7" s="56"/>
    </row>
    <row r="8" spans="5:9" ht="15.6">
      <c r="E8" s="85"/>
      <c r="H8" s="56"/>
      <c r="I8" s="56"/>
    </row>
    <row r="9" spans="1:9" ht="15.6">
      <c r="A9" s="7"/>
      <c r="B9" s="1" t="s">
        <v>478</v>
      </c>
      <c r="E9" s="215"/>
      <c r="F9" s="4"/>
      <c r="G9" s="4"/>
      <c r="H9" s="41"/>
      <c r="I9" s="4"/>
    </row>
    <row r="10" spans="1:9" ht="15">
      <c r="A10" s="19">
        <v>1</v>
      </c>
      <c r="B10" s="19"/>
      <c r="C10" s="2" t="s">
        <v>445</v>
      </c>
      <c r="D10" s="100"/>
      <c r="F10" s="4" t="s">
        <v>345</v>
      </c>
      <c r="H10" s="956">
        <v>0</v>
      </c>
      <c r="I10" s="4"/>
    </row>
    <row r="11" spans="1:4" ht="15">
      <c r="A11" s="19"/>
      <c r="C11" s="2"/>
      <c r="D11" s="2"/>
    </row>
    <row r="12" spans="1:9" ht="15">
      <c r="A12" s="19">
        <f>+A10+1</f>
        <v>2</v>
      </c>
      <c r="B12" s="19"/>
      <c r="C12" s="2" t="s">
        <v>446</v>
      </c>
      <c r="D12" s="2"/>
      <c r="F12" s="2" t="s">
        <v>346</v>
      </c>
      <c r="H12" s="956">
        <v>0</v>
      </c>
      <c r="I12" s="4"/>
    </row>
    <row r="13" spans="1:9" ht="15">
      <c r="A13" s="19">
        <f>+A12+1</f>
        <v>3</v>
      </c>
      <c r="B13" s="19"/>
      <c r="C13" s="2" t="s">
        <v>473</v>
      </c>
      <c r="D13" s="2"/>
      <c r="F13" s="2" t="s">
        <v>347</v>
      </c>
      <c r="H13" s="956">
        <v>0</v>
      </c>
      <c r="I13" s="4"/>
    </row>
    <row r="14" spans="1:9" ht="15">
      <c r="A14" s="19">
        <f>+A13+1</f>
        <v>4</v>
      </c>
      <c r="B14" s="19"/>
      <c r="C14" s="31" t="s">
        <v>610</v>
      </c>
      <c r="D14" s="899"/>
      <c r="E14" s="1582"/>
      <c r="F14" s="899" t="str">
        <f>"(Line "&amp;A12&amp;" - Line "&amp;A13&amp;")"</f>
        <v>(Line 2 - Line 3)</v>
      </c>
      <c r="G14" s="31"/>
      <c r="H14" s="899">
        <f>H12-H13</f>
        <v>0</v>
      </c>
      <c r="I14" s="4"/>
    </row>
    <row r="15" spans="1:9" ht="15">
      <c r="A15" s="19"/>
      <c r="B15" s="19"/>
      <c r="E15" s="215"/>
      <c r="H15" s="41"/>
      <c r="I15" s="4"/>
    </row>
    <row r="16" spans="1:9" ht="16.2" thickBot="1">
      <c r="A16" s="19">
        <v>5</v>
      </c>
      <c r="B16" s="26" t="s">
        <v>509</v>
      </c>
      <c r="C16" s="26"/>
      <c r="D16" s="51"/>
      <c r="E16" s="1583"/>
      <c r="F16" s="1584" t="str">
        <f>"(Line "&amp;A10&amp;" / Line "&amp;A14&amp;"), if line "&amp;A12&amp;" = 0, then 100%"</f>
        <v>(Line 1 / Line 4), if line 2 = 0, then 100%</v>
      </c>
      <c r="G16" s="51"/>
      <c r="H16" s="50">
        <v>1</v>
      </c>
      <c r="I16" s="869"/>
    </row>
    <row r="17" spans="1:9" ht="16.2" thickTop="1">
      <c r="A17" s="19"/>
      <c r="B17" s="19"/>
      <c r="C17" s="1"/>
      <c r="E17" s="215"/>
      <c r="H17" s="24"/>
      <c r="I17" s="869"/>
    </row>
    <row r="18" spans="1:2" ht="15.6">
      <c r="A18" s="19"/>
      <c r="B18" s="1" t="s">
        <v>521</v>
      </c>
    </row>
    <row r="19" spans="1:9" ht="15">
      <c r="A19" s="19">
        <f>+A16+1</f>
        <v>6</v>
      </c>
      <c r="C19" s="20" t="s">
        <v>529</v>
      </c>
      <c r="E19" s="87" t="str">
        <f>"(Note "&amp;B$265&amp;")"</f>
        <v>(Note B)</v>
      </c>
      <c r="F19" s="20" t="s">
        <v>341</v>
      </c>
      <c r="H19" s="41">
        <f>'5 - Cost Support'!G66</f>
        <v>2427671723.3508334</v>
      </c>
      <c r="I19" s="4"/>
    </row>
    <row r="20" spans="1:9" ht="15">
      <c r="A20" s="19">
        <f>+A19+1</f>
        <v>7</v>
      </c>
      <c r="C20" s="31" t="s">
        <v>477</v>
      </c>
      <c r="D20" s="31"/>
      <c r="E20" s="88"/>
      <c r="F20" s="899" t="str">
        <f>"(Line "&amp;A19&amp;")"</f>
        <v>(Line 6)</v>
      </c>
      <c r="G20" s="31"/>
      <c r="H20" s="899">
        <f>SUM(H19:H19)</f>
        <v>2427671723.3508334</v>
      </c>
      <c r="I20" s="4"/>
    </row>
    <row r="21" spans="1:9" ht="15">
      <c r="A21" s="19"/>
      <c r="H21" s="41"/>
      <c r="I21" s="4"/>
    </row>
    <row r="22" spans="1:9" ht="15">
      <c r="A22" s="19">
        <f>+A20+1</f>
        <v>8</v>
      </c>
      <c r="C22" s="20" t="s">
        <v>442</v>
      </c>
      <c r="F22" s="20" t="s">
        <v>341</v>
      </c>
      <c r="H22" s="41">
        <f>'5 - Cost Support'!G131</f>
        <v>580150361.00496221</v>
      </c>
      <c r="I22" s="4"/>
    </row>
    <row r="23" spans="1:9" ht="15">
      <c r="A23" s="19">
        <f>+A22+1</f>
        <v>9</v>
      </c>
      <c r="C23" s="31" t="s">
        <v>476</v>
      </c>
      <c r="D23" s="31"/>
      <c r="E23" s="88"/>
      <c r="F23" s="899" t="str">
        <f>"(Line "&amp;A22&amp;")"</f>
        <v>(Line 8)</v>
      </c>
      <c r="G23" s="31"/>
      <c r="H23" s="899">
        <f>SUM(H22:H22)</f>
        <v>580150361.00496221</v>
      </c>
      <c r="I23" s="4"/>
    </row>
    <row r="24" spans="1:9" ht="17.25" customHeight="1">
      <c r="A24" s="19"/>
      <c r="F24" s="41"/>
      <c r="H24" s="41"/>
      <c r="I24" s="41"/>
    </row>
    <row r="25" spans="1:9" ht="15">
      <c r="A25" s="19">
        <f>+A23+1</f>
        <v>10</v>
      </c>
      <c r="C25" s="31" t="s">
        <v>515</v>
      </c>
      <c r="D25" s="31"/>
      <c r="E25" s="88"/>
      <c r="F25" s="899" t="str">
        <f>"(Line "&amp;A20&amp;" - Line "&amp;A23&amp;")"</f>
        <v>(Line 7 - Line 9)</v>
      </c>
      <c r="G25" s="31"/>
      <c r="H25" s="899">
        <f>H20-H23</f>
        <v>1847521362.3458712</v>
      </c>
      <c r="I25" s="4"/>
    </row>
    <row r="26" spans="1:1" ht="15">
      <c r="A26" s="19"/>
    </row>
    <row r="27" spans="1:9" ht="15">
      <c r="A27" s="19">
        <f>+A25+1</f>
        <v>11</v>
      </c>
      <c r="C27" s="20" t="s">
        <v>474</v>
      </c>
      <c r="F27" s="460" t="str">
        <f>"(Line "&amp;A36&amp;" + Line "&amp;A44&amp;")"</f>
        <v>(Line 15 + Line 21)</v>
      </c>
      <c r="H27" s="41">
        <f>+H36+H44</f>
        <v>2427671723.3508334</v>
      </c>
      <c r="I27" s="41"/>
    </row>
    <row r="28" spans="1:9" ht="16.2" thickBot="1">
      <c r="A28" s="19">
        <f>+A27+1</f>
        <v>12</v>
      </c>
      <c r="B28" s="26" t="s">
        <v>433</v>
      </c>
      <c r="C28" s="26"/>
      <c r="D28" s="51"/>
      <c r="E28" s="89"/>
      <c r="F28" s="1584" t="str">
        <f>"(Line "&amp;A27&amp;" / Line "&amp;A20&amp;", if Line "&amp;A20&amp;"=0, enter 100%)"</f>
        <v>(Line 11 / Line 7, if Line 7=0, enter 100%)</v>
      </c>
      <c r="G28" s="51"/>
      <c r="H28" s="50">
        <v>1</v>
      </c>
      <c r="I28" s="869"/>
    </row>
    <row r="29" spans="1:1" ht="15.6" thickTop="1">
      <c r="A29" s="19"/>
    </row>
    <row r="30" spans="1:9" s="2" customFormat="1" ht="15">
      <c r="A30" s="19">
        <f>+A28+1</f>
        <v>13</v>
      </c>
      <c r="B30" s="19"/>
      <c r="C30" s="20" t="s">
        <v>475</v>
      </c>
      <c r="D30" s="20"/>
      <c r="E30" s="215"/>
      <c r="F30" s="460" t="str">
        <f>"(Line "&amp;A27&amp;" - Line "&amp;A58&amp;")"</f>
        <v>(Line 11 - Line 29)</v>
      </c>
      <c r="G30" s="20"/>
      <c r="H30" s="41">
        <f>+H27-H58</f>
        <v>1847521362.3458712</v>
      </c>
      <c r="I30" s="4"/>
    </row>
    <row r="31" spans="1:9" ht="16.2" thickBot="1">
      <c r="A31" s="19">
        <f>+A30+1</f>
        <v>14</v>
      </c>
      <c r="B31" s="26" t="s">
        <v>516</v>
      </c>
      <c r="C31" s="26"/>
      <c r="D31" s="51"/>
      <c r="E31" s="89"/>
      <c r="F31" s="1584" t="str">
        <f>"(Line "&amp;A30&amp;" / Line "&amp;A25&amp;", if line "&amp;A25&amp;"=0, enter 100%)"</f>
        <v>(Line 13 / Line 10, if line 10=0, enter 100%)</v>
      </c>
      <c r="G31" s="51"/>
      <c r="H31" s="50">
        <v>1</v>
      </c>
      <c r="I31" s="869"/>
    </row>
    <row r="32" spans="2:9" ht="16.2" thickTop="1">
      <c r="B32" s="19"/>
      <c r="C32" s="1"/>
      <c r="E32" s="215"/>
      <c r="H32" s="24"/>
      <c r="I32" s="869"/>
    </row>
    <row r="33" spans="1:9" ht="15.6">
      <c r="A33" s="43" t="s">
        <v>514</v>
      </c>
      <c r="B33" s="42"/>
      <c r="C33" s="57"/>
      <c r="D33" s="57"/>
      <c r="E33" s="86"/>
      <c r="F33" s="57"/>
      <c r="G33" s="57"/>
      <c r="H33" s="63"/>
      <c r="I33" s="56"/>
    </row>
    <row r="34" spans="1:9" ht="15.6">
      <c r="A34" s="58"/>
      <c r="B34" s="59"/>
      <c r="E34" s="85"/>
      <c r="H34" s="56"/>
      <c r="I34" s="56"/>
    </row>
    <row r="35" spans="1:9" ht="15.6">
      <c r="A35" s="19"/>
      <c r="B35" s="1" t="s">
        <v>647</v>
      </c>
      <c r="E35" s="215"/>
      <c r="F35" s="41"/>
      <c r="G35" s="7"/>
      <c r="H35" s="41"/>
      <c r="I35" s="4"/>
    </row>
    <row r="36" spans="1:9" ht="15">
      <c r="A36" s="19">
        <f>+A31+1</f>
        <v>15</v>
      </c>
      <c r="B36" s="19"/>
      <c r="C36" s="20" t="s">
        <v>513</v>
      </c>
      <c r="E36" s="87" t="str">
        <f>"(Note "&amp;B$265&amp;")"</f>
        <v>(Note B)</v>
      </c>
      <c r="F36" s="20" t="s">
        <v>341</v>
      </c>
      <c r="H36" s="41">
        <f>'5 - Cost Support'!G21</f>
        <v>2271809786.3508334</v>
      </c>
      <c r="I36" s="4"/>
    </row>
    <row r="37" spans="8:9" ht="15">
      <c r="H37" s="271"/>
      <c r="I37" s="879"/>
    </row>
    <row r="38" spans="1:9" ht="15">
      <c r="A38" s="19">
        <f>+A36+1</f>
        <v>16</v>
      </c>
      <c r="B38" s="19"/>
      <c r="C38" s="46" t="s">
        <v>210</v>
      </c>
      <c r="D38" s="46"/>
      <c r="E38" s="99" t="str">
        <f>"(Note "&amp;B$265&amp;")"</f>
        <v>(Note B)</v>
      </c>
      <c r="F38" s="44" t="s">
        <v>337</v>
      </c>
      <c r="G38" s="46"/>
      <c r="H38" s="460">
        <f>'6- Est &amp; Reconcile WS'!O167+'6- Est &amp; Reconcile WS'!P167+'6- Est &amp; Reconcile WS'!Q167+'6- Est &amp; Reconcile WS'!R167+'6- Est &amp; Reconcile WS'!S167+'6- Est &amp; Reconcile WS'!T167+'6- Est &amp; Reconcile WS'!U167+'6- Est &amp; Reconcile WS'!V167+'6- Est &amp; Reconcile WS'!O187+'6- Est &amp; Reconcile WS'!P187+'6- Est &amp; Reconcile WS'!Q187+'6- Est &amp; Reconcile WS'!R187+'6- Est &amp; Reconcile WS'!S187+'6- Est &amp; Reconcile WS'!T187+'6- Est &amp; Reconcile WS'!U187+'6- Est &amp; Reconcile WS'!V187+'6- Est &amp; Reconcile WS'!O207+'6- Est &amp; Reconcile WS'!P207+'6- Est &amp; Reconcile WS'!Q207+'6- Est &amp; Reconcile WS'!R207+'6- Est &amp; Reconcile WS'!S207+'6- Est &amp; Reconcile WS'!T207+'6- Est &amp; Reconcile WS'!U207+'6- Est &amp; Reconcile WS'!V207+'6- Est &amp; Reconcile WS'!O227+'6- Est &amp; Reconcile WS'!P227+'6- Est &amp; Reconcile WS'!Q227+'6- Est &amp; Reconcile WS'!R227+'6- Est &amp; Reconcile WS'!S227+'6- Est &amp; Reconcile WS'!T227+'6- Est &amp; Reconcile WS'!U227+'6- Est &amp; Reconcile WS'!V227+'6- Est &amp; Reconcile WS'!O247+'6- Est &amp; Reconcile WS'!P247+'6- Est &amp; Reconcile WS'!Q247+'6- Est &amp; Reconcile WS'!R247+'6- Est &amp; Reconcile WS'!S247+'6- Est &amp; Reconcile WS'!T247+'6- Est &amp; Reconcile WS'!U247+'6- Est &amp; Reconcile WS'!V247+'6- Est &amp; Reconcile WS'!O267+'6- Est &amp; Reconcile WS'!P267+'6- Est &amp; Reconcile WS'!Q267+'6- Est &amp; Reconcile WS'!R267+'6- Est &amp; Reconcile WS'!S267+'6- Est &amp; Reconcile WS'!T267+'6- Est &amp; Reconcile WS'!U267+'6- Est &amp; Reconcile WS'!V267+'6- Est &amp; Reconcile WS'!O287+'6- Est &amp; Reconcile WS'!P287+'6- Est &amp; Reconcile WS'!Q287+'6- Est &amp; Reconcile WS'!R287+'6- Est &amp; Reconcile WS'!S287+'6- Est &amp; Reconcile WS'!T287+'6- Est &amp; Reconcile WS'!U287+'6- Est &amp; Reconcile WS'!V287+'6- Est &amp; Reconcile WS'!O308+'6- Est &amp; Reconcile WS'!P308+'6- Est &amp; Reconcile WS'!Q308</f>
        <v>30573371.634499606</v>
      </c>
      <c r="I38" s="4"/>
    </row>
    <row r="39" spans="1:9" ht="15.6">
      <c r="A39" s="19">
        <f>+A38+1</f>
        <v>17</v>
      </c>
      <c r="B39" s="19"/>
      <c r="C39" s="1" t="s">
        <v>638</v>
      </c>
      <c r="E39" s="87"/>
      <c r="F39" s="41" t="str">
        <f>"(Line "&amp;A36&amp;" + Line "&amp;A38&amp;")"</f>
        <v>(Line 15 + Line 16)</v>
      </c>
      <c r="H39" s="8">
        <f>H36+H38</f>
        <v>2302383157.985333</v>
      </c>
      <c r="I39" s="8"/>
    </row>
    <row r="40" spans="1:9" ht="15">
      <c r="A40" s="19"/>
      <c r="B40" s="19"/>
      <c r="F40" s="41"/>
      <c r="H40" s="41"/>
      <c r="I40" s="4"/>
    </row>
    <row r="41" spans="1:9" ht="15">
      <c r="A41" s="19">
        <f>+A39+1</f>
        <v>18</v>
      </c>
      <c r="B41" s="19"/>
      <c r="C41" s="20" t="s">
        <v>512</v>
      </c>
      <c r="F41" s="46" t="s">
        <v>341</v>
      </c>
      <c r="H41" s="41">
        <f>+'5 - Cost Support'!G42+'5 - Cost Support'!G47</f>
        <v>155861937</v>
      </c>
      <c r="I41" s="41"/>
    </row>
    <row r="42" spans="1:9" ht="15">
      <c r="A42" s="19">
        <f>+A41+1</f>
        <v>19</v>
      </c>
      <c r="B42" s="19"/>
      <c r="C42" s="31" t="s">
        <v>126</v>
      </c>
      <c r="D42" s="31"/>
      <c r="E42" s="88"/>
      <c r="F42" s="41" t="str">
        <f>"(Line "&amp;A41&amp;")"</f>
        <v>(Line 18)</v>
      </c>
      <c r="G42" s="31"/>
      <c r="H42" s="899">
        <f>SUM(H41:H41)</f>
        <v>155861937</v>
      </c>
      <c r="I42" s="4"/>
    </row>
    <row r="43" spans="1:9" ht="15.6">
      <c r="A43" s="19">
        <f>+A42+1</f>
        <v>20</v>
      </c>
      <c r="B43" s="19"/>
      <c r="C43" s="29" t="s">
        <v>611</v>
      </c>
      <c r="E43" s="215"/>
      <c r="F43" s="460" t="str">
        <f>"(Line "&amp;A$16&amp;")"</f>
        <v>(Line 5)</v>
      </c>
      <c r="G43" s="17"/>
      <c r="H43" s="825">
        <f>H16</f>
        <v>1</v>
      </c>
      <c r="I43" s="826"/>
    </row>
    <row r="44" spans="1:9" ht="15.6">
      <c r="A44" s="19">
        <f>+A43+1</f>
        <v>21</v>
      </c>
      <c r="C44" s="25" t="s">
        <v>227</v>
      </c>
      <c r="D44" s="31"/>
      <c r="E44" s="1582"/>
      <c r="F44" s="41" t="str">
        <f>"(Line "&amp;A42&amp;" * Line "&amp;A43&amp;")"</f>
        <v>(Line 19 * Line 20)</v>
      </c>
      <c r="G44" s="31"/>
      <c r="H44" s="68">
        <f>H42*H43</f>
        <v>155861937</v>
      </c>
      <c r="I44" s="8"/>
    </row>
    <row r="45" spans="1:9" ht="15.6">
      <c r="A45" s="19"/>
      <c r="C45" s="1"/>
      <c r="H45" s="41"/>
      <c r="I45" s="4"/>
    </row>
    <row r="46" spans="1:9" s="1" customFormat="1" ht="16.2" thickBot="1">
      <c r="A46" s="19">
        <f>+A44+1</f>
        <v>22</v>
      </c>
      <c r="B46" s="26" t="s">
        <v>228</v>
      </c>
      <c r="C46" s="26"/>
      <c r="D46" s="26"/>
      <c r="E46" s="90"/>
      <c r="F46" s="27" t="str">
        <f>"(Line "&amp;A39&amp;" + Line "&amp;A44&amp;")"</f>
        <v>(Line 17 + Line 21)</v>
      </c>
      <c r="G46" s="26"/>
      <c r="H46" s="27">
        <f>H39+H44</f>
        <v>2458245094.985333</v>
      </c>
      <c r="I46" s="8"/>
    </row>
    <row r="47" spans="1:1" ht="15.6" thickTop="1">
      <c r="A47" s="19"/>
    </row>
    <row r="48" spans="1:9" ht="15.6">
      <c r="A48" s="19"/>
      <c r="B48" s="1" t="s">
        <v>469</v>
      </c>
      <c r="C48" s="1"/>
      <c r="D48" s="41"/>
      <c r="E48" s="215"/>
      <c r="F48" s="41"/>
      <c r="G48" s="1585"/>
      <c r="H48" s="41"/>
      <c r="I48" s="4"/>
    </row>
    <row r="49" spans="1:9" ht="15">
      <c r="A49" s="19"/>
      <c r="F49" s="41"/>
      <c r="G49" s="41"/>
      <c r="H49" s="41"/>
      <c r="I49" s="4"/>
    </row>
    <row r="50" spans="1:9" ht="15">
      <c r="A50" s="19">
        <f>+A46+1</f>
        <v>23</v>
      </c>
      <c r="B50" s="19"/>
      <c r="C50" s="20" t="s">
        <v>528</v>
      </c>
      <c r="E50" s="87" t="str">
        <f>"(Note "&amp;B$265&amp;")"</f>
        <v>(Note B)</v>
      </c>
      <c r="F50" s="41" t="s">
        <v>364</v>
      </c>
      <c r="H50" s="41">
        <f>'5 - Cost Support'!G86</f>
        <v>516447835.00496215</v>
      </c>
      <c r="I50" s="4"/>
    </row>
    <row r="51" spans="1:9" ht="15">
      <c r="A51" s="19"/>
      <c r="B51" s="19"/>
      <c r="F51" s="41"/>
      <c r="H51" s="41"/>
      <c r="I51" s="4"/>
    </row>
    <row r="52" spans="1:9" ht="15">
      <c r="A52" s="19">
        <f>+A50+1</f>
        <v>24</v>
      </c>
      <c r="B52" s="19"/>
      <c r="C52" s="20" t="s">
        <v>569</v>
      </c>
      <c r="F52" s="41" t="s">
        <v>341</v>
      </c>
      <c r="H52" s="41">
        <f>+'5 - Cost Support'!G112</f>
        <v>22295329</v>
      </c>
      <c r="I52" s="4"/>
    </row>
    <row r="53" spans="1:9" ht="15">
      <c r="A53" s="19">
        <f>+A52+1</f>
        <v>25</v>
      </c>
      <c r="B53" s="19"/>
      <c r="C53" s="46" t="s">
        <v>547</v>
      </c>
      <c r="D53" s="46"/>
      <c r="E53" s="91"/>
      <c r="F53" s="460" t="s">
        <v>341</v>
      </c>
      <c r="G53" s="46"/>
      <c r="H53" s="460">
        <f>+'5 - Cost Support'!G107</f>
        <v>41407197</v>
      </c>
      <c r="I53" s="4"/>
    </row>
    <row r="54" spans="1:9" ht="15">
      <c r="A54" s="19">
        <f>+A53+1</f>
        <v>26</v>
      </c>
      <c r="B54" s="19"/>
      <c r="C54" s="20" t="s">
        <v>222</v>
      </c>
      <c r="E54" s="215"/>
      <c r="F54" s="41" t="str">
        <f>"(Sum Lines "&amp;A52&amp;" to "&amp;A53&amp;")"</f>
        <v>(Sum Lines 24 to 25)</v>
      </c>
      <c r="G54" s="41"/>
      <c r="H54" s="41">
        <f>SUM(H52:H53)</f>
        <v>63702526</v>
      </c>
      <c r="I54" s="4"/>
    </row>
    <row r="55" spans="1:9" ht="15">
      <c r="A55" s="19">
        <f>+A54+1</f>
        <v>27</v>
      </c>
      <c r="B55" s="19"/>
      <c r="C55" s="20" t="str">
        <f>+C43</f>
        <v>Wage &amp; Salary Allocator</v>
      </c>
      <c r="E55" s="215"/>
      <c r="F55" s="460" t="str">
        <f>"(Line "&amp;A$16&amp;")"</f>
        <v>(Line 5)</v>
      </c>
      <c r="G55" s="41"/>
      <c r="H55" s="900">
        <f>H16</f>
        <v>1</v>
      </c>
      <c r="I55" s="826"/>
    </row>
    <row r="56" spans="1:9" ht="15.6">
      <c r="A56" s="19">
        <f>+A55+1</f>
        <v>28</v>
      </c>
      <c r="C56" s="25" t="s">
        <v>229</v>
      </c>
      <c r="D56" s="31"/>
      <c r="E56" s="88"/>
      <c r="F56" s="41" t="str">
        <f>"(Line "&amp;A54&amp;" * Line "&amp;A55&amp;")"</f>
        <v>(Line 26 * Line 27)</v>
      </c>
      <c r="G56" s="31"/>
      <c r="H56" s="68">
        <f>H54*H55</f>
        <v>63702526</v>
      </c>
      <c r="I56" s="8"/>
    </row>
    <row r="57" spans="1:1" ht="15">
      <c r="A57" s="19"/>
    </row>
    <row r="58" spans="1:9" ht="16.2" thickBot="1">
      <c r="A58" s="19">
        <f>+A56+1</f>
        <v>29</v>
      </c>
      <c r="B58" s="26" t="s">
        <v>319</v>
      </c>
      <c r="C58" s="26"/>
      <c r="D58" s="26"/>
      <c r="E58" s="90"/>
      <c r="F58" s="27" t="str">
        <f>"(Line "&amp;A50&amp;" + Line "&amp;A56&amp;")"</f>
        <v>(Line 23 + Line 28)</v>
      </c>
      <c r="G58" s="26"/>
      <c r="H58" s="27">
        <f>H50+H56</f>
        <v>580150361.00496221</v>
      </c>
      <c r="I58" s="8"/>
    </row>
    <row r="59" spans="1:1" ht="15.6" thickTop="1">
      <c r="A59" s="19"/>
    </row>
    <row r="60" spans="1:9" ht="16.2" thickBot="1">
      <c r="A60" s="19">
        <f>+A58+1</f>
        <v>30</v>
      </c>
      <c r="B60" s="26" t="s">
        <v>320</v>
      </c>
      <c r="C60" s="26"/>
      <c r="D60" s="26"/>
      <c r="E60" s="90"/>
      <c r="F60" s="27" t="str">
        <f>"(Line "&amp;A46&amp;" - Line "&amp;A58&amp;")"</f>
        <v>(Line 22 - Line 29)</v>
      </c>
      <c r="G60" s="26"/>
      <c r="H60" s="27">
        <f>H46-H58</f>
        <v>1878094733.9803708</v>
      </c>
      <c r="I60" s="8"/>
    </row>
    <row r="61" spans="1:1" ht="15.6" thickTop="1">
      <c r="A61" s="19"/>
    </row>
    <row r="62" spans="1:8" ht="15.6">
      <c r="A62" s="43" t="s">
        <v>479</v>
      </c>
      <c r="B62" s="57"/>
      <c r="C62" s="57"/>
      <c r="D62" s="57"/>
      <c r="E62" s="86"/>
      <c r="F62" s="57"/>
      <c r="G62" s="57"/>
      <c r="H62" s="57"/>
    </row>
    <row r="63" spans="1:4" ht="15.6">
      <c r="A63" s="114"/>
      <c r="B63" s="115"/>
      <c r="C63" s="115"/>
      <c r="D63" s="115"/>
    </row>
    <row r="64" spans="1:9" ht="15.6">
      <c r="A64" s="19"/>
      <c r="B64" s="48" t="s">
        <v>780</v>
      </c>
      <c r="E64" s="30"/>
      <c r="H64" s="41"/>
      <c r="I64" s="4"/>
    </row>
    <row r="65" spans="1:9" ht="15.6">
      <c r="A65" s="19">
        <f>+A60+1</f>
        <v>31</v>
      </c>
      <c r="B65" s="48"/>
      <c r="C65" s="20" t="s">
        <v>820</v>
      </c>
      <c r="D65" s="29" t="s">
        <v>361</v>
      </c>
      <c r="F65" s="44" t="s">
        <v>338</v>
      </c>
      <c r="H65" s="41">
        <f>-'ATT 1-ADIT'!J18</f>
        <v>-493310069.86000001</v>
      </c>
      <c r="I65" s="41"/>
    </row>
    <row r="66" spans="1:9" ht="15.6">
      <c r="A66" s="19">
        <f>+A65+1</f>
        <v>32</v>
      </c>
      <c r="C66" s="282" t="s">
        <v>230</v>
      </c>
      <c r="D66" s="31"/>
      <c r="E66" s="88"/>
      <c r="F66" s="41" t="str">
        <f>"(Line  "&amp;A65&amp;")"</f>
        <v>(Line  31)</v>
      </c>
      <c r="G66" s="31"/>
      <c r="H66" s="38">
        <f>+H65</f>
        <v>-493310069.86000001</v>
      </c>
      <c r="I66" s="247"/>
    </row>
    <row r="67" spans="1:9" ht="15.6">
      <c r="A67" s="19"/>
      <c r="C67" s="48"/>
      <c r="F67" s="41"/>
      <c r="H67" s="247"/>
      <c r="I67" s="247"/>
    </row>
    <row r="68" spans="1:9" ht="15.6">
      <c r="A68" s="19">
        <f>+A66+1</f>
        <v>33</v>
      </c>
      <c r="B68" s="1" t="s">
        <v>121</v>
      </c>
      <c r="D68" s="1"/>
      <c r="E68" s="87" t="str">
        <f>"(Note "&amp;B$265&amp;")"</f>
        <v>(Note B)</v>
      </c>
      <c r="F68" s="41" t="s">
        <v>221</v>
      </c>
      <c r="H68" s="8">
        <f>0</f>
        <v>0</v>
      </c>
      <c r="I68" s="8"/>
    </row>
    <row r="69" spans="1:9" ht="17.25" customHeight="1">
      <c r="A69" s="19"/>
      <c r="C69" s="1"/>
      <c r="H69" s="41"/>
      <c r="I69" s="4"/>
    </row>
    <row r="70" spans="1:9" ht="17.25" customHeight="1">
      <c r="A70" s="19">
        <f>+A68+1</f>
        <v>34</v>
      </c>
      <c r="B70" s="1" t="s">
        <v>135</v>
      </c>
      <c r="D70" s="376"/>
      <c r="E70" s="87" t="str">
        <f>"(Note "&amp;B$279&amp;")"</f>
        <v>(Note C)</v>
      </c>
      <c r="F70" s="41" t="s">
        <v>341</v>
      </c>
      <c r="H70" s="8">
        <f>'5 - Cost Support'!H147</f>
        <v>0</v>
      </c>
      <c r="I70" s="8"/>
    </row>
    <row r="71" spans="1:9" ht="17.25" customHeight="1">
      <c r="A71" s="19"/>
      <c r="B71" s="19"/>
      <c r="C71" s="1"/>
      <c r="D71" s="376"/>
      <c r="E71" s="87"/>
      <c r="F71" s="41"/>
      <c r="H71" s="8"/>
      <c r="I71" s="8"/>
    </row>
    <row r="72" spans="1:9" ht="15.6">
      <c r="A72" s="19"/>
      <c r="B72" s="1" t="s">
        <v>231</v>
      </c>
      <c r="C72" s="48"/>
      <c r="F72" s="41"/>
      <c r="H72" s="247"/>
      <c r="I72" s="247"/>
    </row>
    <row r="73" spans="1:9" ht="15.6">
      <c r="A73" s="19">
        <f>+A70+1</f>
        <v>35</v>
      </c>
      <c r="C73" s="29" t="s">
        <v>634</v>
      </c>
      <c r="F73" s="41" t="s">
        <v>341</v>
      </c>
      <c r="H73" s="247">
        <f>'5 - Cost Support'!J162</f>
        <v>0</v>
      </c>
      <c r="I73" s="247"/>
    </row>
    <row r="74" spans="1:9" ht="15.6">
      <c r="A74" s="19"/>
      <c r="C74" s="48"/>
      <c r="H74" s="122"/>
      <c r="I74" s="122"/>
    </row>
    <row r="75" spans="1:7" ht="15.6">
      <c r="A75" s="19"/>
      <c r="B75" s="48" t="s">
        <v>470</v>
      </c>
      <c r="C75" s="29"/>
      <c r="F75" s="292"/>
      <c r="G75" s="32"/>
    </row>
    <row r="76" spans="1:9" ht="15.6">
      <c r="A76" s="19">
        <f>+A73+1</f>
        <v>36</v>
      </c>
      <c r="B76" s="284"/>
      <c r="C76" s="1" t="s">
        <v>232</v>
      </c>
      <c r="E76" s="87" t="str">
        <f>"(Note "&amp;B$264&amp;")"</f>
        <v>(Note A)</v>
      </c>
      <c r="F76" s="29" t="s">
        <v>341</v>
      </c>
      <c r="G76" s="32"/>
      <c r="H76" s="247">
        <f>'5 - Cost Support'!L213</f>
        <v>1085849</v>
      </c>
      <c r="I76" s="247"/>
    </row>
    <row r="77" spans="1:9" ht="15.6">
      <c r="A77" s="19"/>
      <c r="B77" s="284"/>
      <c r="C77" s="1"/>
      <c r="E77" s="87"/>
      <c r="F77" s="29"/>
      <c r="G77" s="32"/>
      <c r="H77" s="122"/>
      <c r="I77" s="13"/>
    </row>
    <row r="78" spans="1:9" ht="15.6">
      <c r="A78" s="19"/>
      <c r="B78" s="48" t="s">
        <v>468</v>
      </c>
      <c r="E78" s="49"/>
      <c r="F78" s="293"/>
      <c r="G78" s="32"/>
      <c r="H78" s="33"/>
      <c r="I78" s="33"/>
    </row>
    <row r="79" spans="1:9" ht="15">
      <c r="A79" s="19">
        <f>A76+1</f>
        <v>37</v>
      </c>
      <c r="C79" s="20" t="s">
        <v>595</v>
      </c>
      <c r="E79" s="87" t="str">
        <f>"(Note "&amp;B$264&amp;")"</f>
        <v>(Note A)</v>
      </c>
      <c r="F79" s="29" t="s">
        <v>341</v>
      </c>
      <c r="H79" s="41">
        <f>'5 - Cost Support'!H138</f>
        <v>0</v>
      </c>
      <c r="I79" s="4"/>
    </row>
    <row r="80" spans="1:9" ht="15.6">
      <c r="A80" s="19">
        <f>+A79+1</f>
        <v>38</v>
      </c>
      <c r="B80" s="30"/>
      <c r="C80" s="44" t="s">
        <v>611</v>
      </c>
      <c r="D80" s="44"/>
      <c r="E80" s="91"/>
      <c r="F80" s="460" t="str">
        <f>"(Line "&amp;A$16&amp;")"</f>
        <v>(Line 5)</v>
      </c>
      <c r="G80" s="45"/>
      <c r="H80" s="33">
        <f>H16</f>
        <v>1</v>
      </c>
      <c r="I80" s="871"/>
    </row>
    <row r="81" spans="1:9" ht="15.6">
      <c r="A81" s="19">
        <f>+A80+1</f>
        <v>39</v>
      </c>
      <c r="B81" s="30"/>
      <c r="C81" s="29" t="s">
        <v>612</v>
      </c>
      <c r="F81" s="41" t="str">
        <f>"(Line "&amp;A79&amp;" * Line "&amp;A80&amp;")"</f>
        <v>(Line 37 * Line 38)</v>
      </c>
      <c r="G81" s="32"/>
      <c r="H81" s="35">
        <f>H79*H80</f>
        <v>0</v>
      </c>
      <c r="I81" s="122"/>
    </row>
    <row r="82" spans="1:9" ht="15.6">
      <c r="A82" s="19">
        <f>+A81+1</f>
        <v>40</v>
      </c>
      <c r="B82" s="30"/>
      <c r="C82" s="29" t="s">
        <v>456</v>
      </c>
      <c r="F82" s="44" t="s">
        <v>341</v>
      </c>
      <c r="G82" s="32"/>
      <c r="H82" s="122">
        <f>'5 - Cost Support'!H137</f>
        <v>0</v>
      </c>
      <c r="I82" s="13"/>
    </row>
    <row r="83" spans="1:9" ht="18" customHeight="1">
      <c r="A83" s="19">
        <f>+A82+1</f>
        <v>41</v>
      </c>
      <c r="B83" s="30"/>
      <c r="C83" s="25" t="s">
        <v>233</v>
      </c>
      <c r="D83" s="25"/>
      <c r="E83" s="1586"/>
      <c r="F83" s="41" t="str">
        <f>"(Line "&amp;A81&amp;" + Line "&amp;A82&amp;")"</f>
        <v>(Line 39 + Line 40)</v>
      </c>
      <c r="G83" s="36"/>
      <c r="H83" s="68">
        <f>H81+H82</f>
        <v>0</v>
      </c>
      <c r="I83" s="870"/>
    </row>
    <row r="84" spans="1:7" ht="15.6">
      <c r="A84" s="19"/>
      <c r="B84" s="30"/>
      <c r="C84" s="29"/>
      <c r="F84" s="293"/>
      <c r="G84" s="32"/>
    </row>
    <row r="85" spans="1:7" ht="15.6">
      <c r="A85" s="19"/>
      <c r="B85" s="48" t="s">
        <v>471</v>
      </c>
      <c r="F85" s="32"/>
      <c r="G85" s="32"/>
    </row>
    <row r="86" spans="1:9" ht="15.6">
      <c r="A86" s="19">
        <f>+A83+1</f>
        <v>42</v>
      </c>
      <c r="B86" s="30"/>
      <c r="C86" s="29" t="s">
        <v>527</v>
      </c>
      <c r="D86" s="29"/>
      <c r="F86" s="41" t="str">
        <f>"(Line "&amp;A$133&amp;")"</f>
        <v>(Line 74)</v>
      </c>
      <c r="G86" s="32"/>
      <c r="H86" s="122">
        <f>H133</f>
        <v>26319796</v>
      </c>
      <c r="I86" s="13"/>
    </row>
    <row r="87" spans="1:9" ht="15">
      <c r="A87" s="19">
        <f>+A86+1</f>
        <v>43</v>
      </c>
      <c r="B87" s="30"/>
      <c r="C87" s="29" t="s">
        <v>522</v>
      </c>
      <c r="D87" s="29"/>
      <c r="F87" s="44" t="s">
        <v>613</v>
      </c>
      <c r="H87" s="901">
        <v>0.125</v>
      </c>
      <c r="I87" s="880"/>
    </row>
    <row r="88" spans="1:9" s="37" customFormat="1" ht="15.6">
      <c r="A88" s="19">
        <f>+A87+1</f>
        <v>44</v>
      </c>
      <c r="B88" s="17"/>
      <c r="C88" s="282" t="s">
        <v>234</v>
      </c>
      <c r="D88" s="282"/>
      <c r="E88" s="1586"/>
      <c r="F88" s="41" t="str">
        <f>"(Line "&amp;A86&amp;" * Line "&amp;A87&amp;")"</f>
        <v>(Line 42 * Line 43)</v>
      </c>
      <c r="G88" s="25"/>
      <c r="H88" s="38">
        <f>H86*H87</f>
        <v>3289974.50</v>
      </c>
      <c r="I88" s="247"/>
    </row>
    <row r="89" spans="1:9" ht="15">
      <c r="A89" s="19"/>
      <c r="H89" s="41"/>
      <c r="I89" s="41"/>
    </row>
    <row r="90" spans="1:9" ht="16.2" thickBot="1">
      <c r="A90" s="19">
        <f>+A88+1</f>
        <v>45</v>
      </c>
      <c r="B90" s="26" t="s">
        <v>609</v>
      </c>
      <c r="C90" s="26"/>
      <c r="D90" s="26"/>
      <c r="E90" s="90"/>
      <c r="F90" s="1584" t="str">
        <f>"(Lines "&amp;A66&amp;" + "&amp;A68&amp;" + "&amp;A70&amp;" + "&amp;A73&amp;"+ "&amp;A76&amp;" + "&amp;A83&amp;" + "&amp;A88&amp;")"</f>
        <v>(Lines 32 + 33 + 34 + 35+ 36 + 41 + 44)</v>
      </c>
      <c r="G90" s="26"/>
      <c r="H90" s="27">
        <f>H66+H73+H76+H83+H88+H68+H70</f>
        <v>-488934246.36000001</v>
      </c>
      <c r="I90" s="8"/>
    </row>
    <row r="91" spans="1:9" ht="15.6" thickTop="1">
      <c r="A91" s="19"/>
      <c r="H91" s="41"/>
      <c r="I91" s="41"/>
    </row>
    <row r="92" spans="1:9" s="2" customFormat="1" ht="16.2" thickBot="1">
      <c r="A92" s="19">
        <f>+A90+1</f>
        <v>46</v>
      </c>
      <c r="B92" s="26" t="s">
        <v>517</v>
      </c>
      <c r="C92" s="26"/>
      <c r="D92" s="26"/>
      <c r="E92" s="90"/>
      <c r="F92" s="1584" t="str">
        <f>"(Line "&amp;A60&amp;" + Line "&amp;A90&amp;")"</f>
        <v>(Line 30 + Line 45)</v>
      </c>
      <c r="G92" s="26"/>
      <c r="H92" s="27">
        <f>H60+H90</f>
        <v>1389160487.6203709</v>
      </c>
      <c r="I92" s="8"/>
    </row>
    <row r="93" ht="15.6" thickTop="1"/>
    <row r="94" spans="1:9" ht="15.6">
      <c r="A94" s="60" t="s">
        <v>551</v>
      </c>
      <c r="B94" s="61"/>
      <c r="C94" s="286"/>
      <c r="D94" s="57"/>
      <c r="E94" s="86"/>
      <c r="F94" s="57"/>
      <c r="G94" s="57"/>
      <c r="H94" s="63"/>
      <c r="I94" s="56"/>
    </row>
    <row r="95" spans="1:9" ht="15.6">
      <c r="A95" s="20"/>
      <c r="E95" s="85"/>
      <c r="H95" s="56"/>
      <c r="I95" s="56"/>
    </row>
    <row r="96" spans="1:9" ht="15.6">
      <c r="A96" s="19"/>
      <c r="B96" s="1" t="s">
        <v>508</v>
      </c>
      <c r="D96" s="41"/>
      <c r="E96" s="215"/>
      <c r="G96" s="41"/>
      <c r="H96" s="41"/>
      <c r="I96" s="4"/>
    </row>
    <row r="97" spans="1:9" ht="15.6">
      <c r="A97" s="5">
        <f>+A92+1</f>
        <v>47</v>
      </c>
      <c r="B97" s="19"/>
      <c r="C97" s="2" t="s">
        <v>508</v>
      </c>
      <c r="F97" s="41" t="s">
        <v>157</v>
      </c>
      <c r="G97" s="7"/>
      <c r="H97" s="956">
        <v>13847278</v>
      </c>
      <c r="I97" s="41"/>
    </row>
    <row r="98" spans="1:9" ht="15.6">
      <c r="A98" s="5">
        <f>+A97+1</f>
        <v>48</v>
      </c>
      <c r="B98" s="19"/>
      <c r="C98" s="2" t="str">
        <f>"     Less Account 566 Misc Trans Exp listed on line "&amp;A130&amp;" below.)"</f>
        <v xml:space="preserve">     Less Account 566 Misc Trans Exp listed on line 73 below.)</v>
      </c>
      <c r="F98" s="2" t="str">
        <f>"(line "&amp;A130&amp;")"</f>
        <v>(line 73)</v>
      </c>
      <c r="G98" s="7"/>
      <c r="H98" s="41">
        <f>H130</f>
        <v>3411496</v>
      </c>
      <c r="I98" s="4"/>
    </row>
    <row r="99" spans="1:9" ht="15">
      <c r="A99" s="5">
        <f>+A98+1</f>
        <v>49</v>
      </c>
      <c r="B99" s="19"/>
      <c r="C99" s="2" t="s">
        <v>552</v>
      </c>
      <c r="F99" s="41" t="s">
        <v>158</v>
      </c>
      <c r="H99" s="956">
        <v>0</v>
      </c>
      <c r="I99" s="4"/>
    </row>
    <row r="100" spans="1:9" ht="15">
      <c r="A100" s="5">
        <f>A99+1</f>
        <v>50</v>
      </c>
      <c r="B100" s="19"/>
      <c r="C100" s="20" t="s">
        <v>875</v>
      </c>
      <c r="E100" s="87" t="str">
        <f>"(Note "&amp;B292&amp;")"</f>
        <v>(Note M)</v>
      </c>
      <c r="F100" s="4" t="s">
        <v>819</v>
      </c>
      <c r="H100" s="956">
        <v>0</v>
      </c>
      <c r="I100" s="4"/>
    </row>
    <row r="101" spans="1:9" ht="15.6">
      <c r="A101" s="5">
        <f>+A100+1</f>
        <v>51</v>
      </c>
      <c r="B101" s="19"/>
      <c r="C101" s="20" t="s">
        <v>123</v>
      </c>
      <c r="D101" s="4"/>
      <c r="E101" s="99"/>
      <c r="F101" s="52" t="s">
        <v>413</v>
      </c>
      <c r="H101" s="956">
        <v>0</v>
      </c>
      <c r="I101" s="4"/>
    </row>
    <row r="102" spans="1:9" ht="15.6">
      <c r="A102" s="5">
        <f>+A101+1</f>
        <v>52</v>
      </c>
      <c r="C102" s="25" t="s">
        <v>508</v>
      </c>
      <c r="D102" s="31"/>
      <c r="E102" s="88"/>
      <c r="F102" s="4" t="str">
        <f>"(Lines "&amp;A97&amp;" - "&amp;A98&amp;" - "&amp;A99&amp;" + "&amp;A100&amp;" + "&amp;A101&amp;")"</f>
        <v>(Lines 47 - 48 - 49 + 50 + 51)</v>
      </c>
      <c r="G102" s="31"/>
      <c r="H102" s="68">
        <f>H97-H98-H99+H100+H101</f>
        <v>10435782</v>
      </c>
      <c r="I102" s="8"/>
    </row>
    <row r="103" spans="1:9" ht="15.6">
      <c r="A103" s="5"/>
      <c r="B103" s="19"/>
      <c r="C103" s="1"/>
      <c r="E103" s="215"/>
      <c r="H103" s="24"/>
      <c r="I103" s="869"/>
    </row>
    <row r="104" spans="1:9" ht="15.6">
      <c r="A104" s="5"/>
      <c r="B104" s="1" t="s">
        <v>124</v>
      </c>
      <c r="E104" s="215"/>
      <c r="H104" s="408"/>
      <c r="I104" s="869"/>
    </row>
    <row r="105" spans="1:10" ht="15.6">
      <c r="A105" s="5">
        <f>+A102+1</f>
        <v>53</v>
      </c>
      <c r="B105" s="19"/>
      <c r="C105" s="2" t="s">
        <v>511</v>
      </c>
      <c r="E105" s="87"/>
      <c r="F105" s="41" t="s">
        <v>159</v>
      </c>
      <c r="H105" s="956">
        <v>12472518</v>
      </c>
      <c r="I105" s="41"/>
      <c r="J105" s="1599"/>
    </row>
    <row r="106" spans="1:9" ht="15">
      <c r="A106" s="5">
        <f>A105+1</f>
        <v>54</v>
      </c>
      <c r="B106" s="19"/>
      <c r="C106" s="2" t="s">
        <v>555</v>
      </c>
      <c r="D106" s="4"/>
      <c r="F106" s="20" t="s">
        <v>160</v>
      </c>
      <c r="H106" s="956">
        <v>12871</v>
      </c>
      <c r="I106" s="4"/>
    </row>
    <row r="107" spans="1:9" ht="15">
      <c r="A107" s="5">
        <f t="shared" si="0" ref="A107:A113">+A106+1</f>
        <v>55</v>
      </c>
      <c r="B107" s="19"/>
      <c r="C107" s="2" t="s">
        <v>556</v>
      </c>
      <c r="D107" s="4"/>
      <c r="E107" s="87" t="str">
        <f>"(Note "&amp;B282&amp;")"</f>
        <v>(Note E)</v>
      </c>
      <c r="F107" s="20" t="s">
        <v>161</v>
      </c>
      <c r="H107" s="956">
        <v>0</v>
      </c>
      <c r="I107" s="4"/>
    </row>
    <row r="108" spans="1:9" ht="15">
      <c r="A108" s="5">
        <f t="shared" si="0"/>
        <v>56</v>
      </c>
      <c r="B108" s="19"/>
      <c r="C108" s="2" t="s">
        <v>557</v>
      </c>
      <c r="D108" s="4"/>
      <c r="F108" s="20" t="s">
        <v>162</v>
      </c>
      <c r="H108" s="956">
        <v>0</v>
      </c>
      <c r="I108" s="4"/>
    </row>
    <row r="109" spans="1:9" ht="15">
      <c r="A109" s="5">
        <f>+A108+1</f>
        <v>57</v>
      </c>
      <c r="B109" s="19"/>
      <c r="C109" s="2" t="s">
        <v>43</v>
      </c>
      <c r="E109" s="87"/>
      <c r="F109" s="4" t="s">
        <v>341</v>
      </c>
      <c r="H109" s="41">
        <f>'5 - Cost Support'!E325*-1</f>
        <v>0</v>
      </c>
      <c r="I109" s="41"/>
    </row>
    <row r="110" spans="1:9" ht="15">
      <c r="A110" s="5">
        <f>+A109+1</f>
        <v>58</v>
      </c>
      <c r="B110" s="19"/>
      <c r="C110" s="2" t="s">
        <v>542</v>
      </c>
      <c r="E110" s="87" t="str">
        <f>"(Note "&amp;B281&amp;")"</f>
        <v>(Note D)</v>
      </c>
      <c r="F110" s="52" t="s">
        <v>835</v>
      </c>
      <c r="H110" s="956">
        <v>0</v>
      </c>
      <c r="I110" s="4"/>
    </row>
    <row r="111" spans="1:9" ht="15.6">
      <c r="A111" s="5">
        <f t="shared" si="0"/>
        <v>59</v>
      </c>
      <c r="B111" s="19"/>
      <c r="C111" s="25" t="s">
        <v>124</v>
      </c>
      <c r="D111" s="31"/>
      <c r="E111" s="1582"/>
      <c r="F111" s="4" t="str">
        <f>"(Line "&amp;A105&amp;") -  Sum (Lines "&amp;A106&amp;" to "&amp;A110&amp;")"</f>
        <v>(Line 53) -  Sum (Lines 54 to 58)</v>
      </c>
      <c r="G111" s="31"/>
      <c r="H111" s="899">
        <f>H105-SUM(H106:H110)</f>
        <v>12459647</v>
      </c>
      <c r="I111" s="4"/>
    </row>
    <row r="112" spans="1:9" ht="15.6">
      <c r="A112" s="5">
        <f t="shared" si="0"/>
        <v>60</v>
      </c>
      <c r="B112" s="19"/>
      <c r="C112" s="83" t="s">
        <v>611</v>
      </c>
      <c r="D112" s="29"/>
      <c r="F112" s="46" t="str">
        <f>"(Line "&amp;A$16&amp;")"</f>
        <v>(Line 5)</v>
      </c>
      <c r="G112" s="32"/>
      <c r="H112" s="33">
        <f>H16</f>
        <v>1</v>
      </c>
      <c r="I112" s="33"/>
    </row>
    <row r="113" spans="1:9" ht="15.6">
      <c r="A113" s="5">
        <f t="shared" si="0"/>
        <v>61</v>
      </c>
      <c r="B113" s="19"/>
      <c r="C113" s="25" t="s">
        <v>125</v>
      </c>
      <c r="D113" s="31"/>
      <c r="E113" s="1582"/>
      <c r="F113" s="4" t="str">
        <f>"(Line "&amp;A111&amp;" * Line "&amp;A112&amp;")"</f>
        <v>(Line 59 * Line 60)</v>
      </c>
      <c r="G113" s="31"/>
      <c r="H113" s="68">
        <f>H111*H112</f>
        <v>12459647</v>
      </c>
      <c r="I113" s="8"/>
    </row>
    <row r="114" spans="1:9" ht="15.6">
      <c r="A114" s="5"/>
      <c r="B114" s="19"/>
      <c r="C114" s="1"/>
      <c r="E114" s="215"/>
      <c r="H114" s="41"/>
      <c r="I114" s="4"/>
    </row>
    <row r="115" spans="1:9" ht="15.6">
      <c r="A115" s="5"/>
      <c r="B115" s="1" t="s">
        <v>457</v>
      </c>
      <c r="E115" s="215"/>
      <c r="H115" s="41"/>
      <c r="I115" s="4"/>
    </row>
    <row r="116" spans="1:9" ht="15">
      <c r="A116" s="5">
        <f>+A113+1</f>
        <v>62</v>
      </c>
      <c r="B116" s="30"/>
      <c r="C116" s="29" t="s">
        <v>558</v>
      </c>
      <c r="D116" s="87"/>
      <c r="E116" s="87" t="str">
        <f>"(Note "&amp;B284&amp;")"</f>
        <v>(Note G)</v>
      </c>
      <c r="F116" s="4" t="s">
        <v>341</v>
      </c>
      <c r="H116" s="122">
        <f>'5 - Cost Support'!H173</f>
        <v>0</v>
      </c>
      <c r="I116" s="13"/>
    </row>
    <row r="117" spans="1:9" ht="15">
      <c r="A117" s="5">
        <f>+A116+1</f>
        <v>63</v>
      </c>
      <c r="B117" s="30"/>
      <c r="C117" s="44" t="s">
        <v>559</v>
      </c>
      <c r="D117" s="98"/>
      <c r="E117" s="99" t="str">
        <f>"(Note "&amp;B$289&amp;")"</f>
        <v>(Note J)</v>
      </c>
      <c r="F117" s="52" t="s">
        <v>341</v>
      </c>
      <c r="G117" s="46"/>
      <c r="H117" s="707">
        <f>+'5 - Cost Support'!H189</f>
        <v>0</v>
      </c>
      <c r="I117" s="13"/>
    </row>
    <row r="118" spans="1:9" ht="15.6">
      <c r="A118" s="5">
        <f>+A117+1</f>
        <v>64</v>
      </c>
      <c r="B118" s="30"/>
      <c r="C118" s="29" t="s">
        <v>614</v>
      </c>
      <c r="E118" s="49"/>
      <c r="F118" s="4" t="str">
        <f>"(Line "&amp;A116&amp;" + Line "&amp;A117&amp;")"</f>
        <v>(Line 62 + Line 63)</v>
      </c>
      <c r="H118" s="247">
        <f>SUM(H116:H117)</f>
        <v>0</v>
      </c>
      <c r="I118" s="247"/>
    </row>
    <row r="119" spans="1:9" ht="15.6">
      <c r="A119" s="5"/>
      <c r="B119" s="30"/>
      <c r="C119" s="29"/>
      <c r="E119" s="49"/>
      <c r="F119" s="29"/>
      <c r="H119" s="34"/>
      <c r="I119" s="32"/>
    </row>
    <row r="120" spans="1:9" ht="15">
      <c r="A120" s="19">
        <f>+A118+1</f>
        <v>65</v>
      </c>
      <c r="B120" s="30"/>
      <c r="C120" s="29" t="s">
        <v>560</v>
      </c>
      <c r="F120" s="29" t="s">
        <v>160</v>
      </c>
      <c r="H120" s="957">
        <v>12871</v>
      </c>
      <c r="I120" s="13"/>
    </row>
    <row r="121" spans="1:9" ht="15">
      <c r="A121" s="5">
        <f>+A120+1</f>
        <v>66</v>
      </c>
      <c r="B121" s="30"/>
      <c r="C121" s="29" t="s">
        <v>559</v>
      </c>
      <c r="E121" s="87" t="str">
        <f>"(Note "&amp;B283&amp;")"</f>
        <v>(Note F)</v>
      </c>
      <c r="F121" s="52" t="s">
        <v>341</v>
      </c>
      <c r="H121" s="707">
        <f>+'5 - Cost Support'!H178</f>
        <v>0</v>
      </c>
      <c r="I121" s="13"/>
    </row>
    <row r="122" spans="1:9" ht="15">
      <c r="A122" s="5">
        <f>+A121+1</f>
        <v>67</v>
      </c>
      <c r="B122" s="30"/>
      <c r="C122" s="311" t="s">
        <v>615</v>
      </c>
      <c r="D122" s="31"/>
      <c r="E122" s="88"/>
      <c r="F122" s="4" t="str">
        <f>"(Line "&amp;A120&amp;" + Line "&amp;A121&amp;")"</f>
        <v>(Line 65 + Line 66)</v>
      </c>
      <c r="G122" s="31"/>
      <c r="H122" s="122">
        <f>SUM(H120:H121)</f>
        <v>12871</v>
      </c>
      <c r="I122" s="13"/>
    </row>
    <row r="123" spans="1:9" ht="15.6">
      <c r="A123" s="5">
        <f>+A122+1</f>
        <v>68</v>
      </c>
      <c r="B123" s="19"/>
      <c r="C123" s="3" t="s">
        <v>516</v>
      </c>
      <c r="D123" s="29"/>
      <c r="F123" s="52" t="str">
        <f>"(Line "&amp;A$31&amp;")"</f>
        <v>(Line 14)</v>
      </c>
      <c r="G123" s="32"/>
      <c r="H123" s="33">
        <f>H31</f>
        <v>1</v>
      </c>
      <c r="I123" s="33"/>
    </row>
    <row r="124" spans="1:9" ht="15.6">
      <c r="A124" s="5">
        <f>+A123+1</f>
        <v>69</v>
      </c>
      <c r="B124" s="19"/>
      <c r="C124" s="25" t="s">
        <v>459</v>
      </c>
      <c r="D124" s="31"/>
      <c r="E124" s="1582"/>
      <c r="F124" s="4" t="str">
        <f>"(Line "&amp;A122&amp;" * Line "&amp;A123&amp;")"</f>
        <v>(Line 67 * Line 68)</v>
      </c>
      <c r="G124" s="31"/>
      <c r="H124" s="38">
        <f>H122*H123</f>
        <v>12871</v>
      </c>
      <c r="I124" s="247"/>
    </row>
    <row r="125" spans="1:9" ht="15.6">
      <c r="A125" s="5"/>
      <c r="B125" s="19"/>
      <c r="C125" s="1"/>
      <c r="E125" s="215"/>
      <c r="F125" s="4"/>
      <c r="H125" s="247"/>
      <c r="I125" s="247"/>
    </row>
    <row r="126" spans="1:9" ht="15.6">
      <c r="A126" s="5"/>
      <c r="B126" s="19"/>
      <c r="C126" s="1" t="s">
        <v>199</v>
      </c>
      <c r="E126" s="215"/>
      <c r="F126" s="4"/>
      <c r="H126" s="247"/>
      <c r="I126" s="247"/>
    </row>
    <row r="127" spans="1:9" ht="15.6">
      <c r="A127" s="5">
        <f>A124+1</f>
        <v>70</v>
      </c>
      <c r="B127" s="19"/>
      <c r="C127" s="3" t="s">
        <v>648</v>
      </c>
      <c r="D127" s="2"/>
      <c r="E127" s="19" t="s">
        <v>200</v>
      </c>
      <c r="F127" s="4" t="s">
        <v>341</v>
      </c>
      <c r="G127" s="32"/>
      <c r="H127" s="902">
        <f>+'5 - Cost Support'!G219</f>
        <v>0</v>
      </c>
      <c r="I127" s="881"/>
    </row>
    <row r="128" spans="1:9" ht="15">
      <c r="A128" s="5">
        <f>+A127+1</f>
        <v>71</v>
      </c>
      <c r="B128" s="19"/>
      <c r="C128" s="2" t="s">
        <v>700</v>
      </c>
      <c r="E128" s="215" t="s">
        <v>200</v>
      </c>
      <c r="F128" s="4" t="s">
        <v>341</v>
      </c>
      <c r="H128" s="122">
        <f>'5 - Cost Support'!G220</f>
        <v>0</v>
      </c>
      <c r="I128" s="13"/>
    </row>
    <row r="129" spans="1:9" ht="15">
      <c r="A129" s="5">
        <f>+A128+1</f>
        <v>72</v>
      </c>
      <c r="B129" s="19"/>
      <c r="C129" s="80" t="s">
        <v>201</v>
      </c>
      <c r="D129" s="46"/>
      <c r="E129" s="1587" t="s">
        <v>200</v>
      </c>
      <c r="F129" s="52" t="s">
        <v>341</v>
      </c>
      <c r="G129" s="46"/>
      <c r="H129" s="707">
        <f>'5 - Cost Support'!G221</f>
        <v>3411496</v>
      </c>
      <c r="I129" s="13"/>
    </row>
    <row r="130" spans="1:9" ht="15.6">
      <c r="A130" s="5">
        <f>+A129+1</f>
        <v>73</v>
      </c>
      <c r="B130" s="19"/>
      <c r="C130" s="20" t="s">
        <v>202</v>
      </c>
      <c r="E130" s="20"/>
      <c r="F130" s="20" t="str">
        <f>"Sum (Lines "&amp;A127&amp;" to "&amp;A129&amp;")"</f>
        <v>Sum (Lines 70 to 72)</v>
      </c>
      <c r="H130" s="8">
        <f>SUM(H127:H129)</f>
        <v>3411496</v>
      </c>
      <c r="I130" s="8"/>
    </row>
    <row r="131" spans="1:9" ht="15.6">
      <c r="A131" s="5"/>
      <c r="B131" s="19"/>
      <c r="C131" s="1"/>
      <c r="E131" s="215"/>
      <c r="F131" s="4"/>
      <c r="H131" s="247"/>
      <c r="I131" s="247"/>
    </row>
    <row r="132" spans="1:9" ht="15.6">
      <c r="A132" s="5"/>
      <c r="B132" s="19"/>
      <c r="C132" s="1"/>
      <c r="E132" s="215"/>
      <c r="H132" s="41"/>
      <c r="I132" s="4"/>
    </row>
    <row r="133" spans="1:9" ht="16.2" thickBot="1">
      <c r="A133" s="19">
        <f>+A130+1</f>
        <v>74</v>
      </c>
      <c r="B133" s="19"/>
      <c r="C133" s="26" t="s">
        <v>510</v>
      </c>
      <c r="D133" s="51"/>
      <c r="E133" s="1583"/>
      <c r="F133" s="27" t="str">
        <f>"(Lines "&amp;A102&amp;" + "&amp;A113&amp;" + "&amp;A118&amp;" + "&amp;A124&amp;" + "&amp;A130&amp;")"</f>
        <v>(Lines 52 + 61 + 64 + 69 + 73)</v>
      </c>
      <c r="G133" s="51"/>
      <c r="H133" s="27">
        <f>H102+H113+H118+H124+H130</f>
        <v>26319796</v>
      </c>
      <c r="I133" s="8"/>
    </row>
    <row r="134" spans="2:9" ht="16.2" thickTop="1">
      <c r="B134" s="19"/>
      <c r="C134" s="1"/>
      <c r="E134" s="215"/>
      <c r="H134" s="24"/>
      <c r="I134" s="869"/>
    </row>
    <row r="135" spans="1:9" ht="15.6">
      <c r="A135" s="60" t="s">
        <v>504</v>
      </c>
      <c r="B135" s="61"/>
      <c r="C135" s="286"/>
      <c r="D135" s="57"/>
      <c r="E135" s="86"/>
      <c r="F135" s="57"/>
      <c r="G135" s="57"/>
      <c r="H135" s="63"/>
      <c r="I135" s="56"/>
    </row>
    <row r="136" spans="1:9" ht="15.6">
      <c r="A136" s="1"/>
      <c r="B136" s="5"/>
      <c r="C136" s="1"/>
      <c r="D136" s="2"/>
      <c r="E136" s="215"/>
      <c r="H136" s="24"/>
      <c r="I136" s="869"/>
    </row>
    <row r="137" spans="1:9" ht="15.6">
      <c r="A137" s="5"/>
      <c r="B137" s="48" t="s">
        <v>441</v>
      </c>
      <c r="C137" s="2"/>
      <c r="D137" s="2"/>
      <c r="F137" s="30"/>
      <c r="G137" s="30"/>
      <c r="H137" s="33"/>
      <c r="I137" s="882"/>
    </row>
    <row r="138" spans="1:9" ht="15">
      <c r="A138" s="5">
        <f>+A133+1</f>
        <v>75</v>
      </c>
      <c r="B138" s="283"/>
      <c r="C138" s="3" t="s">
        <v>444</v>
      </c>
      <c r="D138" s="2"/>
      <c r="F138" s="3" t="s">
        <v>341</v>
      </c>
      <c r="H138" s="122">
        <f>'5 - Cost Support'!D274</f>
        <v>48161069.329999991</v>
      </c>
      <c r="I138" s="13"/>
    </row>
    <row r="139" spans="1:9" ht="15">
      <c r="A139" s="5"/>
      <c r="B139" s="283"/>
      <c r="C139" s="3"/>
      <c r="D139" s="2"/>
      <c r="F139" s="3"/>
      <c r="H139" s="122"/>
      <c r="I139" s="13"/>
    </row>
    <row r="140" spans="1:9" ht="15">
      <c r="A140" s="5">
        <f>+A138+1</f>
        <v>76</v>
      </c>
      <c r="B140" s="283"/>
      <c r="C140" s="3" t="s">
        <v>523</v>
      </c>
      <c r="D140" s="2"/>
      <c r="F140" s="29" t="s">
        <v>341</v>
      </c>
      <c r="H140" s="122">
        <f>'5 - Cost Support'!D303</f>
        <v>3296974.0300000003</v>
      </c>
      <c r="I140" s="13"/>
    </row>
    <row r="141" spans="1:9" ht="15">
      <c r="A141" s="5">
        <f>+A140+1</f>
        <v>77</v>
      </c>
      <c r="B141" s="283"/>
      <c r="C141" s="83" t="s">
        <v>481</v>
      </c>
      <c r="D141" s="80"/>
      <c r="E141" s="99" t="str">
        <f>"(Note "&amp;B$264&amp;")"</f>
        <v>(Note A)</v>
      </c>
      <c r="F141" s="44" t="s">
        <v>341</v>
      </c>
      <c r="H141" s="707">
        <f>'5 - Cost Support'!D309</f>
        <v>6327959.7600000007</v>
      </c>
      <c r="I141" s="13"/>
    </row>
    <row r="142" spans="1:9" ht="15">
      <c r="A142" s="5">
        <f>+A141+1</f>
        <v>78</v>
      </c>
      <c r="B142" s="283"/>
      <c r="C142" s="3" t="s">
        <v>524</v>
      </c>
      <c r="D142" s="2"/>
      <c r="F142" s="4" t="str">
        <f>"(Line "&amp;A140&amp;" + Line "&amp;A141&amp;")"</f>
        <v>(Line 76 + Line 77)</v>
      </c>
      <c r="H142" s="122">
        <f>SUM(H140:H141)</f>
        <v>9624933.790000001</v>
      </c>
      <c r="I142" s="13"/>
    </row>
    <row r="143" spans="1:9" ht="15.6">
      <c r="A143" s="5">
        <f>+A142+1</f>
        <v>79</v>
      </c>
      <c r="B143" s="283"/>
      <c r="C143" s="83" t="s">
        <v>611</v>
      </c>
      <c r="D143" s="83"/>
      <c r="E143" s="91"/>
      <c r="F143" s="46" t="str">
        <f>"(Line "&amp;A$16&amp;")"</f>
        <v>(Line 5)</v>
      </c>
      <c r="G143" s="45"/>
      <c r="H143" s="708">
        <f>H16</f>
        <v>1</v>
      </c>
      <c r="I143" s="871"/>
    </row>
    <row r="144" spans="1:9" ht="15.6">
      <c r="A144" s="5">
        <f>+A143+1</f>
        <v>80</v>
      </c>
      <c r="B144" s="283"/>
      <c r="C144" s="48" t="s">
        <v>129</v>
      </c>
      <c r="D144" s="2"/>
      <c r="F144" s="4" t="str">
        <f>"(Line "&amp;A142&amp;" * Line "&amp;A143&amp;")"</f>
        <v>(Line 78 * Line 79)</v>
      </c>
      <c r="G144" s="32"/>
      <c r="H144" s="247">
        <f>H142*H143</f>
        <v>9624933.790000001</v>
      </c>
      <c r="I144" s="247"/>
    </row>
    <row r="145" spans="1:9" ht="15.6">
      <c r="A145" s="49"/>
      <c r="B145" s="22"/>
      <c r="C145" s="3"/>
      <c r="D145" s="2"/>
      <c r="F145" s="29"/>
      <c r="G145" s="32"/>
      <c r="H145" s="33"/>
      <c r="I145" s="871"/>
    </row>
    <row r="146" spans="1:9" s="37" customFormat="1" ht="16.2" thickBot="1">
      <c r="A146" s="5">
        <f>+A144+1</f>
        <v>81</v>
      </c>
      <c r="B146" s="285" t="s">
        <v>505</v>
      </c>
      <c r="C146" s="285"/>
      <c r="D146" s="26"/>
      <c r="E146" s="90"/>
      <c r="F146" s="27" t="str">
        <f>"(Lines "&amp;A138&amp;" + "&amp;A144&amp;")"</f>
        <v>(Lines 75 + 80)</v>
      </c>
      <c r="G146" s="47"/>
      <c r="H146" s="903">
        <f>H138+H144</f>
        <v>57786003.11999999</v>
      </c>
      <c r="I146" s="247"/>
    </row>
    <row r="147" spans="1:4" ht="15.6" thickTop="1">
      <c r="A147" s="3"/>
      <c r="B147" s="2"/>
      <c r="C147" s="2"/>
      <c r="D147" s="2"/>
    </row>
    <row r="148" spans="1:9" ht="15.6">
      <c r="A148" s="43" t="s">
        <v>328</v>
      </c>
      <c r="B148" s="42"/>
      <c r="C148" s="286"/>
      <c r="D148" s="287"/>
      <c r="E148" s="180"/>
      <c r="F148" s="57"/>
      <c r="G148" s="57"/>
      <c r="H148" s="63"/>
      <c r="I148" s="56"/>
    </row>
    <row r="149" spans="1:9" ht="15.6">
      <c r="A149" s="114"/>
      <c r="B149" s="5"/>
      <c r="C149" s="1"/>
      <c r="D149" s="2"/>
      <c r="E149" s="215"/>
      <c r="H149" s="24"/>
      <c r="I149" s="869"/>
    </row>
    <row r="150" spans="1:9" ht="15.6">
      <c r="A150" s="5">
        <f>+A146+1</f>
        <v>82</v>
      </c>
      <c r="B150" s="48" t="s">
        <v>235</v>
      </c>
      <c r="C150" s="284"/>
      <c r="D150" s="2"/>
      <c r="E150" s="87"/>
      <c r="F150" s="20" t="s">
        <v>352</v>
      </c>
      <c r="H150" s="482">
        <f>'ATT 2 - Other Taxes'!G53</f>
        <v>14976174</v>
      </c>
      <c r="I150" s="883"/>
    </row>
    <row r="151" spans="1:9" ht="15">
      <c r="A151" s="5"/>
      <c r="B151" s="2"/>
      <c r="C151" s="2"/>
      <c r="D151" s="2"/>
      <c r="F151" s="29"/>
      <c r="H151" s="394"/>
      <c r="I151" s="41"/>
    </row>
    <row r="152" spans="1:9" ht="16.2" thickBot="1">
      <c r="A152" s="5">
        <f>+A150+1</f>
        <v>83</v>
      </c>
      <c r="B152" s="26" t="s">
        <v>438</v>
      </c>
      <c r="C152" s="26"/>
      <c r="D152" s="26"/>
      <c r="E152" s="90"/>
      <c r="F152" s="27" t="str">
        <f>"(Line "&amp;A150&amp;")"</f>
        <v>(Line 82)</v>
      </c>
      <c r="G152" s="26"/>
      <c r="H152" s="27">
        <f>H150</f>
        <v>14976174</v>
      </c>
      <c r="I152" s="8"/>
    </row>
    <row r="153" spans="1:9" ht="15.6" thickTop="1">
      <c r="A153" s="5"/>
      <c r="B153" s="2"/>
      <c r="C153" s="2"/>
      <c r="D153" s="2"/>
      <c r="H153" s="41"/>
      <c r="I153" s="41"/>
    </row>
    <row r="154" spans="1:9" ht="15.6">
      <c r="A154" s="43" t="s">
        <v>482</v>
      </c>
      <c r="B154" s="42"/>
      <c r="C154" s="286"/>
      <c r="D154" s="287"/>
      <c r="E154" s="86"/>
      <c r="F154" s="57"/>
      <c r="G154" s="57"/>
      <c r="H154" s="483"/>
      <c r="I154" s="872"/>
    </row>
    <row r="155" spans="1:9" ht="15.6">
      <c r="A155" s="3"/>
      <c r="B155" s="5"/>
      <c r="C155" s="1"/>
      <c r="D155" s="2"/>
      <c r="E155" s="215"/>
      <c r="H155" s="484"/>
      <c r="I155" s="884"/>
    </row>
    <row r="156" spans="1:9" ht="15">
      <c r="A156" s="5"/>
      <c r="B156" s="5"/>
      <c r="C156" s="4"/>
      <c r="D156" s="2"/>
      <c r="F156" s="2"/>
      <c r="G156" s="4"/>
      <c r="H156" s="41"/>
      <c r="I156" s="4"/>
    </row>
    <row r="157" spans="1:9" ht="15.6">
      <c r="A157" s="5">
        <f>+A152+1</f>
        <v>84</v>
      </c>
      <c r="B157" s="8" t="s">
        <v>501</v>
      </c>
      <c r="C157" s="2"/>
      <c r="D157" s="2"/>
      <c r="E157" s="215" t="s">
        <v>519</v>
      </c>
      <c r="F157" s="4" t="s">
        <v>493</v>
      </c>
      <c r="G157" s="4"/>
      <c r="H157" s="958">
        <v>0</v>
      </c>
      <c r="I157" s="873"/>
    </row>
    <row r="158" spans="1:9" ht="15">
      <c r="A158" s="5"/>
      <c r="B158" s="5"/>
      <c r="C158" s="2"/>
      <c r="D158" s="2"/>
      <c r="E158" s="215"/>
      <c r="F158" s="4"/>
      <c r="G158" s="4"/>
      <c r="H158" s="41"/>
      <c r="I158" s="4"/>
    </row>
    <row r="159" spans="1:9" ht="15.6">
      <c r="A159" s="5"/>
      <c r="B159" s="1" t="s">
        <v>429</v>
      </c>
      <c r="C159" s="2"/>
      <c r="D159" s="2"/>
      <c r="E159" s="215"/>
      <c r="F159" s="4"/>
      <c r="G159" s="4"/>
      <c r="H159" s="41"/>
      <c r="I159" s="4"/>
    </row>
    <row r="160" spans="1:9" ht="15">
      <c r="A160" s="5">
        <f>+A157+1</f>
        <v>85</v>
      </c>
      <c r="B160" s="5"/>
      <c r="C160" s="4" t="s">
        <v>526</v>
      </c>
      <c r="D160" s="4"/>
      <c r="E160" s="215"/>
      <c r="F160" s="41" t="s">
        <v>256</v>
      </c>
      <c r="G160" s="4"/>
      <c r="H160" s="959">
        <v>952803705</v>
      </c>
      <c r="I160" s="885"/>
    </row>
    <row r="161" spans="1:9" ht="15">
      <c r="A161" s="5">
        <f>A160+1</f>
        <v>86</v>
      </c>
      <c r="B161" s="5"/>
      <c r="C161" s="4" t="s">
        <v>608</v>
      </c>
      <c r="D161" s="4"/>
      <c r="E161" s="215"/>
      <c r="F161" s="4" t="s">
        <v>605</v>
      </c>
      <c r="G161" s="4"/>
      <c r="H161" s="956">
        <v>0</v>
      </c>
      <c r="I161" s="4"/>
    </row>
    <row r="162" spans="1:9" ht="15">
      <c r="A162" s="5">
        <f>A161+1</f>
        <v>87</v>
      </c>
      <c r="B162" s="5"/>
      <c r="C162" s="4" t="s">
        <v>484</v>
      </c>
      <c r="D162" s="4"/>
      <c r="E162" s="215"/>
      <c r="F162" s="20" t="str">
        <f>"(Line "&amp;A172&amp;")"</f>
        <v>(Line 95)</v>
      </c>
      <c r="G162" s="4"/>
      <c r="H162" s="41">
        <f>H172</f>
        <v>0</v>
      </c>
      <c r="I162" s="4"/>
    </row>
    <row r="163" spans="1:9" ht="15">
      <c r="A163" s="5">
        <f>+A162+1</f>
        <v>88</v>
      </c>
      <c r="B163" s="5"/>
      <c r="C163" s="52" t="s">
        <v>483</v>
      </c>
      <c r="D163" s="52"/>
      <c r="E163" s="1587"/>
      <c r="F163" s="52" t="s">
        <v>494</v>
      </c>
      <c r="G163" s="52"/>
      <c r="H163" s="960">
        <v>0</v>
      </c>
      <c r="I163" s="4"/>
    </row>
    <row r="164" spans="1:9" ht="15.6">
      <c r="A164" s="5">
        <f>+A163+1</f>
        <v>89</v>
      </c>
      <c r="B164" s="5"/>
      <c r="C164" s="8" t="s">
        <v>429</v>
      </c>
      <c r="D164" s="4"/>
      <c r="F164" s="20" t="str">
        <f>"(Line "&amp;A160&amp;" - "&amp;A161&amp;" - "&amp;A162&amp;" - "&amp;A163&amp;")"</f>
        <v>(Line 85 - 86 - 87 - 88)</v>
      </c>
      <c r="H164" s="41">
        <f>H160-H161-H162-H163</f>
        <v>952803705</v>
      </c>
      <c r="I164" s="4"/>
    </row>
    <row r="165" spans="1:9" ht="15">
      <c r="A165" s="5"/>
      <c r="B165" s="5"/>
      <c r="C165" s="2"/>
      <c r="D165" s="2"/>
      <c r="E165" s="215"/>
      <c r="F165" s="4"/>
      <c r="H165" s="41"/>
      <c r="I165" s="4"/>
    </row>
    <row r="166" spans="1:9" ht="15.6">
      <c r="A166" s="5"/>
      <c r="B166" s="1" t="s">
        <v>486</v>
      </c>
      <c r="C166" s="2"/>
      <c r="D166" s="2"/>
      <c r="E166" s="215"/>
      <c r="F166" s="4"/>
      <c r="H166" s="41"/>
      <c r="I166" s="4"/>
    </row>
    <row r="167" spans="1:9" ht="15">
      <c r="A167" s="5">
        <f>+A164+1</f>
        <v>90</v>
      </c>
      <c r="B167" s="5"/>
      <c r="C167" s="2" t="s">
        <v>440</v>
      </c>
      <c r="D167" s="2"/>
      <c r="E167" s="87" t="str">
        <f>"(Note "&amp;B294&amp;")"</f>
        <v>(Note N)</v>
      </c>
      <c r="F167" s="478" t="s">
        <v>340</v>
      </c>
      <c r="H167" s="956">
        <v>624983262</v>
      </c>
      <c r="I167" s="41"/>
    </row>
    <row r="168" spans="1:9" ht="15">
      <c r="A168" s="5">
        <f t="shared" si="1" ref="A168:A174">+A167+1</f>
        <v>91</v>
      </c>
      <c r="B168" s="5"/>
      <c r="C168" s="20" t="s">
        <v>130</v>
      </c>
      <c r="D168" s="2"/>
      <c r="E168" s="215"/>
      <c r="F168" s="20" t="s">
        <v>257</v>
      </c>
      <c r="H168" s="956">
        <v>0</v>
      </c>
      <c r="I168" s="4"/>
    </row>
    <row r="169" spans="1:9" ht="15">
      <c r="A169" s="5">
        <f t="shared" si="1"/>
        <v>92</v>
      </c>
      <c r="B169" s="5"/>
      <c r="C169" s="20" t="s">
        <v>131</v>
      </c>
      <c r="D169" s="2"/>
      <c r="F169" s="2" t="s">
        <v>495</v>
      </c>
      <c r="H169" s="956">
        <v>0</v>
      </c>
      <c r="I169" s="4"/>
    </row>
    <row r="170" spans="1:9" ht="15">
      <c r="A170" s="5">
        <f>+A169+1</f>
        <v>93</v>
      </c>
      <c r="B170" s="5"/>
      <c r="C170" s="2" t="s">
        <v>363</v>
      </c>
      <c r="D170" s="22"/>
      <c r="E170" s="215"/>
      <c r="F170" s="80" t="s">
        <v>338</v>
      </c>
      <c r="H170" s="41">
        <f>'ATT 1-ADIT'!H23</f>
        <v>0</v>
      </c>
      <c r="I170" s="4"/>
    </row>
    <row r="171" spans="1:9" ht="15">
      <c r="A171" s="5">
        <f>+A170+1</f>
        <v>94</v>
      </c>
      <c r="B171" s="5"/>
      <c r="C171" s="28" t="s">
        <v>435</v>
      </c>
      <c r="D171" s="28"/>
      <c r="E171" s="88"/>
      <c r="F171" s="20" t="str">
        <f>"(Line "&amp;A167&amp;" - "&amp;A168&amp;" + "&amp;A169&amp;" - "&amp;A170&amp;")"</f>
        <v>(Line 90 - 91 + 92 - 93)</v>
      </c>
      <c r="G171" s="31"/>
      <c r="H171" s="899">
        <f>H167-H168+H169-H170</f>
        <v>624983262</v>
      </c>
      <c r="I171" s="4"/>
    </row>
    <row r="172" spans="1:9" ht="15">
      <c r="A172" s="5">
        <f t="shared" si="1"/>
        <v>95</v>
      </c>
      <c r="B172" s="5"/>
      <c r="C172" s="2" t="s">
        <v>452</v>
      </c>
      <c r="D172" s="2"/>
      <c r="F172" s="2" t="s">
        <v>496</v>
      </c>
      <c r="H172" s="956">
        <v>0</v>
      </c>
      <c r="I172" s="4"/>
    </row>
    <row r="173" spans="1:9" ht="15">
      <c r="A173" s="5">
        <f t="shared" si="1"/>
        <v>96</v>
      </c>
      <c r="B173" s="5"/>
      <c r="C173" s="2" t="s">
        <v>429</v>
      </c>
      <c r="D173" s="2"/>
      <c r="F173" s="52" t="str">
        <f>"(Line "&amp;A164&amp;")"</f>
        <v>(Line 89)</v>
      </c>
      <c r="H173" s="41">
        <f>H164</f>
        <v>952803705</v>
      </c>
      <c r="I173" s="4"/>
    </row>
    <row r="174" spans="1:9" ht="15.6">
      <c r="A174" s="5">
        <f t="shared" si="1"/>
        <v>97</v>
      </c>
      <c r="B174" s="5"/>
      <c r="C174" s="25" t="s">
        <v>434</v>
      </c>
      <c r="D174" s="28"/>
      <c r="E174" s="88"/>
      <c r="F174" s="4" t="str">
        <f>"(Sum Lines "&amp;A171&amp;" to "&amp;A173&amp;")"</f>
        <v>(Sum Lines 94 to 96)</v>
      </c>
      <c r="G174" s="23"/>
      <c r="H174" s="899">
        <f>SUM(H171:H173)</f>
        <v>1577786967</v>
      </c>
      <c r="I174" s="4"/>
    </row>
    <row r="175" spans="1:9" ht="15">
      <c r="A175" s="5"/>
      <c r="B175" s="5"/>
      <c r="C175" s="2"/>
      <c r="D175" s="2"/>
      <c r="G175" s="4"/>
      <c r="H175" s="904"/>
      <c r="I175" s="14"/>
    </row>
    <row r="176" spans="1:9" ht="15">
      <c r="A176" s="5">
        <f>+A174+1</f>
        <v>98</v>
      </c>
      <c r="B176" s="5"/>
      <c r="C176" s="3" t="s">
        <v>563</v>
      </c>
      <c r="D176" s="2" t="s">
        <v>435</v>
      </c>
      <c r="E176" s="87" t="str">
        <f>"(Note "&amp;B$294&amp;")"</f>
        <v>(Note N)</v>
      </c>
      <c r="F176" s="4" t="str">
        <f>"(Line "&amp;A171&amp;" /Line "&amp;A$174&amp;")"</f>
        <v>(Line 94 /Line 97)</v>
      </c>
      <c r="G176" s="4"/>
      <c r="H176" s="825">
        <f>H171/H174</f>
        <v>0.39611384494342827</v>
      </c>
      <c r="I176" s="886"/>
    </row>
    <row r="177" spans="1:9" ht="15">
      <c r="A177" s="5">
        <f>+A176+1</f>
        <v>99</v>
      </c>
      <c r="B177" s="5"/>
      <c r="C177" s="3" t="s">
        <v>570</v>
      </c>
      <c r="D177" s="2" t="s">
        <v>452</v>
      </c>
      <c r="E177" s="87" t="str">
        <f>"(Note "&amp;B$294&amp;")"</f>
        <v>(Note N)</v>
      </c>
      <c r="F177" s="4" t="str">
        <f>"(Line "&amp;A172&amp;" /Line "&amp;A$174&amp;")"</f>
        <v>(Line 95 /Line 97)</v>
      </c>
      <c r="G177" s="4"/>
      <c r="H177" s="825">
        <v>0</v>
      </c>
      <c r="I177" s="886"/>
    </row>
    <row r="178" spans="1:9" ht="15">
      <c r="A178" s="5">
        <f>+A177+1</f>
        <v>100</v>
      </c>
      <c r="B178" s="5"/>
      <c r="C178" s="3" t="s">
        <v>564</v>
      </c>
      <c r="D178" s="2" t="s">
        <v>429</v>
      </c>
      <c r="E178" s="87" t="str">
        <f>"(Note "&amp;B$294&amp;")"</f>
        <v>(Note N)</v>
      </c>
      <c r="F178" s="4" t="str">
        <f>"(Line "&amp;A173&amp;" /Line "&amp;A$174&amp;")"</f>
        <v>(Line 96 /Line 97)</v>
      </c>
      <c r="G178" s="4"/>
      <c r="H178" s="825">
        <f>H173/H174</f>
        <v>0.60388615505657173</v>
      </c>
      <c r="I178" s="886"/>
    </row>
    <row r="179" spans="1:9" ht="15">
      <c r="A179" s="5"/>
      <c r="B179" s="5"/>
      <c r="C179" s="81"/>
      <c r="D179" s="2"/>
      <c r="F179" s="4"/>
      <c r="G179" s="4"/>
      <c r="H179" s="215"/>
      <c r="I179" s="14"/>
    </row>
    <row r="180" spans="1:9" ht="15">
      <c r="A180" s="5">
        <f>+A178+1</f>
        <v>101</v>
      </c>
      <c r="B180" s="5"/>
      <c r="C180" s="81" t="s">
        <v>565</v>
      </c>
      <c r="D180" s="2" t="s">
        <v>435</v>
      </c>
      <c r="F180" s="479" t="s">
        <v>340</v>
      </c>
      <c r="G180" s="4"/>
      <c r="H180" s="824">
        <f>'Attachment 8, Page 1'!W26</f>
        <v>0.039399999999999998</v>
      </c>
      <c r="I180" s="887"/>
    </row>
    <row r="181" spans="1:9" ht="15">
      <c r="A181" s="5">
        <f>+A180+1</f>
        <v>102</v>
      </c>
      <c r="B181" s="5"/>
      <c r="C181" s="81" t="s">
        <v>571</v>
      </c>
      <c r="D181" s="2" t="s">
        <v>452</v>
      </c>
      <c r="F181" s="4" t="str">
        <f>"(Line "&amp;A157&amp;" / Line "&amp;A172&amp;")"</f>
        <v>(Line 84 / Line 95)</v>
      </c>
      <c r="G181" s="4"/>
      <c r="H181" s="824">
        <v>0</v>
      </c>
      <c r="I181" s="15"/>
    </row>
    <row r="182" spans="1:9" ht="15">
      <c r="A182" s="5">
        <f>+A181+1</f>
        <v>103</v>
      </c>
      <c r="B182" s="5"/>
      <c r="C182" s="81" t="s">
        <v>566</v>
      </c>
      <c r="D182" s="2" t="s">
        <v>429</v>
      </c>
      <c r="E182" s="87" t="str">
        <f>"(Note "&amp;B288&amp;")"</f>
        <v>(Note I)</v>
      </c>
      <c r="F182" s="41" t="s">
        <v>132</v>
      </c>
      <c r="G182" s="4"/>
      <c r="H182" s="824">
        <v>0.11700000000000001</v>
      </c>
      <c r="I182" s="15"/>
    </row>
    <row r="183" spans="1:7" ht="15">
      <c r="A183" s="5"/>
      <c r="B183" s="5"/>
      <c r="C183" s="81"/>
      <c r="D183" s="2"/>
      <c r="F183" s="4"/>
      <c r="G183" s="4"/>
    </row>
    <row r="184" spans="1:9" ht="15">
      <c r="A184" s="5">
        <f>+A182+1</f>
        <v>104</v>
      </c>
      <c r="B184" s="5"/>
      <c r="C184" s="3" t="s">
        <v>567</v>
      </c>
      <c r="D184" s="2" t="s">
        <v>436</v>
      </c>
      <c r="F184" s="4" t="str">
        <f>"(Line "&amp;A176&amp;" * Line "&amp;A180&amp;")"</f>
        <v>(Line 98 * Line 101)</v>
      </c>
      <c r="G184" s="18"/>
      <c r="H184" s="824">
        <f>H176*H180</f>
        <v>0.015606885490771072</v>
      </c>
      <c r="I184" s="6"/>
    </row>
    <row r="185" spans="1:9" ht="15">
      <c r="A185" s="5">
        <f>+A184+1</f>
        <v>105</v>
      </c>
      <c r="B185" s="5"/>
      <c r="C185" s="3" t="s">
        <v>775</v>
      </c>
      <c r="D185" s="2" t="s">
        <v>452</v>
      </c>
      <c r="F185" s="4" t="str">
        <f>"(Line "&amp;A177&amp;" * Line "&amp;A181&amp;")"</f>
        <v>(Line 99 * Line 102)</v>
      </c>
      <c r="G185" s="30"/>
      <c r="H185" s="824">
        <f>H177*H181</f>
        <v>0</v>
      </c>
      <c r="I185" s="15"/>
    </row>
    <row r="186" spans="1:9" ht="15">
      <c r="A186" s="5">
        <f>+A185+1</f>
        <v>106</v>
      </c>
      <c r="B186" s="288"/>
      <c r="C186" s="83" t="s">
        <v>568</v>
      </c>
      <c r="D186" s="80" t="s">
        <v>429</v>
      </c>
      <c r="E186" s="91"/>
      <c r="F186" s="52" t="str">
        <f>"(Line "&amp;A178&amp;" * Line "&amp;A182&amp;")"</f>
        <v>(Line 100 * Line 103)</v>
      </c>
      <c r="G186" s="53"/>
      <c r="H186" s="905">
        <f>H178*H182</f>
        <v>0.070654680141618895</v>
      </c>
      <c r="I186" s="15"/>
    </row>
    <row r="187" spans="1:9" s="1" customFormat="1" ht="15.6">
      <c r="A187" s="5">
        <f>+A186+1</f>
        <v>107</v>
      </c>
      <c r="B187" s="1" t="s">
        <v>594</v>
      </c>
      <c r="E187" s="7"/>
      <c r="F187" s="4" t="str">
        <f>"(Sum Lines "&amp;A184&amp;" to "&amp;A186&amp;")"</f>
        <v>(Sum Lines 104 to 106)</v>
      </c>
      <c r="G187" s="40"/>
      <c r="H187" s="39">
        <f>SUM(H184:H186)</f>
        <v>0.086261565632389972</v>
      </c>
      <c r="I187" s="888"/>
    </row>
    <row r="188" spans="1:9" s="1" customFormat="1" ht="15.6">
      <c r="A188" s="7"/>
      <c r="B188" s="7"/>
      <c r="E188" s="7"/>
      <c r="F188" s="8"/>
      <c r="G188" s="40"/>
      <c r="H188" s="39"/>
      <c r="I188" s="39"/>
    </row>
    <row r="189" spans="1:9" ht="16.2" thickBot="1">
      <c r="A189" s="5">
        <f>+A187+1</f>
        <v>108</v>
      </c>
      <c r="B189" s="54" t="s">
        <v>499</v>
      </c>
      <c r="C189" s="289"/>
      <c r="D189" s="26"/>
      <c r="E189" s="92"/>
      <c r="F189" s="27" t="str">
        <f>"(Line "&amp;A92&amp;" * Line "&amp;A187&amp;")"</f>
        <v>(Line 46 * Line 107)</v>
      </c>
      <c r="G189" s="55"/>
      <c r="H189" s="27">
        <f>H92*H187</f>
        <v>119831158.57678747</v>
      </c>
      <c r="I189" s="8"/>
    </row>
    <row r="190" spans="1:9" ht="15.6" thickTop="1">
      <c r="A190" s="5"/>
      <c r="B190" s="19"/>
      <c r="C190" s="2"/>
      <c r="F190" s="4"/>
      <c r="G190" s="4"/>
      <c r="H190" s="824"/>
      <c r="I190" s="15"/>
    </row>
    <row r="191" spans="1:9" ht="15.6">
      <c r="A191" s="60" t="s">
        <v>248</v>
      </c>
      <c r="B191" s="61"/>
      <c r="C191" s="286"/>
      <c r="D191" s="57"/>
      <c r="E191" s="180"/>
      <c r="F191" s="57"/>
      <c r="G191" s="57"/>
      <c r="H191" s="63"/>
      <c r="I191" s="56"/>
    </row>
    <row r="192" spans="2:9" ht="15.6">
      <c r="B192" s="19"/>
      <c r="C192" s="1"/>
      <c r="E192" s="215"/>
      <c r="H192" s="24"/>
      <c r="I192" s="869"/>
    </row>
    <row r="193" spans="1:7" ht="15.6">
      <c r="A193" s="19" t="s">
        <v>447</v>
      </c>
      <c r="B193" s="66" t="s">
        <v>500</v>
      </c>
      <c r="C193" s="2"/>
      <c r="E193" s="215"/>
      <c r="F193" s="4"/>
      <c r="G193" s="11"/>
    </row>
    <row r="194" spans="1:9" ht="15">
      <c r="A194" s="19">
        <f>+A189+1</f>
        <v>109</v>
      </c>
      <c r="B194" s="19"/>
      <c r="C194" s="2" t="s">
        <v>498</v>
      </c>
      <c r="E194" s="87" t="str">
        <f>"(Note "&amp;B285&amp;")"</f>
        <v>(Note H)</v>
      </c>
      <c r="G194" s="21"/>
      <c r="H194" s="961">
        <v>0.21</v>
      </c>
      <c r="I194" s="700"/>
    </row>
    <row r="195" spans="1:9" ht="15">
      <c r="A195" s="5">
        <f>+A194+1</f>
        <v>110</v>
      </c>
      <c r="B195" s="19"/>
      <c r="C195" s="20" t="s">
        <v>497</v>
      </c>
      <c r="D195" s="16"/>
      <c r="G195" s="21"/>
      <c r="H195" s="961">
        <f>'5 - Cost Support'!G184</f>
        <v>0.072452659199999991</v>
      </c>
      <c r="I195" s="700"/>
    </row>
    <row r="196" spans="1:9" ht="15">
      <c r="A196" s="5">
        <f>+A195+1</f>
        <v>111</v>
      </c>
      <c r="B196" s="19"/>
      <c r="C196" s="2" t="s">
        <v>544</v>
      </c>
      <c r="D196" s="21" t="s">
        <v>545</v>
      </c>
      <c r="F196" s="20" t="s">
        <v>818</v>
      </c>
      <c r="G196" s="21"/>
      <c r="H196" s="961">
        <v>0</v>
      </c>
      <c r="I196" s="700"/>
    </row>
    <row r="197" spans="1:9" ht="15">
      <c r="A197" s="5">
        <f>+A196+1</f>
        <v>112</v>
      </c>
      <c r="B197" s="19"/>
      <c r="C197" s="2" t="s">
        <v>549</v>
      </c>
      <c r="D197" s="10" t="s">
        <v>561</v>
      </c>
      <c r="G197" s="21"/>
      <c r="H197" s="906">
        <f>1-(((1-H195)*(1-H194))/(1-H195*H194*H196))</f>
        <v>0.26723760076799996</v>
      </c>
      <c r="I197" s="12"/>
    </row>
    <row r="198" spans="1:9" ht="15">
      <c r="A198" s="5">
        <f>+A197+1</f>
        <v>113</v>
      </c>
      <c r="B198" s="19"/>
      <c r="C198" s="2" t="s">
        <v>543</v>
      </c>
      <c r="D198" s="16"/>
      <c r="G198" s="21"/>
      <c r="H198" s="700">
        <f>H197/(1-H197)</f>
        <v>0.3646988451482891</v>
      </c>
      <c r="I198" s="889"/>
    </row>
    <row r="199" spans="1:9" ht="15.6">
      <c r="A199" s="19"/>
      <c r="B199" s="19"/>
      <c r="C199" s="2"/>
      <c r="E199" s="1585"/>
      <c r="F199" s="10"/>
      <c r="G199" s="11"/>
      <c r="H199" s="907"/>
      <c r="I199" s="106"/>
    </row>
    <row r="200" spans="1:9" ht="15.6">
      <c r="A200" s="19">
        <f>+A198+1</f>
        <v>114</v>
      </c>
      <c r="B200" s="1" t="s">
        <v>518</v>
      </c>
      <c r="C200" s="2"/>
      <c r="D200" s="3" t="s">
        <v>694</v>
      </c>
      <c r="E200" s="215"/>
      <c r="F200" s="4" t="str">
        <f>"[Line "&amp;A198&amp;" * Line "&amp;A189&amp;" * (1- (Line "&amp;A184&amp;" / Line "&amp;A187&amp;"))]"</f>
        <v>[Line 113 * Line 108 * (1- (Line 104 / Line 107))]</v>
      </c>
      <c r="H200" s="132">
        <f>((H198*H189*(1-(H184/H187))))</f>
        <v>35795443.26367268</v>
      </c>
      <c r="I200" s="890"/>
    </row>
    <row r="201" spans="1:9" ht="15.6">
      <c r="A201" s="19" t="s">
        <v>1098</v>
      </c>
      <c r="B201" s="1015" t="s">
        <v>1096</v>
      </c>
      <c r="C201" s="83"/>
      <c r="D201" s="46"/>
      <c r="E201" s="99" t="str">
        <f>"(Note "&amp;B307&amp;")"</f>
        <v>(Note O)</v>
      </c>
      <c r="F201" s="1047" t="s">
        <v>1148</v>
      </c>
      <c r="G201" s="45"/>
      <c r="H201" s="1016">
        <f>'ATT 1.1- Excess_Def ADIT'!J165</f>
        <v>1863316.1603563593</v>
      </c>
      <c r="I201" s="890"/>
    </row>
    <row r="202" spans="1:9" ht="15.6">
      <c r="A202" s="19"/>
      <c r="B202" s="1"/>
      <c r="C202" s="3"/>
      <c r="F202" s="41"/>
      <c r="G202" s="32"/>
      <c r="H202" s="890"/>
      <c r="I202" s="13"/>
    </row>
    <row r="203" spans="1:9" ht="16.2" thickBot="1">
      <c r="A203" s="19">
        <f>+A200+1</f>
        <v>115</v>
      </c>
      <c r="B203" s="1009" t="s">
        <v>425</v>
      </c>
      <c r="C203" s="1009"/>
      <c r="D203" s="1010"/>
      <c r="E203" s="1011"/>
      <c r="F203" s="1012" t="str">
        <f>"(Line "&amp;A200&amp;" + Line "&amp;A201&amp;")"</f>
        <v>(Line 114 + Line 114a)</v>
      </c>
      <c r="G203" s="1013"/>
      <c r="H203" s="1014">
        <f>H200+H201</f>
        <v>37658759.424029037</v>
      </c>
      <c r="I203" s="655"/>
    </row>
    <row r="204" spans="1:9" ht="15.6" thickTop="1">
      <c r="A204" s="19"/>
      <c r="B204" s="19"/>
      <c r="C204" s="10"/>
      <c r="F204" s="13"/>
      <c r="G204" s="6"/>
      <c r="H204" s="908"/>
      <c r="I204" s="891"/>
    </row>
    <row r="205" spans="1:9" ht="15.6">
      <c r="A205" s="60" t="s">
        <v>437</v>
      </c>
      <c r="B205" s="61"/>
      <c r="C205" s="286"/>
      <c r="D205" s="57"/>
      <c r="E205" s="86"/>
      <c r="F205" s="57"/>
      <c r="G205" s="57"/>
      <c r="H205" s="63"/>
      <c r="I205" s="56"/>
    </row>
    <row r="206" spans="1:1" ht="15">
      <c r="A206" s="19"/>
    </row>
    <row r="207" spans="1:3" ht="15.6">
      <c r="A207" s="19"/>
      <c r="B207" s="1" t="s">
        <v>426</v>
      </c>
      <c r="C207" s="2"/>
    </row>
    <row r="208" spans="1:9" ht="15">
      <c r="A208" s="19">
        <f>+A203+1</f>
        <v>116</v>
      </c>
      <c r="C208" s="2" t="s">
        <v>427</v>
      </c>
      <c r="F208" s="4" t="str">
        <f>"(Line "&amp;A60&amp;")"</f>
        <v>(Line 30)</v>
      </c>
      <c r="H208" s="41">
        <f>H60</f>
        <v>1878094733.9803708</v>
      </c>
      <c r="I208" s="41"/>
    </row>
    <row r="209" spans="1:9" ht="15">
      <c r="A209" s="5">
        <f>+A208+1</f>
        <v>117</v>
      </c>
      <c r="C209" s="2" t="s">
        <v>609</v>
      </c>
      <c r="F209" s="52" t="str">
        <f>"(Line "&amp;A90&amp;")"</f>
        <v>(Line 45)</v>
      </c>
      <c r="H209" s="41">
        <f>H90</f>
        <v>-488934246.36000001</v>
      </c>
      <c r="I209" s="41"/>
    </row>
    <row r="210" spans="1:9" ht="15.6">
      <c r="A210" s="5">
        <f>+A209+1</f>
        <v>118</v>
      </c>
      <c r="B210" s="19"/>
      <c r="C210" s="25" t="s">
        <v>517</v>
      </c>
      <c r="D210" s="25"/>
      <c r="E210" s="93"/>
      <c r="F210" s="4" t="str">
        <f>"(Line "&amp;A92&amp;")"</f>
        <v>(Line 46)</v>
      </c>
      <c r="G210" s="25"/>
      <c r="H210" s="68">
        <f>SUM(H208:H209)</f>
        <v>1389160487.6203709</v>
      </c>
      <c r="I210" s="8"/>
    </row>
    <row r="211" spans="1:9" ht="15">
      <c r="A211" s="19"/>
      <c r="B211" s="19"/>
      <c r="C211" s="2"/>
      <c r="E211" s="215"/>
      <c r="H211" s="41"/>
      <c r="I211" s="41"/>
    </row>
    <row r="212" spans="1:9" ht="15">
      <c r="A212" s="19">
        <f>+A210+1</f>
        <v>119</v>
      </c>
      <c r="C212" s="2" t="s">
        <v>510</v>
      </c>
      <c r="F212" s="4" t="str">
        <f>"(Line "&amp;A133&amp;")"</f>
        <v>(Line 74)</v>
      </c>
      <c r="H212" s="41">
        <f>H133</f>
        <v>26319796</v>
      </c>
      <c r="I212" s="41"/>
    </row>
    <row r="213" spans="1:9" ht="15">
      <c r="A213" s="5">
        <f>+A212+1</f>
        <v>120</v>
      </c>
      <c r="C213" s="3" t="s">
        <v>505</v>
      </c>
      <c r="F213" s="4" t="str">
        <f>"(Line "&amp;A146&amp;")"</f>
        <v>(Line 81)</v>
      </c>
      <c r="H213" s="41">
        <f>H146</f>
        <v>57786003.11999999</v>
      </c>
      <c r="I213" s="41"/>
    </row>
    <row r="214" spans="1:9" ht="15">
      <c r="A214" s="5">
        <f>+A213+1</f>
        <v>121</v>
      </c>
      <c r="B214" s="19"/>
      <c r="C214" s="2" t="s">
        <v>428</v>
      </c>
      <c r="E214" s="215"/>
      <c r="F214" s="4" t="str">
        <f>"(Line "&amp;A152&amp;")"</f>
        <v>(Line 83)</v>
      </c>
      <c r="H214" s="485">
        <f>H152</f>
        <v>14976174</v>
      </c>
      <c r="I214" s="873"/>
    </row>
    <row r="215" spans="1:9" ht="15">
      <c r="A215" s="5">
        <f>+A214+1</f>
        <v>122</v>
      </c>
      <c r="B215" s="19"/>
      <c r="C215" s="10" t="s">
        <v>530</v>
      </c>
      <c r="E215" s="215"/>
      <c r="F215" s="4" t="str">
        <f>"(Line "&amp;A189&amp;")"</f>
        <v>(Line 108)</v>
      </c>
      <c r="H215" s="41">
        <f>H189</f>
        <v>119831158.57678747</v>
      </c>
      <c r="I215" s="41"/>
    </row>
    <row r="216" spans="1:9" ht="15">
      <c r="A216" s="5">
        <f>+A215+1</f>
        <v>123</v>
      </c>
      <c r="B216" s="19"/>
      <c r="C216" s="10" t="s">
        <v>531</v>
      </c>
      <c r="E216" s="215"/>
      <c r="F216" s="4" t="str">
        <f>"(Line "&amp;A203&amp;")"</f>
        <v>(Line 115)</v>
      </c>
      <c r="H216" s="41">
        <f>H203</f>
        <v>37658759.424029037</v>
      </c>
      <c r="I216" s="41"/>
    </row>
    <row r="217" spans="1:9" ht="15.6" thickBot="1">
      <c r="A217" s="5"/>
      <c r="B217" s="19"/>
      <c r="C217" s="10"/>
      <c r="E217" s="215"/>
      <c r="H217" s="41"/>
      <c r="I217" s="41"/>
    </row>
    <row r="218" spans="1:9" ht="18" thickBot="1">
      <c r="A218" s="74">
        <f>+A216+1</f>
        <v>124</v>
      </c>
      <c r="B218" s="71"/>
      <c r="C218" s="76" t="s">
        <v>541</v>
      </c>
      <c r="D218" s="72"/>
      <c r="E218" s="1588"/>
      <c r="F218" s="279" t="str">
        <f>"(Sum Lines "&amp;A212&amp;" to "&amp;A216&amp;")"</f>
        <v>(Sum Lines 119 to 123)</v>
      </c>
      <c r="G218" s="73"/>
      <c r="H218" s="279">
        <f>SUM(H212:H216)</f>
        <v>256571891.12081653</v>
      </c>
      <c r="I218" s="875"/>
    </row>
    <row r="219" spans="1:9" ht="17.4">
      <c r="A219" s="78"/>
      <c r="B219" s="101"/>
      <c r="C219" s="310"/>
      <c r="D219" s="102"/>
      <c r="E219" s="1589"/>
      <c r="F219" s="8"/>
      <c r="G219" s="103"/>
      <c r="H219" s="657"/>
      <c r="I219" s="875"/>
    </row>
    <row r="220" spans="1:9" ht="17.4">
      <c r="A220" s="78"/>
      <c r="B220" s="48" t="s">
        <v>460</v>
      </c>
      <c r="C220" s="310"/>
      <c r="D220" s="102"/>
      <c r="E220" s="1589"/>
      <c r="F220" s="8"/>
      <c r="G220" s="103"/>
      <c r="H220" s="657"/>
      <c r="I220" s="875"/>
    </row>
    <row r="221" spans="1:9" ht="17.4">
      <c r="A221" s="5">
        <f>+A218+1</f>
        <v>125</v>
      </c>
      <c r="B221" s="5"/>
      <c r="C221" s="2" t="str">
        <f>+C36</f>
        <v>Transmission Plant In Service</v>
      </c>
      <c r="D221" s="102"/>
      <c r="E221" s="1589"/>
      <c r="F221" s="4" t="str">
        <f>"(Line "&amp;A46&amp;")"</f>
        <v>(Line 22)</v>
      </c>
      <c r="G221" s="103"/>
      <c r="H221" s="41">
        <f>H46</f>
        <v>2458245094.985333</v>
      </c>
      <c r="I221" s="4"/>
    </row>
    <row r="222" spans="1:9" ht="17.4">
      <c r="A222" s="5">
        <f>+A221+1</f>
        <v>126</v>
      </c>
      <c r="B222" s="5"/>
      <c r="C222" s="80" t="s">
        <v>461</v>
      </c>
      <c r="D222" s="104"/>
      <c r="E222" s="99" t="str">
        <f>"(Note "&amp;B$291&amp;")"</f>
        <v>(Note L)</v>
      </c>
      <c r="F222" s="52" t="s">
        <v>341</v>
      </c>
      <c r="G222" s="103"/>
      <c r="H222" s="909">
        <f>'5 - Cost Support'!G195</f>
        <v>0</v>
      </c>
      <c r="I222" s="656"/>
    </row>
    <row r="223" spans="1:9" ht="17.4">
      <c r="A223" s="5">
        <f>+A222+1</f>
        <v>127</v>
      </c>
      <c r="B223" s="5"/>
      <c r="C223" s="2" t="s">
        <v>462</v>
      </c>
      <c r="D223" s="102"/>
      <c r="E223" s="1589"/>
      <c r="F223" s="4" t="str">
        <f>"(Line "&amp;A221&amp;" - Line "&amp;A222&amp;")"</f>
        <v>(Line 125 - Line 126)</v>
      </c>
      <c r="G223" s="103"/>
      <c r="H223" s="41">
        <f>H221-H222</f>
        <v>2458245094.985333</v>
      </c>
      <c r="I223" s="4"/>
    </row>
    <row r="224" spans="1:9" ht="17.4">
      <c r="A224" s="5">
        <f>+A223+1</f>
        <v>128</v>
      </c>
      <c r="B224" s="5"/>
      <c r="C224" s="2" t="s">
        <v>463</v>
      </c>
      <c r="D224" s="102"/>
      <c r="E224" s="1589"/>
      <c r="F224" s="4" t="str">
        <f>"(Line "&amp;A223&amp;" / Line "&amp;A221&amp;")"</f>
        <v>(Line 127 / Line 125)</v>
      </c>
      <c r="G224" s="103"/>
      <c r="H224" s="910">
        <v>1</v>
      </c>
      <c r="I224" s="105"/>
    </row>
    <row r="225" spans="1:9" ht="17.4">
      <c r="A225" s="5">
        <f>+A224+1</f>
        <v>129</v>
      </c>
      <c r="B225" s="5"/>
      <c r="C225" s="80" t="s">
        <v>541</v>
      </c>
      <c r="D225" s="104"/>
      <c r="E225" s="1590"/>
      <c r="F225" s="52" t="str">
        <f>"(Line "&amp;A218&amp;")"</f>
        <v>(Line 124)</v>
      </c>
      <c r="G225" s="103"/>
      <c r="H225" s="460">
        <f>H218</f>
        <v>256571891.12081653</v>
      </c>
      <c r="I225" s="4"/>
    </row>
    <row r="226" spans="1:9" ht="17.4">
      <c r="A226" s="5">
        <f>+A225+1</f>
        <v>130</v>
      </c>
      <c r="B226" s="5"/>
      <c r="C226" s="1" t="s">
        <v>467</v>
      </c>
      <c r="D226" s="102"/>
      <c r="E226" s="1589"/>
      <c r="F226" s="4" t="str">
        <f>"(Line "&amp;A224&amp;" * Line "&amp;A225&amp;")"</f>
        <v>(Line 128 * Line 129)</v>
      </c>
      <c r="G226" s="103"/>
      <c r="H226" s="8">
        <f>H224*H225</f>
        <v>256571891.12081653</v>
      </c>
      <c r="I226" s="8"/>
    </row>
    <row r="227" spans="1:9" ht="15.6">
      <c r="A227" s="114"/>
      <c r="B227" s="19"/>
      <c r="C227" s="2"/>
      <c r="E227" s="215"/>
      <c r="H227" s="24"/>
      <c r="I227" s="869"/>
    </row>
    <row r="228" spans="1:9" ht="15.6">
      <c r="A228" s="114"/>
      <c r="B228" s="48" t="s">
        <v>755</v>
      </c>
      <c r="C228" s="2"/>
      <c r="E228" s="215"/>
      <c r="H228" s="24"/>
      <c r="I228" s="869"/>
    </row>
    <row r="229" spans="1:9" ht="15.6">
      <c r="A229" s="19">
        <f>+A226+1</f>
        <v>131</v>
      </c>
      <c r="C229" s="48" t="s">
        <v>431</v>
      </c>
      <c r="D229" s="22"/>
      <c r="E229" s="215"/>
      <c r="F229" s="20" t="s">
        <v>342</v>
      </c>
      <c r="H229" s="874">
        <f>'3 - Revenue Credits'!D23</f>
        <v>3424198</v>
      </c>
      <c r="I229" s="885"/>
    </row>
    <row r="230" spans="1:9" ht="16.2" thickBot="1">
      <c r="A230" s="19"/>
      <c r="B230" s="19"/>
      <c r="C230" s="2"/>
      <c r="D230" s="2"/>
      <c r="H230" s="24"/>
      <c r="I230" s="869"/>
    </row>
    <row r="231" spans="1:9" s="1" customFormat="1" ht="18" thickBot="1">
      <c r="A231" s="74">
        <f>+A229+1</f>
        <v>132</v>
      </c>
      <c r="B231" s="77"/>
      <c r="C231" s="75" t="s">
        <v>550</v>
      </c>
      <c r="D231" s="76"/>
      <c r="E231" s="79"/>
      <c r="F231" s="279" t="str">
        <f>"(Line "&amp;A226&amp;" - Line "&amp;A229&amp;")"</f>
        <v>(Line 130 - Line 131)</v>
      </c>
      <c r="G231" s="76"/>
      <c r="H231" s="279">
        <f>H226-H229</f>
        <v>253147693.12081653</v>
      </c>
      <c r="I231" s="657"/>
    </row>
    <row r="232" spans="1:9" ht="15.6">
      <c r="A232" s="114"/>
      <c r="B232" s="19"/>
      <c r="C232" s="2"/>
      <c r="D232" s="2"/>
      <c r="H232" s="24"/>
      <c r="I232" s="869"/>
    </row>
    <row r="233" spans="1:9" ht="15.6">
      <c r="A233" s="19"/>
      <c r="B233" s="1" t="s">
        <v>774</v>
      </c>
      <c r="C233" s="2"/>
      <c r="D233" s="2"/>
      <c r="H233" s="24"/>
      <c r="I233" s="869"/>
    </row>
    <row r="234" spans="1:9" ht="15.6">
      <c r="A234" s="19">
        <f>+A231+1</f>
        <v>133</v>
      </c>
      <c r="B234" s="19"/>
      <c r="C234" s="2" t="str">
        <f>+C231</f>
        <v>Net Revenue Requirement</v>
      </c>
      <c r="D234" s="2"/>
      <c r="F234" s="20" t="str">
        <f>"(Line "&amp;A231&amp;")"</f>
        <v>(Line 132)</v>
      </c>
      <c r="H234" s="486">
        <f>H231</f>
        <v>253147693.12081653</v>
      </c>
      <c r="I234" s="612"/>
    </row>
    <row r="235" spans="1:9" ht="15.6">
      <c r="A235" s="19">
        <f>+A234+1</f>
        <v>134</v>
      </c>
      <c r="B235" s="19"/>
      <c r="C235" s="2" t="s">
        <v>684</v>
      </c>
      <c r="D235" s="2"/>
      <c r="F235" s="20" t="str">
        <f>"(Line "&amp;A39&amp;" - Line "&amp;A50&amp;" + Line "&amp;A68&amp;")"</f>
        <v>(Line 17 - Line 23 + Line 33)</v>
      </c>
      <c r="H235" s="487">
        <f>H39-H50+H68</f>
        <v>1785935322.9803708</v>
      </c>
      <c r="I235" s="612"/>
    </row>
    <row r="236" spans="1:9" ht="15.6">
      <c r="A236" s="19">
        <f>+A235+1</f>
        <v>135</v>
      </c>
      <c r="B236" s="19"/>
      <c r="C236" s="2" t="s">
        <v>685</v>
      </c>
      <c r="D236" s="2"/>
      <c r="F236" s="20" t="str">
        <f>"(Line "&amp;A234&amp;" / Line "&amp;A235&amp;")"</f>
        <v>(Line 133 / Line 134)</v>
      </c>
      <c r="H236" s="408">
        <f>H234/H235</f>
        <v>0.14174516280822722</v>
      </c>
      <c r="I236" s="869"/>
    </row>
    <row r="237" spans="1:9" ht="15.6">
      <c r="A237" s="19">
        <f>+A236+1</f>
        <v>136</v>
      </c>
      <c r="B237" s="19"/>
      <c r="C237" s="2" t="s">
        <v>686</v>
      </c>
      <c r="D237" s="2"/>
      <c r="F237" s="280" t="str">
        <f>"(Line "&amp;A234&amp;" - Line "&amp;A138&amp;") / Line "&amp;A235</f>
        <v>(Line 133 - Line 75) / Line 134</v>
      </c>
      <c r="H237" s="408">
        <f>(H234-H138)/H235</f>
        <v>0.11477830196489683</v>
      </c>
      <c r="I237" s="869"/>
    </row>
    <row r="238" spans="1:9" ht="15.6">
      <c r="A238" s="19">
        <f>+A237+1</f>
        <v>137</v>
      </c>
      <c r="B238" s="19"/>
      <c r="C238" s="2" t="s">
        <v>687</v>
      </c>
      <c r="D238" s="2"/>
      <c r="F238" s="280" t="str">
        <f>"(Line "&amp;A234&amp;" - Line "&amp;A127&amp;" - Line "&amp;A128&amp;" - Line "&amp;A138&amp;") / Line "&amp;A235</f>
        <v>(Line 133 - Line 70 - Line 71 - Line 75) / Line 134</v>
      </c>
      <c r="H238" s="408">
        <f>(H234-H$127-H$128-$H$138)/$H$235</f>
        <v>0.11477830196489683</v>
      </c>
      <c r="I238" s="869"/>
    </row>
    <row r="239" spans="1:9" ht="15.6">
      <c r="A239" s="19">
        <f>+A238+1</f>
        <v>138</v>
      </c>
      <c r="B239" s="19"/>
      <c r="C239" s="2" t="s">
        <v>688</v>
      </c>
      <c r="D239" s="2"/>
      <c r="F239" s="2" t="str">
        <f>"(Line "&amp;A234&amp;" - Line "&amp;A138&amp;" - Line "&amp;A189&amp;" - Line "&amp;A203&amp;") / Line "&amp;A235</f>
        <v>(Line 133 - Line 75 - Line 108 - Line 115) / Line 134</v>
      </c>
      <c r="H239" s="24">
        <f>(H234-H138-H189-H203)/H235</f>
        <v>0.026594863307108727</v>
      </c>
      <c r="I239" s="869"/>
    </row>
    <row r="240" spans="1:9" ht="15.6">
      <c r="A240" s="19"/>
      <c r="B240" s="19"/>
      <c r="C240" s="2"/>
      <c r="D240" s="2"/>
      <c r="H240" s="24"/>
      <c r="I240" s="869"/>
    </row>
    <row r="241" spans="1:9" ht="15.6">
      <c r="A241" s="19"/>
      <c r="B241" s="19"/>
      <c r="C241" s="2"/>
      <c r="D241" s="2"/>
      <c r="H241" s="24"/>
      <c r="I241" s="869"/>
    </row>
    <row r="242" spans="1:9" ht="15.6">
      <c r="A242" s="19"/>
      <c r="B242" s="1" t="s">
        <v>642</v>
      </c>
      <c r="C242" s="2"/>
      <c r="D242" s="2"/>
      <c r="H242" s="24"/>
      <c r="I242" s="869"/>
    </row>
    <row r="243" spans="1:9" ht="15.6">
      <c r="A243" s="19">
        <f>+A239+1</f>
        <v>139</v>
      </c>
      <c r="B243" s="19"/>
      <c r="C243" s="2" t="s">
        <v>706</v>
      </c>
      <c r="D243" s="2"/>
      <c r="F243" s="20" t="str">
        <f>"(Line "&amp;A231&amp;" - Line "&amp;A215&amp;" - Line "&amp;A216&amp;")"</f>
        <v>(Line 132 - Line 122 - Line 123)</v>
      </c>
      <c r="H243" s="486">
        <f>H231-H215-H216</f>
        <v>95657775.12000002</v>
      </c>
      <c r="I243" s="612"/>
    </row>
    <row r="244" spans="1:9" ht="15.6">
      <c r="A244" s="19">
        <f t="shared" si="2" ref="A244:A249">+A243+1</f>
        <v>140</v>
      </c>
      <c r="B244" s="19"/>
      <c r="C244" s="2" t="s">
        <v>876</v>
      </c>
      <c r="D244" s="2"/>
      <c r="F244" s="20" t="s">
        <v>343</v>
      </c>
      <c r="H244" s="487">
        <f>'4 - Incentive ROE Adj'!G9</f>
        <v>168938305.45225799</v>
      </c>
      <c r="I244" s="612"/>
    </row>
    <row r="245" spans="1:9" ht="15.6">
      <c r="A245" s="19">
        <f t="shared" si="2"/>
        <v>141</v>
      </c>
      <c r="B245" s="19"/>
      <c r="C245" s="2" t="s">
        <v>643</v>
      </c>
      <c r="D245" s="2"/>
      <c r="F245" s="20" t="str">
        <f>"(Line "&amp;A243&amp;" + Line "&amp;A244&amp;")"</f>
        <v>(Line 139 + Line 140)</v>
      </c>
      <c r="H245" s="487">
        <f>H243+H244</f>
        <v>264596080.572258</v>
      </c>
      <c r="I245" s="612"/>
    </row>
    <row r="246" spans="1:9" ht="15.6">
      <c r="A246" s="19">
        <f t="shared" si="2"/>
        <v>142</v>
      </c>
      <c r="B246" s="19"/>
      <c r="C246" s="2" t="str">
        <f>+C235</f>
        <v>Net Transmission Plant  + CWIP</v>
      </c>
      <c r="D246" s="2"/>
      <c r="F246" s="20" t="str">
        <f>"(Line "&amp;A39&amp;" - Line "&amp;A50&amp;"+ Line "&amp;A68&amp;")"</f>
        <v>(Line 17 - Line 23+ Line 33)</v>
      </c>
      <c r="H246" s="487">
        <f>H39-H50+H68</f>
        <v>1785935322.9803708</v>
      </c>
      <c r="I246" s="612"/>
    </row>
    <row r="247" spans="1:9" ht="15.6">
      <c r="A247" s="19">
        <f t="shared" si="2"/>
        <v>143</v>
      </c>
      <c r="B247" s="19"/>
      <c r="C247" s="2" t="s">
        <v>689</v>
      </c>
      <c r="D247" s="2"/>
      <c r="F247" s="20" t="str">
        <f>"(Line "&amp;A245&amp;" / Line "&amp;A246&amp;")"</f>
        <v>(Line 141 / Line 142)</v>
      </c>
      <c r="H247" s="408">
        <f>H245/H246</f>
        <v>0.14815546630809664</v>
      </c>
      <c r="I247" s="869"/>
    </row>
    <row r="248" spans="1:9" ht="15.6">
      <c r="A248" s="19">
        <f t="shared" si="2"/>
        <v>144</v>
      </c>
      <c r="B248" s="19"/>
      <c r="C248" s="2" t="s">
        <v>690</v>
      </c>
      <c r="D248" s="2"/>
      <c r="F248" s="20" t="str">
        <f>"(Line "&amp;A245&amp;" - Line "&amp;A138&amp;") /  Line "&amp;A246</f>
        <v>(Line 141 - Line 75) /  Line 142</v>
      </c>
      <c r="H248" s="408">
        <f>(H245-H138)/H246</f>
        <v>0.12118860546476623</v>
      </c>
      <c r="I248" s="869"/>
    </row>
    <row r="249" spans="1:9" ht="15.6">
      <c r="A249" s="19">
        <f t="shared" si="2"/>
        <v>145</v>
      </c>
      <c r="B249" s="19"/>
      <c r="C249" s="2" t="s">
        <v>693</v>
      </c>
      <c r="D249" s="2"/>
      <c r="F249" s="20" t="str">
        <f>"(Line "&amp;A245&amp;" - Line "&amp;A127&amp;" - Line "&amp;A128&amp;" - Line "&amp;A138&amp;") /  Line "&amp;A246</f>
        <v>(Line 141 - Line 70 - Line 71 - Line 75) /  Line 142</v>
      </c>
      <c r="H249" s="408">
        <f>(H245-H$127-H$128-$H$138)/$H$246</f>
        <v>0.12118860546476623</v>
      </c>
      <c r="I249" s="869"/>
    </row>
    <row r="250" spans="1:9" ht="15.6">
      <c r="A250" s="19"/>
      <c r="B250" s="19"/>
      <c r="C250" s="2"/>
      <c r="D250" s="2"/>
      <c r="H250" s="408"/>
      <c r="I250" s="869"/>
    </row>
    <row r="251" spans="1:9" ht="15.6">
      <c r="A251" s="19">
        <f>+A249+1</f>
        <v>146</v>
      </c>
      <c r="B251" s="19"/>
      <c r="C251" s="1" t="s">
        <v>550</v>
      </c>
      <c r="D251" s="2"/>
      <c r="F251" s="20" t="str">
        <f>"(Line "&amp;A231&amp;")"</f>
        <v>(Line 132)</v>
      </c>
      <c r="H251" s="845">
        <f>H231</f>
        <v>253147693.12081653</v>
      </c>
      <c r="I251" s="612"/>
    </row>
    <row r="252" spans="1:9" ht="15.6">
      <c r="A252" s="19">
        <f>+A251+1</f>
        <v>147</v>
      </c>
      <c r="B252" s="19"/>
      <c r="C252" s="2" t="s">
        <v>218</v>
      </c>
      <c r="D252" s="2"/>
      <c r="E252" s="215"/>
      <c r="F252" s="3" t="s">
        <v>337</v>
      </c>
      <c r="H252" s="846">
        <f>'6- Est &amp; Reconcile WS'!M418</f>
        <v>-14838033.679545125</v>
      </c>
      <c r="I252" s="883"/>
    </row>
    <row r="253" spans="1:9" ht="15.6">
      <c r="A253" s="19">
        <f>+A252+1</f>
        <v>148</v>
      </c>
      <c r="B253" s="19"/>
      <c r="C253" s="280" t="s">
        <v>695</v>
      </c>
      <c r="D253" s="2"/>
      <c r="E253" s="215"/>
      <c r="F253" s="3" t="s">
        <v>870</v>
      </c>
      <c r="H253" s="845">
        <f>'7 - Cap Add WS'!JC32</f>
        <v>5340236.1499119401</v>
      </c>
      <c r="I253" s="612"/>
    </row>
    <row r="254" spans="1:9" ht="16.2" thickBot="1">
      <c r="A254" s="19">
        <f>+A253+1</f>
        <v>149</v>
      </c>
      <c r="B254" s="19"/>
      <c r="C254" s="80" t="s">
        <v>359</v>
      </c>
      <c r="D254" s="461"/>
      <c r="E254" s="99"/>
      <c r="F254" s="46" t="s">
        <v>364</v>
      </c>
      <c r="G254" s="46"/>
      <c r="H254" s="847">
        <f>'5 - Cost Support'!G246</f>
        <v>0</v>
      </c>
      <c r="I254" s="612"/>
    </row>
    <row r="255" spans="1:11" ht="27" customHeight="1" thickBot="1">
      <c r="A255" s="19">
        <f>+A254+1</f>
        <v>150</v>
      </c>
      <c r="B255" s="19"/>
      <c r="C255" s="1" t="s">
        <v>844</v>
      </c>
      <c r="D255" s="2"/>
      <c r="F255" s="20" t="str">
        <f>"(Line "&amp;A251&amp;" + "&amp;A252&amp;" + "&amp;A253&amp;" + "&amp;A254&amp;")"</f>
        <v>(Line 146 + 147 + 148 + 149)</v>
      </c>
      <c r="H255" s="911">
        <f>(H251+H252+H253+H254)</f>
        <v>243649895.59118333</v>
      </c>
      <c r="I255" s="658"/>
      <c r="K255" s="1607"/>
    </row>
    <row r="256" spans="1:9" ht="15.6">
      <c r="A256" s="19"/>
      <c r="B256" s="19"/>
      <c r="C256" s="2"/>
      <c r="D256" s="2"/>
      <c r="H256" s="24"/>
      <c r="I256" s="869"/>
    </row>
    <row r="257" spans="1:9" ht="15.6">
      <c r="A257" s="19"/>
      <c r="B257" s="48" t="s">
        <v>843</v>
      </c>
      <c r="C257" s="2"/>
      <c r="D257" s="2"/>
      <c r="H257" s="24"/>
      <c r="I257" s="869"/>
    </row>
    <row r="258" spans="1:9" ht="15.6">
      <c r="A258" s="19">
        <f>+A255+1</f>
        <v>151</v>
      </c>
      <c r="B258" s="19"/>
      <c r="C258" s="2" t="s">
        <v>503</v>
      </c>
      <c r="D258" s="64"/>
      <c r="E258" s="87" t="str">
        <f>"(Note "&amp;B290&amp;")"</f>
        <v>(Note K)</v>
      </c>
      <c r="F258" s="2" t="s">
        <v>819</v>
      </c>
      <c r="G258" s="2"/>
      <c r="H258" s="409" t="s">
        <v>663</v>
      </c>
      <c r="I258" s="892"/>
    </row>
    <row r="259" spans="1:9" ht="15.6">
      <c r="A259" s="5">
        <f>+A258+1</f>
        <v>152</v>
      </c>
      <c r="B259" s="19"/>
      <c r="C259" s="2" t="s">
        <v>502</v>
      </c>
      <c r="D259" s="189"/>
      <c r="E259" s="94"/>
      <c r="F259" s="4" t="str">
        <f>"(Line "&amp;A255&amp;" / "&amp;A258&amp;")"</f>
        <v>(Line 150 / 151)</v>
      </c>
      <c r="G259" s="69"/>
      <c r="H259" s="332" t="s">
        <v>663</v>
      </c>
      <c r="I259" s="876"/>
    </row>
    <row r="260" spans="1:9" ht="16.2" thickBot="1">
      <c r="A260" s="19"/>
      <c r="B260" s="19"/>
      <c r="C260" s="64"/>
      <c r="D260" s="64"/>
      <c r="E260" s="94"/>
      <c r="F260" s="69"/>
      <c r="G260" s="69"/>
      <c r="H260" s="290"/>
      <c r="I260" s="290"/>
    </row>
    <row r="261" spans="1:9" ht="18" thickBot="1">
      <c r="A261" s="74">
        <f>+A259+1</f>
        <v>153</v>
      </c>
      <c r="B261" s="79"/>
      <c r="C261" s="75" t="s">
        <v>562</v>
      </c>
      <c r="D261" s="79"/>
      <c r="E261" s="79"/>
      <c r="F261" s="79" t="str">
        <f>"(Line "&amp;A259&amp;")"</f>
        <v>(Line 152)</v>
      </c>
      <c r="G261" s="79"/>
      <c r="H261" s="878" t="str">
        <f>H259</f>
        <v>N/A</v>
      </c>
      <c r="I261" s="877"/>
    </row>
    <row r="262" spans="1:9" ht="15.6">
      <c r="A262" s="114"/>
      <c r="B262" s="19"/>
      <c r="C262" s="2"/>
      <c r="D262" s="2"/>
      <c r="E262" s="94"/>
      <c r="F262" s="69"/>
      <c r="G262" s="69"/>
      <c r="H262" s="290"/>
      <c r="I262" s="290"/>
    </row>
    <row r="263" spans="1:9" ht="17.4">
      <c r="A263" s="78"/>
      <c r="B263" s="48" t="s">
        <v>546</v>
      </c>
      <c r="E263" s="94"/>
      <c r="F263" s="69"/>
      <c r="G263" s="69"/>
      <c r="H263" s="290"/>
      <c r="I263" s="290"/>
    </row>
    <row r="264" spans="1:9" ht="15.6">
      <c r="A264" s="270"/>
      <c r="B264" s="137" t="s">
        <v>449</v>
      </c>
      <c r="C264" s="20" t="s">
        <v>554</v>
      </c>
      <c r="E264" s="96"/>
      <c r="F264" s="97"/>
      <c r="G264" s="69"/>
      <c r="H264" s="290" t="s">
        <v>447</v>
      </c>
      <c r="I264" s="290"/>
    </row>
    <row r="265" spans="1:9" ht="15.6">
      <c r="A265" s="270"/>
      <c r="B265" s="137" t="s">
        <v>525</v>
      </c>
      <c r="C265" s="29" t="s">
        <v>671</v>
      </c>
      <c r="E265" s="96"/>
      <c r="F265" s="97"/>
      <c r="G265" s="69"/>
      <c r="H265" s="290"/>
      <c r="I265" s="290"/>
    </row>
    <row r="266" spans="1:9" ht="15.6">
      <c r="A266" s="270"/>
      <c r="B266" s="137"/>
      <c r="C266" s="48" t="s">
        <v>672</v>
      </c>
      <c r="E266" s="96"/>
      <c r="F266" s="97"/>
      <c r="G266" s="69"/>
      <c r="H266" s="291"/>
      <c r="I266" s="893"/>
    </row>
    <row r="267" spans="1:9" ht="15.6">
      <c r="A267" s="270"/>
      <c r="B267" s="137"/>
      <c r="C267" s="29" t="s">
        <v>67</v>
      </c>
      <c r="E267" s="96"/>
      <c r="F267" s="97"/>
      <c r="G267" s="69"/>
      <c r="H267" s="290"/>
      <c r="I267" s="290"/>
    </row>
    <row r="268" spans="1:9" ht="15.6">
      <c r="A268" s="270"/>
      <c r="B268" s="137"/>
      <c r="C268" s="29" t="s">
        <v>673</v>
      </c>
      <c r="E268" s="96"/>
      <c r="F268" s="97"/>
      <c r="G268" s="69"/>
      <c r="H268" s="290"/>
      <c r="I268" s="290"/>
    </row>
    <row r="269" spans="1:9" ht="15.6">
      <c r="A269" s="270"/>
      <c r="B269" s="137"/>
      <c r="C269" s="29" t="s">
        <v>674</v>
      </c>
      <c r="E269" s="96"/>
      <c r="F269" s="97"/>
      <c r="G269" s="69"/>
      <c r="H269" s="290"/>
      <c r="I269" s="290"/>
    </row>
    <row r="270" spans="1:9" ht="15.6">
      <c r="A270" s="270"/>
      <c r="B270" s="137"/>
      <c r="C270" s="29" t="s">
        <v>675</v>
      </c>
      <c r="E270" s="96"/>
      <c r="F270" s="97"/>
      <c r="G270" s="69"/>
      <c r="H270" s="290"/>
      <c r="I270" s="290"/>
    </row>
    <row r="271" spans="1:9" ht="15.6">
      <c r="A271" s="270"/>
      <c r="B271" s="137"/>
      <c r="C271" s="29" t="s">
        <v>676</v>
      </c>
      <c r="E271" s="96"/>
      <c r="F271" s="97"/>
      <c r="G271" s="69"/>
      <c r="H271" s="290"/>
      <c r="I271" s="290"/>
    </row>
    <row r="272" spans="1:9" ht="15.6">
      <c r="A272" s="270"/>
      <c r="B272" s="137"/>
      <c r="C272" s="29" t="s">
        <v>677</v>
      </c>
      <c r="E272" s="96"/>
      <c r="F272" s="97"/>
      <c r="G272" s="69"/>
      <c r="H272" s="290"/>
      <c r="I272" s="290"/>
    </row>
    <row r="273" spans="1:9" ht="15.6">
      <c r="A273" s="270"/>
      <c r="B273" s="137"/>
      <c r="C273" s="48" t="s">
        <v>678</v>
      </c>
      <c r="E273" s="96"/>
      <c r="F273" s="97"/>
      <c r="G273" s="69"/>
      <c r="H273" s="290"/>
      <c r="I273" s="290"/>
    </row>
    <row r="274" spans="1:9" ht="15.6">
      <c r="A274" s="270"/>
      <c r="B274" s="137"/>
      <c r="C274" s="29" t="s">
        <v>679</v>
      </c>
      <c r="E274" s="96"/>
      <c r="F274" s="97"/>
      <c r="G274" s="69"/>
      <c r="H274" s="290"/>
      <c r="I274" s="290"/>
    </row>
    <row r="275" spans="1:9" ht="15.6">
      <c r="A275" s="270"/>
      <c r="B275" s="137"/>
      <c r="C275" s="29" t="s">
        <v>68</v>
      </c>
      <c r="E275" s="96"/>
      <c r="F275" s="97"/>
      <c r="G275" s="69"/>
      <c r="H275" s="290"/>
      <c r="I275" s="290"/>
    </row>
    <row r="276" spans="1:9" ht="15.6">
      <c r="A276" s="270"/>
      <c r="B276" s="137"/>
      <c r="C276" s="29" t="s">
        <v>680</v>
      </c>
      <c r="E276" s="96"/>
      <c r="F276" s="97"/>
      <c r="G276" s="69"/>
      <c r="H276" s="290"/>
      <c r="I276" s="290"/>
    </row>
    <row r="277" spans="1:9" ht="15.6">
      <c r="A277" s="270"/>
      <c r="B277" s="137"/>
      <c r="C277" s="29" t="s">
        <v>681</v>
      </c>
      <c r="E277" s="96"/>
      <c r="F277" s="97"/>
      <c r="G277" s="69"/>
      <c r="H277" s="290"/>
      <c r="I277" s="290"/>
    </row>
    <row r="278" spans="1:9" ht="15.6">
      <c r="A278" s="270"/>
      <c r="B278" s="137"/>
      <c r="C278" s="29" t="s">
        <v>677</v>
      </c>
      <c r="E278" s="96"/>
      <c r="F278" s="97"/>
      <c r="G278" s="69"/>
      <c r="H278" s="290"/>
      <c r="I278" s="290"/>
    </row>
    <row r="279" spans="1:9" ht="15.6">
      <c r="A279" s="270"/>
      <c r="B279" s="137" t="s">
        <v>432</v>
      </c>
      <c r="C279" s="29" t="s">
        <v>226</v>
      </c>
      <c r="E279" s="96"/>
      <c r="F279" s="97"/>
      <c r="G279" s="69"/>
      <c r="H279" s="290"/>
      <c r="I279" s="290"/>
    </row>
    <row r="280" spans="1:9" ht="15.6">
      <c r="A280" s="270"/>
      <c r="B280" s="137"/>
      <c r="C280" s="29" t="s">
        <v>225</v>
      </c>
      <c r="E280" s="96"/>
      <c r="F280" s="97"/>
      <c r="G280" s="69"/>
      <c r="H280" s="290"/>
      <c r="I280" s="290"/>
    </row>
    <row r="281" spans="1:9" ht="15.6">
      <c r="A281" s="270"/>
      <c r="B281" s="137" t="s">
        <v>450</v>
      </c>
      <c r="C281" s="20" t="s">
        <v>602</v>
      </c>
      <c r="E281" s="96"/>
      <c r="F281" s="97"/>
      <c r="G281" s="69"/>
      <c r="H281" s="290"/>
      <c r="I281" s="290"/>
    </row>
    <row r="282" spans="1:9" ht="15.6">
      <c r="A282" s="270"/>
      <c r="B282" s="137" t="s">
        <v>448</v>
      </c>
      <c r="C282" s="20" t="s">
        <v>682</v>
      </c>
      <c r="E282" s="290"/>
      <c r="F282" s="97"/>
      <c r="G282" s="69"/>
      <c r="H282" s="290"/>
      <c r="I282" s="290"/>
    </row>
    <row r="283" spans="1:9" ht="15.6">
      <c r="A283" s="270"/>
      <c r="B283" s="137" t="s">
        <v>867</v>
      </c>
      <c r="C283" s="20" t="s">
        <v>599</v>
      </c>
      <c r="E283" s="448"/>
      <c r="F283" s="97"/>
      <c r="G283" s="69"/>
      <c r="H283" s="290"/>
      <c r="I283" s="290"/>
    </row>
    <row r="284" spans="1:9" ht="15.6">
      <c r="A284" s="270"/>
      <c r="B284" s="137" t="s">
        <v>451</v>
      </c>
      <c r="C284" s="20" t="s">
        <v>598</v>
      </c>
      <c r="E284" s="96"/>
      <c r="F284" s="97"/>
      <c r="G284" s="69"/>
      <c r="H284" s="448"/>
      <c r="I284" s="448"/>
    </row>
    <row r="285" spans="1:9" ht="15.6">
      <c r="A285" s="270"/>
      <c r="B285" s="137" t="s">
        <v>767</v>
      </c>
      <c r="C285" s="20" t="s">
        <v>600</v>
      </c>
      <c r="E285" s="96"/>
      <c r="F285" s="97"/>
      <c r="G285" s="69"/>
      <c r="H285" s="448"/>
      <c r="I285" s="448"/>
    </row>
    <row r="286" spans="1:9" ht="15.6">
      <c r="A286" s="270"/>
      <c r="B286" s="137"/>
      <c r="C286" s="20" t="s">
        <v>601</v>
      </c>
      <c r="E286" s="96"/>
      <c r="F286" s="97"/>
      <c r="G286" s="69"/>
      <c r="H286" s="448"/>
      <c r="I286" s="448"/>
    </row>
    <row r="287" spans="1:9" ht="15.6">
      <c r="A287" s="137"/>
      <c r="B287" s="137"/>
      <c r="C287" s="20" t="s">
        <v>69</v>
      </c>
      <c r="E287" s="96"/>
      <c r="F287" s="97"/>
      <c r="G287" s="69"/>
      <c r="H287" s="290"/>
      <c r="I287" s="290"/>
    </row>
    <row r="288" spans="1:9" ht="15.6">
      <c r="A288" s="137"/>
      <c r="B288" s="137" t="s">
        <v>848</v>
      </c>
      <c r="C288" s="20" t="s">
        <v>127</v>
      </c>
      <c r="E288" s="96"/>
      <c r="F288" s="97"/>
      <c r="G288" s="69"/>
      <c r="H288" s="290"/>
      <c r="I288" s="290"/>
    </row>
    <row r="289" spans="1:9" ht="15.6">
      <c r="A289" s="19"/>
      <c r="B289" s="137" t="s">
        <v>439</v>
      </c>
      <c r="C289" s="20" t="s">
        <v>784</v>
      </c>
      <c r="E289" s="96"/>
      <c r="F289" s="97"/>
      <c r="G289" s="69"/>
      <c r="H289" s="290"/>
      <c r="I289" s="290"/>
    </row>
    <row r="290" spans="1:9" ht="15.6">
      <c r="A290" s="19"/>
      <c r="B290" s="137" t="s">
        <v>453</v>
      </c>
      <c r="C290" s="20" t="s">
        <v>607</v>
      </c>
      <c r="E290" s="96"/>
      <c r="F290" s="97"/>
      <c r="G290" s="69"/>
      <c r="H290" s="290"/>
      <c r="I290" s="290"/>
    </row>
    <row r="291" spans="1:9" ht="15.6">
      <c r="A291" s="19"/>
      <c r="B291" s="137" t="s">
        <v>506</v>
      </c>
      <c r="C291" s="20" t="s">
        <v>593</v>
      </c>
      <c r="E291" s="96"/>
      <c r="F291" s="97"/>
      <c r="G291" s="69"/>
      <c r="H291" s="290"/>
      <c r="I291" s="290"/>
    </row>
    <row r="292" spans="1:9" ht="15.6">
      <c r="A292" s="19"/>
      <c r="B292" s="137" t="s">
        <v>507</v>
      </c>
      <c r="C292" s="446" t="str">
        <f>"Payments made under Schedule 12 of the PJM OATT that are not directly assessed to load in the Zone under Schedule 12 are included in Transmission O&amp;M on Line "&amp;A97&amp;"."</f>
        <v>Payments made under Schedule 12 of the PJM OATT that are not directly assessed to load in the Zone under Schedule 12 are included in Transmission O&amp;M on Line 47.</v>
      </c>
      <c r="E292" s="94"/>
      <c r="F292" s="69"/>
      <c r="G292" s="69"/>
      <c r="H292" s="290"/>
      <c r="I292" s="290"/>
    </row>
    <row r="293" spans="1:9" ht="15.6">
      <c r="A293" s="19"/>
      <c r="B293" s="137"/>
      <c r="C293" s="1727" t="str">
        <f>"  If they are booked to Acct 565, they are included on Line "&amp;A100&amp;".  Copies of PJM invoices will be provided upon request."</f>
        <v xml:space="preserve">  If they are booked to Acct 565, they are included on Line 50.  Copies of PJM invoices will be provided upon request.</v>
      </c>
      <c r="D293" s="1728"/>
      <c r="E293" s="1728"/>
      <c r="F293" s="1728"/>
      <c r="G293" s="69"/>
      <c r="H293" s="290"/>
      <c r="I293" s="290"/>
    </row>
    <row r="294" spans="1:9" ht="15.6">
      <c r="A294" s="19"/>
      <c r="B294" s="137" t="s">
        <v>868</v>
      </c>
      <c r="C294" s="20" t="s">
        <v>323</v>
      </c>
      <c r="D294" s="64"/>
      <c r="E294" s="94"/>
      <c r="F294" s="69"/>
      <c r="G294" s="69"/>
      <c r="H294" s="290"/>
      <c r="I294" s="290"/>
    </row>
    <row r="295" spans="1:9" ht="15.6">
      <c r="A295" s="19"/>
      <c r="B295" s="447"/>
      <c r="C295" s="20" t="s">
        <v>220</v>
      </c>
      <c r="D295" s="64"/>
      <c r="E295" s="94"/>
      <c r="F295" s="69"/>
      <c r="G295" s="69"/>
      <c r="H295" s="290"/>
      <c r="I295" s="290"/>
    </row>
    <row r="296" spans="1:9" ht="15.6">
      <c r="A296" s="19"/>
      <c r="B296" s="48"/>
      <c r="C296" s="20" t="s">
        <v>217</v>
      </c>
      <c r="D296" s="64"/>
      <c r="E296" s="94"/>
      <c r="F296" s="69"/>
      <c r="G296" s="69"/>
      <c r="H296" s="290"/>
      <c r="I296" s="290"/>
    </row>
    <row r="297" spans="1:9" ht="15.6">
      <c r="A297" s="19"/>
      <c r="B297" s="48"/>
      <c r="C297" s="20" t="s">
        <v>318</v>
      </c>
      <c r="D297" s="64"/>
      <c r="E297" s="94"/>
      <c r="F297" s="69"/>
      <c r="G297" s="69"/>
      <c r="H297" s="290"/>
      <c r="I297" s="290"/>
    </row>
    <row r="298" spans="1:9" ht="15.6">
      <c r="A298" s="19"/>
      <c r="B298" s="48"/>
      <c r="C298" s="64"/>
      <c r="D298" s="64"/>
      <c r="E298" s="94"/>
      <c r="F298" s="69"/>
      <c r="G298" s="69"/>
      <c r="H298" s="290"/>
      <c r="I298" s="290"/>
    </row>
    <row r="299" spans="1:9" ht="15.6">
      <c r="A299" s="19"/>
      <c r="B299" s="48"/>
      <c r="C299" s="20" t="s">
        <v>832</v>
      </c>
      <c r="D299" s="64"/>
      <c r="E299" s="94"/>
      <c r="F299" s="69"/>
      <c r="G299" s="69"/>
      <c r="H299" s="290"/>
      <c r="I299" s="290"/>
    </row>
    <row r="300" spans="1:9" ht="15.6">
      <c r="A300" s="19"/>
      <c r="B300" s="48"/>
      <c r="D300" s="64"/>
      <c r="E300" s="94"/>
      <c r="F300" s="69"/>
      <c r="G300" s="69"/>
      <c r="H300" s="290"/>
      <c r="I300" s="290"/>
    </row>
    <row r="301" spans="1:9" ht="15.6">
      <c r="A301" s="19"/>
      <c r="B301" s="48"/>
      <c r="C301" s="20" t="s">
        <v>833</v>
      </c>
      <c r="D301" s="64"/>
      <c r="E301" s="94"/>
      <c r="F301" s="69"/>
      <c r="G301" s="69"/>
      <c r="H301" s="290"/>
      <c r="I301" s="290"/>
    </row>
    <row r="302" spans="1:9" ht="15.6">
      <c r="A302" s="19"/>
      <c r="B302" s="48"/>
      <c r="C302" s="20" t="s">
        <v>834</v>
      </c>
      <c r="D302" s="64"/>
      <c r="E302" s="94"/>
      <c r="F302" s="69"/>
      <c r="G302" s="69"/>
      <c r="H302" s="290"/>
      <c r="I302" s="290"/>
    </row>
    <row r="303" spans="1:9" ht="15.6">
      <c r="A303" s="19"/>
      <c r="B303" s="48"/>
      <c r="C303" s="20" t="s">
        <v>836</v>
      </c>
      <c r="D303" s="64"/>
      <c r="E303" s="94"/>
      <c r="F303" s="69"/>
      <c r="G303" s="69"/>
      <c r="H303" s="290"/>
      <c r="I303" s="290"/>
    </row>
    <row r="304" spans="1:9" ht="15.6">
      <c r="A304" s="19"/>
      <c r="B304" s="48"/>
      <c r="D304" s="64"/>
      <c r="E304" s="94"/>
      <c r="F304" s="69"/>
      <c r="G304" s="69"/>
      <c r="H304" s="290"/>
      <c r="I304" s="290"/>
    </row>
    <row r="305" spans="1:9" ht="15.6">
      <c r="A305" s="19"/>
      <c r="B305" s="48"/>
      <c r="C305" s="20" t="s">
        <v>128</v>
      </c>
      <c r="D305" s="64"/>
      <c r="E305" s="94"/>
      <c r="F305" s="69"/>
      <c r="G305" s="69"/>
      <c r="H305" s="290"/>
      <c r="I305" s="290"/>
    </row>
    <row r="306" spans="1:9" ht="15.6">
      <c r="A306" s="19"/>
      <c r="B306" s="48"/>
      <c r="C306" s="64"/>
      <c r="D306" s="64"/>
      <c r="E306" s="94"/>
      <c r="F306" s="69"/>
      <c r="G306" s="69"/>
      <c r="H306" s="290"/>
      <c r="I306" s="290"/>
    </row>
    <row r="307" spans="1:9" ht="15.6" customHeight="1">
      <c r="A307" s="19"/>
      <c r="B307" s="137" t="s">
        <v>1097</v>
      </c>
      <c r="C307" s="1729" t="s">
        <v>1149</v>
      </c>
      <c r="D307" s="1729"/>
      <c r="E307" s="1729"/>
      <c r="F307" s="1729"/>
      <c r="G307" s="1729"/>
      <c r="H307" s="1729"/>
      <c r="I307" s="290"/>
    </row>
    <row r="308" spans="1:9" ht="15.6">
      <c r="A308" s="19"/>
      <c r="B308" s="19"/>
      <c r="C308" s="1729"/>
      <c r="D308" s="1729"/>
      <c r="E308" s="1729"/>
      <c r="F308" s="1729"/>
      <c r="G308" s="1729"/>
      <c r="H308" s="1729"/>
      <c r="I308" s="290"/>
    </row>
    <row r="309" spans="1:9" ht="15.6">
      <c r="A309" s="19"/>
      <c r="B309" s="19"/>
      <c r="C309" s="1729"/>
      <c r="D309" s="1729"/>
      <c r="E309" s="1729"/>
      <c r="F309" s="1729"/>
      <c r="G309" s="1729"/>
      <c r="H309" s="1729"/>
      <c r="I309" s="290"/>
    </row>
    <row r="310" spans="2:9" ht="15.6">
      <c r="B310" s="19"/>
      <c r="C310" s="1729"/>
      <c r="D310" s="1729"/>
      <c r="E310" s="1729"/>
      <c r="F310" s="1729"/>
      <c r="G310" s="1729"/>
      <c r="H310" s="1729"/>
      <c r="I310" s="869"/>
    </row>
    <row r="311" spans="2:9" ht="15">
      <c r="B311" s="19"/>
      <c r="C311" s="20" t="s">
        <v>447</v>
      </c>
      <c r="E311" s="215"/>
      <c r="I311" s="2"/>
    </row>
    <row r="312" spans="2:9" ht="15">
      <c r="B312" s="19"/>
      <c r="I312" s="2"/>
    </row>
    <row r="313" spans="1:9" ht="15.6">
      <c r="A313" s="281" t="s">
        <v>430</v>
      </c>
      <c r="H313" s="395"/>
      <c r="I313" s="894"/>
    </row>
    <row r="314" spans="8:9" ht="15">
      <c r="H314" s="912"/>
      <c r="I314" s="895"/>
    </row>
    <row r="315" spans="8:9" ht="15">
      <c r="H315" s="407"/>
      <c r="I315" s="896"/>
    </row>
    <row r="316" spans="9:9" ht="15">
      <c r="I316" s="2"/>
    </row>
    <row r="317" spans="9:9" ht="15">
      <c r="I317" s="2"/>
    </row>
    <row r="318" spans="9:9" ht="15">
      <c r="I318" s="2"/>
    </row>
    <row r="319" spans="9:9" ht="15">
      <c r="I319" s="2"/>
    </row>
    <row r="320" spans="9:9" ht="15">
      <c r="I320" s="2"/>
    </row>
    <row r="321" spans="9:9" ht="15">
      <c r="I321" s="2"/>
    </row>
    <row r="322" spans="9:9" ht="15">
      <c r="I322" s="2"/>
    </row>
    <row r="323" spans="9:9" ht="15">
      <c r="I323" s="2"/>
    </row>
    <row r="324" spans="9:9" ht="15">
      <c r="I324" s="2"/>
    </row>
    <row r="325" spans="9:9" ht="15">
      <c r="I325" s="2"/>
    </row>
    <row r="326" spans="9:9" ht="15">
      <c r="I326" s="2"/>
    </row>
    <row r="327" spans="9:9" ht="15">
      <c r="I327" s="2"/>
    </row>
    <row r="328" spans="9:9" ht="15">
      <c r="I328" s="2"/>
    </row>
    <row r="329" spans="9:9" ht="15">
      <c r="I329" s="2"/>
    </row>
    <row r="330" spans="9:9" ht="15">
      <c r="I330" s="2"/>
    </row>
    <row r="331" spans="9:9" ht="15">
      <c r="I331" s="2"/>
    </row>
    <row r="332" spans="9:9" ht="15">
      <c r="I332" s="2"/>
    </row>
    <row r="333" spans="9:9" ht="15">
      <c r="I333" s="2"/>
    </row>
    <row r="334" spans="9:9" ht="15">
      <c r="I334" s="2"/>
    </row>
    <row r="335" spans="9:9" ht="15">
      <c r="I335" s="2"/>
    </row>
    <row r="336" spans="9:9" ht="15">
      <c r="I336" s="2"/>
    </row>
    <row r="337" spans="9:9" ht="15">
      <c r="I337" s="2"/>
    </row>
    <row r="338" spans="9:9" ht="15">
      <c r="I338" s="2"/>
    </row>
    <row r="339" spans="9:9" ht="15">
      <c r="I339" s="2"/>
    </row>
    <row r="340" spans="9:9" ht="15">
      <c r="I340" s="2"/>
    </row>
    <row r="341" spans="9:9" ht="15">
      <c r="I341" s="2"/>
    </row>
    <row r="342" spans="9:9" ht="15">
      <c r="I342" s="2"/>
    </row>
    <row r="343" spans="9:9" ht="15">
      <c r="I343" s="2"/>
    </row>
    <row r="344" spans="9:9" ht="15">
      <c r="I344" s="2"/>
    </row>
    <row r="345" spans="9:9" ht="15">
      <c r="I345" s="2"/>
    </row>
    <row r="346" spans="9:9" ht="15">
      <c r="I346" s="2"/>
    </row>
    <row r="347" spans="9:9" ht="15">
      <c r="I347" s="2"/>
    </row>
    <row r="348" spans="9:9" ht="15">
      <c r="I348" s="2"/>
    </row>
    <row r="349" spans="9:9" ht="15">
      <c r="I349" s="2"/>
    </row>
    <row r="350" spans="9:9" ht="15">
      <c r="I350" s="2"/>
    </row>
    <row r="351" spans="9:9" ht="15">
      <c r="I351" s="2"/>
    </row>
    <row r="352" spans="9:9" ht="15">
      <c r="I352" s="2"/>
    </row>
    <row r="353" spans="9:9" ht="15">
      <c r="I353" s="2"/>
    </row>
    <row r="354" spans="9:9" ht="15">
      <c r="I354" s="2"/>
    </row>
    <row r="355" spans="9:9" ht="15">
      <c r="I355" s="2"/>
    </row>
    <row r="356" spans="9:9" ht="15">
      <c r="I356" s="2"/>
    </row>
    <row r="357" spans="9:9" ht="15">
      <c r="I357" s="2"/>
    </row>
    <row r="358" spans="9:9" ht="15">
      <c r="I358" s="2"/>
    </row>
    <row r="359" spans="9:9" ht="15">
      <c r="I359" s="2"/>
    </row>
    <row r="360" spans="9:9" ht="15">
      <c r="I360" s="2"/>
    </row>
    <row r="361" spans="9:9" ht="15">
      <c r="I361" s="2"/>
    </row>
    <row r="362" spans="9:9" ht="15">
      <c r="I362" s="2"/>
    </row>
    <row r="363" spans="9:9" ht="15">
      <c r="I363" s="2"/>
    </row>
    <row r="364" spans="9:9" ht="15">
      <c r="I364" s="2"/>
    </row>
    <row r="365" spans="9:9" ht="15">
      <c r="I365" s="2"/>
    </row>
    <row r="366" spans="9:9" ht="15">
      <c r="I366" s="2"/>
    </row>
    <row r="367" spans="9:9" ht="15">
      <c r="I367" s="2"/>
    </row>
    <row r="368" spans="9:9" ht="15">
      <c r="I368" s="2"/>
    </row>
    <row r="369" spans="9:9" ht="15">
      <c r="I369" s="2"/>
    </row>
    <row r="370" spans="9:9" ht="15">
      <c r="I370" s="2"/>
    </row>
    <row r="371" spans="9:9" ht="15">
      <c r="I371" s="2"/>
    </row>
    <row r="372" spans="9:9" ht="15">
      <c r="I372" s="2"/>
    </row>
    <row r="373" spans="9:9" ht="15">
      <c r="I373" s="2"/>
    </row>
    <row r="374" spans="9:9" ht="15">
      <c r="I374" s="2"/>
    </row>
    <row r="375" spans="9:9" ht="15">
      <c r="I375" s="2"/>
    </row>
    <row r="376" spans="9:9" ht="15">
      <c r="I376" s="2"/>
    </row>
    <row r="377" spans="9:9" ht="15">
      <c r="I377" s="2"/>
    </row>
    <row r="378" spans="9:9" ht="15">
      <c r="I378" s="2"/>
    </row>
    <row r="379" spans="9:9" ht="15">
      <c r="I379" s="2"/>
    </row>
    <row r="380" spans="9:9" ht="15">
      <c r="I380" s="2"/>
    </row>
    <row r="381" spans="9:9" ht="15">
      <c r="I381" s="2"/>
    </row>
    <row r="382" spans="9:9" ht="15">
      <c r="I382" s="2"/>
    </row>
    <row r="383" spans="9:9" ht="15">
      <c r="I383" s="2"/>
    </row>
    <row r="384" spans="9:9" ht="15">
      <c r="I384" s="2"/>
    </row>
    <row r="385" spans="9:9" ht="15">
      <c r="I385" s="2"/>
    </row>
    <row r="386" spans="9:9" ht="15">
      <c r="I386" s="2"/>
    </row>
    <row r="387" spans="9:9" ht="15">
      <c r="I387" s="2"/>
    </row>
    <row r="388" spans="9:9" ht="15">
      <c r="I388" s="2"/>
    </row>
    <row r="389" spans="9:9" ht="15">
      <c r="I389" s="2"/>
    </row>
    <row r="390" spans="9:9" ht="15">
      <c r="I390" s="2"/>
    </row>
    <row r="391" spans="9:9" ht="15">
      <c r="I391" s="2"/>
    </row>
    <row r="392" spans="9:9" ht="15">
      <c r="I392" s="2"/>
    </row>
    <row r="393" spans="9:9" ht="15">
      <c r="I393" s="2"/>
    </row>
    <row r="394" spans="9:9" ht="15">
      <c r="I394" s="2"/>
    </row>
    <row r="395" spans="9:9" ht="15">
      <c r="I395" s="2"/>
    </row>
    <row r="396" spans="9:9" ht="15">
      <c r="I396" s="2"/>
    </row>
    <row r="397" spans="9:9" ht="15">
      <c r="I397" s="2"/>
    </row>
    <row r="398" spans="9:9" ht="15">
      <c r="I398" s="2"/>
    </row>
    <row r="399" spans="9:9" ht="15">
      <c r="I399" s="2"/>
    </row>
    <row r="400" spans="9:9" ht="15">
      <c r="I400" s="2"/>
    </row>
    <row r="401" spans="9:9" ht="15">
      <c r="I401" s="2"/>
    </row>
    <row r="402" spans="9:9" ht="15">
      <c r="I402" s="2"/>
    </row>
    <row r="403" spans="9:9" ht="15">
      <c r="I403" s="2"/>
    </row>
    <row r="404" spans="9:9" ht="15">
      <c r="I404" s="2"/>
    </row>
    <row r="405" spans="9:9" ht="15">
      <c r="I405" s="2"/>
    </row>
    <row r="406" spans="9:9" ht="15">
      <c r="I406" s="2"/>
    </row>
    <row r="407" spans="9:9" ht="15">
      <c r="I407" s="2"/>
    </row>
    <row r="408" spans="9:9" ht="15">
      <c r="I408" s="2"/>
    </row>
    <row r="409" spans="9:9" ht="15">
      <c r="I409" s="2"/>
    </row>
    <row r="410" spans="9:9" ht="15">
      <c r="I410" s="2"/>
    </row>
    <row r="411" spans="9:9" ht="15">
      <c r="I411" s="2"/>
    </row>
    <row r="412" spans="9:9" ht="15">
      <c r="I412" s="2"/>
    </row>
    <row r="413" spans="9:9" ht="15">
      <c r="I413" s="2"/>
    </row>
    <row r="414" spans="9:9" ht="15">
      <c r="I414" s="2"/>
    </row>
    <row r="415" spans="9:9" ht="15">
      <c r="I415" s="2"/>
    </row>
    <row r="416" spans="9:9" ht="15">
      <c r="I416" s="2"/>
    </row>
    <row r="417" spans="9:9" ht="15">
      <c r="I417" s="2"/>
    </row>
    <row r="418" spans="9:9" ht="15">
      <c r="I418" s="2"/>
    </row>
    <row r="419" spans="9:9" ht="15">
      <c r="I419" s="2"/>
    </row>
    <row r="420" spans="9:9" ht="15">
      <c r="I420" s="2"/>
    </row>
    <row r="421" spans="9:9" ht="15">
      <c r="I421" s="2"/>
    </row>
    <row r="422" spans="9:9" ht="15">
      <c r="I422" s="2"/>
    </row>
    <row r="423" spans="9:9" ht="15">
      <c r="I423" s="2"/>
    </row>
    <row r="424" spans="9:9" ht="15">
      <c r="I424" s="2"/>
    </row>
    <row r="425" spans="9:9" ht="15">
      <c r="I425" s="2"/>
    </row>
    <row r="426" spans="9:9" ht="15">
      <c r="I426" s="2"/>
    </row>
    <row r="427" spans="9:9" ht="15">
      <c r="I427" s="2"/>
    </row>
    <row r="428" spans="9:9" ht="15">
      <c r="I428" s="2"/>
    </row>
    <row r="429" spans="9:9" ht="15">
      <c r="I429" s="2"/>
    </row>
    <row r="430" spans="9:9" ht="15">
      <c r="I430" s="2"/>
    </row>
    <row r="431" spans="9:9" ht="15">
      <c r="I431" s="2"/>
    </row>
    <row r="432" spans="9:9" ht="15">
      <c r="I432" s="2"/>
    </row>
    <row r="433" spans="9:9" ht="15">
      <c r="I433" s="2"/>
    </row>
    <row r="434" spans="9:9" ht="15">
      <c r="I434" s="2"/>
    </row>
    <row r="435" spans="9:9" ht="15">
      <c r="I435" s="2"/>
    </row>
    <row r="436" spans="9:9" ht="15">
      <c r="I436" s="2"/>
    </row>
    <row r="437" spans="9:9" ht="15">
      <c r="I437" s="2"/>
    </row>
    <row r="438" spans="9:9" ht="15">
      <c r="I438" s="2"/>
    </row>
    <row r="439" spans="9:9" ht="15">
      <c r="I439" s="2"/>
    </row>
    <row r="440" spans="9:9" ht="15">
      <c r="I440" s="2"/>
    </row>
    <row r="441" spans="9:9" ht="15">
      <c r="I441" s="2"/>
    </row>
    <row r="442" spans="9:9" ht="15">
      <c r="I442" s="2"/>
    </row>
    <row r="443" spans="9:9" ht="15">
      <c r="I443" s="2"/>
    </row>
    <row r="444" spans="9:9" ht="15">
      <c r="I444" s="2"/>
    </row>
    <row r="445" spans="9:9" ht="15">
      <c r="I445" s="2"/>
    </row>
    <row r="446" spans="9:9" ht="15">
      <c r="I446" s="2"/>
    </row>
    <row r="447" spans="9:9" ht="15">
      <c r="I447" s="2"/>
    </row>
    <row r="448" spans="9:9" ht="15">
      <c r="I448" s="2"/>
    </row>
    <row r="449" spans="9:9" ht="15">
      <c r="I449" s="2"/>
    </row>
    <row r="450" spans="9:9" ht="15">
      <c r="I450" s="2"/>
    </row>
    <row r="451" spans="9:9" ht="15">
      <c r="I451" s="2"/>
    </row>
    <row r="452" spans="9:9" ht="15">
      <c r="I452" s="2"/>
    </row>
    <row r="453" spans="9:9" ht="15">
      <c r="I453" s="2"/>
    </row>
    <row r="454" spans="9:9" ht="15">
      <c r="I454" s="2"/>
    </row>
    <row r="455" spans="9:9" ht="15">
      <c r="I455" s="2"/>
    </row>
    <row r="456" spans="9:9" ht="15">
      <c r="I456" s="2"/>
    </row>
    <row r="457" spans="9:9" ht="15">
      <c r="I457" s="2"/>
    </row>
    <row r="458" spans="9:9" ht="15">
      <c r="I458" s="2"/>
    </row>
    <row r="459" spans="9:9" ht="15">
      <c r="I459" s="2"/>
    </row>
    <row r="460" spans="9:9" ht="15">
      <c r="I460" s="2"/>
    </row>
    <row r="461" spans="9:9" ht="15">
      <c r="I461" s="2"/>
    </row>
    <row r="462" spans="9:9" ht="15">
      <c r="I462" s="2"/>
    </row>
    <row r="463" spans="9:9" ht="15">
      <c r="I463" s="2"/>
    </row>
    <row r="464" spans="9:9" ht="15">
      <c r="I464" s="2"/>
    </row>
    <row r="465" spans="9:9" ht="15">
      <c r="I465" s="2"/>
    </row>
    <row r="466" spans="9:9" ht="15">
      <c r="I466" s="2"/>
    </row>
    <row r="467" spans="9:9" ht="15">
      <c r="I467" s="2"/>
    </row>
    <row r="468" spans="9:9" ht="15">
      <c r="I468" s="2"/>
    </row>
    <row r="469" spans="9:9" ht="15">
      <c r="I469" s="2"/>
    </row>
    <row r="470" spans="9:9" ht="15">
      <c r="I470" s="2"/>
    </row>
    <row r="471" spans="9:9" ht="15">
      <c r="I471" s="2"/>
    </row>
    <row r="472" spans="9:9" ht="15">
      <c r="I472" s="2"/>
    </row>
    <row r="473" spans="9:9" ht="15">
      <c r="I473" s="2"/>
    </row>
    <row r="474" spans="9:9" ht="15">
      <c r="I474" s="2"/>
    </row>
    <row r="475" spans="9:9" ht="15">
      <c r="I475" s="2"/>
    </row>
    <row r="476" spans="9:9" ht="15">
      <c r="I476" s="2"/>
    </row>
    <row r="477" spans="9:9" ht="15">
      <c r="I477" s="2"/>
    </row>
    <row r="478" spans="9:9" ht="15">
      <c r="I478" s="2"/>
    </row>
    <row r="479" spans="9:9" ht="15">
      <c r="I479" s="2"/>
    </row>
    <row r="480" spans="9:9" ht="15">
      <c r="I480" s="2"/>
    </row>
    <row r="481" spans="9:9" ht="15">
      <c r="I481" s="2"/>
    </row>
    <row r="482" spans="9:9" ht="15">
      <c r="I482" s="2"/>
    </row>
    <row r="483" spans="9:9" ht="15">
      <c r="I483" s="2"/>
    </row>
    <row r="484" spans="9:9" ht="15">
      <c r="I484" s="2"/>
    </row>
    <row r="485" spans="9:9" ht="15">
      <c r="I485" s="2"/>
    </row>
    <row r="486" spans="9:9" ht="15">
      <c r="I486" s="2"/>
    </row>
    <row r="487" spans="9:9" ht="15">
      <c r="I487" s="2"/>
    </row>
    <row r="488" spans="9:9" ht="15">
      <c r="I488" s="2"/>
    </row>
    <row r="489" spans="9:9" ht="15">
      <c r="I489" s="2"/>
    </row>
    <row r="490" spans="9:9" ht="15">
      <c r="I490" s="2"/>
    </row>
    <row r="491" spans="9:9" ht="15">
      <c r="I491" s="2"/>
    </row>
    <row r="492" spans="9:9" ht="15">
      <c r="I492" s="2"/>
    </row>
    <row r="493" spans="9:9" ht="15">
      <c r="I493" s="2"/>
    </row>
    <row r="494" spans="9:9" ht="15">
      <c r="I494" s="2"/>
    </row>
    <row r="495" spans="9:9" ht="15">
      <c r="I495" s="2"/>
    </row>
    <row r="496" spans="9:9" ht="15">
      <c r="I496" s="2"/>
    </row>
    <row r="497" spans="9:9" ht="15">
      <c r="I497" s="2"/>
    </row>
    <row r="498" spans="9:9" ht="15">
      <c r="I498" s="2"/>
    </row>
    <row r="499" spans="9:9" ht="15">
      <c r="I499" s="2"/>
    </row>
    <row r="500" spans="9:9" ht="15">
      <c r="I500" s="2"/>
    </row>
    <row r="501" spans="9:9" ht="15">
      <c r="I501" s="2"/>
    </row>
    <row r="502" spans="9:9" ht="15">
      <c r="I502" s="2"/>
    </row>
    <row r="503" spans="9:9" ht="15">
      <c r="I503" s="2"/>
    </row>
    <row r="504" spans="9:9" ht="15">
      <c r="I504" s="2"/>
    </row>
    <row r="505" spans="9:9" ht="15">
      <c r="I505" s="2"/>
    </row>
    <row r="506" spans="9:9" ht="15">
      <c r="I506" s="2"/>
    </row>
    <row r="507" spans="9:9" ht="15">
      <c r="I507" s="2"/>
    </row>
    <row r="508" spans="9:9" ht="15">
      <c r="I508" s="2"/>
    </row>
    <row r="509" spans="9:9" ht="15">
      <c r="I509" s="2"/>
    </row>
    <row r="510" spans="9:9" ht="15">
      <c r="I510" s="2"/>
    </row>
    <row r="511" spans="9:9" ht="15">
      <c r="I511" s="2"/>
    </row>
    <row r="512" spans="9:9" ht="15">
      <c r="I512" s="2"/>
    </row>
    <row r="513" spans="9:9" ht="15">
      <c r="I513" s="2"/>
    </row>
    <row r="514" spans="9:9" ht="15">
      <c r="I514" s="2"/>
    </row>
    <row r="515" spans="9:9" ht="15">
      <c r="I515" s="2"/>
    </row>
    <row r="516" spans="9:9" ht="15">
      <c r="I516" s="2"/>
    </row>
    <row r="517" spans="9:9" ht="15">
      <c r="I517" s="2"/>
    </row>
    <row r="518" spans="9:9" ht="15">
      <c r="I518" s="2"/>
    </row>
    <row r="519" spans="9:9" ht="15">
      <c r="I519" s="2"/>
    </row>
    <row r="520" spans="9:9" ht="15">
      <c r="I520" s="2"/>
    </row>
    <row r="521" spans="9:9" ht="15">
      <c r="I521" s="2"/>
    </row>
    <row r="522" spans="9:9" ht="15">
      <c r="I522" s="2"/>
    </row>
    <row r="523" spans="9:9" ht="15">
      <c r="I523" s="2"/>
    </row>
    <row r="524" spans="9:9" ht="15">
      <c r="I524" s="2"/>
    </row>
    <row r="525" spans="9:9" ht="15">
      <c r="I525" s="2"/>
    </row>
    <row r="526" spans="9:9" ht="15">
      <c r="I526" s="2"/>
    </row>
    <row r="527" spans="9:9" ht="15">
      <c r="I527" s="2"/>
    </row>
    <row r="528" spans="9:9" ht="15">
      <c r="I528" s="2"/>
    </row>
    <row r="529" spans="9:9" ht="15">
      <c r="I529" s="2"/>
    </row>
    <row r="530" spans="9:9" ht="15">
      <c r="I530" s="2"/>
    </row>
    <row r="531" spans="9:9" ht="15">
      <c r="I531" s="2"/>
    </row>
    <row r="532" spans="9:9" ht="15">
      <c r="I532" s="2"/>
    </row>
    <row r="533" spans="9:9" ht="15">
      <c r="I533" s="2"/>
    </row>
    <row r="534" spans="9:9" ht="15">
      <c r="I534" s="2"/>
    </row>
    <row r="535" spans="9:9" ht="15">
      <c r="I535" s="2"/>
    </row>
    <row r="536" spans="9:9" ht="15">
      <c r="I536" s="2"/>
    </row>
    <row r="537" spans="9:9" ht="15">
      <c r="I537" s="2"/>
    </row>
    <row r="538" spans="9:9" ht="15">
      <c r="I538" s="2"/>
    </row>
    <row r="539" spans="9:9" ht="15">
      <c r="I539" s="2"/>
    </row>
    <row r="540" spans="9:9" ht="15">
      <c r="I540" s="2"/>
    </row>
    <row r="541" spans="9:9" ht="15">
      <c r="I541" s="2"/>
    </row>
    <row r="542" spans="9:9" ht="15">
      <c r="I542" s="2"/>
    </row>
    <row r="543" spans="9:9" ht="15">
      <c r="I543" s="2"/>
    </row>
    <row r="544" spans="9:9" ht="15">
      <c r="I544" s="2"/>
    </row>
    <row r="545" spans="9:9" ht="15">
      <c r="I545" s="2"/>
    </row>
    <row r="546" spans="9:9" ht="15">
      <c r="I546" s="2"/>
    </row>
    <row r="547" spans="9:9" ht="15">
      <c r="I547" s="2"/>
    </row>
    <row r="548" spans="9:9" ht="15">
      <c r="I548" s="2"/>
    </row>
    <row r="549" spans="9:9" ht="15">
      <c r="I549" s="2"/>
    </row>
    <row r="550" spans="9:9" ht="15">
      <c r="I550" s="2"/>
    </row>
    <row r="551" spans="9:9" ht="15">
      <c r="I551" s="2"/>
    </row>
    <row r="552" spans="9:9" ht="15">
      <c r="I552" s="2"/>
    </row>
    <row r="553" spans="9:9" ht="15">
      <c r="I553" s="2"/>
    </row>
    <row r="554" spans="9:9" ht="15">
      <c r="I554" s="2"/>
    </row>
    <row r="555" spans="9:9" ht="15">
      <c r="I555" s="2"/>
    </row>
    <row r="556" spans="9:9" ht="15">
      <c r="I556" s="2"/>
    </row>
    <row r="557" spans="9:9" ht="15">
      <c r="I557" s="2"/>
    </row>
    <row r="558" spans="9:9" ht="15">
      <c r="I558" s="2"/>
    </row>
    <row r="559" spans="9:9" ht="15">
      <c r="I559" s="2"/>
    </row>
    <row r="560" spans="9:9" ht="15">
      <c r="I560" s="2"/>
    </row>
    <row r="561" spans="9:9" ht="15">
      <c r="I561" s="2"/>
    </row>
    <row r="562" spans="9:9" ht="15">
      <c r="I562" s="2"/>
    </row>
    <row r="563" spans="9:9" ht="15">
      <c r="I563" s="2"/>
    </row>
    <row r="564" spans="9:9" ht="15">
      <c r="I564" s="2"/>
    </row>
    <row r="565" spans="9:9" ht="15">
      <c r="I565" s="2"/>
    </row>
    <row r="566" spans="9:9" ht="15">
      <c r="I566" s="2"/>
    </row>
    <row r="567" spans="9:9" ht="15">
      <c r="I567" s="2"/>
    </row>
    <row r="568" spans="9:9" ht="15">
      <c r="I568" s="2"/>
    </row>
    <row r="569" spans="9:9" ht="15">
      <c r="I569" s="2"/>
    </row>
    <row r="570" spans="9:9" ht="15">
      <c r="I570" s="2"/>
    </row>
    <row r="571" spans="9:9" ht="15">
      <c r="I571" s="2"/>
    </row>
    <row r="572" spans="9:9" ht="15">
      <c r="I572" s="2"/>
    </row>
    <row r="573" spans="9:9" ht="15">
      <c r="I573" s="2"/>
    </row>
    <row r="574" spans="9:9" ht="15">
      <c r="I574" s="2"/>
    </row>
    <row r="575" spans="9:9" ht="15">
      <c r="I575" s="2"/>
    </row>
    <row r="576" spans="9:9" ht="15">
      <c r="I576" s="2"/>
    </row>
    <row r="577" spans="9:9" ht="15">
      <c r="I577" s="2"/>
    </row>
    <row r="578" spans="9:9" ht="15">
      <c r="I578" s="2"/>
    </row>
    <row r="579" spans="9:9" ht="15">
      <c r="I579" s="2"/>
    </row>
    <row r="580" spans="9:9" ht="15">
      <c r="I580" s="2"/>
    </row>
    <row r="581" spans="9:9" ht="15">
      <c r="I581" s="2"/>
    </row>
    <row r="582" spans="9:9" ht="15">
      <c r="I582" s="2"/>
    </row>
    <row r="583" spans="9:9" ht="15">
      <c r="I583" s="2"/>
    </row>
    <row r="584" spans="9:9" ht="15">
      <c r="I584" s="2"/>
    </row>
    <row r="585" spans="9:9" ht="15">
      <c r="I585" s="2"/>
    </row>
    <row r="586" spans="9:9" ht="15">
      <c r="I586" s="2"/>
    </row>
    <row r="587" spans="9:9" ht="15">
      <c r="I587" s="2"/>
    </row>
    <row r="588" spans="9:9" ht="15">
      <c r="I588" s="2"/>
    </row>
    <row r="589" spans="9:9" ht="15">
      <c r="I589" s="2"/>
    </row>
    <row r="590" spans="9:9" ht="15">
      <c r="I590" s="2"/>
    </row>
    <row r="591" spans="9:9" ht="15">
      <c r="I591" s="2"/>
    </row>
    <row r="592" spans="9:9" ht="15">
      <c r="I592" s="2"/>
    </row>
    <row r="593" spans="9:9" ht="15">
      <c r="I593" s="2"/>
    </row>
    <row r="594" spans="9:9" ht="15">
      <c r="I594" s="2"/>
    </row>
    <row r="595" spans="9:9" ht="15">
      <c r="I595" s="2"/>
    </row>
    <row r="596" spans="9:9" ht="15">
      <c r="I596" s="2"/>
    </row>
    <row r="597" spans="9:9" ht="15">
      <c r="I597" s="2"/>
    </row>
    <row r="598" spans="9:9" ht="15">
      <c r="I598" s="2"/>
    </row>
    <row r="599" spans="9:9" ht="15">
      <c r="I599" s="2"/>
    </row>
    <row r="600" spans="9:9" ht="15">
      <c r="I600" s="2"/>
    </row>
    <row r="601" spans="9:9" ht="15">
      <c r="I601" s="2"/>
    </row>
    <row r="602" spans="9:9" ht="15">
      <c r="I602" s="2"/>
    </row>
    <row r="603" spans="9:9" ht="15">
      <c r="I603" s="2"/>
    </row>
    <row r="604" spans="9:9" ht="15">
      <c r="I604" s="2"/>
    </row>
    <row r="605" spans="9:9" ht="15">
      <c r="I605" s="2"/>
    </row>
    <row r="606" spans="9:9" ht="15">
      <c r="I606" s="2"/>
    </row>
    <row r="607" spans="9:9" ht="15">
      <c r="I607" s="2"/>
    </row>
    <row r="608" spans="9:9" ht="15">
      <c r="I608" s="2"/>
    </row>
    <row r="609" spans="9:9" ht="15">
      <c r="I609" s="2"/>
    </row>
    <row r="610" spans="9:9" ht="15">
      <c r="I610" s="2"/>
    </row>
    <row r="611" spans="9:9" ht="15">
      <c r="I611" s="2"/>
    </row>
    <row r="612" spans="9:9" ht="15">
      <c r="I612" s="2"/>
    </row>
    <row r="613" spans="9:9" ht="15">
      <c r="I613" s="2"/>
    </row>
    <row r="614" spans="9:9" ht="15">
      <c r="I614" s="2"/>
    </row>
    <row r="615" spans="9:9" ht="15">
      <c r="I615" s="2"/>
    </row>
    <row r="616" spans="9:9" ht="15">
      <c r="I616" s="2"/>
    </row>
    <row r="617" spans="9:9" ht="15">
      <c r="I617" s="2"/>
    </row>
    <row r="618" spans="9:9" ht="15">
      <c r="I618" s="2"/>
    </row>
    <row r="619" spans="9:9" ht="15">
      <c r="I619" s="2"/>
    </row>
    <row r="620" spans="9:9" ht="15">
      <c r="I620" s="2"/>
    </row>
    <row r="621" spans="9:9" ht="15">
      <c r="I621" s="2"/>
    </row>
    <row r="622" spans="9:9" ht="15">
      <c r="I622" s="2"/>
    </row>
    <row r="623" spans="9:9" ht="15">
      <c r="I623" s="2"/>
    </row>
    <row r="624" spans="9:9" ht="15">
      <c r="I624" s="2"/>
    </row>
    <row r="625" spans="9:9" ht="15">
      <c r="I625" s="2"/>
    </row>
    <row r="626" spans="9:9" ht="15">
      <c r="I626" s="2"/>
    </row>
    <row r="627" spans="9:9" ht="15">
      <c r="I627" s="2"/>
    </row>
    <row r="628" spans="9:9" ht="15">
      <c r="I628" s="2"/>
    </row>
    <row r="629" spans="9:9" ht="15">
      <c r="I629" s="2"/>
    </row>
    <row r="630" spans="9:9" ht="15">
      <c r="I630" s="2"/>
    </row>
    <row r="631" spans="9:9" ht="15">
      <c r="I631" s="2"/>
    </row>
    <row r="632" spans="9:9" ht="15">
      <c r="I632" s="2"/>
    </row>
  </sheetData>
  <customSheetViews>
    <customSheetView guid="{dc91def3-837b-4bb9-a81e-3b78c5914e6c}" printArea="1" scale="60" showPageBreaks="1" topLeftCell="A286" view="pageBreakPreview">
      <selection pane="topLeft"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fitToHeight="10" orientation="portrait" paperSize="1" scale="44" r:id="rId2"/>
      <headerFooter alignWithMargins="0">
        <oddHeader>&amp;R&amp;12Page &amp;P of &amp;N</oddHeader>
      </headerFooter>
    </customSheetView>
    <customSheetView guid="{28948e05-8f34-4f1e-96fb-a80a6a844600}" hiddenRows="1" printArea="1" scale="66" showPageBreaks="1" topLeftCell="A252">
      <selection pane="topLeft"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fitToHeight="10" orientation="portrait" paperSize="1" scale="45" r:id="rId3"/>
      <headerFooter alignWithMargins="0">
        <oddHeader>&amp;R&amp;12Page &amp;P of &amp;N</oddHeader>
      </headerFooter>
    </customSheetView>
    <customSheetView guid="{71b42b22-a376-44b5-b0c1-23fc1aa3dba2}" hiddenRows="1" printArea="1" scale="66" showPageBreaks="1" topLeftCell="A75">
      <selection pane="topLeft"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fitToHeight="10" orientation="portrait" paperSize="1" scale="45" r:id="rId4"/>
      <headerFooter alignWithMargins="0">
        <oddHeader>&amp;R&amp;16Page &amp;P of &amp;N</oddHeader>
      </headerFooter>
    </customSheetView>
    <customSheetView guid="{faad9aac-1337-43ab-bf1f-ccf9dfcf5b78}" printArea="1" scale="60" showPageBreaks="1" topLeftCell="A276" view="pageBreakPreview">
      <selection pane="topLeft"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fitToHeight="10" orientation="portrait" paperSize="1" scale="44" r:id="rId5"/>
      <headerFooter alignWithMargins="0">
        <oddHeader>&amp;R&amp;12Page &amp;P of &amp;N</oddHeader>
      </headerFooter>
    </customSheetView>
    <customSheetView guid="{4c7c2344-134c-465a-adeb-a5e96aae2308}" printArea="1" scale="60" showPageBreaks="1" topLeftCell="A190" view="pageBreakPreview">
      <pane xSplit="2" topLeftCell="F1" activePane="topRight" state="spli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paperSize="1" scale="65" r:id="rId6"/>
      <headerFooter alignWithMargins="0">
        <oddHeader>&amp;R&amp;12Page &amp;P of &amp;N</oddHeader>
      </headerFooter>
    </customSheetView>
    <customSheetView guid="{da967730-b71f-4038-b1b7-9d4790729c5d}" printArea="1" scale="60" showPageBreaks="1" topLeftCell="A271" view="pageBreakPreview">
      <pane xSplit="3" topLeftCell="F1" activePane="topRight" state="spli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paperSize="1" scale="65" r:id="rId7"/>
      <headerFooter alignWithMargins="0">
        <oddHeader>&amp;R&amp;12Page &amp;P of &amp;N</oddHeader>
      </headerFooter>
    </customSheetView>
    <customSheetView guid="{f96d6087-3330-4a81-95ec-26ba83722a49}" printArea="1" scale="60" showPageBreaks="1" topLeftCell="A1" view="pageBreakPreview">
      <pane xSplit="3" topLeftCell="F1" activePane="topLeft" state="split"/>
      <selection pane="topLeft"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paperSize="1" scale="65" r:id="rId8"/>
      <headerFooter alignWithMargins="0">
        <oddHeader>&amp;R&amp;12Page &amp;P of &amp;N</oddHeader>
      </headerFooter>
    </customSheetView>
    <customSheetView guid="{3a38df7a-c35e-4dd3-9893-26310a3ef836}" printArea="1" scale="66" showPageBreaks="1" topLeftCell="A52">
      <selection pane="topLeft"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paperSize="1" scale="65" r:id="rId9"/>
      <headerFooter alignWithMargins="0">
        <oddHeader>&amp;R&amp;12Page &amp;P of &amp;N</oddHeader>
      </headerFooter>
    </customSheetView>
  </customSheetViews>
  <mergeCells count="3">
    <mergeCell ref="B1:H1"/>
    <mergeCell ref="C293:F293"/>
    <mergeCell ref="C307:H310"/>
  </mergeCells>
  <pageMargins left="0.5" right="0.5" top="1" bottom="0.5" header="0.5" footer="0.5"/>
  <pageSetup fitToHeight="0" orientation="portrait" paperSize="1" scale="46" r:id="rId1"/>
  <headerFooter alignWithMargins="0">
    <oddHeader>&amp;R&amp;14EXHIBIT NO. TRC--203
ATTACHMENT H-18A
Page &amp;P of &amp;N</oddHeader>
  </headerFooter>
  <rowBreaks count="4" manualBreakCount="4">
    <brk id="61" max="16383" man="1"/>
    <brk id="134" max="16383" man="1"/>
    <brk id="190" max="16383" man="1"/>
    <brk id="26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215"/>
  <sheetViews>
    <sheetView view="pageBreakPreview" zoomScale="80" zoomScaleNormal="100" zoomScaleSheetLayoutView="80" workbookViewId="0" topLeftCell="A20">
      <selection pane="topLeft" activeCell="F50" sqref="F50"/>
    </sheetView>
  </sheetViews>
  <sheetFormatPr defaultRowHeight="13.2"/>
  <cols>
    <col min="1" max="1" width="4" customWidth="1"/>
    <col min="2" max="2" width="42.8888888888889" customWidth="1"/>
    <col min="3" max="3" width="16.4444444444444" bestFit="1" customWidth="1"/>
    <col min="4" max="4" width="23.5555555555556" bestFit="1" customWidth="1"/>
    <col min="5" max="5" width="20.1111111111111" bestFit="1" customWidth="1"/>
    <col min="6" max="6" width="13.5555555555556" customWidth="1"/>
    <col min="7" max="7" width="15.4444444444444" customWidth="1"/>
    <col min="8" max="8" width="16.4444444444444" bestFit="1" customWidth="1"/>
    <col min="9" max="9" width="14.8888888888889" customWidth="1"/>
    <col min="10" max="10" width="17.5555555555556" customWidth="1"/>
    <col min="11" max="11" width="3" customWidth="1"/>
    <col min="12" max="12" width="2.55555555555556" customWidth="1"/>
    <col min="13" max="13" width="92.1111111111111" customWidth="1"/>
    <col min="14" max="14" width="16.5555555555556" customWidth="1"/>
  </cols>
  <sheetData>
    <row r="1" spans="3:13" s="299" customFormat="1" ht="19.5" customHeight="1">
      <c r="C1" s="1731" t="s">
        <v>368</v>
      </c>
      <c r="D1" s="1731"/>
      <c r="E1" s="1731"/>
      <c r="F1" s="1731"/>
      <c r="G1" s="1731"/>
      <c r="H1" s="1731"/>
      <c r="I1" s="1731"/>
      <c r="J1" s="1731"/>
      <c r="K1" s="257"/>
      <c r="M1" s="996" t="s">
        <v>1183</v>
      </c>
    </row>
    <row r="2" spans="2:13" s="299" customFormat="1" ht="12" customHeight="1">
      <c r="B2" s="78"/>
      <c r="C2" s="103"/>
      <c r="D2" s="103"/>
      <c r="E2" s="103"/>
      <c r="F2" s="103"/>
      <c r="G2" s="103"/>
      <c r="H2" s="103"/>
      <c r="I2" s="103"/>
      <c r="J2" s="103"/>
      <c r="K2" s="103"/>
      <c r="M2" s="1052" t="s">
        <v>1184</v>
      </c>
    </row>
    <row r="3" spans="3:13" s="299" customFormat="1" ht="15.6">
      <c r="C3" s="1732" t="s">
        <v>333</v>
      </c>
      <c r="D3" s="1732"/>
      <c r="E3" s="1732"/>
      <c r="F3" s="1732"/>
      <c r="G3" s="1732"/>
      <c r="H3" s="1732"/>
      <c r="I3" s="1732"/>
      <c r="J3" s="1732"/>
      <c r="K3" s="1087"/>
      <c r="M3" s="1052" t="s">
        <v>1471</v>
      </c>
    </row>
    <row r="4" spans="2:11" s="299" customFormat="1" ht="13.8" thickBot="1">
      <c r="B4" s="120"/>
      <c r="J4" s="229"/>
      <c r="K4" s="229"/>
    </row>
    <row r="5" spans="3:12" s="299" customFormat="1" ht="13.8" thickBot="1">
      <c r="C5" s="1734" t="s">
        <v>660</v>
      </c>
      <c r="D5" s="1735"/>
      <c r="E5" s="1735"/>
      <c r="F5" s="1735"/>
      <c r="G5" s="1735"/>
      <c r="H5" s="1735"/>
      <c r="I5" s="1735"/>
      <c r="J5" s="1736"/>
      <c r="K5" s="257"/>
      <c r="L5" s="257"/>
    </row>
    <row r="6" spans="3:6" s="299" customFormat="1" ht="13.2">
      <c r="C6" s="314"/>
      <c r="D6" s="314"/>
      <c r="E6" s="314"/>
      <c r="F6" s="314"/>
    </row>
    <row r="7" spans="1:12" s="299" customFormat="1" ht="13.2">
      <c r="A7" s="299" t="s">
        <v>668</v>
      </c>
      <c r="C7" s="257" t="s">
        <v>313</v>
      </c>
      <c r="D7" s="257" t="s">
        <v>314</v>
      </c>
      <c r="E7" s="257" t="s">
        <v>315</v>
      </c>
      <c r="F7" s="257" t="s">
        <v>432</v>
      </c>
      <c r="G7" s="257" t="s">
        <v>450</v>
      </c>
      <c r="H7" s="257" t="s">
        <v>448</v>
      </c>
      <c r="I7" s="257" t="s">
        <v>867</v>
      </c>
      <c r="J7" s="257" t="s">
        <v>451</v>
      </c>
      <c r="L7" s="257"/>
    </row>
    <row r="8" spans="3:12" s="299" customFormat="1" ht="26.4">
      <c r="C8" s="1088" t="s">
        <v>309</v>
      </c>
      <c r="D8" s="1088" t="s">
        <v>10</v>
      </c>
      <c r="E8" s="1089" t="s">
        <v>310</v>
      </c>
      <c r="F8" s="257" t="s">
        <v>224</v>
      </c>
      <c r="G8" s="1089" t="s">
        <v>311</v>
      </c>
      <c r="H8" s="257" t="s">
        <v>785</v>
      </c>
      <c r="I8" s="257" t="s">
        <v>787</v>
      </c>
      <c r="J8" s="257" t="s">
        <v>524</v>
      </c>
      <c r="K8" s="257"/>
      <c r="L8" s="257"/>
    </row>
    <row r="9" spans="3:12" s="299" customFormat="1" ht="13.2">
      <c r="C9" s="1088" t="s">
        <v>524</v>
      </c>
      <c r="D9" s="1088" t="s">
        <v>524</v>
      </c>
      <c r="E9" s="1088" t="str">
        <f>+D9</f>
        <v>Total</v>
      </c>
      <c r="F9" s="257" t="s">
        <v>786</v>
      </c>
      <c r="G9" s="257" t="s">
        <v>786</v>
      </c>
      <c r="H9" s="257" t="s">
        <v>786</v>
      </c>
      <c r="I9" s="257" t="s">
        <v>786</v>
      </c>
      <c r="J9" s="257" t="s">
        <v>794</v>
      </c>
      <c r="K9" s="257"/>
      <c r="L9" s="257"/>
    </row>
    <row r="10" spans="7:9" s="299" customFormat="1" ht="13.2">
      <c r="G10" s="1731"/>
      <c r="H10" s="1731"/>
      <c r="I10" s="1731"/>
    </row>
    <row r="11" spans="1:2" s="299" customFormat="1" ht="13.2">
      <c r="A11" s="299" t="s">
        <v>447</v>
      </c>
      <c r="B11" s="299" t="s">
        <v>447</v>
      </c>
    </row>
    <row r="12" spans="1:12" s="299" customFormat="1" ht="13.2">
      <c r="A12" s="299">
        <v>1</v>
      </c>
      <c r="B12" s="229" t="s">
        <v>628</v>
      </c>
      <c r="C12" s="1146">
        <f>+C121</f>
        <v>570303436.42000008</v>
      </c>
      <c r="D12" s="1146">
        <f>+D121</f>
        <v>571901928.97000003</v>
      </c>
      <c r="E12" s="1146">
        <f>+E121</f>
        <v>571901928.97000003</v>
      </c>
      <c r="F12" s="1090"/>
      <c r="G12" s="1147">
        <f>H121</f>
        <v>571901928.97000003</v>
      </c>
      <c r="H12" s="1147">
        <f>+I121</f>
        <v>0</v>
      </c>
      <c r="I12" s="1147">
        <f>+J121</f>
        <v>0</v>
      </c>
      <c r="J12" s="1147">
        <f>SUM(G12:I12)</f>
        <v>571901928.97000003</v>
      </c>
      <c r="K12" s="1147"/>
      <c r="L12" s="1147"/>
    </row>
    <row r="13" spans="1:12" s="299" customFormat="1" ht="13.2">
      <c r="A13" s="299">
        <f t="shared" si="0" ref="A13:A18">A12+1</f>
        <v>2</v>
      </c>
      <c r="B13" s="229" t="s">
        <v>629</v>
      </c>
      <c r="C13" s="316">
        <f>+C171</f>
        <v>95116160</v>
      </c>
      <c r="D13" s="316">
        <f>+D171</f>
        <v>89803359</v>
      </c>
      <c r="E13" s="316">
        <f>+E171</f>
        <v>89803359</v>
      </c>
      <c r="F13" s="1090"/>
      <c r="G13" s="1147">
        <f>H171</f>
        <v>58826105</v>
      </c>
      <c r="H13" s="1147">
        <f>+I171</f>
        <v>0</v>
      </c>
      <c r="I13" s="1147">
        <f>+J171</f>
        <v>0</v>
      </c>
      <c r="J13" s="1147">
        <f>SUM(G13:I13)</f>
        <v>58826105</v>
      </c>
      <c r="K13" s="1147"/>
      <c r="L13" s="1147"/>
    </row>
    <row r="14" spans="1:13" s="299" customFormat="1" ht="13.2">
      <c r="A14" s="299">
        <f t="shared" si="0"/>
        <v>3</v>
      </c>
      <c r="B14" s="229" t="s">
        <v>630</v>
      </c>
      <c r="C14" s="316">
        <f>-C79</f>
        <v>-190355008</v>
      </c>
      <c r="D14" s="316">
        <f>-D79</f>
        <v>-138668951.11000001</v>
      </c>
      <c r="E14" s="316">
        <f>-E79</f>
        <v>-138668951.11000001</v>
      </c>
      <c r="F14" s="1090"/>
      <c r="G14" s="1148">
        <f>-H79</f>
        <v>-137417964.11000001</v>
      </c>
      <c r="H14" s="1148">
        <f>+I79</f>
        <v>0</v>
      </c>
      <c r="I14" s="1148">
        <f>+J79</f>
        <v>0</v>
      </c>
      <c r="J14" s="1148">
        <f>SUM(G14:I14)</f>
        <v>-137417964.11000001</v>
      </c>
      <c r="K14" s="1147"/>
      <c r="L14" s="1147"/>
      <c r="M14" s="299" t="s">
        <v>361</v>
      </c>
    </row>
    <row r="15" spans="1:12" s="299" customFormat="1" ht="13.2">
      <c r="A15" s="299">
        <f t="shared" si="0"/>
        <v>4</v>
      </c>
      <c r="B15" s="229" t="s">
        <v>553</v>
      </c>
      <c r="C15" s="1146"/>
      <c r="D15" s="1146"/>
      <c r="E15" s="1146"/>
      <c r="G15" s="1147">
        <f>SUM(G12:G14)</f>
        <v>493310069.86000001</v>
      </c>
      <c r="H15" s="1147">
        <f>SUM(H12:H14)</f>
        <v>0</v>
      </c>
      <c r="I15" s="1147">
        <f>SUM(I12:I14)</f>
        <v>0</v>
      </c>
      <c r="J15" s="1147">
        <f>SUM(G15:I15)</f>
        <v>493310069.86000001</v>
      </c>
      <c r="K15" s="1147"/>
      <c r="L15" s="1147"/>
    </row>
    <row r="16" spans="1:12" s="299" customFormat="1" ht="13.2">
      <c r="A16" s="299">
        <f t="shared" si="0"/>
        <v>5</v>
      </c>
      <c r="B16" s="229" t="s">
        <v>533</v>
      </c>
      <c r="G16" s="1147"/>
      <c r="H16" s="1147"/>
      <c r="I16" s="1093"/>
      <c r="J16" s="1147"/>
      <c r="K16" s="1147"/>
      <c r="L16" s="1147"/>
    </row>
    <row r="17" spans="1:12" s="299" customFormat="1" ht="13.2">
      <c r="A17" s="299">
        <f t="shared" si="0"/>
        <v>6</v>
      </c>
      <c r="B17" s="229" t="s">
        <v>433</v>
      </c>
      <c r="G17" s="1147"/>
      <c r="H17" s="1093"/>
      <c r="I17" s="1147"/>
      <c r="J17" s="1147"/>
      <c r="K17" s="1147"/>
      <c r="L17" s="1147"/>
    </row>
    <row r="18" spans="1:12" s="299" customFormat="1" ht="13.2">
      <c r="A18" s="299">
        <f t="shared" si="0"/>
        <v>7</v>
      </c>
      <c r="B18" s="229" t="s">
        <v>312</v>
      </c>
      <c r="G18" s="1147">
        <f>+G15</f>
        <v>493310069.86000001</v>
      </c>
      <c r="H18" s="1147">
        <f>+H17*H15</f>
        <v>0</v>
      </c>
      <c r="I18" s="1147">
        <f>+I16*I15</f>
        <v>0</v>
      </c>
      <c r="J18" s="1149">
        <f>+I18+H18+G18</f>
        <v>493310069.86000001</v>
      </c>
      <c r="K18" s="1147"/>
      <c r="L18" s="1147"/>
    </row>
    <row r="19" spans="2:12" s="299" customFormat="1" ht="13.2">
      <c r="B19" s="229"/>
      <c r="G19" s="1147"/>
      <c r="H19" s="1147"/>
      <c r="I19" s="1147"/>
      <c r="J19" s="298"/>
      <c r="K19" s="1147"/>
      <c r="L19" s="1147"/>
    </row>
    <row r="20" spans="2:12" s="299" customFormat="1" ht="13.2">
      <c r="B20" s="229"/>
      <c r="G20" s="1147"/>
      <c r="H20" s="1147"/>
      <c r="I20" s="1147"/>
      <c r="J20" s="1149"/>
      <c r="K20" s="1147"/>
      <c r="L20" s="1147"/>
    </row>
    <row r="21" s="299" customFormat="1" ht="13.2"/>
    <row r="22" spans="2:10" s="299" customFormat="1" ht="25.5" customHeight="1">
      <c r="B22" s="1733" t="s">
        <v>70</v>
      </c>
      <c r="C22" s="1733"/>
      <c r="D22" s="1733"/>
      <c r="E22" s="1733"/>
      <c r="F22" s="1733"/>
      <c r="G22" s="1733"/>
      <c r="H22" s="1733"/>
      <c r="I22" s="1733"/>
      <c r="J22" s="1733"/>
    </row>
    <row r="23" spans="7:9" s="299" customFormat="1" ht="13.2">
      <c r="G23" s="299" t="s">
        <v>365</v>
      </c>
      <c r="H23" s="1091">
        <v>0</v>
      </c>
      <c r="I23" s="299" t="s">
        <v>768</v>
      </c>
    </row>
    <row r="24" s="299" customFormat="1" ht="13.2"/>
    <row r="25" spans="2:2" s="299" customFormat="1" ht="13.2">
      <c r="B25" s="1092"/>
    </row>
    <row r="26" spans="2:13" s="299" customFormat="1" ht="13.2">
      <c r="B26" s="1733" t="s">
        <v>71</v>
      </c>
      <c r="C26" s="1733"/>
      <c r="D26" s="1733"/>
      <c r="E26" s="1733"/>
      <c r="F26" s="1733"/>
      <c r="G26" s="1733"/>
      <c r="H26" s="1733"/>
      <c r="I26" s="1733"/>
      <c r="J26" s="1733"/>
      <c r="K26" s="1733"/>
      <c r="L26" s="1733"/>
      <c r="M26" s="1733"/>
    </row>
    <row r="27" spans="2:2" s="299" customFormat="1" ht="13.2">
      <c r="B27" s="131" t="s">
        <v>72</v>
      </c>
    </row>
    <row r="28" spans="2:11" s="299" customFormat="1" ht="15.6">
      <c r="B28" s="257"/>
      <c r="C28" s="257"/>
      <c r="D28" s="257"/>
      <c r="E28" s="257"/>
      <c r="F28" s="257"/>
      <c r="G28" s="257"/>
      <c r="H28" s="257"/>
      <c r="I28" s="257"/>
      <c r="J28" s="257"/>
      <c r="K28" s="7"/>
    </row>
    <row r="29" spans="10:11" s="299" customFormat="1" ht="13.2">
      <c r="J29" s="229"/>
      <c r="K29" s="229"/>
    </row>
    <row r="30" spans="2:11" s="299" customFormat="1" ht="13.8" thickBot="1">
      <c r="B30" s="257" t="s">
        <v>449</v>
      </c>
      <c r="C30" s="257" t="s">
        <v>313</v>
      </c>
      <c r="D30" s="257" t="s">
        <v>314</v>
      </c>
      <c r="E30" s="257" t="s">
        <v>315</v>
      </c>
      <c r="F30" s="257" t="s">
        <v>432</v>
      </c>
      <c r="G30" s="257" t="s">
        <v>450</v>
      </c>
      <c r="H30" s="257" t="s">
        <v>448</v>
      </c>
      <c r="I30" s="257" t="s">
        <v>867</v>
      </c>
      <c r="J30" s="257" t="s">
        <v>451</v>
      </c>
      <c r="K30" s="229"/>
    </row>
    <row r="31" spans="3:12" s="299" customFormat="1" ht="13.8" thickBot="1">
      <c r="C31" s="1734" t="s">
        <v>660</v>
      </c>
      <c r="D31" s="1735"/>
      <c r="E31" s="1735"/>
      <c r="F31" s="1735"/>
      <c r="G31" s="1735"/>
      <c r="H31" s="1735"/>
      <c r="I31" s="1735"/>
      <c r="J31" s="1736"/>
      <c r="K31" s="257"/>
      <c r="L31" s="257"/>
    </row>
    <row r="32" s="299" customFormat="1" ht="13.2"/>
    <row r="33" spans="2:12" s="299" customFormat="1" ht="26.4">
      <c r="B33" s="229" t="s">
        <v>777</v>
      </c>
      <c r="C33" s="257" t="s">
        <v>309</v>
      </c>
      <c r="D33" s="257" t="s">
        <v>189</v>
      </c>
      <c r="E33" s="1089" t="s">
        <v>310</v>
      </c>
      <c r="F33" s="257" t="s">
        <v>224</v>
      </c>
      <c r="G33" s="257" t="s">
        <v>788</v>
      </c>
      <c r="H33" s="257" t="s">
        <v>790</v>
      </c>
      <c r="I33" s="257"/>
      <c r="J33" s="257"/>
      <c r="K33" s="257"/>
      <c r="L33" s="257"/>
    </row>
    <row r="34" spans="3:12" s="299" customFormat="1" ht="13.2">
      <c r="C34" s="257" t="s">
        <v>288</v>
      </c>
      <c r="D34" s="257" t="str">
        <f>+C34</f>
        <v>Balance</v>
      </c>
      <c r="E34" s="257" t="s">
        <v>524</v>
      </c>
      <c r="F34" s="257" t="s">
        <v>786</v>
      </c>
      <c r="G34" s="257" t="s">
        <v>789</v>
      </c>
      <c r="H34" s="257" t="s">
        <v>776</v>
      </c>
      <c r="I34" s="257" t="s">
        <v>785</v>
      </c>
      <c r="J34" s="257" t="s">
        <v>787</v>
      </c>
      <c r="K34" s="257"/>
      <c r="L34" s="257"/>
    </row>
    <row r="35" spans="3:13" s="299" customFormat="1" ht="13.2">
      <c r="C35" s="257" t="s">
        <v>163</v>
      </c>
      <c r="D35" s="257" t="s">
        <v>164</v>
      </c>
      <c r="G35" s="257" t="s">
        <v>786</v>
      </c>
      <c r="H35" s="257" t="s">
        <v>786</v>
      </c>
      <c r="I35" s="257" t="s">
        <v>786</v>
      </c>
      <c r="J35" s="257" t="s">
        <v>786</v>
      </c>
      <c r="K35" s="257"/>
      <c r="L35" s="257"/>
      <c r="M35" s="257" t="s">
        <v>627</v>
      </c>
    </row>
    <row r="36" spans="2:2" s="299" customFormat="1" ht="13.8">
      <c r="B36" s="116" t="s">
        <v>447</v>
      </c>
    </row>
    <row r="37" spans="2:13" s="299" customFormat="1" ht="14.4">
      <c r="B37" s="1597" t="s">
        <v>1196</v>
      </c>
      <c r="C37" s="1722">
        <v>5</v>
      </c>
      <c r="D37" s="1722">
        <v>6</v>
      </c>
      <c r="E37" s="1722">
        <v>6</v>
      </c>
      <c r="F37" s="1722"/>
      <c r="G37" s="1722"/>
      <c r="H37" s="1722">
        <v>6</v>
      </c>
      <c r="I37" s="1723"/>
      <c r="J37" s="1226"/>
      <c r="K37" s="1155"/>
      <c r="L37" s="1155"/>
      <c r="M37" s="1152" t="s">
        <v>1197</v>
      </c>
    </row>
    <row r="38" spans="2:13" s="299" customFormat="1" ht="14.4">
      <c r="B38" s="1597" t="s">
        <v>1198</v>
      </c>
      <c r="C38" s="1722">
        <v>134110</v>
      </c>
      <c r="D38" s="1722">
        <v>0</v>
      </c>
      <c r="E38" s="1722">
        <v>0</v>
      </c>
      <c r="F38" s="1722"/>
      <c r="G38" s="1722"/>
      <c r="H38" s="1722">
        <v>0</v>
      </c>
      <c r="I38" s="1723"/>
      <c r="J38" s="1226"/>
      <c r="K38" s="1149"/>
      <c r="L38" s="1149"/>
      <c r="M38" s="1601" t="s">
        <v>1419</v>
      </c>
    </row>
    <row r="39" spans="2:13" s="299" customFormat="1" ht="14.4">
      <c r="B39" s="1597" t="s">
        <v>1418</v>
      </c>
      <c r="C39" s="1722">
        <v>5048478</v>
      </c>
      <c r="D39" s="1722">
        <v>0</v>
      </c>
      <c r="E39" s="1722">
        <v>0</v>
      </c>
      <c r="F39" s="1722"/>
      <c r="G39" s="1724"/>
      <c r="H39" s="1722">
        <v>0</v>
      </c>
      <c r="I39" s="1723"/>
      <c r="J39" s="1226"/>
      <c r="K39" s="1155"/>
      <c r="L39" s="1155"/>
      <c r="M39" s="1152" t="s">
        <v>1420</v>
      </c>
    </row>
    <row r="40" spans="2:13" s="299" customFormat="1" ht="14.4">
      <c r="B40" s="299" t="s">
        <v>1200</v>
      </c>
      <c r="C40" s="1724">
        <v>7606</v>
      </c>
      <c r="D40" s="1724">
        <v>8027</v>
      </c>
      <c r="E40" s="1722">
        <v>8027</v>
      </c>
      <c r="F40" s="1724"/>
      <c r="G40" s="1724">
        <v>8027</v>
      </c>
      <c r="H40" s="1722"/>
      <c r="I40" s="1725"/>
      <c r="J40" s="1094"/>
      <c r="M40" s="1094" t="s">
        <v>1199</v>
      </c>
    </row>
    <row r="41" spans="2:13" s="299" customFormat="1" ht="14.4">
      <c r="B41" s="299" t="s">
        <v>1201</v>
      </c>
      <c r="C41" s="1724">
        <v>1220584</v>
      </c>
      <c r="D41" s="1724">
        <v>1195346</v>
      </c>
      <c r="E41" s="1722">
        <v>1195346</v>
      </c>
      <c r="F41" s="1724"/>
      <c r="G41" s="1724"/>
      <c r="H41" s="1722">
        <v>1195346</v>
      </c>
      <c r="I41" s="1725"/>
      <c r="J41" s="1094"/>
      <c r="M41" s="1094" t="s">
        <v>1202</v>
      </c>
    </row>
    <row r="42" spans="2:13" s="299" customFormat="1" ht="14.4">
      <c r="B42" s="299" t="s">
        <v>1203</v>
      </c>
      <c r="C42" s="1724">
        <v>1892584</v>
      </c>
      <c r="D42" s="1724">
        <v>1907600</v>
      </c>
      <c r="E42" s="1722">
        <v>1907600</v>
      </c>
      <c r="F42" s="1724"/>
      <c r="G42" s="1724"/>
      <c r="H42" s="1722">
        <v>1907600</v>
      </c>
      <c r="I42" s="1725"/>
      <c r="J42" s="1094"/>
      <c r="M42" s="1094" t="s">
        <v>1202</v>
      </c>
    </row>
    <row r="43" spans="2:13" s="299" customFormat="1" ht="14.4">
      <c r="B43" s="299" t="s">
        <v>1204</v>
      </c>
      <c r="C43" s="1724">
        <v>21594</v>
      </c>
      <c r="D43" s="1724">
        <v>21818</v>
      </c>
      <c r="E43" s="1722">
        <v>21818</v>
      </c>
      <c r="F43" s="1724"/>
      <c r="G43" s="1724"/>
      <c r="H43" s="1722">
        <v>21818</v>
      </c>
      <c r="I43" s="1725"/>
      <c r="J43" s="1094"/>
      <c r="M43" s="1094" t="s">
        <v>1202</v>
      </c>
    </row>
    <row r="44" spans="2:13" s="299" customFormat="1" ht="14.4">
      <c r="B44" s="299" t="s">
        <v>1205</v>
      </c>
      <c r="C44" s="1724">
        <v>95384</v>
      </c>
      <c r="D44" s="1724">
        <v>93425</v>
      </c>
      <c r="E44" s="1722">
        <v>93425</v>
      </c>
      <c r="F44" s="1724"/>
      <c r="G44" s="1724"/>
      <c r="H44" s="1722">
        <v>93425</v>
      </c>
      <c r="I44" s="1725"/>
      <c r="J44" s="1094"/>
      <c r="M44" s="1094" t="s">
        <v>1202</v>
      </c>
    </row>
    <row r="45" spans="2:13" s="299" customFormat="1" ht="14.4">
      <c r="B45" s="299" t="s">
        <v>1206</v>
      </c>
      <c r="C45" s="1724">
        <v>71176</v>
      </c>
      <c r="D45" s="1724">
        <v>72370</v>
      </c>
      <c r="E45" s="1722">
        <v>72370</v>
      </c>
      <c r="F45" s="1724"/>
      <c r="G45" s="1724"/>
      <c r="H45" s="1722">
        <v>72370</v>
      </c>
      <c r="I45" s="1725"/>
      <c r="J45" s="1094"/>
      <c r="M45" s="1094" t="s">
        <v>1202</v>
      </c>
    </row>
    <row r="46" spans="2:13" s="299" customFormat="1" ht="14.4">
      <c r="B46" s="299" t="s">
        <v>1207</v>
      </c>
      <c r="C46" s="1724">
        <v>-34980</v>
      </c>
      <c r="D46" s="1724">
        <v>-34264</v>
      </c>
      <c r="E46" s="1722">
        <v>-34264</v>
      </c>
      <c r="F46" s="1724"/>
      <c r="G46" s="1724"/>
      <c r="H46" s="1722">
        <v>-34264</v>
      </c>
      <c r="I46" s="1725"/>
      <c r="J46" s="1094"/>
      <c r="M46" s="1094" t="s">
        <v>1202</v>
      </c>
    </row>
    <row r="47" spans="2:13" s="299" customFormat="1" ht="14.4">
      <c r="B47" s="299" t="s">
        <v>1208</v>
      </c>
      <c r="C47" s="1724">
        <v>20558</v>
      </c>
      <c r="D47" s="1724">
        <v>20789</v>
      </c>
      <c r="E47" s="1722">
        <v>20789</v>
      </c>
      <c r="F47" s="1724"/>
      <c r="G47" s="1724"/>
      <c r="H47" s="1722">
        <v>20789</v>
      </c>
      <c r="I47" s="1725"/>
      <c r="J47" s="1094"/>
      <c r="M47" s="1094" t="s">
        <v>1202</v>
      </c>
    </row>
    <row r="48" spans="2:13" s="299" customFormat="1" ht="14.4">
      <c r="B48" s="299" t="s">
        <v>1209</v>
      </c>
      <c r="C48" s="1724">
        <v>92597</v>
      </c>
      <c r="D48" s="1724">
        <v>90684</v>
      </c>
      <c r="E48" s="1722">
        <v>90684</v>
      </c>
      <c r="F48" s="1724"/>
      <c r="G48" s="1724"/>
      <c r="H48" s="1722">
        <v>90684</v>
      </c>
      <c r="I48" s="1725"/>
      <c r="J48" s="1094"/>
      <c r="M48" s="1094" t="s">
        <v>1202</v>
      </c>
    </row>
    <row r="49" spans="2:13" s="299" customFormat="1" ht="14.4">
      <c r="B49" s="299" t="s">
        <v>1210</v>
      </c>
      <c r="C49" s="1724">
        <v>157677</v>
      </c>
      <c r="D49" s="1724">
        <v>160121</v>
      </c>
      <c r="E49" s="1722">
        <v>160121</v>
      </c>
      <c r="F49" s="1724"/>
      <c r="G49" s="1724"/>
      <c r="H49" s="1722">
        <v>160121</v>
      </c>
      <c r="I49" s="1725"/>
      <c r="J49" s="1094"/>
      <c r="M49" s="1094" t="s">
        <v>1202</v>
      </c>
    </row>
    <row r="50" spans="2:13" s="299" customFormat="1" ht="14.4">
      <c r="B50" s="299" t="s">
        <v>1211</v>
      </c>
      <c r="C50" s="1724">
        <v>1040447</v>
      </c>
      <c r="D50" s="1724">
        <v>0</v>
      </c>
      <c r="E50" s="1722">
        <v>0</v>
      </c>
      <c r="F50" s="1724"/>
      <c r="G50" s="1724"/>
      <c r="H50" s="1722">
        <v>0</v>
      </c>
      <c r="I50" s="1725"/>
      <c r="J50" s="1094"/>
      <c r="M50" s="1094" t="s">
        <v>1455</v>
      </c>
    </row>
    <row r="51" spans="2:13" s="299" customFormat="1" ht="14.4">
      <c r="B51" s="299" t="s">
        <v>1212</v>
      </c>
      <c r="C51" s="1724">
        <v>24490535.299731694</v>
      </c>
      <c r="D51" s="1724">
        <v>23656384.666353647</v>
      </c>
      <c r="E51" s="1722">
        <v>23656384.666353647</v>
      </c>
      <c r="F51" s="1724"/>
      <c r="G51" s="1724"/>
      <c r="H51" s="1722">
        <v>23656384.666353647</v>
      </c>
      <c r="I51" s="1725"/>
      <c r="J51" s="1094"/>
      <c r="M51" s="1094" t="s">
        <v>1213</v>
      </c>
    </row>
    <row r="52" spans="2:13" s="299" customFormat="1" ht="14.4">
      <c r="B52" s="299" t="s">
        <v>1214</v>
      </c>
      <c r="C52" s="1724">
        <v>88879972</v>
      </c>
      <c r="D52" s="1724">
        <v>42175540</v>
      </c>
      <c r="E52" s="1722">
        <v>42175540</v>
      </c>
      <c r="F52" s="1724"/>
      <c r="G52" s="1722"/>
      <c r="H52" s="1725">
        <v>42175540</v>
      </c>
      <c r="I52" s="1725"/>
      <c r="J52" s="1094"/>
      <c r="M52" s="1591" t="s">
        <v>1215</v>
      </c>
    </row>
    <row r="53" spans="2:13" s="299" customFormat="1" ht="14.4">
      <c r="B53" s="299" t="s">
        <v>1216</v>
      </c>
      <c r="C53" s="1724">
        <v>-83969</v>
      </c>
      <c r="D53" s="1724">
        <v>-132251</v>
      </c>
      <c r="E53" s="1722">
        <v>-132251</v>
      </c>
      <c r="F53" s="1724"/>
      <c r="G53" s="1722">
        <v>-132251</v>
      </c>
      <c r="H53" s="1725"/>
      <c r="I53" s="1725"/>
      <c r="J53" s="1094"/>
      <c r="M53" s="1591" t="s">
        <v>1216</v>
      </c>
    </row>
    <row r="54" spans="2:13" s="299" customFormat="1" ht="14.4">
      <c r="B54" s="299" t="s">
        <v>1453</v>
      </c>
      <c r="C54" s="1724">
        <v>0</v>
      </c>
      <c r="D54" s="1724">
        <v>331189</v>
      </c>
      <c r="E54" s="1722">
        <v>331189</v>
      </c>
      <c r="F54" s="1724"/>
      <c r="G54" s="1722">
        <v>331189</v>
      </c>
      <c r="H54" s="1722">
        <v>0</v>
      </c>
      <c r="I54" s="1725"/>
      <c r="J54" s="1094"/>
      <c r="M54" s="1591" t="s">
        <v>1456</v>
      </c>
    </row>
    <row r="55" spans="2:13" s="299" customFormat="1" ht="14.4">
      <c r="B55" s="299" t="s">
        <v>1217</v>
      </c>
      <c r="C55" s="1724">
        <v>237</v>
      </c>
      <c r="D55" s="1724">
        <v>126</v>
      </c>
      <c r="E55" s="1722">
        <v>126</v>
      </c>
      <c r="F55" s="1724"/>
      <c r="G55" s="1724">
        <v>126</v>
      </c>
      <c r="H55" s="1722"/>
      <c r="I55" s="1725"/>
      <c r="J55" s="1094"/>
      <c r="M55" s="1094" t="s">
        <v>1434</v>
      </c>
    </row>
    <row r="56" spans="2:13" s="299" customFormat="1" ht="14.4">
      <c r="B56" s="299" t="s">
        <v>1218</v>
      </c>
      <c r="C56" s="1724">
        <v>10915</v>
      </c>
      <c r="D56" s="1724">
        <v>5834</v>
      </c>
      <c r="E56" s="1722">
        <v>5834</v>
      </c>
      <c r="F56" s="1724"/>
      <c r="G56" s="1724">
        <v>5834</v>
      </c>
      <c r="H56" s="1722"/>
      <c r="I56" s="1725"/>
      <c r="J56" s="1094"/>
      <c r="M56" s="1094" t="s">
        <v>1434</v>
      </c>
    </row>
    <row r="57" spans="2:13" s="299" customFormat="1" ht="14.4">
      <c r="B57" s="299" t="s">
        <v>1219</v>
      </c>
      <c r="C57" s="1724">
        <v>-537206</v>
      </c>
      <c r="D57" s="1724">
        <v>-498834</v>
      </c>
      <c r="E57" s="1722">
        <v>-498834</v>
      </c>
      <c r="F57" s="1724"/>
      <c r="G57" s="1722"/>
      <c r="H57" s="1725">
        <v>-498834</v>
      </c>
      <c r="I57" s="1725"/>
      <c r="J57" s="1094"/>
      <c r="M57" s="1094" t="s">
        <v>1220</v>
      </c>
    </row>
    <row r="58" spans="2:13" s="299" customFormat="1" ht="14.4">
      <c r="B58" s="299" t="s">
        <v>1221</v>
      </c>
      <c r="C58" s="1724">
        <v>18881310</v>
      </c>
      <c r="D58" s="1724">
        <v>19072306</v>
      </c>
      <c r="E58" s="1722">
        <v>19072306</v>
      </c>
      <c r="F58" s="1724"/>
      <c r="G58" s="1724"/>
      <c r="H58" s="1722">
        <v>19072306</v>
      </c>
      <c r="I58" s="1725"/>
      <c r="J58" s="1094"/>
      <c r="M58" s="1094" t="s">
        <v>1220</v>
      </c>
    </row>
    <row r="59" spans="2:13" s="299" customFormat="1" ht="14.4">
      <c r="B59" s="299" t="s">
        <v>1222</v>
      </c>
      <c r="C59" s="1724">
        <v>172932</v>
      </c>
      <c r="D59" s="1724">
        <v>0</v>
      </c>
      <c r="E59" s="1722">
        <v>0</v>
      </c>
      <c r="F59" s="1724"/>
      <c r="G59" s="1724"/>
      <c r="H59" s="1722">
        <v>0</v>
      </c>
      <c r="I59" s="1725"/>
      <c r="J59" s="1094"/>
      <c r="M59" s="1094" t="s">
        <v>1223</v>
      </c>
    </row>
    <row r="60" spans="2:13" s="299" customFormat="1" ht="14.4">
      <c r="B60" s="299" t="s">
        <v>1454</v>
      </c>
      <c r="C60" s="1724">
        <v>977835</v>
      </c>
      <c r="D60" s="1724">
        <v>670648</v>
      </c>
      <c r="E60" s="1722">
        <v>670648</v>
      </c>
      <c r="F60" s="1724"/>
      <c r="G60" s="1724"/>
      <c r="H60" s="1722">
        <v>670648</v>
      </c>
      <c r="I60" s="1725"/>
      <c r="J60" s="1094"/>
      <c r="M60" s="1094" t="s">
        <v>1457</v>
      </c>
    </row>
    <row r="61" spans="2:13" s="299" customFormat="1" ht="14.4">
      <c r="B61" s="299" t="s">
        <v>1225</v>
      </c>
      <c r="C61" s="1724">
        <v>601139</v>
      </c>
      <c r="D61" s="1724">
        <v>583964</v>
      </c>
      <c r="E61" s="1722">
        <v>583964</v>
      </c>
      <c r="F61" s="1724"/>
      <c r="G61" s="1724"/>
      <c r="H61" s="1722">
        <v>583964</v>
      </c>
      <c r="I61" s="1725"/>
      <c r="J61" s="1094"/>
      <c r="M61" s="1591" t="s">
        <v>1224</v>
      </c>
    </row>
    <row r="62" spans="2:13" s="299" customFormat="1" ht="42.6" customHeight="1">
      <c r="B62" s="299" t="s">
        <v>1226</v>
      </c>
      <c r="C62" s="1724">
        <v>982527</v>
      </c>
      <c r="D62" s="1724">
        <v>936841</v>
      </c>
      <c r="E62" s="1722">
        <v>936841</v>
      </c>
      <c r="F62" s="1724"/>
      <c r="G62" s="1722">
        <v>936841</v>
      </c>
      <c r="H62" s="1725"/>
      <c r="I62" s="1725"/>
      <c r="J62" s="1094"/>
      <c r="M62" s="1591" t="s">
        <v>1227</v>
      </c>
    </row>
    <row r="63" spans="2:13" s="299" customFormat="1" ht="14.4">
      <c r="B63" s="299" t="s">
        <v>1228</v>
      </c>
      <c r="C63" s="1724">
        <v>1294913</v>
      </c>
      <c r="D63" s="1724">
        <v>1477771</v>
      </c>
      <c r="E63" s="1722">
        <v>1477771</v>
      </c>
      <c r="F63" s="1724"/>
      <c r="G63" s="1724"/>
      <c r="H63" s="1722">
        <v>1477771</v>
      </c>
      <c r="I63" s="1725"/>
      <c r="J63" s="1094"/>
      <c r="M63" s="1094" t="s">
        <v>1229</v>
      </c>
    </row>
    <row r="64" spans="2:13" s="299" customFormat="1" ht="13.5" customHeight="1">
      <c r="B64" s="299" t="s">
        <v>1230</v>
      </c>
      <c r="C64" s="1724">
        <v>28182522</v>
      </c>
      <c r="D64" s="1724">
        <v>27701877</v>
      </c>
      <c r="E64" s="1722">
        <v>27701877</v>
      </c>
      <c r="F64" s="1724"/>
      <c r="G64" s="1724"/>
      <c r="H64" s="1722">
        <v>27701877</v>
      </c>
      <c r="I64" s="1725"/>
      <c r="J64" s="1094"/>
      <c r="M64" s="1094" t="s">
        <v>1231</v>
      </c>
    </row>
    <row r="65" spans="2:13" s="299" customFormat="1" ht="14.4">
      <c r="B65" s="299" t="s">
        <v>1232</v>
      </c>
      <c r="C65" s="1724">
        <v>34144214</v>
      </c>
      <c r="D65" s="1724">
        <v>34378546.109999999</v>
      </c>
      <c r="E65" s="1722">
        <v>34378546.109999999</v>
      </c>
      <c r="F65" s="1724"/>
      <c r="G65" s="1724"/>
      <c r="H65" s="1722">
        <v>34378546.109999999</v>
      </c>
      <c r="I65" s="1725"/>
      <c r="J65" s="1094"/>
      <c r="M65" s="1094" t="s">
        <v>1231</v>
      </c>
    </row>
    <row r="66" spans="2:13" s="299" customFormat="1" ht="14.4">
      <c r="B66" s="299" t="s">
        <v>1233</v>
      </c>
      <c r="C66" s="1724">
        <v>402198</v>
      </c>
      <c r="D66" s="1724">
        <v>395252</v>
      </c>
      <c r="E66" s="1722">
        <v>395252</v>
      </c>
      <c r="F66" s="1724"/>
      <c r="G66" s="1724"/>
      <c r="H66" s="1722">
        <v>395252</v>
      </c>
      <c r="I66" s="1725"/>
      <c r="J66" s="1094"/>
      <c r="M66" s="1094" t="s">
        <v>1231</v>
      </c>
    </row>
    <row r="67" spans="2:13" s="299" customFormat="1" ht="14.4">
      <c r="B67" s="299" t="s">
        <v>1234</v>
      </c>
      <c r="C67" s="1724">
        <v>337380</v>
      </c>
      <c r="D67" s="1724">
        <v>340711</v>
      </c>
      <c r="E67" s="1722">
        <v>340711</v>
      </c>
      <c r="F67" s="1724"/>
      <c r="G67" s="1724"/>
      <c r="H67" s="1722">
        <v>340711</v>
      </c>
      <c r="I67" s="1725"/>
      <c r="J67" s="1094"/>
      <c r="M67" s="1094" t="s">
        <v>1231</v>
      </c>
    </row>
    <row r="68" spans="2:13" s="299" customFormat="1" ht="14.4">
      <c r="B68" s="299" t="s">
        <v>1235</v>
      </c>
      <c r="C68" s="1724">
        <v>775235</v>
      </c>
      <c r="D68" s="1724">
        <v>767327</v>
      </c>
      <c r="E68" s="1722">
        <v>767327</v>
      </c>
      <c r="F68" s="1724"/>
      <c r="G68" s="1724"/>
      <c r="H68" s="1722">
        <v>767327</v>
      </c>
      <c r="I68" s="1725"/>
      <c r="J68" s="1094"/>
      <c r="M68" s="1094" t="s">
        <v>1231</v>
      </c>
    </row>
    <row r="69" spans="2:13" s="299" customFormat="1" ht="14.4">
      <c r="B69" s="299" t="s">
        <v>1236</v>
      </c>
      <c r="C69" s="1724">
        <v>1199481</v>
      </c>
      <c r="D69" s="1724">
        <v>1216653</v>
      </c>
      <c r="E69" s="1722">
        <v>1216653</v>
      </c>
      <c r="F69" s="1724"/>
      <c r="G69" s="1724"/>
      <c r="H69" s="1722">
        <v>1216653</v>
      </c>
      <c r="I69" s="1725"/>
      <c r="J69" s="1094"/>
      <c r="M69" s="1094" t="s">
        <v>1231</v>
      </c>
    </row>
    <row r="70" spans="2:13" s="299" customFormat="1" ht="15" customHeight="1">
      <c r="B70" s="299" t="s">
        <v>1237</v>
      </c>
      <c r="C70" s="1724">
        <v>478974</v>
      </c>
      <c r="D70" s="1724">
        <v>470600</v>
      </c>
      <c r="E70" s="1722">
        <v>470600</v>
      </c>
      <c r="F70" s="1724"/>
      <c r="G70" s="1724"/>
      <c r="H70" s="1722">
        <v>470600</v>
      </c>
      <c r="I70" s="1725"/>
      <c r="J70" s="1094"/>
      <c r="M70" s="1094" t="s">
        <v>1231</v>
      </c>
    </row>
    <row r="71" spans="2:13" s="299" customFormat="1" ht="14.4">
      <c r="B71" s="299" t="s">
        <v>1238</v>
      </c>
      <c r="C71" s="1724">
        <v>358698</v>
      </c>
      <c r="D71" s="1724">
        <v>362460</v>
      </c>
      <c r="E71" s="1722">
        <v>362460</v>
      </c>
      <c r="F71" s="1724"/>
      <c r="G71" s="1724"/>
      <c r="H71" s="1722">
        <v>362460</v>
      </c>
      <c r="I71" s="1725"/>
      <c r="J71" s="1094"/>
      <c r="M71" s="1094" t="s">
        <v>1231</v>
      </c>
    </row>
    <row r="72" spans="2:13" s="299" customFormat="1" ht="14.4">
      <c r="B72" s="299" t="s">
        <v>1239</v>
      </c>
      <c r="C72" s="1724">
        <v>2631474</v>
      </c>
      <c r="D72" s="1724">
        <v>2593931</v>
      </c>
      <c r="E72" s="1722">
        <v>2593931</v>
      </c>
      <c r="F72" s="1724"/>
      <c r="G72" s="1724"/>
      <c r="H72" s="1722">
        <v>2593931</v>
      </c>
      <c r="I72" s="1725"/>
      <c r="J72" s="1094"/>
      <c r="M72" s="1094" t="s">
        <v>1231</v>
      </c>
    </row>
    <row r="73" spans="2:13" s="299" customFormat="1" ht="14.4">
      <c r="B73" s="299" t="s">
        <v>1240</v>
      </c>
      <c r="C73" s="1724">
        <v>2813142</v>
      </c>
      <c r="D73" s="1724">
        <v>2851965</v>
      </c>
      <c r="E73" s="1722">
        <v>2851965</v>
      </c>
      <c r="F73" s="1724"/>
      <c r="G73" s="1724"/>
      <c r="H73" s="1722">
        <v>2851965</v>
      </c>
      <c r="I73" s="1725"/>
      <c r="J73" s="1094"/>
      <c r="M73" s="1094" t="s">
        <v>1231</v>
      </c>
    </row>
    <row r="74" spans="2:13" s="299" customFormat="1" ht="14.4">
      <c r="B74" s="299" t="s">
        <v>1421</v>
      </c>
      <c r="C74" s="1724">
        <v>326</v>
      </c>
      <c r="D74" s="1724">
        <v>0</v>
      </c>
      <c r="E74" s="1722">
        <v>0</v>
      </c>
      <c r="F74" s="1724"/>
      <c r="G74" s="1722">
        <v>0</v>
      </c>
      <c r="H74" s="1725">
        <v>0</v>
      </c>
      <c r="I74" s="1725"/>
      <c r="J74" s="1094"/>
      <c r="M74" s="1094" t="s">
        <v>1263</v>
      </c>
    </row>
    <row r="75" spans="2:13" s="299" customFormat="1" ht="15.6" customHeight="1">
      <c r="B75" s="299" t="s">
        <v>1435</v>
      </c>
      <c r="C75" s="1724">
        <v>101221</v>
      </c>
      <c r="D75" s="1724">
        <v>101221</v>
      </c>
      <c r="E75" s="1722">
        <v>101221</v>
      </c>
      <c r="F75" s="1724"/>
      <c r="G75" s="1722">
        <v>101221</v>
      </c>
      <c r="H75" s="1725"/>
      <c r="I75" s="1725"/>
      <c r="J75" s="1094"/>
      <c r="M75" s="1094" t="s">
        <v>1422</v>
      </c>
    </row>
    <row r="76" spans="2:13" s="299" customFormat="1" ht="13.8">
      <c r="B76" s="1153" t="s">
        <v>553</v>
      </c>
      <c r="C76" s="1595">
        <f t="shared" si="1" ref="C76:J76">SUM(C36:C75)</f>
        <v>216863825.2997317</v>
      </c>
      <c r="D76" s="1595">
        <f t="shared" si="1"/>
        <v>162995983.77635366</v>
      </c>
      <c r="E76" s="1595">
        <f t="shared" si="1"/>
        <v>162995983.77635366</v>
      </c>
      <c r="F76" s="1595">
        <f t="shared" si="1"/>
        <v>0</v>
      </c>
      <c r="G76" s="1595">
        <f>SUM(G37:G75)</f>
        <v>1250987</v>
      </c>
      <c r="H76" s="1595">
        <f t="shared" si="1"/>
        <v>161744996.77635366</v>
      </c>
      <c r="I76" s="1595">
        <f t="shared" si="1"/>
        <v>0</v>
      </c>
      <c r="J76" s="1595">
        <f t="shared" si="1"/>
        <v>0</v>
      </c>
      <c r="K76" s="1155"/>
      <c r="L76" s="1155"/>
      <c r="M76" s="70"/>
    </row>
    <row r="77" spans="2:12" s="299" customFormat="1" ht="13.8">
      <c r="B77" s="1156" t="s">
        <v>156</v>
      </c>
      <c r="C77" s="1151">
        <f>C50+C60+C51</f>
        <v>26508817.299731694</v>
      </c>
      <c r="D77" s="1151">
        <f t="shared" si="2" ref="D77:J77">D50+D60+D51</f>
        <v>24327032.666353647</v>
      </c>
      <c r="E77" s="1151">
        <f>E50+E60+E51</f>
        <v>24327032.666353647</v>
      </c>
      <c r="F77" s="1151">
        <f t="shared" si="2"/>
        <v>0</v>
      </c>
      <c r="G77" s="1151">
        <f t="shared" si="2"/>
        <v>0</v>
      </c>
      <c r="H77" s="1151">
        <f t="shared" si="2"/>
        <v>24327032.666353647</v>
      </c>
      <c r="I77" s="1151">
        <f t="shared" si="2"/>
        <v>0</v>
      </c>
      <c r="J77" s="1151">
        <f t="shared" si="2"/>
        <v>0</v>
      </c>
      <c r="K77" s="1157"/>
      <c r="L77" s="1157"/>
    </row>
    <row r="78" spans="2:13" s="299" customFormat="1" ht="13.8">
      <c r="B78" s="1156" t="s">
        <v>348</v>
      </c>
      <c r="C78" s="1151"/>
      <c r="D78" s="1151"/>
      <c r="E78" s="1151"/>
      <c r="F78" s="1151"/>
      <c r="G78" s="1158"/>
      <c r="H78" s="1158"/>
      <c r="I78" s="1159"/>
      <c r="J78" s="1159"/>
      <c r="K78" s="1160"/>
      <c r="L78" s="1160"/>
      <c r="M78" s="316"/>
    </row>
    <row r="79" spans="2:14" s="299" customFormat="1" ht="14.4" thickBot="1">
      <c r="B79" s="1156" t="s">
        <v>524</v>
      </c>
      <c r="C79" s="1596">
        <f>+C76-C77-C78</f>
        <v>190355008</v>
      </c>
      <c r="D79" s="1596">
        <f>+D76-D77-D78</f>
        <v>138668951.11000001</v>
      </c>
      <c r="E79" s="1596">
        <f t="shared" si="3" ref="E79:H79">+E76-E77-E78</f>
        <v>138668951.11000001</v>
      </c>
      <c r="F79" s="1596">
        <f t="shared" si="3"/>
        <v>0</v>
      </c>
      <c r="G79" s="1596">
        <f t="shared" si="3"/>
        <v>1250987</v>
      </c>
      <c r="H79" s="1596">
        <f t="shared" si="3"/>
        <v>137417964.11000001</v>
      </c>
      <c r="I79" s="1596">
        <f t="shared" si="4" ref="I79:J79">+I76-I77-I78</f>
        <v>0</v>
      </c>
      <c r="J79" s="1596">
        <f t="shared" si="4"/>
        <v>0</v>
      </c>
      <c r="K79" s="1149"/>
      <c r="L79" s="1149"/>
      <c r="N79" s="316">
        <f>SUM(M79:M79)</f>
        <v>0</v>
      </c>
    </row>
    <row r="80" spans="2:14" s="299" customFormat="1" ht="14.4" thickTop="1">
      <c r="B80" s="1162"/>
      <c r="G80" s="1149"/>
      <c r="H80" s="1149"/>
      <c r="I80" s="1149"/>
      <c r="J80" s="1149"/>
      <c r="K80" s="1149"/>
      <c r="L80" s="1149"/>
      <c r="N80" s="316"/>
    </row>
    <row r="81" spans="2:14" s="299" customFormat="1" ht="13.8">
      <c r="B81" s="1156" t="s">
        <v>1103</v>
      </c>
      <c r="C81" s="316"/>
      <c r="D81" s="1155">
        <f>-('ATT 1.1- Excess_Def ADIT'!K12+'ATT 1.1- Excess_Def ADIT'!K13+'ATT 1.1- Excess_Def ADIT'!K14+'ATT 1.1- Excess_Def ADIT'!K15+'ATT 1.1- Excess_Def ADIT'!K16+'ATT 1.1- Excess_Def ADIT'!K17+'ATT 1.1- Excess_Def ADIT'!K35+'ATT 1.1- Excess_Def ADIT'!K72+'ATT 1.1- Excess_Def ADIT'!K116+'ATT 1.1- Excess_Def ADIT'!K149)</f>
        <v>-50605706.342912182</v>
      </c>
      <c r="G81" s="1149"/>
      <c r="H81" s="1149"/>
      <c r="I81" s="1149"/>
      <c r="J81" s="1149" t="s">
        <v>447</v>
      </c>
      <c r="K81" s="1149"/>
      <c r="L81" s="1149"/>
      <c r="N81" s="316"/>
    </row>
    <row r="82" spans="2:12" s="299" customFormat="1" ht="13.8">
      <c r="B82" s="1156" t="s">
        <v>1104</v>
      </c>
      <c r="C82" s="316"/>
      <c r="D82" s="1155">
        <f>D77-D81</f>
        <v>74932739.009265825</v>
      </c>
      <c r="G82" s="316"/>
      <c r="J82" s="1147" t="s">
        <v>447</v>
      </c>
      <c r="K82" s="1157"/>
      <c r="L82" s="1147"/>
    </row>
    <row r="83" spans="2:12" s="299" customFormat="1" ht="13.2">
      <c r="B83" s="1163"/>
      <c r="C83" s="316"/>
      <c r="D83" s="316"/>
      <c r="G83" s="316"/>
      <c r="J83" s="1147"/>
      <c r="K83" s="1157"/>
      <c r="L83" s="1147"/>
    </row>
    <row r="84" spans="2:12" s="299" customFormat="1" ht="13.8">
      <c r="B84" s="1156" t="s">
        <v>791</v>
      </c>
      <c r="C84" s="1146"/>
      <c r="D84" s="1146"/>
      <c r="E84" s="1146"/>
      <c r="F84" s="1146"/>
      <c r="G84" s="1149"/>
      <c r="H84" s="1149"/>
      <c r="I84" s="1160"/>
      <c r="J84" s="1160"/>
      <c r="K84" s="1160"/>
      <c r="L84" s="316"/>
    </row>
    <row r="85" spans="2:12" s="299" customFormat="1" ht="13.8">
      <c r="B85" s="1156"/>
      <c r="C85" s="1146"/>
      <c r="D85" s="1146"/>
      <c r="E85" s="1146"/>
      <c r="F85" s="1146"/>
      <c r="G85" s="1149"/>
      <c r="H85" s="1149"/>
      <c r="I85" s="1160"/>
      <c r="J85" s="1160"/>
      <c r="K85" s="1160"/>
      <c r="L85" s="316"/>
    </row>
    <row r="86" spans="2:12" s="299" customFormat="1" ht="12.75" customHeight="1">
      <c r="B86" s="1730" t="s">
        <v>669</v>
      </c>
      <c r="C86" s="1730"/>
      <c r="D86" s="1730"/>
      <c r="E86" s="1730"/>
      <c r="F86" s="1730"/>
      <c r="G86" s="1730"/>
      <c r="H86" s="1730"/>
      <c r="I86" s="1730"/>
      <c r="J86" s="1730"/>
      <c r="K86" s="1730"/>
      <c r="L86" s="316"/>
    </row>
    <row r="87" spans="2:11" s="299" customFormat="1" ht="12.75" customHeight="1">
      <c r="B87" s="1730" t="s">
        <v>670</v>
      </c>
      <c r="C87" s="1730"/>
      <c r="D87" s="1730"/>
      <c r="E87" s="1730"/>
      <c r="F87" s="1730"/>
      <c r="G87" s="1730"/>
      <c r="H87" s="1730"/>
      <c r="I87" s="1730"/>
      <c r="J87" s="1730"/>
      <c r="K87" s="1730"/>
    </row>
    <row r="88" spans="2:11" s="299" customFormat="1" ht="12.75" customHeight="1">
      <c r="B88" s="1164" t="s">
        <v>73</v>
      </c>
      <c r="C88" s="1149"/>
      <c r="D88" s="1149"/>
      <c r="E88" s="1149"/>
      <c r="F88" s="1149"/>
      <c r="G88" s="1149"/>
      <c r="H88" s="1149"/>
      <c r="I88" s="1160"/>
      <c r="J88" s="1160"/>
      <c r="K88" s="1160"/>
    </row>
    <row r="89" spans="2:11" s="299" customFormat="1" ht="13.8">
      <c r="B89" s="1164" t="s">
        <v>838</v>
      </c>
      <c r="C89" s="1149"/>
      <c r="D89" s="1149"/>
      <c r="E89" s="1149"/>
      <c r="F89" s="1149"/>
      <c r="G89" s="1149"/>
      <c r="H89" s="1149"/>
      <c r="I89" s="1160"/>
      <c r="J89" s="1160"/>
      <c r="K89" s="1160"/>
    </row>
    <row r="90" spans="2:11" s="299" customFormat="1" ht="13.8">
      <c r="B90" s="1164" t="s">
        <v>75</v>
      </c>
      <c r="C90" s="1149"/>
      <c r="D90" s="1149"/>
      <c r="E90" s="1149"/>
      <c r="F90" s="1149"/>
      <c r="G90" s="1149"/>
      <c r="H90" s="1149"/>
      <c r="I90" s="1160"/>
      <c r="J90" s="1160"/>
      <c r="K90" s="1160"/>
    </row>
    <row r="91" spans="2:11" s="299" customFormat="1" ht="24.75" customHeight="1">
      <c r="B91" s="1730" t="s">
        <v>188</v>
      </c>
      <c r="C91" s="1730"/>
      <c r="D91" s="1730"/>
      <c r="E91" s="1730"/>
      <c r="F91" s="1730"/>
      <c r="G91" s="1730"/>
      <c r="H91" s="1730"/>
      <c r="I91" s="1730"/>
      <c r="J91" s="1730"/>
      <c r="K91" s="1730"/>
    </row>
    <row r="92" spans="2:11" s="299" customFormat="1" ht="15.75" customHeight="1">
      <c r="B92" s="1730" t="s">
        <v>1105</v>
      </c>
      <c r="C92" s="1730"/>
      <c r="D92" s="1730"/>
      <c r="E92" s="1730"/>
      <c r="F92" s="1730"/>
      <c r="G92" s="1730"/>
      <c r="H92" s="1730"/>
      <c r="I92" s="1730"/>
      <c r="J92" s="1730"/>
      <c r="K92" s="1730"/>
    </row>
    <row r="93" spans="2:11" s="299" customFormat="1" ht="13.8">
      <c r="B93" s="1018"/>
      <c r="C93" s="1018"/>
      <c r="D93" s="1018"/>
      <c r="E93" s="1018"/>
      <c r="F93" s="1018"/>
      <c r="G93" s="1018"/>
      <c r="H93" s="1018"/>
      <c r="I93" s="1018"/>
      <c r="J93" s="1018"/>
      <c r="K93" s="1018"/>
    </row>
    <row r="94" spans="2:11" s="299" customFormat="1" ht="13.2">
      <c r="B94" s="131" t="s">
        <v>626</v>
      </c>
      <c r="C94" s="1147"/>
      <c r="D94" s="1147"/>
      <c r="E94" s="1147"/>
      <c r="F94" s="1147"/>
      <c r="G94" s="1155"/>
      <c r="H94" s="1155"/>
      <c r="I94" s="1157"/>
      <c r="J94" s="1157"/>
      <c r="K94" s="1157"/>
    </row>
    <row r="95" spans="2:11" s="299" customFormat="1" ht="15.6">
      <c r="B95" s="1737"/>
      <c r="C95" s="1737"/>
      <c r="D95" s="1737"/>
      <c r="E95" s="1737"/>
      <c r="F95" s="1737"/>
      <c r="G95" s="1737"/>
      <c r="H95" s="1737"/>
      <c r="I95" s="1737"/>
      <c r="J95" s="1737"/>
      <c r="K95" s="1165"/>
    </row>
    <row r="96" spans="3:11" s="299" customFormat="1" ht="15.6">
      <c r="C96" s="1732" t="s">
        <v>333</v>
      </c>
      <c r="D96" s="1732"/>
      <c r="E96" s="1732"/>
      <c r="F96" s="1732"/>
      <c r="G96" s="1732"/>
      <c r="H96" s="1732"/>
      <c r="I96" s="1732"/>
      <c r="J96" s="1732"/>
      <c r="K96" s="1166"/>
    </row>
    <row r="97" spans="2:11" s="299" customFormat="1" ht="15.6">
      <c r="B97" s="48"/>
      <c r="C97" s="1147"/>
      <c r="D97" s="1147"/>
      <c r="E97" s="1147"/>
      <c r="F97" s="1147"/>
      <c r="G97" s="1147"/>
      <c r="H97" s="1147">
        <v>13847278</v>
      </c>
      <c r="I97" s="1147"/>
      <c r="J97" s="1166"/>
      <c r="K97" s="1166"/>
    </row>
    <row r="98" spans="2:11" s="299" customFormat="1" ht="13.8" thickBot="1">
      <c r="B98" s="257" t="s">
        <v>449</v>
      </c>
      <c r="C98" s="257" t="s">
        <v>313</v>
      </c>
      <c r="D98" s="257" t="s">
        <v>314</v>
      </c>
      <c r="E98" s="257" t="s">
        <v>315</v>
      </c>
      <c r="F98" s="257" t="s">
        <v>432</v>
      </c>
      <c r="G98" s="257" t="s">
        <v>450</v>
      </c>
      <c r="H98" s="257" t="s">
        <v>448</v>
      </c>
      <c r="I98" s="257" t="s">
        <v>867</v>
      </c>
      <c r="J98" s="257" t="s">
        <v>451</v>
      </c>
      <c r="K98" s="229"/>
    </row>
    <row r="99" spans="2:12" s="299" customFormat="1" ht="13.8" thickBot="1">
      <c r="B99" s="1147"/>
      <c r="C99" s="1734" t="s">
        <v>660</v>
      </c>
      <c r="D99" s="1735"/>
      <c r="E99" s="1735"/>
      <c r="F99" s="1735"/>
      <c r="G99" s="1735"/>
      <c r="H99" s="1735"/>
      <c r="I99" s="1735"/>
      <c r="J99" s="1736"/>
      <c r="K99" s="257"/>
      <c r="L99" s="257"/>
    </row>
    <row r="100" spans="2:11" s="299" customFormat="1" ht="30">
      <c r="B100" s="1167"/>
      <c r="K100" s="1166"/>
    </row>
    <row r="101" spans="2:12" s="299" customFormat="1" ht="26.4">
      <c r="B101" s="1168"/>
      <c r="C101" s="257" t="s">
        <v>309</v>
      </c>
      <c r="D101" s="257" t="s">
        <v>189</v>
      </c>
      <c r="E101" s="1089" t="s">
        <v>310</v>
      </c>
      <c r="F101" s="257" t="s">
        <v>224</v>
      </c>
      <c r="G101" s="257" t="s">
        <v>788</v>
      </c>
      <c r="H101" s="257" t="s">
        <v>790</v>
      </c>
      <c r="I101" s="257"/>
      <c r="J101" s="257"/>
      <c r="K101" s="1169"/>
      <c r="L101" s="1169"/>
    </row>
    <row r="102" spans="2:13" s="299" customFormat="1" ht="13.2">
      <c r="B102" s="1166" t="s">
        <v>778</v>
      </c>
      <c r="C102" s="257" t="s">
        <v>288</v>
      </c>
      <c r="D102" s="257" t="str">
        <f>+C102</f>
        <v>Balance</v>
      </c>
      <c r="E102" s="257" t="s">
        <v>524</v>
      </c>
      <c r="F102" s="257" t="s">
        <v>786</v>
      </c>
      <c r="G102" s="257" t="s">
        <v>789</v>
      </c>
      <c r="H102" s="257" t="s">
        <v>776</v>
      </c>
      <c r="I102" s="257" t="s">
        <v>785</v>
      </c>
      <c r="J102" s="257" t="s">
        <v>787</v>
      </c>
      <c r="K102" s="1169"/>
      <c r="L102" s="1169"/>
      <c r="M102" s="316" t="s">
        <v>447</v>
      </c>
    </row>
    <row r="103" spans="2:12" s="299" customFormat="1" ht="13.8">
      <c r="B103" s="1162"/>
      <c r="C103" s="257" t="s">
        <v>165</v>
      </c>
      <c r="D103" s="257" t="s">
        <v>166</v>
      </c>
      <c r="G103" s="257" t="s">
        <v>786</v>
      </c>
      <c r="H103" s="257" t="s">
        <v>786</v>
      </c>
      <c r="I103" s="257" t="s">
        <v>786</v>
      </c>
      <c r="J103" s="257" t="s">
        <v>786</v>
      </c>
      <c r="K103" s="1169"/>
      <c r="L103" s="1169"/>
    </row>
    <row r="104" spans="2:13" s="299" customFormat="1" ht="13.8">
      <c r="B104" s="1170"/>
      <c r="C104" s="1147"/>
      <c r="D104" s="1147"/>
      <c r="E104" s="1147"/>
      <c r="F104" s="1147"/>
      <c r="G104" s="1169"/>
      <c r="H104" s="1169"/>
      <c r="I104" s="1169"/>
      <c r="J104" s="1169"/>
      <c r="K104" s="1169"/>
      <c r="L104" s="1169"/>
      <c r="M104" s="257" t="s">
        <v>627</v>
      </c>
    </row>
    <row r="105" spans="2:12" s="299" customFormat="1" ht="13.8">
      <c r="B105" s="1170"/>
      <c r="C105" s="1147"/>
      <c r="D105" s="1147"/>
      <c r="E105" s="1147"/>
      <c r="F105" s="1147"/>
      <c r="G105" s="1155"/>
      <c r="H105" s="1155"/>
      <c r="I105" s="1155"/>
      <c r="J105" s="1155"/>
      <c r="K105" s="1155"/>
      <c r="L105" s="1155"/>
    </row>
    <row r="106" spans="2:13" s="299" customFormat="1" ht="13.8">
      <c r="B106" s="1150" t="s">
        <v>1241</v>
      </c>
      <c r="C106" s="1151">
        <v>16804476.450000003</v>
      </c>
      <c r="D106" s="1151">
        <v>18165854.5</v>
      </c>
      <c r="E106" s="1151">
        <v>18165854.5</v>
      </c>
      <c r="F106" s="1151"/>
      <c r="G106" s="1151"/>
      <c r="H106" s="1151">
        <v>18165854.5</v>
      </c>
      <c r="I106" s="1151"/>
      <c r="J106" s="1151"/>
      <c r="K106" s="1171"/>
      <c r="L106" s="1172"/>
      <c r="M106" s="1094" t="s">
        <v>1242</v>
      </c>
    </row>
    <row r="107" spans="2:13" s="299" customFormat="1" ht="13.8">
      <c r="B107" s="1150" t="s">
        <v>1243</v>
      </c>
      <c r="C107" s="1151">
        <v>551153565.55000007</v>
      </c>
      <c r="D107" s="1151">
        <v>550968416.75999999</v>
      </c>
      <c r="E107" s="1151">
        <v>550968416.75999999</v>
      </c>
      <c r="F107" s="1151"/>
      <c r="G107" s="1151"/>
      <c r="H107" s="1151">
        <v>550968416.75999999</v>
      </c>
      <c r="I107" s="1151"/>
      <c r="J107" s="1151"/>
      <c r="K107" s="1171"/>
      <c r="L107" s="1172"/>
      <c r="M107" s="1094" t="s">
        <v>1197</v>
      </c>
    </row>
    <row r="108" spans="2:13" s="299" customFormat="1" ht="13.8">
      <c r="B108" s="1150" t="s">
        <v>1244</v>
      </c>
      <c r="C108" s="1151">
        <v>4976074.9800000014</v>
      </c>
      <c r="D108" s="1151">
        <v>5279591.34</v>
      </c>
      <c r="E108" s="1151">
        <v>5279591.34</v>
      </c>
      <c r="F108" s="1151"/>
      <c r="G108" s="1151"/>
      <c r="H108" s="1151">
        <v>5279591.34</v>
      </c>
      <c r="I108" s="1151"/>
      <c r="J108" s="1151"/>
      <c r="K108" s="1171"/>
      <c r="L108" s="1172"/>
      <c r="M108" s="1094" t="s">
        <v>1245</v>
      </c>
    </row>
    <row r="109" spans="2:13" s="299" customFormat="1" ht="13.8">
      <c r="B109" s="1150" t="s">
        <v>1246</v>
      </c>
      <c r="C109" s="1151">
        <v>12991683.430000002</v>
      </c>
      <c r="D109" s="1151">
        <v>13875790.060000001</v>
      </c>
      <c r="E109" s="1151">
        <v>13875790.060000001</v>
      </c>
      <c r="F109" s="1151"/>
      <c r="G109" s="1151"/>
      <c r="H109" s="1151">
        <v>13875790.060000001</v>
      </c>
      <c r="I109" s="1151"/>
      <c r="J109" s="1151"/>
      <c r="K109" s="1171"/>
      <c r="L109" s="1172"/>
      <c r="M109" s="1094" t="s">
        <v>1247</v>
      </c>
    </row>
    <row r="110" spans="2:13" s="299" customFormat="1" ht="13.8">
      <c r="B110" s="1150" t="s">
        <v>1248</v>
      </c>
      <c r="C110" s="1151">
        <v>6105039.9100000001</v>
      </c>
      <c r="D110" s="1151">
        <v>6423508.7300000004</v>
      </c>
      <c r="E110" s="1151">
        <v>6423508.7300000004</v>
      </c>
      <c r="F110" s="1151"/>
      <c r="G110" s="1151"/>
      <c r="H110" s="1151">
        <v>6423508.7300000004</v>
      </c>
      <c r="I110" s="1151"/>
      <c r="J110" s="1151"/>
      <c r="K110" s="1171"/>
      <c r="L110" s="1172"/>
      <c r="M110" s="1094" t="s">
        <v>1249</v>
      </c>
    </row>
    <row r="111" spans="2:13" s="299" customFormat="1" ht="13.8">
      <c r="B111" s="1150" t="s">
        <v>1250</v>
      </c>
      <c r="C111" s="1151">
        <v>51718527.659999989</v>
      </c>
      <c r="D111" s="1151">
        <v>52132747.839999996</v>
      </c>
      <c r="E111" s="1151">
        <v>52132747.839999996</v>
      </c>
      <c r="F111" s="1151"/>
      <c r="G111" s="1151"/>
      <c r="H111" s="1151">
        <v>52132747.839999996</v>
      </c>
      <c r="I111" s="1151"/>
      <c r="J111" s="1151"/>
      <c r="K111" s="1171"/>
      <c r="L111" s="1172"/>
      <c r="M111" s="1094" t="s">
        <v>1251</v>
      </c>
    </row>
    <row r="112" spans="2:13" s="299" customFormat="1" ht="13.8">
      <c r="B112" s="1150" t="s">
        <v>1252</v>
      </c>
      <c r="C112" s="1151">
        <v>4597854.0700000012</v>
      </c>
      <c r="D112" s="1151">
        <v>4598181.629999999</v>
      </c>
      <c r="E112" s="1151">
        <v>4598181.629999999</v>
      </c>
      <c r="F112" s="1151"/>
      <c r="G112" s="1151"/>
      <c r="H112" s="1151">
        <v>4598181.629999999</v>
      </c>
      <c r="I112" s="1151"/>
      <c r="J112" s="1151"/>
      <c r="K112" s="1171"/>
      <c r="L112" s="1172"/>
      <c r="M112" s="1094" t="s">
        <v>1253</v>
      </c>
    </row>
    <row r="113" spans="2:13" s="299" customFormat="1" ht="13.8">
      <c r="B113" s="1150" t="s">
        <v>1254</v>
      </c>
      <c r="C113" s="1151">
        <v>137127.84999999998</v>
      </c>
      <c r="D113" s="1151">
        <v>133801.96999999997</v>
      </c>
      <c r="E113" s="1151">
        <v>133801.96999999997</v>
      </c>
      <c r="F113" s="1151"/>
      <c r="G113" s="1151"/>
      <c r="H113" s="1151">
        <v>133801.96999999997</v>
      </c>
      <c r="I113" s="1151"/>
      <c r="J113" s="1151"/>
      <c r="K113" s="1171"/>
      <c r="L113" s="1172"/>
      <c r="M113" s="1591" t="s">
        <v>1255</v>
      </c>
    </row>
    <row r="114" spans="2:13" s="299" customFormat="1" ht="13.8">
      <c r="B114" s="1150" t="s">
        <v>1256</v>
      </c>
      <c r="C114" s="1151">
        <v>-42045346.349999994</v>
      </c>
      <c r="D114" s="1151">
        <v>-44218375.019999996</v>
      </c>
      <c r="E114" s="1151">
        <v>-44218375.019999996</v>
      </c>
      <c r="F114" s="1151"/>
      <c r="G114" s="1151"/>
      <c r="H114" s="1151">
        <v>-44218375.019999996</v>
      </c>
      <c r="I114" s="1151"/>
      <c r="J114" s="1151"/>
      <c r="K114" s="1171"/>
      <c r="L114" s="1172"/>
      <c r="M114" s="1094" t="s">
        <v>1257</v>
      </c>
    </row>
    <row r="115" spans="2:13" s="299" customFormat="1" ht="13.8">
      <c r="B115" s="1150" t="s">
        <v>1258</v>
      </c>
      <c r="C115" s="1151">
        <v>-166749161.61000001</v>
      </c>
      <c r="D115" s="1151">
        <v>-166460225.5</v>
      </c>
      <c r="E115" s="1151">
        <v>-166460225.5</v>
      </c>
      <c r="F115" s="1151"/>
      <c r="G115" s="1151"/>
      <c r="H115" s="1151">
        <v>-166460225.5</v>
      </c>
      <c r="I115" s="1151"/>
      <c r="J115" s="1151"/>
      <c r="K115" s="1171"/>
      <c r="L115" s="1172"/>
      <c r="M115" s="1094" t="s">
        <v>1259</v>
      </c>
    </row>
    <row r="116" spans="2:13" s="299" customFormat="1" ht="13.8">
      <c r="B116" s="1150" t="s">
        <v>1260</v>
      </c>
      <c r="C116" s="1151">
        <v>-39154866.270000003</v>
      </c>
      <c r="D116" s="1151">
        <v>-38894603.739999995</v>
      </c>
      <c r="E116" s="1151">
        <v>-38894603.739999995</v>
      </c>
      <c r="F116" s="1151"/>
      <c r="G116" s="1151"/>
      <c r="H116" s="1151">
        <v>-38894603.739999995</v>
      </c>
      <c r="I116" s="1151"/>
      <c r="J116" s="1151"/>
      <c r="K116" s="1171"/>
      <c r="L116" s="1172"/>
      <c r="M116" s="1094" t="s">
        <v>1261</v>
      </c>
    </row>
    <row r="117" spans="2:13" s="299" customFormat="1" ht="13.8">
      <c r="B117" s="1150" t="s">
        <v>1262</v>
      </c>
      <c r="C117" s="1151">
        <v>3019299.1400000006</v>
      </c>
      <c r="D117" s="1151">
        <v>3437014.9000000008</v>
      </c>
      <c r="E117" s="1151">
        <v>3437014.9000000008</v>
      </c>
      <c r="F117" s="1151"/>
      <c r="G117" s="1151"/>
      <c r="H117" s="1151">
        <v>3437014.9000000008</v>
      </c>
      <c r="I117" s="1151"/>
      <c r="J117" s="1151"/>
      <c r="K117" s="1171"/>
      <c r="L117" s="1172"/>
      <c r="M117" s="1591" t="s">
        <v>1263</v>
      </c>
    </row>
    <row r="118" spans="2:12" s="299" customFormat="1" ht="13.8">
      <c r="B118" s="1153" t="s">
        <v>553</v>
      </c>
      <c r="C118" s="1154">
        <f t="shared" si="5" ref="C118:J118">SUM(C106:C117)</f>
        <v>403554274.81000006</v>
      </c>
      <c r="D118" s="1154">
        <f t="shared" si="5"/>
        <v>405441703.47000003</v>
      </c>
      <c r="E118" s="1154">
        <f t="shared" si="5"/>
        <v>405441703.47000003</v>
      </c>
      <c r="F118" s="1154">
        <f t="shared" si="5"/>
        <v>0</v>
      </c>
      <c r="G118" s="1154">
        <f t="shared" si="5"/>
        <v>0</v>
      </c>
      <c r="H118" s="1154">
        <f t="shared" si="5"/>
        <v>405441703.47000003</v>
      </c>
      <c r="I118" s="1154">
        <f t="shared" si="5"/>
        <v>0</v>
      </c>
      <c r="J118" s="1154">
        <f t="shared" si="5"/>
        <v>0</v>
      </c>
      <c r="K118" s="1155"/>
      <c r="L118" s="1155"/>
    </row>
    <row r="119" spans="2:12" s="299" customFormat="1" ht="13.8">
      <c r="B119" s="1156" t="s">
        <v>156</v>
      </c>
      <c r="C119" s="1151">
        <f>C115</f>
        <v>-166749161.61000001</v>
      </c>
      <c r="D119" s="1151">
        <f>D115</f>
        <v>-166460225.5</v>
      </c>
      <c r="E119" s="1151">
        <f>E115</f>
        <v>-166460225.5</v>
      </c>
      <c r="F119" s="1151"/>
      <c r="G119" s="1151"/>
      <c r="H119" s="1151">
        <f>H115</f>
        <v>-166460225.5</v>
      </c>
      <c r="I119" s="1151"/>
      <c r="J119" s="1151"/>
      <c r="K119" s="1157"/>
      <c r="L119" s="1157"/>
    </row>
    <row r="120" spans="2:13" s="299" customFormat="1" ht="13.8">
      <c r="B120" s="1156" t="s">
        <v>348</v>
      </c>
      <c r="C120" s="1151"/>
      <c r="D120" s="1151"/>
      <c r="E120" s="1151"/>
      <c r="F120" s="1151"/>
      <c r="G120" s="1151"/>
      <c r="H120" s="1151"/>
      <c r="I120" s="1151"/>
      <c r="J120" s="1151"/>
      <c r="K120" s="1160"/>
      <c r="L120" s="1160"/>
      <c r="M120" s="316"/>
    </row>
    <row r="121" spans="2:12" s="299" customFormat="1" ht="14.4" thickBot="1">
      <c r="B121" s="1156" t="s">
        <v>524</v>
      </c>
      <c r="C121" s="1161">
        <f>+C118-C119-C120</f>
        <v>570303436.42000008</v>
      </c>
      <c r="D121" s="1161">
        <f>+D118-D119-D120</f>
        <v>571901928.97000003</v>
      </c>
      <c r="E121" s="1161">
        <f>+E118-E119-E120</f>
        <v>571901928.97000003</v>
      </c>
      <c r="F121" s="1161"/>
      <c r="G121" s="1161"/>
      <c r="H121" s="1161">
        <f>+H118-H119-H120</f>
        <v>571901928.97000003</v>
      </c>
      <c r="I121" s="1161"/>
      <c r="J121" s="1161"/>
      <c r="K121" s="1149"/>
      <c r="L121" s="1149"/>
    </row>
    <row r="122" spans="2:12" s="299" customFormat="1" ht="14.4" thickTop="1">
      <c r="B122" s="1162"/>
      <c r="G122" s="1149"/>
      <c r="H122" s="1149"/>
      <c r="I122" s="1149"/>
      <c r="J122" s="1149"/>
      <c r="K122" s="1149"/>
      <c r="L122" s="1149"/>
    </row>
    <row r="123" spans="2:14" s="299" customFormat="1" ht="13.8">
      <c r="B123" s="1156" t="s">
        <v>1103</v>
      </c>
      <c r="C123" s="316"/>
      <c r="D123" s="1155">
        <f>'ATT 1.1- Excess_Def ADIT'!K38+'ATT 1.1- Excess_Def ADIT'!K39+'ATT 1.1- Excess_Def ADIT'!K75+'ATT 1.1- Excess_Def ADIT'!K76+'ATT 1.1- Excess_Def ADIT'!K119+'ATT 1.1- Excess_Def ADIT'!K120+'ATT 1.1- Excess_Def ADIT'!K152+'ATT 1.1- Excess_Def ADIT'!K153</f>
        <v>-177450345.7498</v>
      </c>
      <c r="G123" s="1149"/>
      <c r="H123" s="1149"/>
      <c r="I123" s="1149"/>
      <c r="J123" s="1149" t="s">
        <v>447</v>
      </c>
      <c r="K123" s="1149"/>
      <c r="L123" s="1149"/>
      <c r="N123" s="316"/>
    </row>
    <row r="124" spans="2:12" s="299" customFormat="1" ht="13.8">
      <c r="B124" s="1156" t="s">
        <v>1104</v>
      </c>
      <c r="C124" s="316"/>
      <c r="D124" s="1155">
        <f>D119-D123</f>
        <v>10990120.249799997</v>
      </c>
      <c r="G124" s="316"/>
      <c r="J124" s="1147" t="s">
        <v>447</v>
      </c>
      <c r="K124" s="1157"/>
      <c r="L124" s="1147"/>
    </row>
    <row r="125" spans="3:13" s="299" customFormat="1" ht="13.2">
      <c r="C125" s="316"/>
      <c r="G125" s="839"/>
      <c r="J125" s="316" t="s">
        <v>447</v>
      </c>
      <c r="K125" s="1157"/>
      <c r="L125" s="316"/>
      <c r="M125" s="316"/>
    </row>
    <row r="126" spans="2:11" s="299" customFormat="1" ht="13.8">
      <c r="B126" s="1156" t="s">
        <v>793</v>
      </c>
      <c r="C126" s="1146"/>
      <c r="D126" s="1146"/>
      <c r="E126" s="1146"/>
      <c r="G126" s="1149"/>
      <c r="H126" s="1149"/>
      <c r="I126" s="1160"/>
      <c r="J126" s="1160"/>
      <c r="K126" s="1160"/>
    </row>
    <row r="127" spans="2:11" s="299" customFormat="1" ht="13.8">
      <c r="B127" s="1156"/>
      <c r="C127" s="1146"/>
      <c r="D127" s="1146"/>
      <c r="E127" s="1146"/>
      <c r="G127" s="1149"/>
      <c r="H127" s="1149"/>
      <c r="I127" s="1160"/>
      <c r="J127" s="1160"/>
      <c r="K127" s="1160"/>
    </row>
    <row r="128" spans="2:11" s="299" customFormat="1" ht="12.75" customHeight="1">
      <c r="B128" s="1730" t="s">
        <v>669</v>
      </c>
      <c r="C128" s="1730"/>
      <c r="D128" s="1730"/>
      <c r="E128" s="1730"/>
      <c r="F128" s="1730"/>
      <c r="G128" s="1730"/>
      <c r="H128" s="1730"/>
      <c r="I128" s="1730"/>
      <c r="J128" s="1730"/>
      <c r="K128" s="1730"/>
    </row>
    <row r="129" spans="2:11" s="299" customFormat="1" ht="12" customHeight="1">
      <c r="B129" s="1730" t="s">
        <v>670</v>
      </c>
      <c r="C129" s="1730"/>
      <c r="D129" s="1730"/>
      <c r="E129" s="1730"/>
      <c r="F129" s="1730"/>
      <c r="G129" s="1730"/>
      <c r="H129" s="1730"/>
      <c r="I129" s="1730"/>
      <c r="J129" s="1730"/>
      <c r="K129" s="1730"/>
    </row>
    <row r="130" spans="2:11" s="299" customFormat="1" ht="13.8">
      <c r="B130" s="1164" t="s">
        <v>73</v>
      </c>
      <c r="C130" s="1149"/>
      <c r="D130" s="1149"/>
      <c r="E130" s="1149"/>
      <c r="F130" s="1149"/>
      <c r="G130" s="1149"/>
      <c r="H130" s="1149"/>
      <c r="I130" s="1160"/>
      <c r="J130" s="1160"/>
      <c r="K130" s="1160"/>
    </row>
    <row r="131" spans="2:11" s="299" customFormat="1" ht="13.8">
      <c r="B131" s="1164" t="s">
        <v>838</v>
      </c>
      <c r="C131" s="1149"/>
      <c r="D131" s="1149"/>
      <c r="E131" s="1149"/>
      <c r="F131" s="1149"/>
      <c r="G131" s="1149"/>
      <c r="H131" s="1149"/>
      <c r="I131" s="1160"/>
      <c r="J131" s="1160"/>
      <c r="K131" s="1160"/>
    </row>
    <row r="132" spans="2:24" s="299" customFormat="1" ht="13.8">
      <c r="B132" s="1164" t="s">
        <v>75</v>
      </c>
      <c r="C132" s="1149"/>
      <c r="D132" s="1149"/>
      <c r="E132" s="1149"/>
      <c r="F132" s="1149"/>
      <c r="G132" s="1149"/>
      <c r="H132" s="1149"/>
      <c r="I132" s="1160"/>
      <c r="J132" s="1160"/>
      <c r="K132" s="1160"/>
      <c r="X132" s="317"/>
    </row>
    <row r="133" spans="2:11" s="299" customFormat="1" ht="24.75" customHeight="1">
      <c r="B133" s="1730" t="s">
        <v>188</v>
      </c>
      <c r="C133" s="1730"/>
      <c r="D133" s="1730"/>
      <c r="E133" s="1730"/>
      <c r="F133" s="1730"/>
      <c r="G133" s="1730"/>
      <c r="H133" s="1730"/>
      <c r="I133" s="1730"/>
      <c r="J133" s="1730"/>
      <c r="K133" s="1730"/>
    </row>
    <row r="134" spans="2:11" s="299" customFormat="1" ht="12.75" customHeight="1">
      <c r="B134" s="1730" t="s">
        <v>1105</v>
      </c>
      <c r="C134" s="1730"/>
      <c r="D134" s="1730"/>
      <c r="E134" s="1730"/>
      <c r="F134" s="1730"/>
      <c r="G134" s="1730"/>
      <c r="H134" s="1730"/>
      <c r="I134" s="1730"/>
      <c r="J134" s="1730"/>
      <c r="K134" s="1730"/>
    </row>
    <row r="135" spans="2:11" s="299" customFormat="1" ht="13.8">
      <c r="B135" s="1173"/>
      <c r="C135" s="1146"/>
      <c r="D135" s="1146"/>
      <c r="E135" s="1146"/>
      <c r="F135" s="1146"/>
      <c r="G135" s="1149"/>
      <c r="H135" s="1149"/>
      <c r="I135" s="1160"/>
      <c r="J135" s="1160"/>
      <c r="K135" s="1160"/>
    </row>
    <row r="136" spans="2:11" s="299" customFormat="1" ht="13.2">
      <c r="B136" s="131" t="s">
        <v>626</v>
      </c>
      <c r="C136" s="1146"/>
      <c r="D136" s="1146"/>
      <c r="E136" s="1146"/>
      <c r="F136" s="1146"/>
      <c r="G136" s="1149"/>
      <c r="H136" s="1149"/>
      <c r="I136" s="1160"/>
      <c r="J136" s="1160"/>
      <c r="K136" s="1160"/>
    </row>
    <row r="137" spans="2:11" s="299" customFormat="1" ht="13.8">
      <c r="B137" s="1173"/>
      <c r="C137" s="1146"/>
      <c r="D137" s="1146"/>
      <c r="E137" s="1146"/>
      <c r="F137" s="1146"/>
      <c r="G137" s="1149"/>
      <c r="H137" s="1149"/>
      <c r="I137" s="1160"/>
      <c r="J137" s="1160"/>
      <c r="K137" s="1160"/>
    </row>
    <row r="138" spans="3:11" s="299" customFormat="1" ht="15.6">
      <c r="C138" s="1732" t="s">
        <v>333</v>
      </c>
      <c r="D138" s="1732"/>
      <c r="E138" s="1732"/>
      <c r="F138" s="1732"/>
      <c r="G138" s="1732"/>
      <c r="H138" s="1732"/>
      <c r="I138" s="1732"/>
      <c r="J138" s="1732"/>
      <c r="K138" s="1160"/>
    </row>
    <row r="139" spans="2:11" s="299" customFormat="1" ht="13.2">
      <c r="B139" s="1147"/>
      <c r="C139" s="1147"/>
      <c r="D139" s="1147"/>
      <c r="E139" s="1147"/>
      <c r="F139" s="1147"/>
      <c r="G139" s="1147"/>
      <c r="H139" s="1147"/>
      <c r="I139" s="1147"/>
      <c r="J139" s="1166"/>
      <c r="K139" s="1166"/>
    </row>
    <row r="140" spans="3:11" s="299" customFormat="1" ht="13.2">
      <c r="C140" s="257"/>
      <c r="D140" s="257"/>
      <c r="E140" s="257"/>
      <c r="F140" s="257"/>
      <c r="G140" s="257"/>
      <c r="H140" s="257"/>
      <c r="I140" s="257"/>
      <c r="J140" s="257"/>
      <c r="K140" s="229"/>
    </row>
    <row r="141" spans="2:12" s="299" customFormat="1" ht="13.8" thickBot="1">
      <c r="B141" s="257" t="s">
        <v>449</v>
      </c>
      <c r="C141" s="257" t="s">
        <v>313</v>
      </c>
      <c r="D141" s="257" t="s">
        <v>314</v>
      </c>
      <c r="E141" s="257" t="s">
        <v>315</v>
      </c>
      <c r="F141" s="257" t="s">
        <v>432</v>
      </c>
      <c r="G141" s="257" t="s">
        <v>450</v>
      </c>
      <c r="H141" s="257" t="s">
        <v>448</v>
      </c>
      <c r="I141" s="257" t="s">
        <v>867</v>
      </c>
      <c r="J141" s="257" t="s">
        <v>451</v>
      </c>
      <c r="K141" s="257"/>
      <c r="L141" s="257"/>
    </row>
    <row r="142" spans="2:12" s="299" customFormat="1" ht="13.8" thickBot="1">
      <c r="B142" s="1163"/>
      <c r="C142" s="1734" t="s">
        <v>660</v>
      </c>
      <c r="D142" s="1735"/>
      <c r="E142" s="1735"/>
      <c r="F142" s="1735"/>
      <c r="G142" s="1735"/>
      <c r="H142" s="1735"/>
      <c r="I142" s="1735"/>
      <c r="J142" s="1736"/>
      <c r="K142" s="257"/>
      <c r="L142" s="257"/>
    </row>
    <row r="143" spans="2:12" s="299" customFormat="1" ht="13.2">
      <c r="B143" s="1147"/>
      <c r="K143" s="1169"/>
      <c r="L143" s="1169"/>
    </row>
    <row r="144" spans="2:12" s="299" customFormat="1" ht="26.4">
      <c r="B144" s="1166" t="s">
        <v>779</v>
      </c>
      <c r="C144" s="257" t="s">
        <v>309</v>
      </c>
      <c r="D144" s="257" t="s">
        <v>189</v>
      </c>
      <c r="E144" s="1089" t="s">
        <v>310</v>
      </c>
      <c r="F144" s="257" t="s">
        <v>224</v>
      </c>
      <c r="G144" s="257" t="s">
        <v>788</v>
      </c>
      <c r="H144" s="257" t="s">
        <v>790</v>
      </c>
      <c r="I144" s="257"/>
      <c r="J144" s="257"/>
      <c r="K144" s="1169"/>
      <c r="L144" s="1169"/>
    </row>
    <row r="145" spans="2:13" s="299" customFormat="1" ht="13.2">
      <c r="B145" s="1147"/>
      <c r="C145" s="257" t="s">
        <v>288</v>
      </c>
      <c r="D145" s="257" t="str">
        <f>+C145</f>
        <v>Balance</v>
      </c>
      <c r="E145" s="257" t="s">
        <v>524</v>
      </c>
      <c r="F145" s="257" t="s">
        <v>786</v>
      </c>
      <c r="G145" s="257" t="s">
        <v>789</v>
      </c>
      <c r="H145" s="257" t="s">
        <v>776</v>
      </c>
      <c r="I145" s="257" t="s">
        <v>785</v>
      </c>
      <c r="J145" s="257" t="s">
        <v>787</v>
      </c>
      <c r="K145" s="1169"/>
      <c r="L145" s="1169"/>
      <c r="M145" s="257" t="s">
        <v>627</v>
      </c>
    </row>
    <row r="146" spans="2:12" s="299" customFormat="1" ht="13.8">
      <c r="B146" s="116" t="s">
        <v>447</v>
      </c>
      <c r="C146" s="257" t="s">
        <v>167</v>
      </c>
      <c r="D146" s="257" t="s">
        <v>168</v>
      </c>
      <c r="G146" s="257" t="s">
        <v>786</v>
      </c>
      <c r="H146" s="257" t="s">
        <v>786</v>
      </c>
      <c r="I146" s="257" t="s">
        <v>786</v>
      </c>
      <c r="J146" s="257" t="s">
        <v>786</v>
      </c>
      <c r="K146" s="1169"/>
      <c r="L146" s="1169"/>
    </row>
    <row r="147" spans="2:13" s="299" customFormat="1" ht="13.8">
      <c r="B147" s="1150" t="s">
        <v>1264</v>
      </c>
      <c r="C147" s="1151"/>
      <c r="D147" s="1151"/>
      <c r="E147" s="1151"/>
      <c r="F147" s="1151"/>
      <c r="G147" s="1151"/>
      <c r="H147" s="1151"/>
      <c r="I147" s="1151"/>
      <c r="J147" s="1151"/>
      <c r="K147" s="1151"/>
      <c r="L147" s="1151"/>
      <c r="M147" s="1151" t="s">
        <v>1429</v>
      </c>
    </row>
    <row r="148" spans="2:13" s="299" customFormat="1" ht="13.8">
      <c r="B148" s="1150" t="s">
        <v>1265</v>
      </c>
      <c r="C148" s="1151">
        <v>2502</v>
      </c>
      <c r="D148" s="1151">
        <v>2417</v>
      </c>
      <c r="E148" s="1151">
        <v>2417</v>
      </c>
      <c r="F148" s="1151"/>
      <c r="G148" s="1151">
        <v>2417</v>
      </c>
      <c r="H148" s="1151"/>
      <c r="I148" s="1151"/>
      <c r="J148" s="1151"/>
      <c r="K148" s="1151"/>
      <c r="L148" s="1151"/>
      <c r="M148" s="1151" t="s">
        <v>1458</v>
      </c>
    </row>
    <row r="149" spans="2:13" s="299" customFormat="1" ht="13.8">
      <c r="B149" s="1150" t="s">
        <v>1266</v>
      </c>
      <c r="C149" s="1151">
        <v>1892595</v>
      </c>
      <c r="D149" s="1151">
        <v>1892595</v>
      </c>
      <c r="E149" s="1151">
        <v>1892595</v>
      </c>
      <c r="F149" s="1151"/>
      <c r="G149" s="1151"/>
      <c r="H149" s="1151">
        <v>1892595</v>
      </c>
      <c r="I149" s="1151"/>
      <c r="J149" s="1151"/>
      <c r="K149" s="1151"/>
      <c r="L149" s="1151"/>
      <c r="M149" s="1152" t="s">
        <v>1202</v>
      </c>
    </row>
    <row r="150" spans="2:13" s="299" customFormat="1" ht="13.8">
      <c r="B150" s="1150" t="s">
        <v>1267</v>
      </c>
      <c r="C150" s="1151">
        <v>-73369</v>
      </c>
      <c r="D150" s="1151">
        <v>-71846</v>
      </c>
      <c r="E150" s="1151">
        <v>-71846</v>
      </c>
      <c r="F150" s="1151"/>
      <c r="G150" s="1151"/>
      <c r="H150" s="1151">
        <v>-71846</v>
      </c>
      <c r="I150" s="1151"/>
      <c r="J150" s="1151"/>
      <c r="K150" s="1151"/>
      <c r="L150" s="1151"/>
      <c r="M150" s="1152" t="s">
        <v>1202</v>
      </c>
    </row>
    <row r="151" spans="2:13" s="299" customFormat="1" ht="13.8">
      <c r="B151" s="1150" t="s">
        <v>1268</v>
      </c>
      <c r="C151" s="1151">
        <v>21815</v>
      </c>
      <c r="D151" s="1151">
        <v>21816</v>
      </c>
      <c r="E151" s="1151">
        <v>21816</v>
      </c>
      <c r="F151" s="1151"/>
      <c r="G151" s="1151"/>
      <c r="H151" s="1151">
        <v>21816</v>
      </c>
      <c r="I151" s="1151"/>
      <c r="J151" s="1151"/>
      <c r="K151" s="1151"/>
      <c r="L151" s="1151"/>
      <c r="M151" s="1151" t="s">
        <v>1202</v>
      </c>
    </row>
    <row r="152" spans="2:13" s="299" customFormat="1" ht="13.8">
      <c r="B152" s="1150" t="s">
        <v>1269</v>
      </c>
      <c r="C152" s="1151">
        <v>121734</v>
      </c>
      <c r="D152" s="1151">
        <v>121734</v>
      </c>
      <c r="E152" s="1151">
        <v>121734</v>
      </c>
      <c r="F152" s="1151"/>
      <c r="G152" s="1151"/>
      <c r="H152" s="1151">
        <v>121734</v>
      </c>
      <c r="I152" s="1151"/>
      <c r="J152" s="1151"/>
      <c r="K152" s="1151"/>
      <c r="L152" s="1151"/>
      <c r="M152" s="1152" t="s">
        <v>1202</v>
      </c>
    </row>
    <row r="153" spans="2:13" s="299" customFormat="1" ht="13.8">
      <c r="B153" s="1150" t="s">
        <v>1270</v>
      </c>
      <c r="C153" s="1151">
        <v>14553</v>
      </c>
      <c r="D153" s="1151">
        <v>14553</v>
      </c>
      <c r="E153" s="1151">
        <v>14553</v>
      </c>
      <c r="F153" s="1151"/>
      <c r="G153" s="1151"/>
      <c r="H153" s="1151">
        <v>14553</v>
      </c>
      <c r="I153" s="1151"/>
      <c r="J153" s="1151"/>
      <c r="K153" s="1151"/>
      <c r="L153" s="1151"/>
      <c r="M153" s="1151" t="s">
        <v>1202</v>
      </c>
    </row>
    <row r="154" spans="2:13" s="299" customFormat="1" ht="13.8">
      <c r="B154" s="1150" t="s">
        <v>1271</v>
      </c>
      <c r="C154" s="1151">
        <v>135498</v>
      </c>
      <c r="D154" s="1151">
        <v>135498</v>
      </c>
      <c r="E154" s="1151">
        <v>135498</v>
      </c>
      <c r="F154" s="1151"/>
      <c r="G154" s="1151"/>
      <c r="H154" s="1151">
        <v>135498</v>
      </c>
      <c r="I154" s="1151"/>
      <c r="J154" s="1151"/>
      <c r="K154" s="1151"/>
      <c r="L154" s="1151"/>
      <c r="M154" s="1151" t="s">
        <v>1202</v>
      </c>
    </row>
    <row r="155" spans="2:13" s="299" customFormat="1" ht="13.8">
      <c r="B155" s="1150" t="s">
        <v>1423</v>
      </c>
      <c r="C155" s="1151">
        <v>1</v>
      </c>
      <c r="D155" s="1151">
        <v>0</v>
      </c>
      <c r="E155" s="1151">
        <v>0</v>
      </c>
      <c r="F155" s="1151"/>
      <c r="G155" s="1151"/>
      <c r="H155" s="1151">
        <v>0</v>
      </c>
      <c r="I155" s="1151"/>
      <c r="J155" s="1151"/>
      <c r="K155" s="1151"/>
      <c r="L155" s="1151"/>
      <c r="M155" s="1151" t="s">
        <v>1257</v>
      </c>
    </row>
    <row r="156" spans="2:13" s="299" customFormat="1" ht="13.8">
      <c r="B156" s="1150" t="s">
        <v>1272</v>
      </c>
      <c r="C156" s="1151">
        <v>92782</v>
      </c>
      <c r="D156" s="1151">
        <v>210093</v>
      </c>
      <c r="E156" s="1151">
        <v>210093</v>
      </c>
      <c r="F156" s="1151"/>
      <c r="G156" s="1151"/>
      <c r="H156" s="1151">
        <v>210093</v>
      </c>
      <c r="I156" s="1151"/>
      <c r="J156" s="1151"/>
      <c r="K156" s="1151"/>
      <c r="L156" s="1151"/>
      <c r="M156" s="1151" t="s">
        <v>1273</v>
      </c>
    </row>
    <row r="157" spans="2:13" s="299" customFormat="1" ht="13.5" customHeight="1">
      <c r="B157" s="1150" t="s">
        <v>1258</v>
      </c>
      <c r="C157" s="1151">
        <v>25221920.701000001</v>
      </c>
      <c r="D157" s="1151">
        <v>22424745.234499991</v>
      </c>
      <c r="E157" s="1151">
        <v>22424745.234499991</v>
      </c>
      <c r="F157" s="1151"/>
      <c r="G157" s="1151"/>
      <c r="H157" s="1151">
        <v>22424745.234499991</v>
      </c>
      <c r="I157" s="1151"/>
      <c r="J157" s="1151"/>
      <c r="K157" s="1151"/>
      <c r="L157" s="1151"/>
      <c r="M157" s="1151" t="s">
        <v>1274</v>
      </c>
    </row>
    <row r="158" spans="2:13" s="299" customFormat="1" ht="31.35" customHeight="1">
      <c r="B158" s="1150" t="s">
        <v>1275</v>
      </c>
      <c r="C158" s="1151">
        <v>88167</v>
      </c>
      <c r="D158" s="1151">
        <v>0</v>
      </c>
      <c r="E158" s="1151">
        <v>0</v>
      </c>
      <c r="F158" s="1151"/>
      <c r="G158" s="1151">
        <v>0</v>
      </c>
      <c r="H158" s="1151">
        <v>0</v>
      </c>
      <c r="I158" s="1151"/>
      <c r="J158" s="1151"/>
      <c r="K158" s="1151"/>
      <c r="L158" s="1151"/>
      <c r="M158" s="1152" t="s">
        <v>1276</v>
      </c>
    </row>
    <row r="159" spans="2:13" s="299" customFormat="1" ht="31.35" customHeight="1">
      <c r="B159" s="1150" t="s">
        <v>1277</v>
      </c>
      <c r="C159" s="1151">
        <v>982528</v>
      </c>
      <c r="D159" s="1151">
        <v>936841</v>
      </c>
      <c r="E159" s="1151">
        <v>936841</v>
      </c>
      <c r="F159" s="1151"/>
      <c r="G159" s="1151">
        <v>936841</v>
      </c>
      <c r="H159" s="1151"/>
      <c r="I159" s="1151"/>
      <c r="J159" s="1151"/>
      <c r="K159" s="1151"/>
      <c r="L159" s="1151"/>
      <c r="M159" s="1152" t="s">
        <v>1278</v>
      </c>
    </row>
    <row r="160" spans="2:13" s="299" customFormat="1" ht="31.35" customHeight="1">
      <c r="B160" s="1150" t="s">
        <v>1279</v>
      </c>
      <c r="C160" s="1151">
        <v>35633441</v>
      </c>
      <c r="D160" s="1151">
        <v>30037996</v>
      </c>
      <c r="E160" s="1151">
        <v>30037996</v>
      </c>
      <c r="F160" s="1151"/>
      <c r="G160" s="1151">
        <v>30037996</v>
      </c>
      <c r="H160" s="1151"/>
      <c r="I160" s="1151"/>
      <c r="J160" s="1151"/>
      <c r="K160" s="1151"/>
      <c r="L160" s="1151"/>
      <c r="M160" s="1152" t="s">
        <v>1280</v>
      </c>
    </row>
    <row r="161" spans="2:13" s="299" customFormat="1" ht="31.35" customHeight="1">
      <c r="B161" s="1150" t="s">
        <v>1282</v>
      </c>
      <c r="C161" s="1151">
        <v>33764130</v>
      </c>
      <c r="D161" s="1151">
        <v>33924507</v>
      </c>
      <c r="E161" s="1151">
        <v>33924507</v>
      </c>
      <c r="F161" s="1151"/>
      <c r="G161" s="1151"/>
      <c r="H161" s="1151">
        <v>33924507</v>
      </c>
      <c r="I161" s="1151"/>
      <c r="J161" s="1151"/>
      <c r="K161" s="1151"/>
      <c r="L161" s="1151"/>
      <c r="M161" s="1152" t="s">
        <v>1231</v>
      </c>
    </row>
    <row r="162" spans="2:13" s="299" customFormat="1" ht="24" customHeight="1">
      <c r="B162" s="1150" t="s">
        <v>1283</v>
      </c>
      <c r="C162" s="1151">
        <v>333656</v>
      </c>
      <c r="D162" s="1151">
        <v>336011</v>
      </c>
      <c r="E162" s="1151">
        <v>336011</v>
      </c>
      <c r="F162" s="1151"/>
      <c r="G162" s="1151"/>
      <c r="H162" s="1151">
        <v>336011</v>
      </c>
      <c r="I162" s="1151"/>
      <c r="J162" s="1151"/>
      <c r="K162" s="1151"/>
      <c r="L162" s="1151"/>
      <c r="M162" s="1152" t="s">
        <v>1231</v>
      </c>
    </row>
    <row r="163" spans="2:13" s="299" customFormat="1" ht="31.35" customHeight="1">
      <c r="B163" s="1150" t="s">
        <v>1284</v>
      </c>
      <c r="C163" s="1151">
        <v>1190105</v>
      </c>
      <c r="D163" s="1151">
        <v>1202590</v>
      </c>
      <c r="E163" s="1151">
        <v>1202590</v>
      </c>
      <c r="F163" s="1151"/>
      <c r="G163" s="1151"/>
      <c r="H163" s="1151">
        <v>1202590</v>
      </c>
      <c r="I163" s="1151"/>
      <c r="J163" s="1151"/>
      <c r="K163" s="1151"/>
      <c r="L163" s="1151"/>
      <c r="M163" s="1152" t="s">
        <v>1231</v>
      </c>
    </row>
    <row r="164" spans="2:13" s="299" customFormat="1" ht="31.35" customHeight="1">
      <c r="B164" s="1150" t="s">
        <v>1285</v>
      </c>
      <c r="C164" s="1151">
        <v>353299</v>
      </c>
      <c r="D164" s="1151">
        <v>355797</v>
      </c>
      <c r="E164" s="1151">
        <v>355797</v>
      </c>
      <c r="F164" s="1151"/>
      <c r="G164" s="1151"/>
      <c r="H164" s="1151">
        <v>355797</v>
      </c>
      <c r="I164" s="1151"/>
      <c r="J164" s="1151"/>
      <c r="K164" s="1151"/>
      <c r="L164" s="1151"/>
      <c r="M164" s="1152" t="s">
        <v>1231</v>
      </c>
    </row>
    <row r="165" spans="2:13" s="299" customFormat="1" ht="31.35" customHeight="1">
      <c r="B165" s="1150" t="s">
        <v>1286</v>
      </c>
      <c r="C165" s="1151">
        <v>2773528</v>
      </c>
      <c r="D165" s="1151">
        <v>2799755</v>
      </c>
      <c r="E165" s="1151">
        <v>2799755</v>
      </c>
      <c r="F165" s="1151"/>
      <c r="G165" s="1151"/>
      <c r="H165" s="1151">
        <v>2799755</v>
      </c>
      <c r="I165" s="1151"/>
      <c r="J165" s="1151"/>
      <c r="K165" s="1151"/>
      <c r="L165" s="1151"/>
      <c r="M165" s="1152" t="s">
        <v>1231</v>
      </c>
    </row>
    <row r="166" spans="2:13" s="299" customFormat="1" ht="31.35" customHeight="1">
      <c r="B166" s="1150" t="s">
        <v>1287</v>
      </c>
      <c r="C166" s="1151">
        <v>17717534</v>
      </c>
      <c r="D166" s="1151">
        <v>17883002</v>
      </c>
      <c r="E166" s="1151">
        <v>17883002</v>
      </c>
      <c r="F166" s="1151"/>
      <c r="G166" s="1151"/>
      <c r="H166" s="1151">
        <v>17883002</v>
      </c>
      <c r="I166" s="1151"/>
      <c r="J166" s="1151"/>
      <c r="K166" s="1151"/>
      <c r="L166" s="1151"/>
      <c r="M166" s="1152" t="s">
        <v>1288</v>
      </c>
    </row>
    <row r="167" spans="2:13" s="299" customFormat="1" ht="31.35" customHeight="1">
      <c r="B167" s="1150" t="s">
        <v>1424</v>
      </c>
      <c r="C167" s="1151">
        <v>71661</v>
      </c>
      <c r="D167" s="1151">
        <v>0</v>
      </c>
      <c r="E167" s="1151">
        <v>0</v>
      </c>
      <c r="F167" s="1151"/>
      <c r="G167" s="1151"/>
      <c r="H167" s="1151">
        <v>0</v>
      </c>
      <c r="I167" s="1151"/>
      <c r="J167" s="1151"/>
      <c r="K167" s="1151"/>
      <c r="L167" s="1151"/>
      <c r="M167" s="1152" t="s">
        <v>1425</v>
      </c>
    </row>
    <row r="168" spans="2:12" s="299" customFormat="1" ht="13.8">
      <c r="B168" s="1598" t="s">
        <v>553</v>
      </c>
      <c r="C168" s="1595">
        <f t="shared" si="6" ref="C168:J168">SUM(C147:C167)</f>
        <v>120338080.70100001</v>
      </c>
      <c r="D168" s="1595">
        <f t="shared" si="6"/>
        <v>112228104.23449999</v>
      </c>
      <c r="E168" s="1595">
        <f t="shared" si="6"/>
        <v>112228104.23449999</v>
      </c>
      <c r="F168" s="1595">
        <f t="shared" si="6"/>
        <v>0</v>
      </c>
      <c r="G168" s="1595">
        <f>SUM(G147:G167)</f>
        <v>30977254</v>
      </c>
      <c r="H168" s="1595">
        <f t="shared" si="6"/>
        <v>81250850.234499991</v>
      </c>
      <c r="I168" s="1595">
        <f t="shared" si="6"/>
        <v>0</v>
      </c>
      <c r="J168" s="1595">
        <f t="shared" si="6"/>
        <v>0</v>
      </c>
      <c r="K168" s="1155"/>
      <c r="L168" s="1155"/>
    </row>
    <row r="169" spans="2:12" s="299" customFormat="1" ht="13.8">
      <c r="B169" s="1598" t="s">
        <v>156</v>
      </c>
      <c r="C169" s="1151">
        <f>C157</f>
        <v>25221920.701000001</v>
      </c>
      <c r="D169" s="1151">
        <f>D157</f>
        <v>22424745.234499991</v>
      </c>
      <c r="E169" s="1151">
        <f t="shared" si="7" ref="E169:H169">E157</f>
        <v>22424745.234499991</v>
      </c>
      <c r="F169" s="1151">
        <f t="shared" si="7"/>
        <v>0</v>
      </c>
      <c r="G169" s="1151">
        <f t="shared" si="7"/>
        <v>0</v>
      </c>
      <c r="H169" s="1151">
        <f t="shared" si="7"/>
        <v>22424745.234499991</v>
      </c>
      <c r="I169" s="1151">
        <f t="shared" si="8" ref="I169:J169">I157+I156</f>
        <v>0</v>
      </c>
      <c r="J169" s="1151">
        <f t="shared" si="8"/>
        <v>0</v>
      </c>
      <c r="K169" s="1157"/>
      <c r="L169" s="1157"/>
    </row>
    <row r="170" spans="2:12" s="299" customFormat="1" ht="13.8">
      <c r="B170" s="1598" t="s">
        <v>348</v>
      </c>
      <c r="C170" s="1158">
        <v>0</v>
      </c>
      <c r="D170" s="1158">
        <v>0</v>
      </c>
      <c r="E170" s="1158">
        <v>0</v>
      </c>
      <c r="F170" s="1158">
        <v>0</v>
      </c>
      <c r="G170" s="1158">
        <v>0</v>
      </c>
      <c r="H170" s="1158">
        <v>0</v>
      </c>
      <c r="I170" s="1158">
        <v>0</v>
      </c>
      <c r="J170" s="1158">
        <v>0</v>
      </c>
      <c r="K170" s="1160"/>
      <c r="L170" s="1160"/>
    </row>
    <row r="171" spans="2:12" s="299" customFormat="1" ht="14.4" thickBot="1">
      <c r="B171" s="1598" t="s">
        <v>524</v>
      </c>
      <c r="C171" s="1596">
        <f>+C168-C169-C170</f>
        <v>95116160</v>
      </c>
      <c r="D171" s="1596">
        <f>+D168-D169-D170</f>
        <v>89803359</v>
      </c>
      <c r="E171" s="1596">
        <f>+E168-E169-E170</f>
        <v>89803359</v>
      </c>
      <c r="F171" s="1596"/>
      <c r="G171" s="1596">
        <f>+G168-G169-G170</f>
        <v>30977254</v>
      </c>
      <c r="H171" s="1596">
        <f>+H168-H169-H170</f>
        <v>58826105</v>
      </c>
      <c r="I171" s="1596">
        <f>+I168-I169-I170</f>
        <v>0</v>
      </c>
      <c r="J171" s="1596">
        <f>+J168-J169-J170</f>
        <v>0</v>
      </c>
      <c r="K171" s="1149"/>
      <c r="L171" s="1149"/>
    </row>
    <row r="172" spans="2:12" s="299" customFormat="1" ht="14.4" thickTop="1">
      <c r="B172" s="1156"/>
      <c r="D172" s="316"/>
      <c r="G172" s="1149"/>
      <c r="H172" s="1149"/>
      <c r="I172" s="1149"/>
      <c r="J172" s="1149"/>
      <c r="K172" s="1155"/>
      <c r="L172" s="1149"/>
    </row>
    <row r="173" spans="2:14" s="299" customFormat="1" ht="13.8">
      <c r="B173" s="1156" t="s">
        <v>1103</v>
      </c>
      <c r="C173" s="316"/>
      <c r="D173" s="1155">
        <f>'ATT 1.1- Excess_Def ADIT'!K23+'ATT 1.1- Excess_Def ADIT'!K24+'ATT 1.1- Excess_Def ADIT'!K27+'ATT 1.1- Excess_Def ADIT'!K44+'ATT 1.1- Excess_Def ADIT'!K81+'ATT 1.1- Excess_Def ADIT'!K109+'ATT 1.1- Excess_Def ADIT'!K125+'ATT 1.1- Excess_Def ADIT'!K143+'ATT 1.1- Excess_Def ADIT'!K158</f>
        <v>-42807446.912165739</v>
      </c>
      <c r="G173" s="1149"/>
      <c r="H173" s="1149"/>
      <c r="I173" s="1149"/>
      <c r="J173" s="1149" t="s">
        <v>447</v>
      </c>
      <c r="K173" s="1149"/>
      <c r="L173" s="1149"/>
      <c r="N173" s="316"/>
    </row>
    <row r="174" spans="2:12" s="299" customFormat="1" ht="13.8">
      <c r="B174" s="1156" t="s">
        <v>1104</v>
      </c>
      <c r="C174" s="316"/>
      <c r="D174" s="316">
        <f>D169-D173</f>
        <v>65232192.14666573</v>
      </c>
      <c r="G174" s="316"/>
      <c r="J174" s="1147" t="s">
        <v>447</v>
      </c>
      <c r="K174" s="1157"/>
      <c r="L174" s="1147"/>
    </row>
    <row r="175" spans="2:12" s="299" customFormat="1" ht="13.8">
      <c r="B175" s="1156"/>
      <c r="D175" s="316"/>
      <c r="E175" s="316"/>
      <c r="H175" s="1174"/>
      <c r="I175" s="1157"/>
      <c r="J175" s="316"/>
      <c r="K175" s="1157"/>
      <c r="L175" s="316"/>
    </row>
    <row r="176" spans="2:11" s="299" customFormat="1" ht="13.8">
      <c r="B176" s="1156" t="s">
        <v>792</v>
      </c>
      <c r="C176" s="1146"/>
      <c r="D176" s="316"/>
      <c r="E176" s="1146"/>
      <c r="F176" s="1146"/>
      <c r="G176" s="1149"/>
      <c r="H176" s="1149"/>
      <c r="I176" s="1160"/>
      <c r="J176" s="1160"/>
      <c r="K176" s="1160"/>
    </row>
    <row r="177" spans="2:11" s="299" customFormat="1" ht="13.8">
      <c r="B177" s="1173"/>
      <c r="C177" s="1146"/>
      <c r="D177" s="1146"/>
      <c r="E177" s="1146"/>
      <c r="F177" s="1146"/>
      <c r="G177" s="1146"/>
      <c r="H177" s="1146"/>
      <c r="I177" s="1146"/>
      <c r="J177" s="1146"/>
      <c r="K177" s="1146"/>
    </row>
    <row r="178" spans="2:11" s="299" customFormat="1" ht="12.75" customHeight="1">
      <c r="B178" s="1730" t="s">
        <v>669</v>
      </c>
      <c r="C178" s="1730"/>
      <c r="D178" s="1730"/>
      <c r="E178" s="1730"/>
      <c r="F178" s="1730"/>
      <c r="G178" s="1730"/>
      <c r="H178" s="1730"/>
      <c r="I178" s="1730"/>
      <c r="J178" s="1730"/>
      <c r="K178" s="1730"/>
    </row>
    <row r="179" spans="2:11" s="299" customFormat="1" ht="12.75" customHeight="1">
      <c r="B179" s="1730" t="s">
        <v>670</v>
      </c>
      <c r="C179" s="1730"/>
      <c r="D179" s="1730"/>
      <c r="E179" s="1730"/>
      <c r="F179" s="1730"/>
      <c r="G179" s="1730"/>
      <c r="H179" s="1730"/>
      <c r="I179" s="1730"/>
      <c r="J179" s="1730"/>
      <c r="K179" s="1730"/>
    </row>
    <row r="180" spans="2:11" s="299" customFormat="1" ht="13.8">
      <c r="B180" s="1164" t="s">
        <v>73</v>
      </c>
      <c r="C180" s="1149"/>
      <c r="D180" s="1149"/>
      <c r="E180" s="1149"/>
      <c r="F180" s="1149"/>
      <c r="G180" s="1149"/>
      <c r="H180" s="1149"/>
      <c r="I180" s="1160"/>
      <c r="J180" s="1160"/>
      <c r="K180" s="1160"/>
    </row>
    <row r="181" spans="2:11" s="299" customFormat="1" ht="13.8">
      <c r="B181" s="1164" t="s">
        <v>838</v>
      </c>
      <c r="C181" s="1149"/>
      <c r="D181" s="1149"/>
      <c r="E181" s="1149"/>
      <c r="F181" s="1149"/>
      <c r="G181" s="1149"/>
      <c r="H181" s="1149"/>
      <c r="I181" s="1160"/>
      <c r="J181" s="1160"/>
      <c r="K181" s="1160"/>
    </row>
    <row r="182" spans="2:11" s="299" customFormat="1" ht="13.8">
      <c r="B182" s="1164" t="s">
        <v>75</v>
      </c>
      <c r="C182" s="1149"/>
      <c r="D182" s="1149"/>
      <c r="E182" s="1149"/>
      <c r="F182" s="1149"/>
      <c r="G182" s="1149"/>
      <c r="H182" s="1149"/>
      <c r="I182" s="1160"/>
      <c r="J182" s="1160"/>
      <c r="K182" s="1160"/>
    </row>
    <row r="183" spans="2:11" s="299" customFormat="1" ht="24.75" customHeight="1">
      <c r="B183" s="1730" t="s">
        <v>188</v>
      </c>
      <c r="C183" s="1730"/>
      <c r="D183" s="1730"/>
      <c r="E183" s="1730"/>
      <c r="F183" s="1730"/>
      <c r="G183" s="1730"/>
      <c r="H183" s="1730"/>
      <c r="I183" s="1730"/>
      <c r="J183" s="1730"/>
      <c r="K183" s="1730"/>
    </row>
    <row r="184" spans="2:11" s="299" customFormat="1" ht="16.5" customHeight="1">
      <c r="B184" s="1730" t="s">
        <v>1105</v>
      </c>
      <c r="C184" s="1730"/>
      <c r="D184" s="1730"/>
      <c r="E184" s="1730"/>
      <c r="F184" s="1730"/>
      <c r="G184" s="1730"/>
      <c r="H184" s="1730"/>
      <c r="I184" s="1730"/>
      <c r="J184" s="1730"/>
      <c r="K184" s="1730"/>
    </row>
    <row r="185" spans="2:11" s="299" customFormat="1" ht="13.2">
      <c r="B185" s="257"/>
      <c r="C185" s="257"/>
      <c r="D185" s="257"/>
      <c r="E185" s="257"/>
      <c r="F185" s="257"/>
      <c r="G185" s="257"/>
      <c r="H185" s="257"/>
      <c r="I185" s="257"/>
      <c r="J185" s="257"/>
      <c r="K185" s="229"/>
    </row>
    <row r="186" spans="2:12" s="299" customFormat="1" ht="13.2">
      <c r="B186" s="1163"/>
      <c r="C186" s="1731"/>
      <c r="D186" s="1731"/>
      <c r="E186" s="1731"/>
      <c r="F186" s="1731"/>
      <c r="G186" s="1731"/>
      <c r="H186" s="1731"/>
      <c r="I186" s="1731"/>
      <c r="J186" s="1731"/>
      <c r="K186" s="257"/>
      <c r="L186" s="257"/>
    </row>
    <row r="187" spans="2:12" s="299" customFormat="1" ht="13.2">
      <c r="B187" s="1163"/>
      <c r="C187" s="1149"/>
      <c r="D187" s="1149"/>
      <c r="E187" s="1149"/>
      <c r="F187" s="1149"/>
      <c r="G187" s="257"/>
      <c r="H187" s="257"/>
      <c r="I187" s="257"/>
      <c r="J187" s="257"/>
      <c r="K187" s="257"/>
      <c r="L187" s="257"/>
    </row>
    <row r="188" spans="2:12" s="299" customFormat="1" ht="13.2">
      <c r="B188" s="1149"/>
      <c r="C188" s="1175"/>
      <c r="D188" s="1175"/>
      <c r="E188" s="1175"/>
      <c r="F188" s="1175"/>
      <c r="G188" s="1175"/>
      <c r="H188" s="1175"/>
      <c r="I188" s="1175"/>
      <c r="J188" s="1175"/>
      <c r="K188" s="1175"/>
      <c r="L188" s="1175"/>
    </row>
    <row r="189" spans="2:12" s="299" customFormat="1" ht="13.2">
      <c r="B189" s="1176"/>
      <c r="C189" s="1149"/>
      <c r="D189" s="1149"/>
      <c r="E189" s="1149"/>
      <c r="F189" s="1149"/>
      <c r="G189" s="1175"/>
      <c r="H189" s="1175"/>
      <c r="I189" s="1175"/>
      <c r="J189" s="1175"/>
      <c r="K189" s="1175"/>
      <c r="L189" s="1175"/>
    </row>
    <row r="190" spans="2:12" s="299" customFormat="1" ht="13.2">
      <c r="B190" s="1149"/>
      <c r="C190" s="1149"/>
      <c r="D190" s="1149"/>
      <c r="E190" s="1149"/>
      <c r="F190" s="1149"/>
      <c r="G190" s="1175"/>
      <c r="H190" s="1175"/>
      <c r="I190" s="1175"/>
      <c r="J190" s="1175"/>
      <c r="K190" s="1175"/>
      <c r="L190" s="1175"/>
    </row>
    <row r="191" spans="2:12" s="299" customFormat="1" ht="13.2">
      <c r="B191" s="1149"/>
      <c r="C191" s="1149"/>
      <c r="D191" s="1149"/>
      <c r="E191" s="1149"/>
      <c r="F191" s="1149"/>
      <c r="G191" s="1175"/>
      <c r="H191" s="1175"/>
      <c r="I191" s="1175"/>
      <c r="J191" s="1175"/>
      <c r="K191" s="1175"/>
      <c r="L191" s="1175"/>
    </row>
    <row r="192" spans="2:12" s="299" customFormat="1" ht="13.8">
      <c r="B192" s="1177"/>
      <c r="C192" s="1149"/>
      <c r="D192" s="1149"/>
      <c r="E192" s="1149"/>
      <c r="F192" s="1149"/>
      <c r="G192" s="1178"/>
      <c r="H192" s="1178"/>
      <c r="I192" s="1149"/>
      <c r="J192" s="1178"/>
      <c r="K192" s="1178"/>
      <c r="L192" s="1179"/>
    </row>
    <row r="193" spans="2:11" s="299" customFormat="1" ht="13.2">
      <c r="B193" s="1149"/>
      <c r="C193" s="1149"/>
      <c r="D193" s="1149"/>
      <c r="E193" s="1149"/>
      <c r="F193" s="1149"/>
      <c r="G193" s="1149"/>
      <c r="H193" s="1149"/>
      <c r="I193" s="1149"/>
      <c r="J193" s="1149"/>
      <c r="K193" s="1149"/>
    </row>
    <row r="194" spans="2:11" s="299" customFormat="1" ht="13.2">
      <c r="B194" s="1149"/>
      <c r="C194" s="1149"/>
      <c r="D194" s="1149"/>
      <c r="E194" s="1149"/>
      <c r="F194" s="1149"/>
      <c r="G194" s="1149"/>
      <c r="H194" s="1149"/>
      <c r="I194" s="1149"/>
      <c r="J194" s="1149"/>
      <c r="K194" s="1149"/>
    </row>
    <row r="195" spans="2:11" s="299" customFormat="1" ht="13.2">
      <c r="B195" s="1149"/>
      <c r="C195" s="1149"/>
      <c r="D195" s="1149"/>
      <c r="E195" s="1149"/>
      <c r="F195" s="1149"/>
      <c r="G195" s="1149"/>
      <c r="H195" s="1149"/>
      <c r="I195" s="1149"/>
      <c r="J195" s="1149"/>
      <c r="K195" s="1149"/>
    </row>
    <row r="196" spans="2:11" s="299" customFormat="1" ht="13.2">
      <c r="B196" s="1149"/>
      <c r="C196" s="1149"/>
      <c r="D196" s="1149"/>
      <c r="E196" s="1149"/>
      <c r="F196" s="1149"/>
      <c r="G196" s="1149"/>
      <c r="H196" s="1149"/>
      <c r="I196" s="1149"/>
      <c r="J196" s="1149"/>
      <c r="K196" s="1149"/>
    </row>
    <row r="197" spans="2:11" s="299" customFormat="1" ht="13.2">
      <c r="B197" s="1149"/>
      <c r="C197" s="1149"/>
      <c r="D197" s="1149"/>
      <c r="E197" s="1149"/>
      <c r="F197" s="1149"/>
      <c r="G197" s="1149"/>
      <c r="H197" s="1149"/>
      <c r="I197" s="1149"/>
      <c r="J197" s="1149"/>
      <c r="K197" s="1149"/>
    </row>
    <row r="198" spans="2:11" s="299" customFormat="1" ht="13.2">
      <c r="B198" s="1149"/>
      <c r="C198" s="1149"/>
      <c r="D198" s="1149"/>
      <c r="E198" s="1149"/>
      <c r="F198" s="1149"/>
      <c r="G198" s="1149"/>
      <c r="H198" s="1149"/>
      <c r="I198" s="1149"/>
      <c r="J198" s="1149"/>
      <c r="K198" s="1149"/>
    </row>
    <row r="199" spans="2:11" s="299" customFormat="1" ht="13.2">
      <c r="B199"/>
      <c r="C199" s="1149"/>
      <c r="D199" s="1149"/>
      <c r="E199" s="1149"/>
      <c r="F199" s="1149"/>
      <c r="G199" s="1149"/>
      <c r="H199" s="1149"/>
      <c r="I199" s="1149"/>
      <c r="J199" s="1149"/>
      <c r="K199" s="1149"/>
    </row>
    <row r="200" spans="2:11" s="299" customFormat="1" ht="13.2">
      <c r="B200" s="1149"/>
      <c r="C200" s="1149"/>
      <c r="D200" s="1149"/>
      <c r="E200" s="1149"/>
      <c r="F200" s="1149"/>
      <c r="G200" s="1149"/>
      <c r="H200" s="1149"/>
      <c r="I200" s="1149"/>
      <c r="J200" s="1149"/>
      <c r="K200" s="1149"/>
    </row>
    <row r="201" spans="2:11" s="299" customFormat="1" ht="13.2">
      <c r="B201" s="1149"/>
      <c r="C201" s="1149"/>
      <c r="D201" s="1149"/>
      <c r="E201" s="1149"/>
      <c r="F201" s="1149"/>
      <c r="G201" s="1149"/>
      <c r="H201" s="1149"/>
      <c r="I201" s="1149"/>
      <c r="J201" s="1149"/>
      <c r="K201" s="1149"/>
    </row>
    <row r="202" spans="2:11" s="299" customFormat="1" ht="13.2">
      <c r="B202" s="1149"/>
      <c r="C202" s="1149"/>
      <c r="D202" s="1149"/>
      <c r="E202" s="1149"/>
      <c r="F202" s="1149"/>
      <c r="G202" s="1149"/>
      <c r="H202" s="1149"/>
      <c r="I202" s="1149"/>
      <c r="J202" s="1149"/>
      <c r="K202" s="1149"/>
    </row>
    <row r="203" spans="2:11" s="299" customFormat="1" ht="13.2">
      <c r="B203"/>
      <c r="C203" s="1149"/>
      <c r="D203" s="1149"/>
      <c r="E203" s="1149"/>
      <c r="F203" s="1149"/>
      <c r="G203" s="1149"/>
      <c r="H203" s="1149"/>
      <c r="I203" s="1149"/>
      <c r="J203" s="1149"/>
      <c r="K203" s="1149"/>
    </row>
    <row r="204" spans="2:11" s="299" customFormat="1" ht="13.2">
      <c r="B204" s="1149"/>
      <c r="C204" s="1149"/>
      <c r="D204" s="1149"/>
      <c r="E204" s="1149"/>
      <c r="F204" s="1149"/>
      <c r="G204" s="1149"/>
      <c r="H204" s="1149"/>
      <c r="I204" s="1149"/>
      <c r="J204" s="1149"/>
      <c r="K204" s="1149"/>
    </row>
    <row r="205" spans="2:11" s="299" customFormat="1" ht="13.2">
      <c r="B205" s="1155"/>
      <c r="C205" s="1155"/>
      <c r="D205" s="1155"/>
      <c r="E205" s="1155"/>
      <c r="F205" s="1155"/>
      <c r="G205" s="1155"/>
      <c r="H205" s="1155"/>
      <c r="I205" s="1155"/>
      <c r="J205" s="1155"/>
      <c r="K205" s="1155"/>
    </row>
    <row r="206" spans="2:11" s="299" customFormat="1" ht="13.2">
      <c r="B206" s="1155"/>
      <c r="C206" s="1155"/>
      <c r="D206" s="1155"/>
      <c r="E206" s="1155"/>
      <c r="F206" s="1155"/>
      <c r="G206" s="1155"/>
      <c r="H206" s="1155"/>
      <c r="I206" s="1155"/>
      <c r="J206" s="1155"/>
      <c r="K206" s="1155"/>
    </row>
    <row r="207" spans="2:11" s="299" customFormat="1" ht="13.2">
      <c r="B207" s="1147"/>
      <c r="C207" s="1147"/>
      <c r="D207" s="1147"/>
      <c r="E207" s="1147"/>
      <c r="F207" s="1147"/>
      <c r="G207" s="1147"/>
      <c r="H207" s="1147"/>
      <c r="I207" s="1147"/>
      <c r="J207" s="1147"/>
      <c r="K207" s="1147"/>
    </row>
    <row r="208" spans="2:11" s="299" customFormat="1" ht="13.2">
      <c r="B208" s="1147"/>
      <c r="C208" s="1147"/>
      <c r="D208" s="1147"/>
      <c r="E208" s="1147"/>
      <c r="F208" s="1147"/>
      <c r="G208" s="1147"/>
      <c r="H208" s="1147"/>
      <c r="I208" s="1147"/>
      <c r="J208" s="1147"/>
      <c r="K208" s="1147"/>
    </row>
    <row r="209" spans="2:11" s="299" customFormat="1" ht="13.2">
      <c r="B209" s="1147"/>
      <c r="C209" s="1147"/>
      <c r="D209" s="1147"/>
      <c r="E209" s="1147"/>
      <c r="F209" s="1147"/>
      <c r="G209" s="1180"/>
      <c r="H209" s="1180"/>
      <c r="I209" s="1147"/>
      <c r="J209" s="1147"/>
      <c r="K209" s="1147"/>
    </row>
    <row r="210" spans="2:11" s="299" customFormat="1" ht="13.2">
      <c r="B210" s="1147"/>
      <c r="C210" s="1147"/>
      <c r="D210" s="1147"/>
      <c r="E210" s="1147"/>
      <c r="F210" s="1147"/>
      <c r="G210" s="1147"/>
      <c r="H210" s="1147"/>
      <c r="I210" s="1147"/>
      <c r="J210" s="1147"/>
      <c r="K210" s="1147"/>
    </row>
    <row r="211" spans="2:11" s="299" customFormat="1" ht="13.2">
      <c r="B211" s="1147"/>
      <c r="C211" s="1147"/>
      <c r="D211" s="1147"/>
      <c r="E211" s="1147"/>
      <c r="F211" s="1147"/>
      <c r="G211" s="1147"/>
      <c r="H211" s="1147"/>
      <c r="I211" s="1147"/>
      <c r="J211" s="1147"/>
      <c r="K211" s="1147"/>
    </row>
    <row r="212" spans="2:11" s="299" customFormat="1" ht="13.2">
      <c r="B212" s="1147"/>
      <c r="C212" s="1147"/>
      <c r="D212" s="1147"/>
      <c r="E212" s="1147"/>
      <c r="F212" s="1147"/>
      <c r="G212" s="1147"/>
      <c r="H212" s="1147"/>
      <c r="I212" s="1147"/>
      <c r="J212" s="1147"/>
      <c r="K212" s="1147"/>
    </row>
    <row r="213" spans="7:8" s="299" customFormat="1" ht="13.2">
      <c r="G213" s="299" t="s">
        <v>447</v>
      </c>
      <c r="H213" s="1147"/>
    </row>
    <row r="214" s="299" customFormat="1" ht="13.2"/>
    <row r="215" spans="8:8" s="299" customFormat="1" ht="13.2">
      <c r="H215" s="316"/>
    </row>
    <row r="216" s="299" customFormat="1" ht="13.2"/>
    <row r="217" s="299" customFormat="1" ht="13.2"/>
    <row r="218" s="299" customFormat="1" ht="13.2"/>
    <row r="219" s="299" customFormat="1" ht="13.2"/>
    <row r="220" s="299" customFormat="1" ht="13.2"/>
    <row r="221" s="299" customFormat="1" ht="13.2"/>
    <row r="222" s="299" customFormat="1" ht="13.2"/>
    <row r="223" s="299" customFormat="1" ht="13.2"/>
    <row r="224" s="299" customFormat="1" ht="13.2"/>
    <row r="225" s="299" customFormat="1" ht="13.2"/>
    <row r="226" s="299" customFormat="1" ht="13.2"/>
    <row r="227" s="299" customFormat="1" ht="13.2"/>
    <row r="228" s="299" customFormat="1" ht="13.2"/>
    <row r="229" s="299" customFormat="1" ht="13.2"/>
    <row r="230" s="299" customFormat="1" ht="13.2"/>
    <row r="231" s="299" customFormat="1" ht="13.2"/>
    <row r="232" s="299" customFormat="1" ht="13.2"/>
    <row r="233" s="299" customFormat="1" ht="13.2"/>
    <row r="234" s="299" customFormat="1" ht="13.2"/>
    <row r="235" s="299" customFormat="1" ht="13.2"/>
    <row r="236" s="299" customFormat="1" ht="13.2"/>
    <row r="237" s="299" customFormat="1" ht="13.2"/>
    <row r="238" s="299" customFormat="1" ht="13.2"/>
    <row r="239" s="299" customFormat="1" ht="13.2"/>
    <row r="240" s="299" customFormat="1" ht="13.2"/>
    <row r="241" s="299" customFormat="1" ht="13.2"/>
    <row r="242" s="299" customFormat="1" ht="13.2"/>
    <row r="243" s="299" customFormat="1" ht="13.2"/>
    <row r="244" s="299" customFormat="1" ht="13.2"/>
    <row r="245" s="299" customFormat="1" ht="13.2"/>
    <row r="246" s="299" customFormat="1" ht="13.2"/>
    <row r="247" s="299" customFormat="1" ht="13.2"/>
    <row r="248" s="299" customFormat="1" ht="13.2"/>
    <row r="249" s="299" customFormat="1" ht="13.2"/>
    <row r="250" s="299" customFormat="1" ht="13.2"/>
    <row r="251" s="299" customFormat="1" ht="13.2"/>
    <row r="252" s="299" customFormat="1" ht="13.2"/>
    <row r="253" s="299" customFormat="1" ht="13.2"/>
    <row r="254" s="299" customFormat="1" ht="13.2"/>
    <row r="255" s="299" customFormat="1" ht="13.2"/>
    <row r="256" s="299" customFormat="1" ht="13.2"/>
    <row r="257" s="299" customFormat="1" ht="13.2"/>
    <row r="258" s="299" customFormat="1" ht="13.2"/>
    <row r="259" s="299" customFormat="1" ht="13.2"/>
    <row r="260" s="299" customFormat="1" ht="13.2"/>
    <row r="261" s="299" customFormat="1" ht="13.2"/>
    <row r="262" s="299" customFormat="1" ht="13.2"/>
    <row r="263" s="299" customFormat="1" ht="13.2"/>
    <row r="264" s="299" customFormat="1" ht="13.2"/>
    <row r="265" s="299" customFormat="1" ht="13.2"/>
    <row r="266" s="299" customFormat="1" ht="13.2"/>
    <row r="267" s="299" customFormat="1" ht="13.2"/>
    <row r="268" s="299" customFormat="1" ht="13.2"/>
    <row r="269" s="299" customFormat="1" ht="13.2"/>
    <row r="270" s="299" customFormat="1" ht="13.2"/>
    <row r="271" s="299" customFormat="1" ht="13.2"/>
    <row r="272" s="299" customFormat="1" ht="13.2"/>
    <row r="273" s="299" customFormat="1" ht="13.2"/>
    <row r="274" s="299" customFormat="1" ht="13.2"/>
    <row r="275" s="299" customFormat="1" ht="13.2"/>
    <row r="276" s="299" customFormat="1" ht="13.2"/>
    <row r="277" s="299" customFormat="1" ht="13.2"/>
    <row r="278" s="299" customFormat="1" ht="13.2"/>
    <row r="279" s="299" customFormat="1" ht="13.2"/>
    <row r="280" s="299" customFormat="1" ht="13.2"/>
    <row r="281" s="299" customFormat="1" ht="13.2"/>
    <row r="282" s="299" customFormat="1" ht="13.2"/>
    <row r="283" s="299" customFormat="1" ht="13.2"/>
    <row r="284" s="299" customFormat="1" ht="13.2"/>
    <row r="285" s="299" customFormat="1" ht="13.2"/>
    <row r="286" s="299" customFormat="1" ht="13.2"/>
    <row r="287" s="299" customFormat="1" ht="13.2"/>
    <row r="288" s="299" customFormat="1" ht="13.2"/>
    <row r="289" s="299" customFormat="1" ht="13.2"/>
    <row r="290" s="299" customFormat="1" ht="13.2"/>
    <row r="291" s="299" customFormat="1" ht="13.2"/>
    <row r="292" s="299" customFormat="1" ht="13.2"/>
    <row r="293" s="299" customFormat="1" ht="13.2"/>
    <row r="294" s="299" customFormat="1" ht="13.2"/>
    <row r="295" s="299" customFormat="1" ht="13.2"/>
    <row r="296" s="299" customFormat="1" ht="13.2"/>
    <row r="297" s="299" customFormat="1" ht="13.2"/>
    <row r="298" s="299" customFormat="1" ht="13.2"/>
    <row r="299" s="299" customFormat="1" ht="13.2"/>
    <row r="300" s="299" customFormat="1" ht="13.2"/>
    <row r="301" s="299" customFormat="1" ht="13.2"/>
    <row r="302" s="299" customFormat="1" ht="13.2"/>
    <row r="303" s="299" customFormat="1" ht="13.2"/>
    <row r="304" s="299" customFormat="1" ht="13.2"/>
    <row r="305" s="299" customFormat="1" ht="13.2"/>
    <row r="306" s="299" customFormat="1" ht="13.2"/>
    <row r="307" s="299" customFormat="1" ht="13.2"/>
    <row r="308" s="299" customFormat="1" ht="13.2"/>
    <row r="309" s="299" customFormat="1" ht="13.2"/>
    <row r="310" s="299" customFormat="1" ht="13.2"/>
    <row r="311" s="299" customFormat="1" ht="13.2"/>
    <row r="312" s="299" customFormat="1" ht="13.2"/>
    <row r="313" s="299" customFormat="1" ht="13.2"/>
    <row r="314" s="299" customFormat="1" ht="13.2"/>
    <row r="315" s="299" customFormat="1" ht="13.2"/>
    <row r="316" s="299" customFormat="1" ht="13.2"/>
    <row r="317" s="299" customFormat="1" ht="13.2"/>
    <row r="318" s="299" customFormat="1" ht="13.2"/>
    <row r="319" s="299" customFormat="1" ht="13.2"/>
    <row r="320" s="299" customFormat="1" ht="13.2"/>
    <row r="321" s="299" customFormat="1" ht="13.2"/>
    <row r="322" s="299" customFormat="1" ht="13.2"/>
    <row r="323" s="299" customFormat="1" ht="13.2"/>
    <row r="324" s="299" customFormat="1" ht="13.2"/>
    <row r="325" s="299" customFormat="1" ht="13.2"/>
    <row r="326" s="299" customFormat="1" ht="13.2"/>
    <row r="327" s="299" customFormat="1" ht="13.2"/>
    <row r="328" s="299" customFormat="1" ht="13.2"/>
    <row r="329" s="299" customFormat="1" ht="13.2"/>
    <row r="330" s="299" customFormat="1" ht="13.2"/>
    <row r="331" s="299" customFormat="1" ht="13.2"/>
    <row r="332" s="299" customFormat="1" ht="13.2"/>
    <row r="333" s="299" customFormat="1" ht="13.2"/>
    <row r="334" s="299" customFormat="1" ht="13.2"/>
    <row r="335" s="299" customFormat="1" ht="13.2"/>
    <row r="336" s="299" customFormat="1" ht="13.2"/>
    <row r="337" s="299" customFormat="1" ht="13.2"/>
    <row r="338" s="299" customFormat="1" ht="13.2"/>
    <row r="339" s="299" customFormat="1" ht="13.2"/>
    <row r="340" s="299" customFormat="1" ht="13.2"/>
    <row r="341" s="299" customFormat="1" ht="13.2"/>
    <row r="342" s="299" customFormat="1" ht="13.2"/>
    <row r="343" s="299" customFormat="1" ht="13.2"/>
    <row r="344" s="299" customFormat="1" ht="13.2"/>
    <row r="345" s="299" customFormat="1" ht="13.2"/>
    <row r="346" s="299" customFormat="1" ht="13.2"/>
    <row r="347" s="299" customFormat="1" ht="13.2"/>
    <row r="348" s="299" customFormat="1" ht="13.2"/>
    <row r="349" s="299" customFormat="1" ht="13.2"/>
    <row r="350" s="299" customFormat="1" ht="13.2"/>
    <row r="351" s="299" customFormat="1" ht="13.2"/>
    <row r="352" s="299" customFormat="1" ht="13.2"/>
    <row r="353" s="299" customFormat="1" ht="13.2"/>
    <row r="354" s="299" customFormat="1" ht="13.2"/>
    <row r="355" s="299" customFormat="1" ht="13.2"/>
    <row r="356" s="299" customFormat="1" ht="13.2"/>
    <row r="357" s="299" customFormat="1" ht="13.2"/>
    <row r="358" s="299" customFormat="1" ht="13.2"/>
    <row r="359" s="299" customFormat="1" ht="13.2"/>
    <row r="360" s="299" customFormat="1" ht="13.2"/>
    <row r="361" s="299" customFormat="1" ht="13.2"/>
    <row r="362" s="299" customFormat="1" ht="13.2"/>
    <row r="363" s="299" customFormat="1" ht="13.2"/>
    <row r="364" s="299" customFormat="1" ht="13.2"/>
    <row r="365" s="299" customFormat="1" ht="13.2"/>
    <row r="366" s="299" customFormat="1" ht="13.2"/>
    <row r="367" s="299" customFormat="1" ht="13.2"/>
    <row r="368" s="299" customFormat="1" ht="13.2"/>
    <row r="369" s="299" customFormat="1" ht="13.2"/>
    <row r="370" s="299" customFormat="1" ht="13.2"/>
    <row r="371" s="299" customFormat="1" ht="13.2"/>
    <row r="372" s="299" customFormat="1" ht="13.2"/>
    <row r="373" s="299" customFormat="1" ht="13.2"/>
    <row r="374" s="299" customFormat="1" ht="13.2"/>
    <row r="375" s="299" customFormat="1" ht="13.2"/>
    <row r="376" s="299" customFormat="1" ht="13.2"/>
    <row r="377" s="299" customFormat="1" ht="13.2"/>
    <row r="378" s="299" customFormat="1" ht="13.2"/>
    <row r="379" s="299" customFormat="1" ht="13.2"/>
    <row r="380" s="299" customFormat="1" ht="13.2"/>
    <row r="381" s="299" customFormat="1" ht="13.2"/>
    <row r="382" s="299" customFormat="1" ht="13.2"/>
    <row r="383" s="299" customFormat="1" ht="13.2"/>
    <row r="384" s="299" customFormat="1" ht="13.2"/>
    <row r="385" s="299" customFormat="1" ht="13.2"/>
    <row r="386" s="299" customFormat="1" ht="13.2"/>
    <row r="387" s="299" customFormat="1" ht="13.2"/>
    <row r="388" s="299" customFormat="1" ht="13.2"/>
    <row r="389" s="299" customFormat="1" ht="13.2"/>
    <row r="390" s="299" customFormat="1" ht="13.2"/>
    <row r="391" s="299" customFormat="1" ht="13.2"/>
    <row r="392" s="299" customFormat="1" ht="13.2"/>
    <row r="393" s="299" customFormat="1" ht="13.2"/>
    <row r="394" s="299" customFormat="1" ht="13.2"/>
    <row r="395" s="299" customFormat="1" ht="13.2"/>
    <row r="396" s="299" customFormat="1" ht="13.2"/>
    <row r="397" s="299" customFormat="1" ht="13.2"/>
    <row r="398" s="299" customFormat="1" ht="13.2"/>
    <row r="399" s="299" customFormat="1" ht="13.2"/>
    <row r="400" s="299" customFormat="1" ht="13.2"/>
    <row r="401" s="299" customFormat="1" ht="13.2"/>
    <row r="402" s="299" customFormat="1" ht="13.2"/>
    <row r="403" s="299" customFormat="1" ht="13.2"/>
    <row r="404" s="299" customFormat="1" ht="13.2"/>
    <row r="405" s="299" customFormat="1" ht="13.2"/>
    <row r="406" s="299" customFormat="1" ht="13.2"/>
    <row r="407" s="299" customFormat="1" ht="13.2"/>
    <row r="408" s="299" customFormat="1" ht="13.2"/>
    <row r="409" s="299" customFormat="1" ht="13.2"/>
    <row r="410" s="299" customFormat="1" ht="13.2"/>
    <row r="411" s="299" customFormat="1" ht="13.2"/>
    <row r="412" s="299" customFormat="1" ht="13.2"/>
    <row r="413" s="299" customFormat="1" ht="13.2"/>
    <row r="414" s="299" customFormat="1" ht="13.2"/>
    <row r="415" s="299" customFormat="1" ht="13.2"/>
    <row r="416" s="299" customFormat="1" ht="13.2"/>
    <row r="417" s="299" customFormat="1" ht="13.2"/>
    <row r="418" s="299" customFormat="1" ht="13.2"/>
    <row r="419" s="299" customFormat="1" ht="13.2"/>
    <row r="420" s="299" customFormat="1" ht="13.2"/>
    <row r="421" s="299" customFormat="1" ht="13.2"/>
    <row r="422" s="299" customFormat="1" ht="13.2"/>
    <row r="423" s="299" customFormat="1" ht="13.2"/>
    <row r="424" s="299" customFormat="1" ht="13.2"/>
    <row r="425" s="299" customFormat="1" ht="13.2"/>
    <row r="426" s="299" customFormat="1" ht="13.2"/>
    <row r="427" s="299" customFormat="1" ht="13.2"/>
    <row r="428" s="299" customFormat="1" ht="13.2"/>
    <row r="429" s="299" customFormat="1" ht="13.2"/>
    <row r="430" s="299" customFormat="1" ht="13.2"/>
    <row r="431" s="299" customFormat="1" ht="13.2"/>
    <row r="432" s="299" customFormat="1" ht="13.2"/>
    <row r="433" s="299" customFormat="1" ht="13.2"/>
    <row r="434" s="299" customFormat="1" ht="13.2"/>
    <row r="435" s="299" customFormat="1" ht="13.2"/>
    <row r="436" s="299" customFormat="1" ht="13.2"/>
    <row r="437" s="299" customFormat="1" ht="13.2"/>
    <row r="438" s="299" customFormat="1" ht="13.2"/>
    <row r="439" s="299" customFormat="1" ht="13.2"/>
    <row r="440" s="299" customFormat="1" ht="13.2"/>
    <row r="441" s="299" customFormat="1" ht="13.2"/>
    <row r="442" s="299" customFormat="1" ht="13.2"/>
    <row r="443" s="299" customFormat="1" ht="13.2"/>
    <row r="444" s="299" customFormat="1" ht="13.2"/>
    <row r="445" s="299" customFormat="1" ht="13.2"/>
    <row r="446" s="299" customFormat="1" ht="13.2"/>
    <row r="447" s="299" customFormat="1" ht="13.2"/>
    <row r="448" s="299" customFormat="1" ht="13.2"/>
    <row r="449" s="299" customFormat="1" ht="13.2"/>
    <row r="450" s="299" customFormat="1" ht="13.2"/>
    <row r="451" s="299" customFormat="1" ht="13.2"/>
    <row r="452" s="299" customFormat="1" ht="13.2"/>
    <row r="453" s="299" customFormat="1" ht="13.2"/>
    <row r="454" s="299" customFormat="1" ht="13.2"/>
    <row r="455" s="299" customFormat="1" ht="13.2"/>
    <row r="456" s="299" customFormat="1" ht="13.2"/>
    <row r="457" s="299" customFormat="1" ht="13.2"/>
    <row r="458" s="299" customFormat="1" ht="13.2"/>
    <row r="459" s="299" customFormat="1" ht="13.2"/>
    <row r="460" s="299" customFormat="1" ht="13.2"/>
    <row r="461" s="299" customFormat="1" ht="13.2"/>
    <row r="462" s="299" customFormat="1" ht="13.2"/>
    <row r="463" s="299" customFormat="1" ht="13.2"/>
    <row r="464" s="299" customFormat="1" ht="13.2"/>
    <row r="465" s="299" customFormat="1" ht="13.2"/>
    <row r="466" s="299" customFormat="1" ht="13.2"/>
    <row r="467" s="299" customFormat="1" ht="13.2"/>
    <row r="468" s="299" customFormat="1" ht="13.2"/>
    <row r="469" s="299" customFormat="1" ht="13.2"/>
    <row r="470" s="299" customFormat="1" ht="13.2"/>
    <row r="471" s="299" customFormat="1" ht="13.2"/>
    <row r="472" s="299" customFormat="1" ht="13.2"/>
    <row r="473" s="299" customFormat="1" ht="13.2"/>
    <row r="474" s="299" customFormat="1" ht="13.2"/>
    <row r="475" s="299" customFormat="1" ht="13.2"/>
    <row r="476" s="299" customFormat="1" ht="13.2"/>
    <row r="477" s="299" customFormat="1" ht="13.2"/>
    <row r="478" s="299" customFormat="1" ht="13.2"/>
    <row r="479" s="299" customFormat="1" ht="13.2"/>
    <row r="480" s="299" customFormat="1" ht="13.2"/>
    <row r="481" s="299" customFormat="1" ht="13.2"/>
    <row r="482" s="299" customFormat="1" ht="13.2"/>
    <row r="483" s="299" customFormat="1" ht="13.2"/>
    <row r="484" s="299" customFormat="1" ht="13.2"/>
    <row r="485" s="299" customFormat="1" ht="13.2"/>
    <row r="486" s="299" customFormat="1" ht="13.2"/>
    <row r="487" s="299" customFormat="1" ht="13.2"/>
    <row r="488" s="299" customFormat="1" ht="13.2"/>
    <row r="489" s="299" customFormat="1" ht="13.2"/>
    <row r="490" s="299" customFormat="1" ht="13.2"/>
    <row r="491" s="299" customFormat="1" ht="13.2"/>
    <row r="492" s="299" customFormat="1" ht="13.2"/>
    <row r="493" s="299" customFormat="1" ht="13.2"/>
    <row r="494" s="299" customFormat="1" ht="13.2"/>
    <row r="495" s="299" customFormat="1" ht="13.2"/>
    <row r="496" s="299" customFormat="1" ht="13.2"/>
    <row r="497" s="299" customFormat="1" ht="13.2"/>
    <row r="498" s="299" customFormat="1" ht="13.2"/>
    <row r="499" s="299" customFormat="1" ht="13.2"/>
    <row r="500" s="299" customFormat="1" ht="13.2"/>
    <row r="501" s="299" customFormat="1" ht="13.2"/>
    <row r="502" s="299" customFormat="1" ht="13.2"/>
    <row r="503" s="299" customFormat="1" ht="13.2"/>
    <row r="504" s="299" customFormat="1" ht="13.2"/>
    <row r="505" s="299" customFormat="1" ht="13.2"/>
    <row r="506" s="299" customFormat="1" ht="13.2"/>
    <row r="507" s="299" customFormat="1" ht="13.2"/>
    <row r="508" s="299" customFormat="1" ht="13.2"/>
    <row r="509" s="299" customFormat="1" ht="13.2"/>
    <row r="510" s="299" customFormat="1" ht="13.2"/>
    <row r="511" s="299" customFormat="1" ht="13.2"/>
    <row r="512" s="299" customFormat="1" ht="13.2"/>
    <row r="513" s="299" customFormat="1" ht="13.2"/>
    <row r="514" s="299" customFormat="1" ht="13.2"/>
    <row r="515" s="299" customFormat="1" ht="13.2"/>
    <row r="516" s="299" customFormat="1" ht="13.2"/>
    <row r="517" s="299" customFormat="1" ht="13.2"/>
    <row r="518" s="299" customFormat="1" ht="13.2"/>
    <row r="519" s="299" customFormat="1" ht="13.2"/>
    <row r="520" s="299" customFormat="1" ht="13.2"/>
    <row r="521" s="299" customFormat="1" ht="13.2"/>
    <row r="522" s="299" customFormat="1" ht="13.2"/>
    <row r="523" s="299" customFormat="1" ht="13.2"/>
    <row r="524" s="299" customFormat="1" ht="13.2"/>
    <row r="525" s="299" customFormat="1" ht="13.2"/>
    <row r="526" s="299" customFormat="1" ht="13.2"/>
    <row r="527" s="299" customFormat="1" ht="13.2"/>
    <row r="528" s="299" customFormat="1" ht="13.2"/>
    <row r="529" s="299" customFormat="1" ht="13.2"/>
    <row r="530" s="299" customFormat="1" ht="13.2"/>
    <row r="531" s="299" customFormat="1" ht="13.2"/>
    <row r="532" s="299" customFormat="1" ht="13.2"/>
    <row r="533" s="299" customFormat="1" ht="13.2"/>
    <row r="534" s="299" customFormat="1" ht="13.2"/>
    <row r="535" s="299" customFormat="1" ht="13.2"/>
    <row r="536" s="299" customFormat="1" ht="13.2"/>
    <row r="537" s="299" customFormat="1" ht="13.2"/>
    <row r="538" s="299" customFormat="1" ht="13.2"/>
    <row r="539" s="299" customFormat="1" ht="13.2"/>
    <row r="540" s="299" customFormat="1" ht="13.2"/>
    <row r="541" s="299" customFormat="1" ht="13.2"/>
    <row r="542" s="299" customFormat="1" ht="13.2"/>
    <row r="543" s="299" customFormat="1" ht="13.2"/>
    <row r="544" s="299" customFormat="1" ht="13.2"/>
    <row r="545" s="299" customFormat="1" ht="13.2"/>
    <row r="546" s="299" customFormat="1" ht="13.2"/>
    <row r="547" s="299" customFormat="1" ht="13.2"/>
    <row r="548" s="299" customFormat="1" ht="13.2"/>
    <row r="549" s="299" customFormat="1" ht="13.2"/>
    <row r="550" s="299" customFormat="1" ht="13.2"/>
    <row r="551" s="299" customFormat="1" ht="13.2"/>
    <row r="552" s="299" customFormat="1" ht="13.2"/>
    <row r="553" s="299" customFormat="1" ht="13.2"/>
    <row r="554" s="299" customFormat="1" ht="13.2"/>
    <row r="555" s="299" customFormat="1" ht="13.2"/>
    <row r="556" s="299" customFormat="1" ht="13.2"/>
    <row r="557" s="299" customFormat="1" ht="13.2"/>
    <row r="558" s="299" customFormat="1" ht="13.2"/>
    <row r="559" s="299" customFormat="1" ht="13.2"/>
    <row r="560" s="299" customFormat="1" ht="13.2"/>
    <row r="561" s="299" customFormat="1" ht="13.2"/>
    <row r="562" s="299" customFormat="1" ht="13.2"/>
    <row r="563" s="299" customFormat="1" ht="13.2"/>
    <row r="564" s="299" customFormat="1" ht="13.2"/>
    <row r="565" s="299" customFormat="1" ht="13.2"/>
    <row r="566" s="299" customFormat="1" ht="13.2"/>
    <row r="567" s="299" customFormat="1" ht="13.2"/>
    <row r="568" s="299" customFormat="1" ht="13.2"/>
    <row r="569" s="299" customFormat="1" ht="13.2"/>
    <row r="570" s="299" customFormat="1" ht="13.2"/>
    <row r="571" s="299" customFormat="1" ht="13.2"/>
    <row r="572" s="299" customFormat="1" ht="13.2"/>
    <row r="573" s="299" customFormat="1" ht="13.2"/>
    <row r="574" s="299" customFormat="1" ht="13.2"/>
    <row r="575" s="299" customFormat="1" ht="13.2"/>
    <row r="576" s="299" customFormat="1" ht="13.2"/>
    <row r="577" s="299" customFormat="1" ht="13.2"/>
    <row r="578" s="299" customFormat="1" ht="13.2"/>
    <row r="579" s="299" customFormat="1" ht="13.2"/>
    <row r="580" s="299" customFormat="1" ht="13.2"/>
    <row r="581" s="299" customFormat="1" ht="13.2"/>
    <row r="582" s="299" customFormat="1" ht="13.2"/>
    <row r="583" s="299" customFormat="1" ht="13.2"/>
    <row r="584" s="299" customFormat="1" ht="13.2"/>
    <row r="585" s="299" customFormat="1" ht="13.2"/>
    <row r="586" s="299" customFormat="1" ht="13.2"/>
    <row r="587" s="299" customFormat="1" ht="13.2"/>
    <row r="588" s="299" customFormat="1" ht="13.2"/>
    <row r="589" s="299" customFormat="1" ht="13.2"/>
    <row r="590" s="299" customFormat="1" ht="13.2"/>
    <row r="591" s="299" customFormat="1" ht="13.2"/>
    <row r="592" s="299" customFormat="1" ht="13.2"/>
    <row r="593" s="299" customFormat="1" ht="13.2"/>
    <row r="594" s="299" customFormat="1" ht="13.2"/>
    <row r="595" s="299" customFormat="1" ht="13.2"/>
    <row r="596" s="299" customFormat="1" ht="13.2"/>
    <row r="597" s="299" customFormat="1" ht="13.2"/>
    <row r="598" s="299" customFormat="1" ht="13.2"/>
    <row r="599" s="299" customFormat="1" ht="13.2"/>
    <row r="600" s="299" customFormat="1" ht="13.2"/>
    <row r="601" s="299" customFormat="1" ht="13.2"/>
    <row r="602" s="299" customFormat="1" ht="13.2"/>
    <row r="603" s="299" customFormat="1" ht="13.2"/>
    <row r="604" s="299" customFormat="1" ht="13.2"/>
    <row r="605" s="299" customFormat="1" ht="13.2"/>
    <row r="606" s="299" customFormat="1" ht="13.2"/>
    <row r="607" s="299" customFormat="1" ht="13.2"/>
    <row r="608" s="299" customFormat="1" ht="13.2"/>
    <row r="609" s="299" customFormat="1" ht="13.2"/>
    <row r="610" s="299" customFormat="1" ht="13.2"/>
    <row r="611" s="299" customFormat="1" ht="13.2"/>
    <row r="612" s="299" customFormat="1" ht="13.2"/>
    <row r="613" s="299" customFormat="1" ht="13.2"/>
    <row r="614" s="299" customFormat="1" ht="13.2"/>
    <row r="615" s="299" customFormat="1" ht="13.2"/>
    <row r="616" s="299" customFormat="1" ht="13.2"/>
    <row r="617" s="299" customFormat="1" ht="13.2"/>
    <row r="618" s="299" customFormat="1" ht="13.2"/>
    <row r="619" s="299" customFormat="1" ht="13.2"/>
    <row r="620" s="299" customFormat="1" ht="13.2"/>
    <row r="621" s="299" customFormat="1" ht="13.2"/>
    <row r="622" s="299" customFormat="1" ht="13.2"/>
    <row r="623" s="299" customFormat="1" ht="13.2"/>
    <row r="624" s="299" customFormat="1" ht="13.2"/>
    <row r="625" s="299" customFormat="1" ht="13.2"/>
    <row r="626" s="299" customFormat="1" ht="13.2"/>
    <row r="627" s="299" customFormat="1" ht="13.2"/>
    <row r="628" s="299" customFormat="1" ht="13.2"/>
    <row r="629" s="299" customFormat="1" ht="13.2"/>
    <row r="630" s="299" customFormat="1" ht="13.2"/>
    <row r="631" s="299" customFormat="1" ht="13.2"/>
    <row r="632" s="299" customFormat="1" ht="13.2"/>
    <row r="633" s="299" customFormat="1" ht="13.2"/>
    <row r="634" s="299" customFormat="1" ht="13.2"/>
    <row r="635" s="299" customFormat="1" ht="13.2"/>
    <row r="636" s="299" customFormat="1" ht="13.2"/>
    <row r="637" s="299" customFormat="1" ht="13.2"/>
    <row r="638" s="299" customFormat="1" ht="13.2"/>
    <row r="639" s="299" customFormat="1" ht="13.2"/>
    <row r="640" s="299" customFormat="1" ht="13.2"/>
    <row r="641" s="299" customFormat="1" ht="13.2"/>
    <row r="642" s="299" customFormat="1" ht="13.2"/>
    <row r="643" s="299" customFormat="1" ht="13.2"/>
    <row r="644" s="299" customFormat="1" ht="13.2"/>
    <row r="645" s="299" customFormat="1" ht="13.2"/>
    <row r="646" s="299" customFormat="1" ht="13.2"/>
    <row r="647" s="299" customFormat="1" ht="13.2"/>
    <row r="648" s="299" customFormat="1" ht="13.2"/>
    <row r="649" s="299" customFormat="1" ht="13.2"/>
    <row r="650" s="299" customFormat="1" ht="13.2"/>
    <row r="651" s="299" customFormat="1" ht="13.2"/>
    <row r="652" s="299" customFormat="1" ht="13.2"/>
    <row r="653" s="299" customFormat="1" ht="13.2"/>
    <row r="654" s="299" customFormat="1" ht="13.2"/>
    <row r="655" s="299" customFormat="1" ht="13.2"/>
    <row r="656" s="299" customFormat="1" ht="13.2"/>
    <row r="657" s="299" customFormat="1" ht="13.2"/>
    <row r="658" s="299" customFormat="1" ht="13.2"/>
    <row r="659" s="299" customFormat="1" ht="13.2"/>
    <row r="660" s="299" customFormat="1" ht="13.2"/>
    <row r="661" s="299" customFormat="1" ht="13.2"/>
    <row r="662" s="299" customFormat="1" ht="13.2"/>
    <row r="663" s="299" customFormat="1" ht="13.2"/>
    <row r="664" s="299" customFormat="1" ht="13.2"/>
    <row r="665" s="299" customFormat="1" ht="13.2"/>
    <row r="666" s="299" customFormat="1" ht="13.2"/>
    <row r="667" s="299" customFormat="1" ht="13.2"/>
    <row r="668" s="299" customFormat="1" ht="13.2"/>
    <row r="669" s="299" customFormat="1" ht="13.2"/>
    <row r="670" s="299" customFormat="1" ht="13.2"/>
    <row r="671" s="299" customFormat="1" ht="13.2"/>
    <row r="672" s="299" customFormat="1" ht="13.2"/>
    <row r="673" s="299" customFormat="1" ht="13.2"/>
    <row r="674" s="299" customFormat="1" ht="13.2"/>
    <row r="675" s="299" customFormat="1" ht="13.2"/>
    <row r="676" s="299" customFormat="1" ht="13.2"/>
    <row r="677" s="299" customFormat="1" ht="13.2"/>
    <row r="678" s="299" customFormat="1" ht="13.2"/>
    <row r="679" s="299" customFormat="1" ht="13.2"/>
    <row r="680" s="299" customFormat="1" ht="13.2"/>
    <row r="681" s="299" customFormat="1" ht="13.2"/>
    <row r="682" s="299" customFormat="1" ht="13.2"/>
    <row r="683" s="299" customFormat="1" ht="13.2"/>
    <row r="684" s="299" customFormat="1" ht="13.2"/>
    <row r="685" s="299" customFormat="1" ht="13.2"/>
    <row r="686" s="299" customFormat="1" ht="13.2"/>
    <row r="687" s="299" customFormat="1" ht="13.2"/>
    <row r="688" s="299" customFormat="1" ht="13.2"/>
    <row r="689" s="299" customFormat="1" ht="13.2"/>
    <row r="690" s="299" customFormat="1" ht="13.2"/>
    <row r="691" s="299" customFormat="1" ht="13.2"/>
    <row r="692" s="299" customFormat="1" ht="13.2"/>
    <row r="693" s="299" customFormat="1" ht="13.2"/>
    <row r="694" s="299" customFormat="1" ht="13.2"/>
    <row r="695" s="299" customFormat="1" ht="13.2"/>
    <row r="696" s="299" customFormat="1" ht="13.2"/>
    <row r="697" s="299" customFormat="1" ht="13.2"/>
    <row r="698" s="299" customFormat="1" ht="13.2"/>
    <row r="699" s="299" customFormat="1" ht="13.2"/>
    <row r="700" s="299" customFormat="1" ht="13.2"/>
    <row r="701" s="299" customFormat="1" ht="13.2"/>
    <row r="702" s="299" customFormat="1" ht="13.2"/>
    <row r="703" s="299" customFormat="1" ht="13.2"/>
    <row r="704" s="299" customFormat="1" ht="13.2"/>
    <row r="705" s="299" customFormat="1" ht="13.2"/>
    <row r="706" s="299" customFormat="1" ht="13.2"/>
    <row r="707" s="299" customFormat="1" ht="13.2"/>
    <row r="708" s="299" customFormat="1" ht="13.2"/>
    <row r="709" s="299" customFormat="1" ht="13.2"/>
    <row r="710" s="299" customFormat="1" ht="13.2"/>
    <row r="711" s="299" customFormat="1" ht="13.2"/>
    <row r="712" s="299" customFormat="1" ht="13.2"/>
    <row r="713" s="299" customFormat="1" ht="13.2"/>
    <row r="714" s="299" customFormat="1" ht="13.2"/>
    <row r="715" s="299" customFormat="1" ht="13.2"/>
    <row r="716" s="299" customFormat="1" ht="13.2"/>
    <row r="717" s="299" customFormat="1" ht="13.2"/>
    <row r="718" s="299" customFormat="1" ht="13.2"/>
    <row r="719" s="299" customFormat="1" ht="13.2"/>
    <row r="720" s="299" customFormat="1" ht="13.2"/>
    <row r="721" s="299" customFormat="1" ht="13.2"/>
    <row r="722" s="299" customFormat="1" ht="13.2"/>
    <row r="723" s="299" customFormat="1" ht="13.2"/>
    <row r="724" s="299" customFormat="1" ht="13.2"/>
    <row r="725" s="299" customFormat="1" ht="13.2"/>
    <row r="726" s="299" customFormat="1" ht="13.2"/>
    <row r="727" s="299" customFormat="1" ht="13.2"/>
    <row r="728" s="299" customFormat="1" ht="13.2"/>
    <row r="729" s="299" customFormat="1" ht="13.2"/>
    <row r="730" s="299" customFormat="1" ht="13.2"/>
    <row r="731" s="299" customFormat="1" ht="13.2"/>
    <row r="732" s="299" customFormat="1" ht="13.2"/>
    <row r="733" s="299" customFormat="1" ht="13.2"/>
    <row r="734" s="299" customFormat="1" ht="13.2"/>
    <row r="735" s="299" customFormat="1" ht="13.2"/>
    <row r="736" s="299" customFormat="1" ht="13.2"/>
    <row r="737" s="299" customFormat="1" ht="13.2"/>
    <row r="738" s="299" customFormat="1" ht="13.2"/>
    <row r="739" s="299" customFormat="1" ht="13.2"/>
    <row r="740" s="299" customFormat="1" ht="13.2"/>
    <row r="741" s="299" customFormat="1" ht="13.2"/>
    <row r="742" s="299" customFormat="1" ht="13.2"/>
    <row r="743" s="299" customFormat="1" ht="13.2"/>
    <row r="744" s="299" customFormat="1" ht="13.2"/>
    <row r="745" s="299" customFormat="1" ht="13.2"/>
    <row r="746" s="299" customFormat="1" ht="13.2"/>
    <row r="747" s="299" customFormat="1" ht="13.2"/>
    <row r="748" s="299" customFormat="1" ht="13.2"/>
    <row r="749" s="299" customFormat="1" ht="13.2"/>
    <row r="750" s="299" customFormat="1" ht="13.2"/>
    <row r="751" s="299" customFormat="1" ht="13.2"/>
    <row r="752" s="299" customFormat="1" ht="13.2"/>
    <row r="753" s="299" customFormat="1" ht="13.2"/>
    <row r="754" s="299" customFormat="1" ht="13.2"/>
    <row r="755" s="299" customFormat="1" ht="13.2"/>
    <row r="756" s="299" customFormat="1" ht="13.2"/>
    <row r="757" s="299" customFormat="1" ht="13.2"/>
    <row r="758" s="299" customFormat="1" ht="13.2"/>
    <row r="759" s="299" customFormat="1" ht="13.2"/>
    <row r="760" s="299" customFormat="1" ht="13.2"/>
    <row r="761" s="299" customFormat="1" ht="13.2"/>
    <row r="762" s="299" customFormat="1" ht="13.2"/>
    <row r="763" s="299" customFormat="1" ht="13.2"/>
    <row r="764" s="299" customFormat="1" ht="13.2"/>
    <row r="765" s="299" customFormat="1" ht="13.2"/>
    <row r="766" s="299" customFormat="1" ht="13.2"/>
    <row r="767" s="299" customFormat="1" ht="13.2"/>
    <row r="768" s="299" customFormat="1" ht="13.2"/>
    <row r="769" s="299" customFormat="1" ht="13.2"/>
    <row r="770" s="299" customFormat="1" ht="13.2"/>
    <row r="771" s="299" customFormat="1" ht="13.2"/>
    <row r="772" s="299" customFormat="1" ht="13.2"/>
    <row r="773" s="299" customFormat="1" ht="13.2"/>
    <row r="774" s="299" customFormat="1" ht="13.2"/>
    <row r="775" s="299" customFormat="1" ht="13.2"/>
    <row r="776" s="299" customFormat="1" ht="13.2"/>
    <row r="777" s="299" customFormat="1" ht="13.2"/>
    <row r="778" s="299" customFormat="1" ht="13.2"/>
    <row r="779" s="299" customFormat="1" ht="13.2"/>
    <row r="780" s="299" customFormat="1" ht="13.2"/>
    <row r="781" s="299" customFormat="1" ht="13.2"/>
    <row r="782" s="299" customFormat="1" ht="13.2"/>
    <row r="783" s="299" customFormat="1" ht="13.2"/>
    <row r="784" s="299" customFormat="1" ht="13.2"/>
    <row r="785" s="299" customFormat="1" ht="13.2"/>
    <row r="786" s="299" customFormat="1" ht="13.2"/>
    <row r="787" s="299" customFormat="1" ht="13.2"/>
    <row r="788" s="299" customFormat="1" ht="13.2"/>
    <row r="789" s="299" customFormat="1" ht="13.2"/>
    <row r="790" s="299" customFormat="1" ht="13.2"/>
    <row r="791" s="299" customFormat="1" ht="13.2"/>
    <row r="792" s="299" customFormat="1" ht="13.2"/>
    <row r="793" s="299" customFormat="1" ht="13.2"/>
    <row r="794" s="299" customFormat="1" ht="13.2"/>
    <row r="795" s="299" customFormat="1" ht="13.2"/>
    <row r="796" s="299" customFormat="1" ht="13.2"/>
    <row r="797" s="299" customFormat="1" ht="13.2"/>
    <row r="798" s="299" customFormat="1" ht="13.2"/>
    <row r="799" s="299" customFormat="1" ht="13.2"/>
    <row r="800" s="299" customFormat="1" ht="13.2"/>
    <row r="801" s="299" customFormat="1" ht="13.2"/>
    <row r="802" s="299" customFormat="1" ht="13.2"/>
    <row r="803" s="299" customFormat="1" ht="13.2"/>
    <row r="804" s="299" customFormat="1" ht="13.2"/>
    <row r="805" s="299" customFormat="1" ht="13.2"/>
    <row r="806" s="299" customFormat="1" ht="13.2"/>
    <row r="807" s="299" customFormat="1" ht="13.2"/>
    <row r="808" s="299" customFormat="1" ht="13.2"/>
    <row r="809" s="299" customFormat="1" ht="13.2"/>
    <row r="810" s="299" customFormat="1" ht="13.2"/>
    <row r="811" s="299" customFormat="1" ht="13.2"/>
    <row r="812" s="299" customFormat="1" ht="13.2"/>
    <row r="813" s="299" customFormat="1" ht="13.2"/>
    <row r="814" s="299" customFormat="1" ht="13.2"/>
    <row r="815" s="299" customFormat="1" ht="13.2"/>
    <row r="816" s="299" customFormat="1" ht="13.2"/>
    <row r="817" s="299" customFormat="1" ht="13.2"/>
    <row r="818" s="299" customFormat="1" ht="13.2"/>
    <row r="819" s="299" customFormat="1" ht="13.2"/>
    <row r="820" s="299" customFormat="1" ht="13.2"/>
    <row r="821" s="299" customFormat="1" ht="13.2"/>
    <row r="822" s="299" customFormat="1" ht="13.2"/>
    <row r="823" s="299" customFormat="1" ht="13.2"/>
    <row r="824" s="299" customFormat="1" ht="13.2"/>
    <row r="825" s="299" customFormat="1" ht="13.2"/>
    <row r="826" s="299" customFormat="1" ht="13.2"/>
    <row r="827" s="299" customFormat="1" ht="13.2"/>
    <row r="828" s="299" customFormat="1" ht="13.2"/>
    <row r="829" s="299" customFormat="1" ht="13.2"/>
    <row r="830" s="299" customFormat="1" ht="13.2"/>
    <row r="831" s="299" customFormat="1" ht="13.2"/>
    <row r="832" s="299" customFormat="1" ht="13.2"/>
    <row r="833" s="299" customFormat="1" ht="13.2"/>
    <row r="834" s="299" customFormat="1" ht="13.2"/>
    <row r="835" s="299" customFormat="1" ht="13.2"/>
    <row r="836" s="299" customFormat="1" ht="13.2"/>
    <row r="837" s="299" customFormat="1" ht="13.2"/>
    <row r="838" s="299" customFormat="1" ht="13.2"/>
    <row r="839" s="299" customFormat="1" ht="13.2"/>
    <row r="840" s="299" customFormat="1" ht="13.2"/>
    <row r="841" s="299" customFormat="1" ht="13.2"/>
    <row r="842" s="299" customFormat="1" ht="13.2"/>
    <row r="843" s="299" customFormat="1" ht="13.2"/>
    <row r="844" s="299" customFormat="1" ht="13.2"/>
    <row r="845" s="299" customFormat="1" ht="13.2"/>
    <row r="846" s="299" customFormat="1" ht="13.2"/>
    <row r="847" s="299" customFormat="1" ht="13.2"/>
    <row r="848" s="299" customFormat="1" ht="13.2"/>
    <row r="849" s="299" customFormat="1" ht="13.2"/>
    <row r="850" s="299" customFormat="1" ht="13.2"/>
    <row r="851" s="299" customFormat="1" ht="13.2"/>
    <row r="852" s="299" customFormat="1" ht="13.2"/>
    <row r="853" s="299" customFormat="1" ht="13.2"/>
    <row r="854" s="299" customFormat="1" ht="13.2"/>
    <row r="855" s="299" customFormat="1" ht="13.2"/>
    <row r="856" s="299" customFormat="1" ht="13.2"/>
    <row r="857" s="299" customFormat="1" ht="13.2"/>
    <row r="858" s="299" customFormat="1" ht="13.2"/>
    <row r="859" s="299" customFormat="1" ht="13.2"/>
    <row r="860" s="299" customFormat="1" ht="13.2"/>
    <row r="861" s="299" customFormat="1" ht="13.2"/>
    <row r="862" s="299" customFormat="1" ht="13.2"/>
    <row r="863" s="299" customFormat="1" ht="13.2"/>
    <row r="864" s="299" customFormat="1" ht="13.2"/>
    <row r="865" s="299" customFormat="1" ht="13.2"/>
    <row r="866" s="299" customFormat="1" ht="13.2"/>
    <row r="867" s="299" customFormat="1" ht="13.2"/>
    <row r="868" s="299" customFormat="1" ht="13.2"/>
    <row r="869" s="299" customFormat="1" ht="13.2"/>
    <row r="870" s="299" customFormat="1" ht="13.2"/>
    <row r="871" s="299" customFormat="1" ht="13.2"/>
    <row r="872" s="299" customFormat="1" ht="13.2"/>
    <row r="873" s="299" customFormat="1" ht="13.2"/>
    <row r="874" s="299" customFormat="1" ht="13.2"/>
    <row r="875" s="299" customFormat="1" ht="13.2"/>
    <row r="876" s="299" customFormat="1" ht="13.2"/>
    <row r="877" s="299" customFormat="1" ht="13.2"/>
    <row r="878" s="299" customFormat="1" ht="13.2"/>
    <row r="879" s="299" customFormat="1" ht="13.2"/>
    <row r="880" s="299" customFormat="1" ht="13.2"/>
    <row r="881" s="299" customFormat="1" ht="13.2"/>
    <row r="882" s="299" customFormat="1" ht="13.2"/>
    <row r="883" s="299" customFormat="1" ht="13.2"/>
    <row r="884" s="299" customFormat="1" ht="13.2"/>
    <row r="885" s="299" customFormat="1" ht="13.2"/>
    <row r="886" s="299" customFormat="1" ht="13.2"/>
    <row r="887" s="299" customFormat="1" ht="13.2"/>
    <row r="888" s="299" customFormat="1" ht="13.2"/>
    <row r="889" s="299" customFormat="1" ht="13.2"/>
    <row r="890" s="299" customFormat="1" ht="13.2"/>
    <row r="891" s="299" customFormat="1" ht="13.2"/>
    <row r="892" s="299" customFormat="1" ht="13.2"/>
    <row r="893" s="299" customFormat="1" ht="13.2"/>
    <row r="894" s="299" customFormat="1" ht="13.2"/>
    <row r="895" s="299" customFormat="1" ht="13.2"/>
    <row r="896" s="299" customFormat="1" ht="13.2"/>
    <row r="897" s="299" customFormat="1" ht="13.2"/>
    <row r="898" s="299" customFormat="1" ht="13.2"/>
    <row r="899" s="299" customFormat="1" ht="13.2"/>
    <row r="900" s="299" customFormat="1" ht="13.2"/>
    <row r="901" s="299" customFormat="1" ht="13.2"/>
    <row r="902" s="299" customFormat="1" ht="13.2"/>
    <row r="903" s="299" customFormat="1" ht="13.2"/>
    <row r="904" s="299" customFormat="1" ht="13.2"/>
    <row r="905" s="299" customFormat="1" ht="13.2"/>
    <row r="906" s="299" customFormat="1" ht="13.2"/>
    <row r="907" s="299" customFormat="1" ht="13.2"/>
    <row r="908" s="299" customFormat="1" ht="13.2"/>
    <row r="909" s="299" customFormat="1" ht="13.2"/>
    <row r="910" s="299" customFormat="1" ht="13.2"/>
    <row r="911" s="299" customFormat="1" ht="13.2"/>
    <row r="912" s="299" customFormat="1" ht="13.2"/>
    <row r="913" s="299" customFormat="1" ht="13.2"/>
    <row r="914" s="299" customFormat="1" ht="13.2"/>
    <row r="915" s="299" customFormat="1" ht="13.2"/>
    <row r="916" s="299" customFormat="1" ht="13.2"/>
    <row r="917" s="299" customFormat="1" ht="13.2"/>
    <row r="918" s="299" customFormat="1" ht="13.2"/>
    <row r="919" s="299" customFormat="1" ht="13.2"/>
    <row r="920" s="299" customFormat="1" ht="13.2"/>
    <row r="921" s="299" customFormat="1" ht="13.2"/>
    <row r="922" s="299" customFormat="1" ht="13.2"/>
    <row r="923" s="299" customFormat="1" ht="13.2"/>
    <row r="924" s="299" customFormat="1" ht="13.2"/>
    <row r="925" s="299" customFormat="1" ht="13.2"/>
    <row r="926" s="299" customFormat="1" ht="13.2"/>
    <row r="927" s="299" customFormat="1" ht="13.2"/>
    <row r="928" s="299" customFormat="1" ht="13.2"/>
    <row r="929" s="299" customFormat="1" ht="13.2"/>
    <row r="930" s="299" customFormat="1" ht="13.2"/>
    <row r="931" s="299" customFormat="1" ht="13.2"/>
    <row r="932" s="299" customFormat="1" ht="13.2"/>
    <row r="933" s="299" customFormat="1" ht="13.2"/>
    <row r="934" s="299" customFormat="1" ht="13.2"/>
    <row r="935" s="299" customFormat="1" ht="13.2"/>
    <row r="936" s="299" customFormat="1" ht="13.2"/>
    <row r="937" s="299" customFormat="1" ht="13.2"/>
    <row r="938" s="299" customFormat="1" ht="13.2"/>
    <row r="939" s="299" customFormat="1" ht="13.2"/>
    <row r="940" s="299" customFormat="1" ht="13.2"/>
    <row r="941" s="299" customFormat="1" ht="13.2"/>
    <row r="942" s="299" customFormat="1" ht="13.2"/>
    <row r="943" s="299" customFormat="1" ht="13.2"/>
    <row r="944" s="299" customFormat="1" ht="13.2"/>
    <row r="945" s="299" customFormat="1" ht="13.2"/>
    <row r="946" s="299" customFormat="1" ht="13.2"/>
    <row r="947" s="299" customFormat="1" ht="13.2"/>
    <row r="948" s="299" customFormat="1" ht="13.2"/>
    <row r="949" s="299" customFormat="1" ht="13.2"/>
    <row r="950" s="299" customFormat="1" ht="13.2"/>
    <row r="951" s="299" customFormat="1" ht="13.2"/>
    <row r="952" s="299" customFormat="1" ht="13.2"/>
    <row r="953" s="299" customFormat="1" ht="13.2"/>
    <row r="954" s="299" customFormat="1" ht="13.2"/>
    <row r="955" s="299" customFormat="1" ht="13.2"/>
    <row r="956" s="299" customFormat="1" ht="13.2"/>
    <row r="957" s="299" customFormat="1" ht="13.2"/>
    <row r="958" s="299" customFormat="1" ht="13.2"/>
    <row r="959" s="299" customFormat="1" ht="13.2"/>
    <row r="960" s="299" customFormat="1" ht="13.2"/>
    <row r="961" s="299" customFormat="1" ht="13.2"/>
    <row r="962" s="299" customFormat="1" ht="13.2"/>
    <row r="963" s="299" customFormat="1" ht="13.2"/>
    <row r="964" s="299" customFormat="1" ht="13.2"/>
    <row r="965" s="299" customFormat="1" ht="13.2"/>
    <row r="966" s="299" customFormat="1" ht="13.2"/>
    <row r="967" s="299" customFormat="1" ht="13.2"/>
    <row r="968" s="299" customFormat="1" ht="13.2"/>
    <row r="969" s="299" customFormat="1" ht="13.2"/>
    <row r="970" s="299" customFormat="1" ht="13.2"/>
    <row r="971" s="299" customFormat="1" ht="13.2"/>
    <row r="972" s="299" customFormat="1" ht="13.2"/>
    <row r="973" s="299" customFormat="1" ht="13.2"/>
    <row r="974" s="299" customFormat="1" ht="13.2"/>
    <row r="975" s="299" customFormat="1" ht="13.2"/>
    <row r="976" s="299" customFormat="1" ht="13.2"/>
    <row r="977" s="299" customFormat="1" ht="13.2"/>
    <row r="978" s="299" customFormat="1" ht="13.2"/>
    <row r="979" s="299" customFormat="1" ht="13.2"/>
    <row r="980" s="299" customFormat="1" ht="13.2"/>
    <row r="981" s="299" customFormat="1" ht="13.2"/>
    <row r="982" s="299" customFormat="1" ht="13.2"/>
    <row r="983" s="299" customFormat="1" ht="13.2"/>
    <row r="984" s="299" customFormat="1" ht="13.2"/>
    <row r="985" s="299" customFormat="1" ht="13.2"/>
    <row r="986" s="299" customFormat="1" ht="13.2"/>
    <row r="987" s="299" customFormat="1" ht="13.2"/>
    <row r="988" s="299" customFormat="1" ht="13.2"/>
    <row r="989" s="299" customFormat="1" ht="13.2"/>
    <row r="990" s="299" customFormat="1" ht="13.2"/>
    <row r="991" s="299" customFormat="1" ht="13.2"/>
    <row r="992" s="299" customFormat="1" ht="13.2"/>
    <row r="993" s="299" customFormat="1" ht="13.2"/>
    <row r="994" s="299" customFormat="1" ht="13.2"/>
    <row r="995" s="299" customFormat="1" ht="13.2"/>
    <row r="996" s="299" customFormat="1" ht="13.2"/>
    <row r="997" s="299" customFormat="1" ht="13.2"/>
    <row r="998" s="299" customFormat="1" ht="13.2"/>
    <row r="999" s="299" customFormat="1" ht="13.2"/>
    <row r="1000" s="299" customFormat="1" ht="13.2"/>
    <row r="1001" s="299" customFormat="1" ht="13.2"/>
    <row r="1002" s="299" customFormat="1" ht="13.2"/>
    <row r="1003" s="299" customFormat="1" ht="13.2"/>
    <row r="1004" s="299" customFormat="1" ht="13.2"/>
    <row r="1005" s="299" customFormat="1" ht="13.2"/>
    <row r="1006" s="299" customFormat="1" ht="13.2"/>
    <row r="1007" s="299" customFormat="1" ht="13.2"/>
    <row r="1008" s="299" customFormat="1" ht="13.2"/>
    <row r="1009" s="299" customFormat="1" ht="13.2"/>
    <row r="1010" s="299" customFormat="1" ht="13.2"/>
    <row r="1011" s="299" customFormat="1" ht="13.2"/>
    <row r="1012" s="299" customFormat="1" ht="13.2"/>
    <row r="1013" s="299" customFormat="1" ht="13.2"/>
    <row r="1014" s="299" customFormat="1" ht="13.2"/>
    <row r="1015" s="299" customFormat="1" ht="13.2"/>
    <row r="1016" s="299" customFormat="1" ht="13.2"/>
    <row r="1017" s="299" customFormat="1" ht="13.2"/>
    <row r="1018" s="299" customFormat="1" ht="13.2"/>
    <row r="1019" s="299" customFormat="1" ht="13.2"/>
    <row r="1020" s="299" customFormat="1" ht="13.2"/>
    <row r="1021" s="299" customFormat="1" ht="13.2"/>
    <row r="1022" s="299" customFormat="1" ht="13.2"/>
    <row r="1023" s="299" customFormat="1" ht="13.2"/>
    <row r="1024" s="299" customFormat="1" ht="13.2"/>
    <row r="1025" s="299" customFormat="1" ht="13.2"/>
    <row r="1026" s="299" customFormat="1" ht="13.2"/>
    <row r="1027" s="299" customFormat="1" ht="13.2"/>
    <row r="1028" s="299" customFormat="1" ht="13.2"/>
    <row r="1029" s="299" customFormat="1" ht="13.2"/>
    <row r="1030" s="299" customFormat="1" ht="13.2"/>
    <row r="1031" s="299" customFormat="1" ht="13.2"/>
    <row r="1032" s="299" customFormat="1" ht="13.2"/>
    <row r="1033" s="299" customFormat="1" ht="13.2"/>
    <row r="1034" s="299" customFormat="1" ht="13.2"/>
    <row r="1035" s="299" customFormat="1" ht="13.2"/>
    <row r="1036" s="299" customFormat="1" ht="13.2"/>
    <row r="1037" s="299" customFormat="1" ht="13.2"/>
    <row r="1038" s="299" customFormat="1" ht="13.2"/>
    <row r="1039" s="299" customFormat="1" ht="13.2"/>
    <row r="1040" s="299" customFormat="1" ht="13.2"/>
    <row r="1041" s="299" customFormat="1" ht="13.2"/>
    <row r="1042" s="299" customFormat="1" ht="13.2"/>
    <row r="1043" s="299" customFormat="1" ht="13.2"/>
    <row r="1044" s="299" customFormat="1" ht="13.2"/>
    <row r="1045" s="299" customFormat="1" ht="13.2"/>
    <row r="1046" s="299" customFormat="1" ht="13.2"/>
    <row r="1047" s="299" customFormat="1" ht="13.2"/>
    <row r="1048" s="299" customFormat="1" ht="13.2"/>
    <row r="1049" s="299" customFormat="1" ht="13.2"/>
    <row r="1050" s="299" customFormat="1" ht="13.2"/>
    <row r="1051" s="299" customFormat="1" ht="13.2"/>
    <row r="1052" s="299" customFormat="1" ht="13.2"/>
    <row r="1053" s="299" customFormat="1" ht="13.2"/>
    <row r="1054" s="299" customFormat="1" ht="13.2"/>
    <row r="1055" s="299" customFormat="1" ht="13.2"/>
    <row r="1056" s="299" customFormat="1" ht="13.2"/>
    <row r="1057" s="299" customFormat="1" ht="13.2"/>
    <row r="1058" s="299" customFormat="1" ht="13.2"/>
    <row r="1059" s="299" customFormat="1" ht="13.2"/>
    <row r="1060" s="299" customFormat="1" ht="13.2"/>
    <row r="1061" s="299" customFormat="1" ht="13.2"/>
    <row r="1062" s="299" customFormat="1" ht="13.2"/>
    <row r="1063" s="299" customFormat="1" ht="13.2"/>
    <row r="1064" s="299" customFormat="1" ht="13.2"/>
    <row r="1065" s="299" customFormat="1" ht="13.2"/>
    <row r="1066" s="299" customFormat="1" ht="13.2"/>
    <row r="1067" s="299" customFormat="1" ht="13.2"/>
    <row r="1068" s="299" customFormat="1" ht="13.2"/>
    <row r="1069" s="299" customFormat="1" ht="13.2"/>
    <row r="1070" s="299" customFormat="1" ht="13.2"/>
    <row r="1071" s="299" customFormat="1" ht="13.2"/>
    <row r="1072" s="299" customFormat="1" ht="13.2"/>
    <row r="1073" s="299" customFormat="1" ht="13.2"/>
    <row r="1074" s="299" customFormat="1" ht="13.2"/>
    <row r="1075" s="299" customFormat="1" ht="13.2"/>
    <row r="1076" s="299" customFormat="1" ht="13.2"/>
    <row r="1077" s="299" customFormat="1" ht="13.2"/>
    <row r="1078" s="299" customFormat="1" ht="13.2"/>
    <row r="1079" s="299" customFormat="1" ht="13.2"/>
    <row r="1080" s="299" customFormat="1" ht="13.2"/>
    <row r="1081" s="299" customFormat="1" ht="13.2"/>
    <row r="1082" s="299" customFormat="1" ht="13.2"/>
    <row r="1083" s="299" customFormat="1" ht="13.2"/>
    <row r="1084" s="299" customFormat="1" ht="13.2"/>
    <row r="1085" s="299" customFormat="1" ht="13.2"/>
    <row r="1086" s="299" customFormat="1" ht="13.2"/>
    <row r="1087" s="299" customFormat="1" ht="13.2"/>
    <row r="1088" s="299" customFormat="1" ht="13.2"/>
    <row r="1089" s="299" customFormat="1" ht="13.2"/>
    <row r="1090" s="299" customFormat="1" ht="13.2"/>
    <row r="1091" s="299" customFormat="1" ht="13.2"/>
    <row r="1092" s="299" customFormat="1" ht="13.2"/>
    <row r="1093" s="299" customFormat="1" ht="13.2"/>
    <row r="1094" s="299" customFormat="1" ht="13.2"/>
    <row r="1095" s="299" customFormat="1" ht="13.2"/>
    <row r="1096" s="299" customFormat="1" ht="13.2"/>
    <row r="1097" s="299" customFormat="1" ht="13.2"/>
    <row r="1098" s="299" customFormat="1" ht="13.2"/>
    <row r="1099" s="299" customFormat="1" ht="13.2"/>
    <row r="1100" s="299" customFormat="1" ht="13.2"/>
    <row r="1101" s="299" customFormat="1" ht="13.2"/>
    <row r="1102" s="299" customFormat="1" ht="13.2"/>
    <row r="1103" s="299" customFormat="1" ht="13.2"/>
    <row r="1104" s="299" customFormat="1" ht="13.2"/>
    <row r="1105" s="299" customFormat="1" ht="13.2"/>
    <row r="1106" s="299" customFormat="1" ht="13.2"/>
    <row r="1107" s="299" customFormat="1" ht="13.2"/>
    <row r="1108" s="299" customFormat="1" ht="13.2"/>
    <row r="1109" s="299" customFormat="1" ht="13.2"/>
    <row r="1110" s="299" customFormat="1" ht="13.2"/>
    <row r="1111" s="299" customFormat="1" ht="13.2"/>
    <row r="1112" s="299" customFormat="1" ht="13.2"/>
    <row r="1113" s="299" customFormat="1" ht="13.2"/>
    <row r="1114" s="299" customFormat="1" ht="13.2"/>
    <row r="1115" s="299" customFormat="1" ht="13.2"/>
    <row r="1116" s="299" customFormat="1" ht="13.2"/>
    <row r="1117" s="299" customFormat="1" ht="13.2"/>
    <row r="1118" s="299" customFormat="1" ht="13.2"/>
    <row r="1119" s="299" customFormat="1" ht="13.2"/>
    <row r="1120" s="299" customFormat="1" ht="13.2"/>
    <row r="1121" s="299" customFormat="1" ht="13.2"/>
    <row r="1122" s="299" customFormat="1" ht="13.2"/>
    <row r="1123" s="299" customFormat="1" ht="13.2"/>
    <row r="1124" s="299" customFormat="1" ht="13.2"/>
    <row r="1125" s="299" customFormat="1" ht="13.2"/>
    <row r="1126" s="299" customFormat="1" ht="13.2"/>
    <row r="1127" s="299" customFormat="1" ht="13.2"/>
    <row r="1128" s="299" customFormat="1" ht="13.2"/>
    <row r="1129" s="299" customFormat="1" ht="13.2"/>
    <row r="1130" s="299" customFormat="1" ht="13.2"/>
    <row r="1131" s="299" customFormat="1" ht="13.2"/>
    <row r="1132" s="299" customFormat="1" ht="13.2"/>
    <row r="1133" s="299" customFormat="1" ht="13.2"/>
    <row r="1134" s="299" customFormat="1" ht="13.2"/>
    <row r="1135" s="299" customFormat="1" ht="13.2"/>
    <row r="1136" s="299" customFormat="1" ht="13.2"/>
    <row r="1137" s="299" customFormat="1" ht="13.2"/>
    <row r="1138" s="299" customFormat="1" ht="13.2"/>
    <row r="1139" s="299" customFormat="1" ht="13.2"/>
    <row r="1140" s="299" customFormat="1" ht="13.2"/>
    <row r="1141" s="299" customFormat="1" ht="13.2"/>
    <row r="1142" s="299" customFormat="1" ht="13.2"/>
    <row r="1143" s="299" customFormat="1" ht="13.2"/>
    <row r="1144" s="299" customFormat="1" ht="13.2"/>
    <row r="1145" s="299" customFormat="1" ht="13.2"/>
    <row r="1146" s="299" customFormat="1" ht="13.2"/>
    <row r="1147" s="299" customFormat="1" ht="13.2"/>
    <row r="1148" s="299" customFormat="1" ht="13.2"/>
    <row r="1149" s="299" customFormat="1" ht="13.2"/>
    <row r="1150" s="299" customFormat="1" ht="13.2"/>
    <row r="1151" s="299" customFormat="1" ht="13.2"/>
    <row r="1152" s="299" customFormat="1" ht="13.2"/>
    <row r="1153" s="299" customFormat="1" ht="13.2"/>
    <row r="1154" s="299" customFormat="1" ht="13.2"/>
    <row r="1155" s="299" customFormat="1" ht="13.2"/>
    <row r="1156" s="299" customFormat="1" ht="13.2"/>
    <row r="1157" s="299" customFormat="1" ht="13.2"/>
    <row r="1158" s="299" customFormat="1" ht="13.2"/>
    <row r="1159" s="299" customFormat="1" ht="13.2"/>
    <row r="1160" s="299" customFormat="1" ht="13.2"/>
    <row r="1161" s="299" customFormat="1" ht="13.2"/>
    <row r="1162" s="299" customFormat="1" ht="13.2"/>
    <row r="1163" s="299" customFormat="1" ht="13.2"/>
    <row r="1164" s="299" customFormat="1" ht="13.2"/>
    <row r="1165" s="299" customFormat="1" ht="13.2"/>
    <row r="1166" s="299" customFormat="1" ht="13.2"/>
    <row r="1167" s="299" customFormat="1" ht="13.2"/>
    <row r="1168" s="299" customFormat="1" ht="13.2"/>
    <row r="1169" s="299" customFormat="1" ht="13.2"/>
    <row r="1170" s="299" customFormat="1" ht="13.2"/>
    <row r="1171" s="299" customFormat="1" ht="13.2"/>
    <row r="1172" s="299" customFormat="1" ht="13.2"/>
    <row r="1173" s="299" customFormat="1" ht="13.2"/>
    <row r="1174" s="299" customFormat="1" ht="13.2"/>
    <row r="1175" s="299" customFormat="1" ht="13.2"/>
    <row r="1176" s="299" customFormat="1" ht="13.2"/>
    <row r="1177" s="299" customFormat="1" ht="13.2"/>
    <row r="1178" s="299" customFormat="1" ht="13.2"/>
    <row r="1179" s="299" customFormat="1" ht="13.2"/>
    <row r="1180" s="299" customFormat="1" ht="13.2"/>
    <row r="1181" s="299" customFormat="1" ht="13.2"/>
    <row r="1182" s="299" customFormat="1" ht="13.2"/>
    <row r="1183" s="299" customFormat="1" ht="13.2"/>
    <row r="1184" s="299" customFormat="1" ht="13.2"/>
    <row r="1185" s="299" customFormat="1" ht="13.2"/>
    <row r="1186" s="299" customFormat="1" ht="13.2"/>
    <row r="1187" s="299" customFormat="1" ht="13.2"/>
    <row r="1188" s="299" customFormat="1" ht="13.2"/>
    <row r="1189" s="299" customFormat="1" ht="13.2"/>
    <row r="1190" s="299" customFormat="1" ht="13.2"/>
    <row r="1191" s="299" customFormat="1" ht="13.2"/>
    <row r="1192" s="299" customFormat="1" ht="13.2"/>
    <row r="1193" s="299" customFormat="1" ht="13.2"/>
    <row r="1194" s="299" customFormat="1" ht="13.2"/>
    <row r="1195" s="299" customFormat="1" ht="13.2"/>
    <row r="1196" s="299" customFormat="1" ht="13.2"/>
    <row r="1197" s="299" customFormat="1" ht="13.2"/>
    <row r="1198" s="299" customFormat="1" ht="13.2"/>
    <row r="1199" s="299" customFormat="1" ht="13.2"/>
    <row r="1200" s="299" customFormat="1" ht="13.2"/>
    <row r="1201" s="299" customFormat="1" ht="13.2"/>
    <row r="1202" s="299" customFormat="1" ht="13.2"/>
    <row r="1203" s="299" customFormat="1" ht="13.2"/>
    <row r="1204" s="299" customFormat="1" ht="13.2"/>
    <row r="1205" s="299" customFormat="1" ht="13.2"/>
    <row r="1206" s="299" customFormat="1" ht="13.2"/>
    <row r="1207" s="299" customFormat="1" ht="13.2"/>
    <row r="1208" s="299" customFormat="1" ht="13.2"/>
    <row r="1209" s="299" customFormat="1" ht="13.2"/>
    <row r="1210" s="299" customFormat="1" ht="13.2"/>
    <row r="1211" s="299" customFormat="1" ht="13.2"/>
    <row r="1212" s="299" customFormat="1" ht="13.2"/>
    <row r="1213" s="299" customFormat="1" ht="13.2"/>
    <row r="1214" s="299" customFormat="1" ht="13.2"/>
    <row r="1215" s="299" customFormat="1" ht="13.2"/>
    <row r="1216" s="299" customFormat="1" ht="13.2"/>
    <row r="1217" s="299" customFormat="1" ht="13.2"/>
    <row r="1218" s="299" customFormat="1" ht="13.2"/>
    <row r="1219" s="299" customFormat="1" ht="13.2"/>
    <row r="1220" s="299" customFormat="1" ht="13.2"/>
    <row r="1221" s="299" customFormat="1" ht="13.2"/>
    <row r="1222" s="299" customFormat="1" ht="13.2"/>
    <row r="1223" s="299" customFormat="1" ht="13.2"/>
    <row r="1224" s="299" customFormat="1" ht="13.2"/>
    <row r="1225" s="299" customFormat="1" ht="13.2"/>
    <row r="1226" s="299" customFormat="1" ht="13.2"/>
    <row r="1227" s="299" customFormat="1" ht="13.2"/>
    <row r="1228" s="299" customFormat="1" ht="13.2"/>
    <row r="1229" s="299" customFormat="1" ht="13.2"/>
    <row r="1230" s="299" customFormat="1" ht="13.2"/>
    <row r="1231" s="299" customFormat="1" ht="13.2"/>
    <row r="1232" s="299" customFormat="1" ht="13.2"/>
    <row r="1233" s="299" customFormat="1" ht="13.2"/>
    <row r="1234" s="299" customFormat="1" ht="13.2"/>
    <row r="1235" s="299" customFormat="1" ht="13.2"/>
    <row r="1236" s="299" customFormat="1" ht="13.2"/>
    <row r="1237" s="299" customFormat="1" ht="13.2"/>
    <row r="1238" s="299" customFormat="1" ht="13.2"/>
    <row r="1239" s="299" customFormat="1" ht="13.2"/>
    <row r="1240" s="299" customFormat="1" ht="13.2"/>
    <row r="1241" s="299" customFormat="1" ht="13.2"/>
    <row r="1242" s="299" customFormat="1" ht="13.2"/>
    <row r="1243" s="299" customFormat="1" ht="13.2"/>
    <row r="1244" s="299" customFormat="1" ht="13.2"/>
    <row r="1245" s="299" customFormat="1" ht="13.2"/>
    <row r="1246" s="299" customFormat="1" ht="13.2"/>
    <row r="1247" s="299" customFormat="1" ht="13.2"/>
    <row r="1248" s="299" customFormat="1" ht="13.2"/>
    <row r="1249" s="299" customFormat="1" ht="13.2"/>
    <row r="1250" s="299" customFormat="1" ht="13.2"/>
    <row r="1251" s="299" customFormat="1" ht="13.2"/>
    <row r="1252" s="299" customFormat="1" ht="13.2"/>
    <row r="1253" s="299" customFormat="1" ht="13.2"/>
    <row r="1254" s="299" customFormat="1" ht="13.2"/>
    <row r="1255" s="299" customFormat="1" ht="13.2"/>
    <row r="1256" s="299" customFormat="1" ht="13.2"/>
    <row r="1257" s="299" customFormat="1" ht="13.2"/>
    <row r="1258" s="299" customFormat="1" ht="13.2"/>
    <row r="1259" s="299" customFormat="1" ht="13.2"/>
    <row r="1260" s="299" customFormat="1" ht="13.2"/>
    <row r="1261" s="299" customFormat="1" ht="13.2"/>
    <row r="1262" s="299" customFormat="1" ht="13.2"/>
    <row r="1263" s="299" customFormat="1" ht="13.2"/>
    <row r="1264" s="299" customFormat="1" ht="13.2"/>
    <row r="1265" s="299" customFormat="1" ht="13.2"/>
    <row r="1266" s="299" customFormat="1" ht="13.2"/>
    <row r="1267" s="299" customFormat="1" ht="13.2"/>
    <row r="1268" s="299" customFormat="1" ht="13.2"/>
    <row r="1269" s="299" customFormat="1" ht="13.2"/>
    <row r="1270" s="299" customFormat="1" ht="13.2"/>
    <row r="1271" s="299" customFormat="1" ht="13.2"/>
    <row r="1272" s="299" customFormat="1" ht="13.2"/>
    <row r="1273" s="299" customFormat="1" ht="13.2"/>
    <row r="1274" s="299" customFormat="1" ht="13.2"/>
    <row r="1275" s="299" customFormat="1" ht="13.2"/>
    <row r="1276" s="299" customFormat="1" ht="13.2"/>
    <row r="1277" s="299" customFormat="1" ht="13.2"/>
    <row r="1278" s="299" customFormat="1" ht="13.2"/>
    <row r="1279" s="299" customFormat="1" ht="13.2"/>
    <row r="1280" s="299" customFormat="1" ht="13.2"/>
    <row r="1281" s="299" customFormat="1" ht="13.2"/>
    <row r="1282" s="299" customFormat="1" ht="13.2"/>
    <row r="1283" s="299" customFormat="1" ht="13.2"/>
    <row r="1284" s="299" customFormat="1" ht="13.2"/>
    <row r="1285" s="299" customFormat="1" ht="13.2"/>
    <row r="1286" s="299" customFormat="1" ht="13.2"/>
    <row r="1287" s="299" customFormat="1" ht="13.2"/>
    <row r="1288" s="299" customFormat="1" ht="13.2"/>
    <row r="1289" s="299" customFormat="1" ht="13.2"/>
    <row r="1290" s="299" customFormat="1" ht="13.2"/>
    <row r="1291" s="299" customFormat="1" ht="13.2"/>
    <row r="1292" s="299" customFormat="1" ht="13.2"/>
    <row r="1293" s="299" customFormat="1" ht="13.2"/>
    <row r="1294" s="299" customFormat="1" ht="13.2"/>
    <row r="1295" s="299" customFormat="1" ht="13.2"/>
    <row r="1296" s="299" customFormat="1" ht="13.2"/>
    <row r="1297" s="299" customFormat="1" ht="13.2"/>
    <row r="1298" s="299" customFormat="1" ht="13.2"/>
    <row r="1299" s="299" customFormat="1" ht="13.2"/>
    <row r="1300" s="299" customFormat="1" ht="13.2"/>
    <row r="1301" s="299" customFormat="1" ht="13.2"/>
    <row r="1302" s="299" customFormat="1" ht="13.2"/>
    <row r="1303" s="299" customFormat="1" ht="13.2"/>
    <row r="1304" s="299" customFormat="1" ht="13.2"/>
    <row r="1305" s="299" customFormat="1" ht="13.2"/>
    <row r="1306" s="299" customFormat="1" ht="13.2"/>
    <row r="1307" s="299" customFormat="1" ht="13.2"/>
    <row r="1308" s="299" customFormat="1" ht="13.2"/>
    <row r="1309" s="299" customFormat="1" ht="13.2"/>
    <row r="1310" s="299" customFormat="1" ht="13.2"/>
    <row r="1311" s="299" customFormat="1" ht="13.2"/>
    <row r="1312" s="299" customFormat="1" ht="13.2"/>
    <row r="1313" s="299" customFormat="1" ht="13.2"/>
    <row r="1314" s="299" customFormat="1" ht="13.2"/>
    <row r="1315" s="299" customFormat="1" ht="13.2"/>
    <row r="1316" s="299" customFormat="1" ht="13.2"/>
    <row r="1317" s="299" customFormat="1" ht="13.2"/>
    <row r="1318" s="299" customFormat="1" ht="13.2"/>
    <row r="1319" s="299" customFormat="1" ht="13.2"/>
    <row r="1320" s="299" customFormat="1" ht="13.2"/>
    <row r="1321" s="299" customFormat="1" ht="13.2"/>
    <row r="1322" s="299" customFormat="1" ht="13.2"/>
    <row r="1323" s="299" customFormat="1" ht="13.2"/>
    <row r="1324" s="299" customFormat="1" ht="13.2"/>
    <row r="1325" s="299" customFormat="1" ht="13.2"/>
    <row r="1326" s="299" customFormat="1" ht="13.2"/>
    <row r="1327" s="299" customFormat="1" ht="13.2"/>
    <row r="1328" s="299" customFormat="1" ht="13.2"/>
    <row r="1329" s="299" customFormat="1" ht="13.2"/>
    <row r="1330" s="299" customFormat="1" ht="13.2"/>
    <row r="1331" s="299" customFormat="1" ht="13.2"/>
    <row r="1332" s="299" customFormat="1" ht="13.2"/>
    <row r="1333" s="299" customFormat="1" ht="13.2"/>
    <row r="1334" s="299" customFormat="1" ht="13.2"/>
    <row r="1335" s="299" customFormat="1" ht="13.2"/>
    <row r="1336" s="299" customFormat="1" ht="13.2"/>
    <row r="1337" s="299" customFormat="1" ht="13.2"/>
    <row r="1338" s="299" customFormat="1" ht="13.2"/>
    <row r="1339" s="299" customFormat="1" ht="13.2"/>
    <row r="1340" s="299" customFormat="1" ht="13.2"/>
    <row r="1341" s="299" customFormat="1" ht="13.2"/>
    <row r="1342" s="299" customFormat="1" ht="13.2"/>
    <row r="1343" s="299" customFormat="1" ht="13.2"/>
    <row r="1344" s="299" customFormat="1" ht="13.2"/>
    <row r="1345" s="299" customFormat="1" ht="13.2"/>
    <row r="1346" s="299" customFormat="1" ht="13.2"/>
    <row r="1347" s="299" customFormat="1" ht="13.2"/>
    <row r="1348" s="299" customFormat="1" ht="13.2"/>
    <row r="1349" s="299" customFormat="1" ht="13.2"/>
    <row r="1350" s="299" customFormat="1" ht="13.2"/>
    <row r="1351" s="299" customFormat="1" ht="13.2"/>
    <row r="1352" s="299" customFormat="1" ht="13.2"/>
    <row r="1353" s="299" customFormat="1" ht="13.2"/>
    <row r="1354" s="299" customFormat="1" ht="13.2"/>
    <row r="1355" s="299" customFormat="1" ht="13.2"/>
    <row r="1356" s="299" customFormat="1" ht="13.2"/>
    <row r="1357" s="299" customFormat="1" ht="13.2"/>
    <row r="1358" s="299" customFormat="1" ht="13.2"/>
    <row r="1359" s="299" customFormat="1" ht="13.2"/>
    <row r="1360" s="299" customFormat="1" ht="13.2"/>
    <row r="1361" s="299" customFormat="1" ht="13.2"/>
    <row r="1362" s="299" customFormat="1" ht="13.2"/>
    <row r="1363" s="299" customFormat="1" ht="13.2"/>
    <row r="1364" s="299" customFormat="1" ht="13.2"/>
    <row r="1365" s="299" customFormat="1" ht="13.2"/>
    <row r="1366" s="299" customFormat="1" ht="13.2"/>
    <row r="1367" s="299" customFormat="1" ht="13.2"/>
    <row r="1368" s="299" customFormat="1" ht="13.2"/>
    <row r="1369" s="299" customFormat="1" ht="13.2"/>
    <row r="1370" s="299" customFormat="1" ht="13.2"/>
    <row r="1371" s="299" customFormat="1" ht="13.2"/>
    <row r="1372" s="299" customFormat="1" ht="13.2"/>
    <row r="1373" s="299" customFormat="1" ht="13.2"/>
    <row r="1374" s="299" customFormat="1" ht="13.2"/>
    <row r="1375" s="299" customFormat="1" ht="13.2"/>
    <row r="1376" s="299" customFormat="1" ht="13.2"/>
    <row r="1377" s="299" customFormat="1" ht="13.2"/>
    <row r="1378" s="299" customFormat="1" ht="13.2"/>
    <row r="1379" s="299" customFormat="1" ht="13.2"/>
    <row r="1380" s="299" customFormat="1" ht="13.2"/>
    <row r="1381" s="299" customFormat="1" ht="13.2"/>
    <row r="1382" s="299" customFormat="1" ht="13.2"/>
    <row r="1383" s="299" customFormat="1" ht="13.2"/>
    <row r="1384" s="299" customFormat="1" ht="13.2"/>
    <row r="1385" s="299" customFormat="1" ht="13.2"/>
    <row r="1386" s="299" customFormat="1" ht="13.2"/>
    <row r="1387" s="299" customFormat="1" ht="13.2"/>
    <row r="1388" s="299" customFormat="1" ht="13.2"/>
    <row r="1389" s="299" customFormat="1" ht="13.2"/>
    <row r="1390" s="299" customFormat="1" ht="13.2"/>
    <row r="1391" s="299" customFormat="1" ht="13.2"/>
    <row r="1392" s="299" customFormat="1" ht="13.2"/>
    <row r="1393" s="299" customFormat="1" ht="13.2"/>
    <row r="1394" s="299" customFormat="1" ht="13.2"/>
    <row r="1395" s="299" customFormat="1" ht="13.2"/>
    <row r="1396" s="299" customFormat="1" ht="13.2"/>
    <row r="1397" s="299" customFormat="1" ht="13.2"/>
    <row r="1398" s="299" customFormat="1" ht="13.2"/>
    <row r="1399" s="299" customFormat="1" ht="13.2"/>
    <row r="1400" s="299" customFormat="1" ht="13.2"/>
    <row r="1401" s="299" customFormat="1" ht="13.2"/>
    <row r="1402" s="299" customFormat="1" ht="13.2"/>
    <row r="1403" s="299" customFormat="1" ht="13.2"/>
    <row r="1404" s="299" customFormat="1" ht="13.2"/>
    <row r="1405" s="299" customFormat="1" ht="13.2"/>
    <row r="1406" s="299" customFormat="1" ht="13.2"/>
    <row r="1407" s="299" customFormat="1" ht="13.2"/>
    <row r="1408" s="299" customFormat="1" ht="13.2"/>
    <row r="1409" s="299" customFormat="1" ht="13.2"/>
    <row r="1410" s="299" customFormat="1" ht="13.2"/>
    <row r="1411" s="299" customFormat="1" ht="13.2"/>
    <row r="1412" s="299" customFormat="1" ht="13.2"/>
    <row r="1413" s="299" customFormat="1" ht="13.2"/>
    <row r="1414" s="299" customFormat="1" ht="13.2"/>
    <row r="1415" s="299" customFormat="1" ht="13.2"/>
    <row r="1416" s="299" customFormat="1" ht="13.2"/>
    <row r="1417" s="299" customFormat="1" ht="13.2"/>
    <row r="1418" s="299" customFormat="1" ht="13.2"/>
    <row r="1419" s="299" customFormat="1" ht="13.2"/>
    <row r="1420" s="299" customFormat="1" ht="13.2"/>
    <row r="1421" s="299" customFormat="1" ht="13.2"/>
    <row r="1422" s="299" customFormat="1" ht="13.2"/>
    <row r="1423" s="299" customFormat="1" ht="13.2"/>
    <row r="1424" s="299" customFormat="1" ht="13.2"/>
    <row r="1425" s="299" customFormat="1" ht="13.2"/>
    <row r="1426" s="299" customFormat="1" ht="13.2"/>
    <row r="1427" s="299" customFormat="1" ht="13.2"/>
    <row r="1428" s="299" customFormat="1" ht="13.2"/>
    <row r="1429" s="299" customFormat="1" ht="13.2"/>
    <row r="1430" s="299" customFormat="1" ht="13.2"/>
    <row r="1431" s="299" customFormat="1" ht="13.2"/>
    <row r="1432" s="299" customFormat="1" ht="13.2"/>
    <row r="1433" s="299" customFormat="1" ht="13.2"/>
    <row r="1434" s="299" customFormat="1" ht="13.2"/>
    <row r="1435" s="299" customFormat="1" ht="13.2"/>
    <row r="1436" s="299" customFormat="1" ht="13.2"/>
    <row r="1437" s="299" customFormat="1" ht="13.2"/>
    <row r="1438" s="299" customFormat="1" ht="13.2"/>
    <row r="1439" s="299" customFormat="1" ht="13.2"/>
    <row r="1440" s="299" customFormat="1" ht="13.2"/>
    <row r="1441" s="299" customFormat="1" ht="13.2"/>
    <row r="1442" s="299" customFormat="1" ht="13.2"/>
    <row r="1443" s="299" customFormat="1" ht="13.2"/>
    <row r="1444" s="299" customFormat="1" ht="13.2"/>
    <row r="1445" s="299" customFormat="1" ht="13.2"/>
    <row r="1446" s="299" customFormat="1" ht="13.2"/>
    <row r="1447" s="299" customFormat="1" ht="13.2"/>
    <row r="1448" s="299" customFormat="1" ht="13.2"/>
    <row r="1449" s="299" customFormat="1" ht="13.2"/>
    <row r="1450" s="299" customFormat="1" ht="13.2"/>
    <row r="1451" s="299" customFormat="1" ht="13.2"/>
    <row r="1452" s="299" customFormat="1" ht="13.2"/>
    <row r="1453" s="299" customFormat="1" ht="13.2"/>
    <row r="1454" s="299" customFormat="1" ht="13.2"/>
    <row r="1455" s="299" customFormat="1" ht="13.2"/>
    <row r="1456" s="299" customFormat="1" ht="13.2"/>
    <row r="1457" s="299" customFormat="1" ht="13.2"/>
    <row r="1458" s="299" customFormat="1" ht="13.2"/>
    <row r="1459" s="299" customFormat="1" ht="13.2"/>
    <row r="1460" s="299" customFormat="1" ht="13.2"/>
    <row r="1461" s="299" customFormat="1" ht="13.2"/>
    <row r="1462" s="299" customFormat="1" ht="13.2"/>
    <row r="1463" s="299" customFormat="1" ht="13.2"/>
    <row r="1464" s="299" customFormat="1" ht="13.2"/>
    <row r="1465" s="299" customFormat="1" ht="13.2"/>
    <row r="1466" s="299" customFormat="1" ht="13.2"/>
    <row r="1467" s="299" customFormat="1" ht="13.2"/>
    <row r="1468" s="299" customFormat="1" ht="13.2"/>
    <row r="1469" s="299" customFormat="1" ht="13.2"/>
    <row r="1470" s="299" customFormat="1" ht="13.2"/>
    <row r="1471" s="299" customFormat="1" ht="13.2"/>
    <row r="1472" s="299" customFormat="1" ht="13.2"/>
    <row r="1473" s="299" customFormat="1" ht="13.2"/>
    <row r="1474" s="299" customFormat="1" ht="13.2"/>
    <row r="1475" s="299" customFormat="1" ht="13.2"/>
    <row r="1476" s="299" customFormat="1" ht="13.2"/>
    <row r="1477" s="299" customFormat="1" ht="13.2"/>
    <row r="1478" s="299" customFormat="1" ht="13.2"/>
    <row r="1479" s="299" customFormat="1" ht="13.2"/>
    <row r="1480" s="299" customFormat="1" ht="13.2"/>
    <row r="1481" s="299" customFormat="1" ht="13.2"/>
    <row r="1482" s="299" customFormat="1" ht="13.2"/>
    <row r="1483" s="299" customFormat="1" ht="13.2"/>
    <row r="1484" s="299" customFormat="1" ht="13.2"/>
    <row r="1485" s="299" customFormat="1" ht="13.2"/>
    <row r="1486" s="299" customFormat="1" ht="13.2"/>
    <row r="1487" s="299" customFormat="1" ht="13.2"/>
    <row r="1488" s="299" customFormat="1" ht="13.2"/>
    <row r="1489" s="299" customFormat="1" ht="13.2"/>
    <row r="1490" s="299" customFormat="1" ht="13.2"/>
    <row r="1491" s="299" customFormat="1" ht="13.2"/>
    <row r="1492" s="299" customFormat="1" ht="13.2"/>
    <row r="1493" s="299" customFormat="1" ht="13.2"/>
    <row r="1494" s="299" customFormat="1" ht="13.2"/>
    <row r="1495" s="299" customFormat="1" ht="13.2"/>
    <row r="1496" s="299" customFormat="1" ht="13.2"/>
    <row r="1497" s="299" customFormat="1" ht="13.2"/>
    <row r="1498" s="299" customFormat="1" ht="13.2"/>
    <row r="1499" s="299" customFormat="1" ht="13.2"/>
    <row r="1500" s="299" customFormat="1" ht="13.2"/>
    <row r="1501" s="299" customFormat="1" ht="13.2"/>
    <row r="1502" s="299" customFormat="1" ht="13.2"/>
    <row r="1503" s="299" customFormat="1" ht="13.2"/>
    <row r="1504" s="299" customFormat="1" ht="13.2"/>
    <row r="1505" s="299" customFormat="1" ht="13.2"/>
    <row r="1506" s="299" customFormat="1" ht="13.2"/>
    <row r="1507" s="299" customFormat="1" ht="13.2"/>
    <row r="1508" s="299" customFormat="1" ht="13.2"/>
    <row r="1509" s="299" customFormat="1" ht="13.2"/>
    <row r="1510" s="299" customFormat="1" ht="13.2"/>
    <row r="1511" s="299" customFormat="1" ht="13.2"/>
    <row r="1512" s="299" customFormat="1" ht="13.2"/>
    <row r="1513" s="299" customFormat="1" ht="13.2"/>
    <row r="1514" s="299" customFormat="1" ht="13.2"/>
    <row r="1515" s="299" customFormat="1" ht="13.2"/>
    <row r="1516" s="299" customFormat="1" ht="13.2"/>
    <row r="1517" s="299" customFormat="1" ht="13.2"/>
    <row r="1518" s="299" customFormat="1" ht="13.2"/>
    <row r="1519" s="299" customFormat="1" ht="13.2"/>
    <row r="1520" s="299" customFormat="1" ht="13.2"/>
    <row r="1521" s="299" customFormat="1" ht="13.2"/>
    <row r="1522" s="299" customFormat="1" ht="13.2"/>
    <row r="1523" s="299" customFormat="1" ht="13.2"/>
    <row r="1524" s="299" customFormat="1" ht="13.2"/>
    <row r="1525" s="299" customFormat="1" ht="13.2"/>
    <row r="1526" s="299" customFormat="1" ht="13.2"/>
    <row r="1527" s="299" customFormat="1" ht="13.2"/>
    <row r="1528" s="299" customFormat="1" ht="13.2"/>
    <row r="1529" s="299" customFormat="1" ht="13.2"/>
    <row r="1530" s="299" customFormat="1" ht="13.2"/>
    <row r="1531" s="299" customFormat="1" ht="13.2"/>
    <row r="1532" s="299" customFormat="1" ht="13.2"/>
    <row r="1533" s="299" customFormat="1" ht="13.2"/>
    <row r="1534" s="299" customFormat="1" ht="13.2"/>
    <row r="1535" s="299" customFormat="1" ht="13.2"/>
    <row r="1536" s="299" customFormat="1" ht="13.2"/>
    <row r="1537" s="299" customFormat="1" ht="13.2"/>
    <row r="1538" s="299" customFormat="1" ht="13.2"/>
    <row r="1539" s="299" customFormat="1" ht="13.2"/>
    <row r="1540" s="299" customFormat="1" ht="13.2"/>
    <row r="1541" s="299" customFormat="1" ht="13.2"/>
    <row r="1542" s="299" customFormat="1" ht="13.2"/>
    <row r="1543" s="299" customFormat="1" ht="13.2"/>
    <row r="1544" s="299" customFormat="1" ht="13.2"/>
    <row r="1545" s="299" customFormat="1" ht="13.2"/>
    <row r="1546" s="299" customFormat="1" ht="13.2"/>
    <row r="1547" s="299" customFormat="1" ht="13.2"/>
    <row r="1548" s="299" customFormat="1" ht="13.2"/>
    <row r="1549" s="299" customFormat="1" ht="13.2"/>
    <row r="1550" s="299" customFormat="1" ht="13.2"/>
    <row r="1551" s="299" customFormat="1" ht="13.2"/>
    <row r="1552" s="299" customFormat="1" ht="13.2"/>
    <row r="1553" s="299" customFormat="1" ht="13.2"/>
    <row r="1554" s="299" customFormat="1" ht="13.2"/>
    <row r="1555" s="299" customFormat="1" ht="13.2"/>
    <row r="1556" s="299" customFormat="1" ht="13.2"/>
    <row r="1557" s="299" customFormat="1" ht="13.2"/>
    <row r="1558" s="299" customFormat="1" ht="13.2"/>
    <row r="1559" s="299" customFormat="1" ht="13.2"/>
    <row r="1560" s="299" customFormat="1" ht="13.2"/>
    <row r="1561" s="299" customFormat="1" ht="13.2"/>
    <row r="1562" s="299" customFormat="1" ht="13.2"/>
    <row r="1563" s="299" customFormat="1" ht="13.2"/>
    <row r="1564" s="299" customFormat="1" ht="13.2"/>
    <row r="1565" s="299" customFormat="1" ht="13.2"/>
    <row r="1566" s="299" customFormat="1" ht="13.2"/>
    <row r="1567" s="299" customFormat="1" ht="13.2"/>
    <row r="1568" s="299" customFormat="1" ht="13.2"/>
    <row r="1569" s="299" customFormat="1" ht="13.2"/>
    <row r="1570" s="299" customFormat="1" ht="13.2"/>
    <row r="1571" s="299" customFormat="1" ht="13.2"/>
    <row r="1572" s="299" customFormat="1" ht="13.2"/>
    <row r="1573" s="299" customFormat="1" ht="13.2"/>
    <row r="1574" s="299" customFormat="1" ht="13.2"/>
    <row r="1575" s="299" customFormat="1" ht="13.2"/>
    <row r="1576" s="299" customFormat="1" ht="13.2"/>
    <row r="1577" s="299" customFormat="1" ht="13.2"/>
    <row r="1578" s="299" customFormat="1" ht="13.2"/>
    <row r="1579" s="299" customFormat="1" ht="13.2"/>
    <row r="1580" s="299" customFormat="1" ht="13.2"/>
    <row r="1581" s="299" customFormat="1" ht="13.2"/>
    <row r="1582" s="299" customFormat="1" ht="13.2"/>
    <row r="1583" s="299" customFormat="1" ht="13.2"/>
    <row r="1584" s="299" customFormat="1" ht="13.2"/>
    <row r="1585" s="299" customFormat="1" ht="13.2"/>
    <row r="1586" s="299" customFormat="1" ht="13.2"/>
    <row r="1587" s="299" customFormat="1" ht="13.2"/>
    <row r="1588" s="299" customFormat="1" ht="13.2"/>
    <row r="1589" s="299" customFormat="1" ht="13.2"/>
    <row r="1590" s="299" customFormat="1" ht="13.2"/>
    <row r="1591" s="299" customFormat="1" ht="13.2"/>
    <row r="1592" s="299" customFormat="1" ht="13.2"/>
    <row r="1593" s="299" customFormat="1" ht="13.2"/>
    <row r="1594" s="299" customFormat="1" ht="13.2"/>
    <row r="1595" s="299" customFormat="1" ht="13.2"/>
    <row r="1596" s="299" customFormat="1" ht="13.2"/>
    <row r="1597" s="299" customFormat="1" ht="13.2"/>
    <row r="1598" s="299" customFormat="1" ht="13.2"/>
    <row r="1599" s="299" customFormat="1" ht="13.2"/>
    <row r="1600" s="299" customFormat="1" ht="13.2"/>
    <row r="1601" s="299" customFormat="1" ht="13.2"/>
    <row r="1602" s="299" customFormat="1" ht="13.2"/>
    <row r="1603" s="299" customFormat="1" ht="13.2"/>
    <row r="1604" s="299" customFormat="1" ht="13.2"/>
    <row r="1605" s="299" customFormat="1" ht="13.2"/>
    <row r="1606" s="299" customFormat="1" ht="13.2"/>
    <row r="1607" s="299" customFormat="1" ht="13.2"/>
    <row r="1608" s="299" customFormat="1" ht="13.2"/>
    <row r="1609" s="299" customFormat="1" ht="13.2"/>
    <row r="1610" s="299" customFormat="1" ht="13.2"/>
    <row r="1611" s="299" customFormat="1" ht="13.2"/>
    <row r="1612" s="299" customFormat="1" ht="13.2"/>
    <row r="1613" s="299" customFormat="1" ht="13.2"/>
    <row r="1614" s="299" customFormat="1" ht="13.2"/>
    <row r="1615" s="299" customFormat="1" ht="13.2"/>
    <row r="1616" s="299" customFormat="1" ht="13.2"/>
    <row r="1617" s="299" customFormat="1" ht="13.2"/>
    <row r="1618" s="299" customFormat="1" ht="13.2"/>
    <row r="1619" s="299" customFormat="1" ht="13.2"/>
    <row r="1620" s="299" customFormat="1" ht="13.2"/>
    <row r="1621" s="299" customFormat="1" ht="13.2"/>
    <row r="1622" s="299" customFormat="1" ht="13.2"/>
    <row r="1623" s="299" customFormat="1" ht="13.2"/>
    <row r="1624" s="299" customFormat="1" ht="13.2"/>
    <row r="1625" s="299" customFormat="1" ht="13.2"/>
    <row r="1626" s="299" customFormat="1" ht="13.2"/>
    <row r="1627" s="299" customFormat="1" ht="13.2"/>
    <row r="1628" s="299" customFormat="1" ht="13.2"/>
    <row r="1629" s="299" customFormat="1" ht="13.2"/>
    <row r="1630" s="299" customFormat="1" ht="13.2"/>
    <row r="1631" s="299" customFormat="1" ht="13.2"/>
    <row r="1632" s="299" customFormat="1" ht="13.2"/>
    <row r="1633" s="299" customFormat="1" ht="13.2"/>
    <row r="1634" s="299" customFormat="1" ht="13.2"/>
    <row r="1635" s="299" customFormat="1" ht="13.2"/>
    <row r="1636" s="299" customFormat="1" ht="13.2"/>
    <row r="1637" s="299" customFormat="1" ht="13.2"/>
    <row r="1638" s="299" customFormat="1" ht="13.2"/>
    <row r="1639" s="299" customFormat="1" ht="13.2"/>
    <row r="1640" s="299" customFormat="1" ht="13.2"/>
    <row r="1641" s="299" customFormat="1" ht="13.2"/>
    <row r="1642" s="299" customFormat="1" ht="13.2"/>
    <row r="1643" s="299" customFormat="1" ht="13.2"/>
    <row r="1644" s="299" customFormat="1" ht="13.2"/>
    <row r="1645" s="299" customFormat="1" ht="13.2"/>
    <row r="1646" s="299" customFormat="1" ht="13.2"/>
    <row r="1647" s="299" customFormat="1" ht="13.2"/>
    <row r="1648" s="299" customFormat="1" ht="13.2"/>
    <row r="1649" s="299" customFormat="1" ht="13.2"/>
    <row r="1650" s="299" customFormat="1" ht="13.2"/>
    <row r="1651" s="299" customFormat="1" ht="13.2"/>
    <row r="1652" s="299" customFormat="1" ht="13.2"/>
    <row r="1653" s="299" customFormat="1" ht="13.2"/>
    <row r="1654" s="299" customFormat="1" ht="13.2"/>
    <row r="1655" s="299" customFormat="1" ht="13.2"/>
    <row r="1656" s="299" customFormat="1" ht="13.2"/>
    <row r="1657" s="299" customFormat="1" ht="13.2"/>
    <row r="1658" s="299" customFormat="1" ht="13.2"/>
    <row r="1659" s="299" customFormat="1" ht="13.2"/>
    <row r="1660" s="299" customFormat="1" ht="13.2"/>
    <row r="1661" s="299" customFormat="1" ht="13.2"/>
    <row r="1662" s="299" customFormat="1" ht="13.2"/>
    <row r="1663" s="299" customFormat="1" ht="13.2"/>
    <row r="1664" s="299" customFormat="1" ht="13.2"/>
    <row r="1665" s="299" customFormat="1" ht="13.2"/>
    <row r="1666" s="299" customFormat="1" ht="13.2"/>
    <row r="1667" s="299" customFormat="1" ht="13.2"/>
    <row r="1668" s="299" customFormat="1" ht="13.2"/>
    <row r="1669" s="299" customFormat="1" ht="13.2"/>
    <row r="1670" s="299" customFormat="1" ht="13.2"/>
    <row r="1671" s="299" customFormat="1" ht="13.2"/>
    <row r="1672" s="299" customFormat="1" ht="13.2"/>
    <row r="1673" s="299" customFormat="1" ht="13.2"/>
    <row r="1674" s="299" customFormat="1" ht="13.2"/>
    <row r="1675" s="299" customFormat="1" ht="13.2"/>
    <row r="1676" s="299" customFormat="1" ht="13.2"/>
    <row r="1677" s="299" customFormat="1" ht="13.2"/>
    <row r="1678" s="299" customFormat="1" ht="13.2"/>
    <row r="1679" s="299" customFormat="1" ht="13.2"/>
    <row r="1680" s="299" customFormat="1" ht="13.2"/>
    <row r="1681" s="299" customFormat="1" ht="13.2"/>
    <row r="1682" s="299" customFormat="1" ht="13.2"/>
    <row r="1683" s="299" customFormat="1" ht="13.2"/>
    <row r="1684" s="299" customFormat="1" ht="13.2"/>
    <row r="1685" s="299" customFormat="1" ht="13.2"/>
    <row r="1686" s="299" customFormat="1" ht="13.2"/>
    <row r="1687" s="299" customFormat="1" ht="13.2"/>
    <row r="1688" s="299" customFormat="1" ht="13.2"/>
    <row r="1689" s="299" customFormat="1" ht="13.2"/>
    <row r="1690" s="299" customFormat="1" ht="13.2"/>
    <row r="1691" s="299" customFormat="1" ht="13.2"/>
    <row r="1692" s="299" customFormat="1" ht="13.2"/>
    <row r="1693" s="299" customFormat="1" ht="13.2"/>
    <row r="1694" s="299" customFormat="1" ht="13.2"/>
    <row r="1695" s="299" customFormat="1" ht="13.2"/>
    <row r="1696" s="299" customFormat="1" ht="13.2"/>
    <row r="1697" s="299" customFormat="1" ht="13.2"/>
    <row r="1698" s="299" customFormat="1" ht="13.2"/>
    <row r="1699" s="299" customFormat="1" ht="13.2"/>
    <row r="1700" s="299" customFormat="1" ht="13.2"/>
    <row r="1701" s="299" customFormat="1" ht="13.2"/>
    <row r="1702" s="299" customFormat="1" ht="13.2"/>
    <row r="1703" s="299" customFormat="1" ht="13.2"/>
    <row r="1704" s="299" customFormat="1" ht="13.2"/>
    <row r="1705" s="299" customFormat="1" ht="13.2"/>
    <row r="1706" s="299" customFormat="1" ht="13.2"/>
    <row r="1707" s="299" customFormat="1" ht="13.2"/>
    <row r="1708" s="299" customFormat="1" ht="13.2"/>
    <row r="1709" s="299" customFormat="1" ht="13.2"/>
    <row r="1710" s="299" customFormat="1" ht="13.2"/>
    <row r="1711" s="299" customFormat="1" ht="13.2"/>
    <row r="1712" s="299" customFormat="1" ht="13.2"/>
    <row r="1713" s="299" customFormat="1" ht="13.2"/>
    <row r="1714" s="299" customFormat="1" ht="13.2"/>
    <row r="1715" s="299" customFormat="1" ht="13.2"/>
    <row r="1716" s="299" customFormat="1" ht="13.2"/>
    <row r="1717" s="299" customFormat="1" ht="13.2"/>
    <row r="1718" s="299" customFormat="1" ht="13.2"/>
    <row r="1719" s="299" customFormat="1" ht="13.2"/>
    <row r="1720" s="299" customFormat="1" ht="13.2"/>
    <row r="1721" s="299" customFormat="1" ht="13.2"/>
    <row r="1722" s="299" customFormat="1" ht="13.2"/>
    <row r="1723" s="299" customFormat="1" ht="13.2"/>
    <row r="1724" s="299" customFormat="1" ht="13.2"/>
    <row r="1725" s="299" customFormat="1" ht="13.2"/>
    <row r="1726" s="299" customFormat="1" ht="13.2"/>
    <row r="1727" s="299" customFormat="1" ht="13.2"/>
    <row r="1728" s="299" customFormat="1" ht="13.2"/>
    <row r="1729" s="299" customFormat="1" ht="13.2"/>
    <row r="1730" s="299" customFormat="1" ht="13.2"/>
    <row r="1731" s="299" customFormat="1" ht="13.2"/>
    <row r="1732" s="299" customFormat="1" ht="13.2"/>
    <row r="1733" s="299" customFormat="1" ht="13.2"/>
    <row r="1734" s="299" customFormat="1" ht="13.2"/>
    <row r="1735" s="299" customFormat="1" ht="13.2"/>
    <row r="1736" s="299" customFormat="1" ht="13.2"/>
    <row r="1737" s="299" customFormat="1" ht="13.2"/>
    <row r="1738" s="299" customFormat="1" ht="13.2"/>
    <row r="1739" s="299" customFormat="1" ht="13.2"/>
    <row r="1740" s="299" customFormat="1" ht="13.2"/>
    <row r="1741" s="299" customFormat="1" ht="13.2"/>
    <row r="1742" s="299" customFormat="1" ht="13.2"/>
    <row r="1743" s="299" customFormat="1" ht="13.2"/>
    <row r="1744" s="299" customFormat="1" ht="13.2"/>
    <row r="1745" s="299" customFormat="1" ht="13.2"/>
    <row r="1746" s="299" customFormat="1" ht="13.2"/>
    <row r="1747" s="299" customFormat="1" ht="13.2"/>
    <row r="1748" s="299" customFormat="1" ht="13.2"/>
    <row r="1749" s="299" customFormat="1" ht="13.2"/>
    <row r="1750" s="299" customFormat="1" ht="13.2"/>
    <row r="1751" s="299" customFormat="1" ht="13.2"/>
    <row r="1752" s="299" customFormat="1" ht="13.2"/>
    <row r="1753" s="299" customFormat="1" ht="13.2"/>
    <row r="1754" s="299" customFormat="1" ht="13.2"/>
    <row r="1755" s="299" customFormat="1" ht="13.2"/>
    <row r="1756" s="299" customFormat="1" ht="13.2"/>
    <row r="1757" s="299" customFormat="1" ht="13.2"/>
    <row r="1758" s="299" customFormat="1" ht="13.2"/>
    <row r="1759" s="299" customFormat="1" ht="13.2"/>
    <row r="1760" s="299" customFormat="1" ht="13.2"/>
    <row r="1761" s="299" customFormat="1" ht="13.2"/>
    <row r="1762" s="299" customFormat="1" ht="13.2"/>
    <row r="1763" s="299" customFormat="1" ht="13.2"/>
    <row r="1764" s="299" customFormat="1" ht="13.2"/>
    <row r="1765" s="299" customFormat="1" ht="13.2"/>
    <row r="1766" s="299" customFormat="1" ht="13.2"/>
    <row r="1767" s="299" customFormat="1" ht="13.2"/>
    <row r="1768" s="299" customFormat="1" ht="13.2"/>
    <row r="1769" s="299" customFormat="1" ht="13.2"/>
    <row r="1770" s="299" customFormat="1" ht="13.2"/>
    <row r="1771" s="299" customFormat="1" ht="13.2"/>
    <row r="1772" s="299" customFormat="1" ht="13.2"/>
    <row r="1773" s="299" customFormat="1" ht="13.2"/>
    <row r="1774" s="299" customFormat="1" ht="13.2"/>
    <row r="1775" s="299" customFormat="1" ht="13.2"/>
    <row r="1776" s="299" customFormat="1" ht="13.2"/>
    <row r="1777" s="299" customFormat="1" ht="13.2"/>
    <row r="1778" s="299" customFormat="1" ht="13.2"/>
    <row r="1779" s="299" customFormat="1" ht="13.2"/>
    <row r="1780" s="299" customFormat="1" ht="13.2"/>
    <row r="1781" s="299" customFormat="1" ht="13.2"/>
    <row r="1782" s="299" customFormat="1" ht="13.2"/>
    <row r="1783" s="299" customFormat="1" ht="13.2"/>
    <row r="1784" s="299" customFormat="1" ht="13.2"/>
    <row r="1785" s="299" customFormat="1" ht="13.2"/>
    <row r="1786" s="299" customFormat="1" ht="13.2"/>
    <row r="1787" s="299" customFormat="1" ht="13.2"/>
    <row r="1788" s="299" customFormat="1" ht="13.2"/>
    <row r="1789" s="299" customFormat="1" ht="13.2"/>
    <row r="1790" s="299" customFormat="1" ht="13.2"/>
    <row r="1791" s="299" customFormat="1" ht="13.2"/>
    <row r="1792" s="299" customFormat="1" ht="13.2"/>
    <row r="1793" s="299" customFormat="1" ht="13.2"/>
    <row r="1794" s="299" customFormat="1" ht="13.2"/>
    <row r="1795" s="299" customFormat="1" ht="13.2"/>
    <row r="1796" s="299" customFormat="1" ht="13.2"/>
    <row r="1797" s="299" customFormat="1" ht="13.2"/>
    <row r="1798" s="299" customFormat="1" ht="13.2"/>
    <row r="1799" s="299" customFormat="1" ht="13.2"/>
    <row r="1800" s="299" customFormat="1" ht="13.2"/>
    <row r="1801" s="299" customFormat="1" ht="13.2"/>
    <row r="1802" s="299" customFormat="1" ht="13.2"/>
    <row r="1803" s="299" customFormat="1" ht="13.2"/>
    <row r="1804" s="299" customFormat="1" ht="13.2"/>
    <row r="1805" s="299" customFormat="1" ht="13.2"/>
    <row r="1806" s="299" customFormat="1" ht="13.2"/>
    <row r="1807" s="299" customFormat="1" ht="13.2"/>
    <row r="1808" s="299" customFormat="1" ht="13.2"/>
    <row r="1809" s="299" customFormat="1" ht="13.2"/>
    <row r="1810" s="299" customFormat="1" ht="13.2"/>
    <row r="1811" s="299" customFormat="1" ht="13.2"/>
    <row r="1812" s="299" customFormat="1" ht="13.2"/>
    <row r="1813" s="299" customFormat="1" ht="13.2"/>
    <row r="1814" s="299" customFormat="1" ht="13.2"/>
    <row r="1815" s="299" customFormat="1" ht="13.2"/>
    <row r="1816" s="299" customFormat="1" ht="13.2"/>
    <row r="1817" s="299" customFormat="1" ht="13.2"/>
    <row r="1818" s="299" customFormat="1" ht="13.2"/>
    <row r="1819" s="299" customFormat="1" ht="13.2"/>
    <row r="1820" s="299" customFormat="1" ht="13.2"/>
    <row r="1821" s="299" customFormat="1" ht="13.2"/>
    <row r="1822" s="299" customFormat="1" ht="13.2"/>
    <row r="1823" s="299" customFormat="1" ht="13.2"/>
    <row r="1824" s="299" customFormat="1" ht="13.2"/>
    <row r="1825" s="299" customFormat="1" ht="13.2"/>
    <row r="1826" s="299" customFormat="1" ht="13.2"/>
    <row r="1827" s="299" customFormat="1" ht="13.2"/>
    <row r="1828" s="299" customFormat="1" ht="13.2"/>
    <row r="1829" s="299" customFormat="1" ht="13.2"/>
    <row r="1830" s="299" customFormat="1" ht="13.2"/>
    <row r="1831" s="299" customFormat="1" ht="13.2"/>
    <row r="1832" s="299" customFormat="1" ht="13.2"/>
    <row r="1833" s="299" customFormat="1" ht="13.2"/>
    <row r="1834" s="299" customFormat="1" ht="13.2"/>
    <row r="1835" s="299" customFormat="1" ht="13.2"/>
    <row r="1836" s="299" customFormat="1" ht="13.2"/>
    <row r="1837" s="299" customFormat="1" ht="13.2"/>
    <row r="1838" s="299" customFormat="1" ht="13.2"/>
    <row r="1839" s="299" customFormat="1" ht="13.2"/>
    <row r="1840" s="299" customFormat="1" ht="13.2"/>
    <row r="1841" s="299" customFormat="1" ht="13.2"/>
    <row r="1842" s="299" customFormat="1" ht="13.2"/>
    <row r="1843" s="299" customFormat="1" ht="13.2"/>
    <row r="1844" s="299" customFormat="1" ht="13.2"/>
    <row r="1845" s="299" customFormat="1" ht="13.2"/>
    <row r="1846" s="299" customFormat="1" ht="13.2"/>
    <row r="1847" s="299" customFormat="1" ht="13.2"/>
    <row r="1848" s="299" customFormat="1" ht="13.2"/>
    <row r="1849" s="299" customFormat="1" ht="13.2"/>
    <row r="1850" s="299" customFormat="1" ht="13.2"/>
    <row r="1851" s="299" customFormat="1" ht="13.2"/>
    <row r="1852" s="299" customFormat="1" ht="13.2"/>
    <row r="1853" s="299" customFormat="1" ht="13.2"/>
    <row r="1854" s="299" customFormat="1" ht="13.2"/>
    <row r="1855" s="299" customFormat="1" ht="13.2"/>
    <row r="1856" s="299" customFormat="1" ht="13.2"/>
    <row r="1857" s="299" customFormat="1" ht="13.2"/>
    <row r="1858" s="299" customFormat="1" ht="13.2"/>
    <row r="1859" s="299" customFormat="1" ht="13.2"/>
    <row r="1860" s="299" customFormat="1" ht="13.2"/>
    <row r="1861" s="299" customFormat="1" ht="13.2"/>
    <row r="1862" s="299" customFormat="1" ht="13.2"/>
    <row r="1863" s="299" customFormat="1" ht="13.2"/>
    <row r="1864" s="299" customFormat="1" ht="13.2"/>
    <row r="1865" s="299" customFormat="1" ht="13.2"/>
    <row r="1866" s="299" customFormat="1" ht="13.2"/>
    <row r="1867" s="299" customFormat="1" ht="13.2"/>
    <row r="1868" s="299" customFormat="1" ht="13.2"/>
    <row r="1869" s="299" customFormat="1" ht="13.2"/>
    <row r="1870" s="299" customFormat="1" ht="13.2"/>
    <row r="1871" s="299" customFormat="1" ht="13.2"/>
    <row r="1872" s="299" customFormat="1" ht="13.2"/>
    <row r="1873" s="299" customFormat="1" ht="13.2"/>
    <row r="1874" s="299" customFormat="1" ht="13.2"/>
    <row r="1875" s="299" customFormat="1" ht="13.2"/>
    <row r="1876" s="299" customFormat="1" ht="13.2"/>
    <row r="1877" s="299" customFormat="1" ht="13.2"/>
    <row r="1878" s="299" customFormat="1" ht="13.2"/>
    <row r="1879" s="299" customFormat="1" ht="13.2"/>
    <row r="1880" s="299" customFormat="1" ht="13.2"/>
    <row r="1881" s="299" customFormat="1" ht="13.2"/>
    <row r="1882" s="299" customFormat="1" ht="13.2"/>
    <row r="1883" s="299" customFormat="1" ht="13.2"/>
    <row r="1884" s="299" customFormat="1" ht="13.2"/>
    <row r="1885" s="299" customFormat="1" ht="13.2"/>
    <row r="1886" s="299" customFormat="1" ht="13.2"/>
    <row r="1887" s="299" customFormat="1" ht="13.2"/>
    <row r="1888" s="299" customFormat="1" ht="13.2"/>
    <row r="1889" s="299" customFormat="1" ht="13.2"/>
    <row r="1890" s="299" customFormat="1" ht="13.2"/>
    <row r="1891" s="299" customFormat="1" ht="13.2"/>
    <row r="1892" s="299" customFormat="1" ht="13.2"/>
    <row r="1893" s="299" customFormat="1" ht="13.2"/>
    <row r="1894" s="299" customFormat="1" ht="13.2"/>
    <row r="1895" s="299" customFormat="1" ht="13.2"/>
    <row r="1896" s="299" customFormat="1" ht="13.2"/>
    <row r="1897" s="299" customFormat="1" ht="13.2"/>
    <row r="1898" s="299" customFormat="1" ht="13.2"/>
    <row r="1899" s="299" customFormat="1" ht="13.2"/>
    <row r="1900" s="299" customFormat="1" ht="13.2"/>
    <row r="1901" s="299" customFormat="1" ht="13.2"/>
    <row r="1902" s="299" customFormat="1" ht="13.2"/>
    <row r="1903" s="299" customFormat="1" ht="13.2"/>
    <row r="1904" s="299" customFormat="1" ht="13.2"/>
    <row r="1905" s="299" customFormat="1" ht="13.2"/>
    <row r="1906" s="299" customFormat="1" ht="13.2"/>
    <row r="1907" s="299" customFormat="1" ht="13.2"/>
    <row r="1908" s="299" customFormat="1" ht="13.2"/>
    <row r="1909" s="299" customFormat="1" ht="13.2"/>
    <row r="1910" s="299" customFormat="1" ht="13.2"/>
    <row r="1911" s="299" customFormat="1" ht="13.2"/>
    <row r="1912" s="299" customFormat="1" ht="13.2"/>
    <row r="1913" s="299" customFormat="1" ht="13.2"/>
    <row r="1914" s="299" customFormat="1" ht="13.2"/>
    <row r="1915" s="299" customFormat="1" ht="13.2"/>
    <row r="1916" s="299" customFormat="1" ht="13.2"/>
    <row r="1917" s="299" customFormat="1" ht="13.2"/>
    <row r="1918" s="299" customFormat="1" ht="13.2"/>
    <row r="1919" s="299" customFormat="1" ht="13.2"/>
    <row r="1920" s="299" customFormat="1" ht="13.2"/>
    <row r="1921" s="299" customFormat="1" ht="13.2"/>
    <row r="1922" s="299" customFormat="1" ht="13.2"/>
    <row r="1923" s="299" customFormat="1" ht="13.2"/>
    <row r="1924" s="299" customFormat="1" ht="13.2"/>
    <row r="1925" s="299" customFormat="1" ht="13.2"/>
    <row r="1926" s="299" customFormat="1" ht="13.2"/>
    <row r="1927" s="299" customFormat="1" ht="13.2"/>
    <row r="1928" s="299" customFormat="1" ht="13.2"/>
    <row r="1929" s="299" customFormat="1" ht="13.2"/>
    <row r="1930" s="299" customFormat="1" ht="13.2"/>
    <row r="1931" s="299" customFormat="1" ht="13.2"/>
    <row r="1932" s="299" customFormat="1" ht="13.2"/>
    <row r="1933" s="299" customFormat="1" ht="13.2"/>
    <row r="1934" s="299" customFormat="1" ht="13.2"/>
    <row r="1935" s="299" customFormat="1" ht="13.2"/>
    <row r="1936" s="299" customFormat="1" ht="13.2"/>
    <row r="1937" s="299" customFormat="1" ht="13.2"/>
    <row r="1938" s="299" customFormat="1" ht="13.2"/>
    <row r="1939" s="299" customFormat="1" ht="13.2"/>
    <row r="1940" s="299" customFormat="1" ht="13.2"/>
    <row r="1941" s="299" customFormat="1" ht="13.2"/>
    <row r="1942" s="299" customFormat="1" ht="13.2"/>
    <row r="1943" s="299" customFormat="1" ht="13.2"/>
    <row r="1944" s="299" customFormat="1" ht="13.2"/>
    <row r="1945" s="299" customFormat="1" ht="13.2"/>
    <row r="1946" s="299" customFormat="1" ht="13.2"/>
    <row r="1947" s="299" customFormat="1" ht="13.2"/>
    <row r="1948" s="299" customFormat="1" ht="13.2"/>
    <row r="1949" s="299" customFormat="1" ht="13.2"/>
    <row r="1950" s="299" customFormat="1" ht="13.2"/>
    <row r="1951" s="299" customFormat="1" ht="13.2"/>
    <row r="1952" s="299" customFormat="1" ht="13.2"/>
    <row r="1953" s="299" customFormat="1" ht="13.2"/>
    <row r="1954" s="299" customFormat="1" ht="13.2"/>
    <row r="1955" s="299" customFormat="1" ht="13.2"/>
    <row r="1956" s="299" customFormat="1" ht="13.2"/>
    <row r="1957" s="299" customFormat="1" ht="13.2"/>
    <row r="1958" s="299" customFormat="1" ht="13.2"/>
    <row r="1959" s="299" customFormat="1" ht="13.2"/>
    <row r="1960" s="299" customFormat="1" ht="13.2"/>
    <row r="1961" s="299" customFormat="1" ht="13.2"/>
    <row r="1962" s="299" customFormat="1" ht="13.2"/>
    <row r="1963" s="299" customFormat="1" ht="13.2"/>
    <row r="1964" s="299" customFormat="1" ht="13.2"/>
    <row r="1965" s="299" customFormat="1" ht="13.2"/>
    <row r="1966" s="299" customFormat="1" ht="13.2"/>
    <row r="1967" s="299" customFormat="1" ht="13.2"/>
    <row r="1968" s="299" customFormat="1" ht="13.2"/>
    <row r="1969" s="299" customFormat="1" ht="13.2"/>
    <row r="1970" s="299" customFormat="1" ht="13.2"/>
    <row r="1971" s="299" customFormat="1" ht="13.2"/>
    <row r="1972" s="299" customFormat="1" ht="13.2"/>
    <row r="1973" s="299" customFormat="1" ht="13.2"/>
    <row r="1974" s="299" customFormat="1" ht="13.2"/>
    <row r="1975" s="299" customFormat="1" ht="13.2"/>
    <row r="1976" s="299" customFormat="1" ht="13.2"/>
    <row r="1977" s="299" customFormat="1" ht="13.2"/>
    <row r="1978" s="299" customFormat="1" ht="13.2"/>
    <row r="1979" s="299" customFormat="1" ht="13.2"/>
    <row r="1980" s="299" customFormat="1" ht="13.2"/>
    <row r="1981" s="299" customFormat="1" ht="13.2"/>
    <row r="1982" s="299" customFormat="1" ht="13.2"/>
    <row r="1983" s="299" customFormat="1" ht="13.2"/>
    <row r="1984" s="299" customFormat="1" ht="13.2"/>
    <row r="1985" s="299" customFormat="1" ht="13.2"/>
    <row r="1986" s="299" customFormat="1" ht="13.2"/>
    <row r="1987" s="299" customFormat="1" ht="13.2"/>
    <row r="1988" s="299" customFormat="1" ht="13.2"/>
    <row r="1989" s="299" customFormat="1" ht="13.2"/>
    <row r="1990" s="299" customFormat="1" ht="13.2"/>
    <row r="1991" s="299" customFormat="1" ht="13.2"/>
    <row r="1992" s="299" customFormat="1" ht="13.2"/>
    <row r="1993" s="299" customFormat="1" ht="13.2"/>
    <row r="1994" s="299" customFormat="1" ht="13.2"/>
    <row r="1995" s="299" customFormat="1" ht="13.2"/>
    <row r="1996" s="299" customFormat="1" ht="13.2"/>
    <row r="1997" s="299" customFormat="1" ht="13.2"/>
    <row r="1998" s="299" customFormat="1" ht="13.2"/>
    <row r="1999" s="299" customFormat="1" ht="13.2"/>
    <row r="2000" s="299" customFormat="1" ht="13.2"/>
    <row r="2001" s="299" customFormat="1" ht="13.2"/>
    <row r="2002" s="299" customFormat="1" ht="13.2"/>
    <row r="2003" s="299" customFormat="1" ht="13.2"/>
    <row r="2004" s="299" customFormat="1" ht="13.2"/>
    <row r="2005" s="299" customFormat="1" ht="13.2"/>
    <row r="2006" s="299" customFormat="1" ht="13.2"/>
    <row r="2007" s="299" customFormat="1" ht="13.2"/>
    <row r="2008" s="299" customFormat="1" ht="13.2"/>
    <row r="2009" s="299" customFormat="1" ht="13.2"/>
    <row r="2010" s="299" customFormat="1" ht="13.2"/>
    <row r="2011" s="299" customFormat="1" ht="13.2"/>
    <row r="2012" s="299" customFormat="1" ht="13.2"/>
    <row r="2013" s="299" customFormat="1" ht="13.2"/>
    <row r="2014" s="299" customFormat="1" ht="13.2"/>
    <row r="2015" s="299" customFormat="1" ht="13.2"/>
    <row r="2016" s="299" customFormat="1" ht="13.2"/>
    <row r="2017" s="299" customFormat="1" ht="13.2"/>
    <row r="2018" s="299" customFormat="1" ht="13.2"/>
    <row r="2019" s="299" customFormat="1" ht="13.2"/>
    <row r="2020" s="299" customFormat="1" ht="13.2"/>
    <row r="2021" s="299" customFormat="1" ht="13.2"/>
    <row r="2022" s="299" customFormat="1" ht="13.2"/>
    <row r="2023" s="299" customFormat="1" ht="13.2"/>
    <row r="2024" s="299" customFormat="1" ht="13.2"/>
    <row r="2025" s="299" customFormat="1" ht="13.2"/>
    <row r="2026" s="299" customFormat="1" ht="13.2"/>
    <row r="2027" s="299" customFormat="1" ht="13.2"/>
    <row r="2028" s="299" customFormat="1" ht="13.2"/>
    <row r="2029" s="299" customFormat="1" ht="13.2"/>
    <row r="2030" s="299" customFormat="1" ht="13.2"/>
    <row r="2031" s="299" customFormat="1" ht="13.2"/>
    <row r="2032" s="299" customFormat="1" ht="13.2"/>
    <row r="2033" s="299" customFormat="1" ht="13.2"/>
    <row r="2034" s="299" customFormat="1" ht="13.2"/>
    <row r="2035" s="299" customFormat="1" ht="13.2"/>
    <row r="2036" s="299" customFormat="1" ht="13.2"/>
    <row r="2037" s="299" customFormat="1" ht="13.2"/>
    <row r="2038" s="299" customFormat="1" ht="13.2"/>
    <row r="2039" s="299" customFormat="1" ht="13.2"/>
    <row r="2040" s="299" customFormat="1" ht="13.2"/>
    <row r="2041" s="299" customFormat="1" ht="13.2"/>
    <row r="2042" s="299" customFormat="1" ht="13.2"/>
    <row r="2043" s="299" customFormat="1" ht="13.2"/>
    <row r="2044" s="299" customFormat="1" ht="13.2"/>
    <row r="2045" s="299" customFormat="1" ht="13.2"/>
    <row r="2046" s="299" customFormat="1" ht="13.2"/>
    <row r="2047" s="299" customFormat="1" ht="13.2"/>
    <row r="2048" s="299" customFormat="1" ht="13.2"/>
    <row r="2049" s="299" customFormat="1" ht="13.2"/>
    <row r="2050" s="299" customFormat="1" ht="13.2"/>
    <row r="2051" s="299" customFormat="1" ht="13.2"/>
    <row r="2052" s="299" customFormat="1" ht="13.2"/>
    <row r="2053" s="299" customFormat="1" ht="13.2"/>
    <row r="2054" s="299" customFormat="1" ht="13.2"/>
    <row r="2055" s="299" customFormat="1" ht="13.2"/>
    <row r="2056" s="299" customFormat="1" ht="13.2"/>
    <row r="2057" s="299" customFormat="1" ht="13.2"/>
    <row r="2058" s="299" customFormat="1" ht="13.2"/>
    <row r="2059" s="299" customFormat="1" ht="13.2"/>
    <row r="2060" s="299" customFormat="1" ht="13.2"/>
    <row r="2061" s="299" customFormat="1" ht="13.2"/>
    <row r="2062" s="299" customFormat="1" ht="13.2"/>
    <row r="2063" s="299" customFormat="1" ht="13.2"/>
    <row r="2064" s="299" customFormat="1" ht="13.2"/>
    <row r="2065" s="299" customFormat="1" ht="13.2"/>
    <row r="2066" s="299" customFormat="1" ht="13.2"/>
    <row r="2067" s="299" customFormat="1" ht="13.2"/>
    <row r="2068" s="299" customFormat="1" ht="13.2"/>
    <row r="2069" s="299" customFormat="1" ht="13.2"/>
    <row r="2070" s="299" customFormat="1" ht="13.2"/>
    <row r="2071" s="299" customFormat="1" ht="13.2"/>
    <row r="2072" s="299" customFormat="1" ht="13.2"/>
    <row r="2073" s="299" customFormat="1" ht="13.2"/>
    <row r="2074" s="299" customFormat="1" ht="13.2"/>
    <row r="2075" s="299" customFormat="1" ht="13.2"/>
    <row r="2076" s="299" customFormat="1" ht="13.2"/>
    <row r="2077" s="299" customFormat="1" ht="13.2"/>
    <row r="2078" s="299" customFormat="1" ht="13.2"/>
    <row r="2079" s="299" customFormat="1" ht="13.2"/>
    <row r="2080" s="299" customFormat="1" ht="13.2"/>
    <row r="2081" s="299" customFormat="1" ht="13.2"/>
    <row r="2082" s="299" customFormat="1" ht="13.2"/>
    <row r="2083" s="299" customFormat="1" ht="13.2"/>
    <row r="2084" s="299" customFormat="1" ht="13.2"/>
    <row r="2085" s="299" customFormat="1" ht="13.2"/>
    <row r="2086" s="299" customFormat="1" ht="13.2"/>
    <row r="2087" s="299" customFormat="1" ht="13.2"/>
    <row r="2088" s="299" customFormat="1" ht="13.2"/>
    <row r="2089" s="299" customFormat="1" ht="13.2"/>
    <row r="2090" s="299" customFormat="1" ht="13.2"/>
    <row r="2091" s="299" customFormat="1" ht="13.2"/>
    <row r="2092" s="299" customFormat="1" ht="13.2"/>
    <row r="2093" s="299" customFormat="1" ht="13.2"/>
    <row r="2094" s="299" customFormat="1" ht="13.2"/>
    <row r="2095" s="299" customFormat="1" ht="13.2"/>
    <row r="2096" s="299" customFormat="1" ht="13.2"/>
    <row r="2097" s="299" customFormat="1" ht="13.2"/>
    <row r="2098" s="299" customFormat="1" ht="13.2"/>
    <row r="2099" s="299" customFormat="1" ht="13.2"/>
    <row r="2100" s="299" customFormat="1" ht="13.2"/>
    <row r="2101" s="299" customFormat="1" ht="13.2"/>
    <row r="2102" s="299" customFormat="1" ht="13.2"/>
    <row r="2103" s="299" customFormat="1" ht="13.2"/>
    <row r="2104" s="299" customFormat="1" ht="13.2"/>
    <row r="2105" s="299" customFormat="1" ht="13.2"/>
    <row r="2106" s="299" customFormat="1" ht="13.2"/>
    <row r="2107" s="299" customFormat="1" ht="13.2"/>
    <row r="2108" s="299" customFormat="1" ht="13.2"/>
    <row r="2109" s="299" customFormat="1" ht="13.2"/>
    <row r="2110" s="299" customFormat="1" ht="13.2"/>
    <row r="2111" s="299" customFormat="1" ht="13.2"/>
    <row r="2112" s="299" customFormat="1" ht="13.2"/>
    <row r="2113" s="299" customFormat="1" ht="13.2"/>
    <row r="2114" s="299" customFormat="1" ht="13.2"/>
    <row r="2115" s="299" customFormat="1" ht="13.2"/>
    <row r="2116" s="299" customFormat="1" ht="13.2"/>
    <row r="2117" s="299" customFormat="1" ht="13.2"/>
    <row r="2118" s="299" customFormat="1" ht="13.2"/>
    <row r="2119" s="299" customFormat="1" ht="13.2"/>
    <row r="2120" s="299" customFormat="1" ht="13.2"/>
    <row r="2121" s="299" customFormat="1" ht="13.2"/>
    <row r="2122" s="299" customFormat="1" ht="13.2"/>
    <row r="2123" s="299" customFormat="1" ht="13.2"/>
    <row r="2124" s="299" customFormat="1" ht="13.2"/>
    <row r="2125" s="299" customFormat="1" ht="13.2"/>
    <row r="2126" s="299" customFormat="1" ht="13.2"/>
    <row r="2127" s="299" customFormat="1" ht="13.2"/>
    <row r="2128" s="299" customFormat="1" ht="13.2"/>
    <row r="2129" s="299" customFormat="1" ht="13.2"/>
    <row r="2130" s="299" customFormat="1" ht="13.2"/>
    <row r="2131" s="299" customFormat="1" ht="13.2"/>
    <row r="2132" s="299" customFormat="1" ht="13.2"/>
    <row r="2133" s="299" customFormat="1" ht="13.2"/>
    <row r="2134" s="299" customFormat="1" ht="13.2"/>
    <row r="2135" s="299" customFormat="1" ht="13.2"/>
    <row r="2136" s="299" customFormat="1" ht="13.2"/>
    <row r="2137" s="299" customFormat="1" ht="13.2"/>
    <row r="2138" s="299" customFormat="1" ht="13.2"/>
    <row r="2139" s="299" customFormat="1" ht="13.2"/>
    <row r="2140" s="299" customFormat="1" ht="13.2"/>
    <row r="2141" s="299" customFormat="1" ht="13.2"/>
    <row r="2142" s="299" customFormat="1" ht="13.2"/>
    <row r="2143" s="299" customFormat="1" ht="13.2"/>
    <row r="2144" s="299" customFormat="1" ht="13.2"/>
    <row r="2145" s="299" customFormat="1" ht="13.2"/>
    <row r="2146" s="299" customFormat="1" ht="13.2"/>
    <row r="2147" s="299" customFormat="1" ht="13.2"/>
    <row r="2148" s="299" customFormat="1" ht="13.2"/>
    <row r="2149" s="299" customFormat="1" ht="13.2"/>
    <row r="2150" s="299" customFormat="1" ht="13.2"/>
    <row r="2151" s="299" customFormat="1" ht="13.2"/>
    <row r="2152" s="299" customFormat="1" ht="13.2"/>
    <row r="2153" s="299" customFormat="1" ht="13.2"/>
    <row r="2154" s="299" customFormat="1" ht="13.2"/>
    <row r="2155" s="299" customFormat="1" ht="13.2"/>
    <row r="2156" s="299" customFormat="1" ht="13.2"/>
    <row r="2157" s="299" customFormat="1" ht="13.2"/>
    <row r="2158" s="299" customFormat="1" ht="13.2"/>
    <row r="2159" s="299" customFormat="1" ht="13.2"/>
    <row r="2160" s="299" customFormat="1" ht="13.2"/>
    <row r="2161" s="299" customFormat="1" ht="13.2"/>
    <row r="2162" s="299" customFormat="1" ht="13.2"/>
    <row r="2163" s="299" customFormat="1" ht="13.2"/>
    <row r="2164" s="299" customFormat="1" ht="13.2"/>
    <row r="2165" s="299" customFormat="1" ht="13.2"/>
    <row r="2166" s="299" customFormat="1" ht="13.2"/>
    <row r="2167" s="299" customFormat="1" ht="13.2"/>
    <row r="2168" s="299" customFormat="1" ht="13.2"/>
    <row r="2169" s="299" customFormat="1" ht="13.2"/>
    <row r="2170" s="299" customFormat="1" ht="13.2"/>
    <row r="2171" s="299" customFormat="1" ht="13.2"/>
    <row r="2172" s="299" customFormat="1" ht="13.2"/>
    <row r="2173" s="299" customFormat="1" ht="13.2"/>
    <row r="2174" s="299" customFormat="1" ht="13.2"/>
    <row r="2175" s="299" customFormat="1" ht="13.2"/>
    <row r="2176" s="299" customFormat="1" ht="13.2"/>
    <row r="2177" s="299" customFormat="1" ht="13.2"/>
    <row r="2178" s="299" customFormat="1" ht="13.2"/>
    <row r="2179" s="299" customFormat="1" ht="13.2"/>
    <row r="2180" s="299" customFormat="1" ht="13.2"/>
    <row r="2181" s="299" customFormat="1" ht="13.2"/>
    <row r="2182" s="299" customFormat="1" ht="13.2"/>
    <row r="2183" s="299" customFormat="1" ht="13.2"/>
    <row r="2184" s="299" customFormat="1" ht="13.2"/>
    <row r="2185" s="299" customFormat="1" ht="13.2"/>
    <row r="2186" s="299" customFormat="1" ht="13.2"/>
    <row r="2187" s="299" customFormat="1" ht="13.2"/>
    <row r="2188" s="299" customFormat="1" ht="13.2"/>
    <row r="2189" s="299" customFormat="1" ht="13.2"/>
    <row r="2190" s="299" customFormat="1" ht="13.2"/>
    <row r="2191" s="299" customFormat="1" ht="13.2"/>
    <row r="2192" s="299" customFormat="1" ht="13.2"/>
    <row r="2193" s="299" customFormat="1" ht="13.2"/>
    <row r="2194" s="299" customFormat="1" ht="13.2"/>
    <row r="2195" s="299" customFormat="1" ht="13.2"/>
    <row r="2196" s="299" customFormat="1" ht="13.2"/>
    <row r="2197" s="299" customFormat="1" ht="13.2"/>
    <row r="2198" s="299" customFormat="1" ht="13.2"/>
    <row r="2199" s="299" customFormat="1" ht="13.2"/>
    <row r="2200" s="299" customFormat="1" ht="13.2"/>
    <row r="2201" s="299" customFormat="1" ht="13.2"/>
    <row r="2202" s="299" customFormat="1" ht="13.2"/>
    <row r="2203" s="299" customFormat="1" ht="13.2"/>
    <row r="2204" s="299" customFormat="1" ht="13.2"/>
    <row r="2205" s="299" customFormat="1" ht="13.2"/>
    <row r="2206" s="299" customFormat="1" ht="13.2"/>
    <row r="2207" s="299" customFormat="1" ht="13.2"/>
    <row r="2208" s="299" customFormat="1" ht="13.2"/>
    <row r="2209" s="299" customFormat="1" ht="13.2"/>
    <row r="2210" s="299" customFormat="1" ht="13.2"/>
    <row r="2211" s="299" customFormat="1" ht="13.2"/>
    <row r="2212" s="299" customFormat="1" ht="13.2"/>
    <row r="2213" s="299" customFormat="1" ht="13.2"/>
    <row r="2214" s="299" customFormat="1" ht="13.2"/>
    <row r="2215" s="299" customFormat="1" ht="13.2"/>
    <row r="2216" s="299" customFormat="1" ht="13.2"/>
    <row r="2217" s="299" customFormat="1" ht="13.2"/>
    <row r="2218" s="299" customFormat="1" ht="13.2"/>
    <row r="2219" s="299" customFormat="1" ht="13.2"/>
    <row r="2220" s="299" customFormat="1" ht="13.2"/>
    <row r="2221" s="299" customFormat="1" ht="13.2"/>
    <row r="2222" s="299" customFormat="1" ht="13.2"/>
    <row r="2223" s="299" customFormat="1" ht="13.2"/>
    <row r="2224" s="299" customFormat="1" ht="13.2"/>
    <row r="2225" s="299" customFormat="1" ht="13.2"/>
    <row r="2226" s="299" customFormat="1" ht="13.2"/>
    <row r="2227" s="299" customFormat="1" ht="13.2"/>
    <row r="2228" s="299" customFormat="1" ht="13.2"/>
    <row r="2229" s="299" customFormat="1" ht="13.2"/>
    <row r="2230" s="299" customFormat="1" ht="13.2"/>
    <row r="2231" s="299" customFormat="1" ht="13.2"/>
    <row r="2232" s="299" customFormat="1" ht="13.2"/>
    <row r="2233" s="299" customFormat="1" ht="13.2"/>
    <row r="2234" s="299" customFormat="1" ht="13.2"/>
    <row r="2235" s="299" customFormat="1" ht="13.2"/>
    <row r="2236" s="299" customFormat="1" ht="13.2"/>
    <row r="2237" s="299" customFormat="1" ht="13.2"/>
    <row r="2238" s="299" customFormat="1" ht="13.2"/>
    <row r="2239" s="299" customFormat="1" ht="13.2"/>
    <row r="2240" s="299" customFormat="1" ht="13.2"/>
    <row r="2241" s="299" customFormat="1" ht="13.2"/>
    <row r="2242" s="299" customFormat="1" ht="13.2"/>
    <row r="2243" s="299" customFormat="1" ht="13.2"/>
    <row r="2244" s="299" customFormat="1" ht="13.2"/>
    <row r="2245" s="299" customFormat="1" ht="13.2"/>
    <row r="2246" s="299" customFormat="1" ht="13.2"/>
    <row r="2247" s="299" customFormat="1" ht="13.2"/>
    <row r="2248" s="299" customFormat="1" ht="13.2"/>
    <row r="2249" s="299" customFormat="1" ht="13.2"/>
    <row r="2250" s="299" customFormat="1" ht="13.2"/>
    <row r="2251" s="299" customFormat="1" ht="13.2"/>
    <row r="2252" s="299" customFormat="1" ht="13.2"/>
    <row r="2253" s="299" customFormat="1" ht="13.2"/>
    <row r="2254" s="299" customFormat="1" ht="13.2"/>
    <row r="2255" s="299" customFormat="1" ht="13.2"/>
    <row r="2256" s="299" customFormat="1" ht="13.2"/>
    <row r="2257" s="299" customFormat="1" ht="13.2"/>
    <row r="2258" s="299" customFormat="1" ht="13.2"/>
    <row r="2259" s="299" customFormat="1" ht="13.2"/>
    <row r="2260" s="299" customFormat="1" ht="13.2"/>
    <row r="2261" s="299" customFormat="1" ht="13.2"/>
    <row r="2262" s="299" customFormat="1" ht="13.2"/>
    <row r="2263" s="299" customFormat="1" ht="13.2"/>
    <row r="2264" s="299" customFormat="1" ht="13.2"/>
    <row r="2265" s="299" customFormat="1" ht="13.2"/>
    <row r="2266" s="299" customFormat="1" ht="13.2"/>
    <row r="2267" s="299" customFormat="1" ht="13.2"/>
    <row r="2268" s="299" customFormat="1" ht="13.2"/>
    <row r="2269" s="299" customFormat="1" ht="13.2"/>
    <row r="2270" s="299" customFormat="1" ht="13.2"/>
    <row r="2271" s="299" customFormat="1" ht="13.2"/>
    <row r="2272" s="299" customFormat="1" ht="13.2"/>
    <row r="2273" s="299" customFormat="1" ht="13.2"/>
    <row r="2274" s="299" customFormat="1" ht="13.2"/>
    <row r="2275" s="299" customFormat="1" ht="13.2"/>
    <row r="2276" s="299" customFormat="1" ht="13.2"/>
    <row r="2277" s="299" customFormat="1" ht="13.2"/>
    <row r="2278" s="299" customFormat="1" ht="13.2"/>
    <row r="2279" s="299" customFormat="1" ht="13.2"/>
    <row r="2280" s="299" customFormat="1" ht="13.2"/>
    <row r="2281" s="299" customFormat="1" ht="13.2"/>
    <row r="2282" s="299" customFormat="1" ht="13.2"/>
    <row r="2283" s="299" customFormat="1" ht="13.2"/>
    <row r="2284" s="299" customFormat="1" ht="13.2"/>
    <row r="2285" s="299" customFormat="1" ht="13.2"/>
    <row r="2286" s="299" customFormat="1" ht="13.2"/>
    <row r="2287" s="299" customFormat="1" ht="13.2"/>
    <row r="2288" s="299" customFormat="1" ht="13.2"/>
    <row r="2289" s="299" customFormat="1" ht="13.2"/>
    <row r="2290" s="299" customFormat="1" ht="13.2"/>
    <row r="2291" s="299" customFormat="1" ht="13.2"/>
    <row r="2292" s="299" customFormat="1" ht="13.2"/>
    <row r="2293" s="299" customFormat="1" ht="13.2"/>
    <row r="2294" s="299" customFormat="1" ht="13.2"/>
    <row r="2295" s="299" customFormat="1" ht="13.2"/>
    <row r="2296" s="299" customFormat="1" ht="13.2"/>
    <row r="2297" s="299" customFormat="1" ht="13.2"/>
    <row r="2298" s="299" customFormat="1" ht="13.2"/>
    <row r="2299" s="299" customFormat="1" ht="13.2"/>
    <row r="2300" s="299" customFormat="1" ht="13.2"/>
    <row r="2301" s="299" customFormat="1" ht="13.2"/>
    <row r="2302" s="299" customFormat="1" ht="13.2"/>
    <row r="2303" s="299" customFormat="1" ht="13.2"/>
    <row r="2304" s="299" customFormat="1" ht="13.2"/>
    <row r="2305" s="299" customFormat="1" ht="13.2"/>
    <row r="2306" s="299" customFormat="1" ht="13.2"/>
    <row r="2307" s="299" customFormat="1" ht="13.2"/>
    <row r="2308" s="299" customFormat="1" ht="13.2"/>
    <row r="2309" s="299" customFormat="1" ht="13.2"/>
    <row r="2310" s="299" customFormat="1" ht="13.2"/>
    <row r="2311" s="299" customFormat="1" ht="13.2"/>
    <row r="2312" s="299" customFormat="1" ht="13.2"/>
    <row r="2313" s="299" customFormat="1" ht="13.2"/>
    <row r="2314" s="299" customFormat="1" ht="13.2"/>
    <row r="2315" s="299" customFormat="1" ht="13.2"/>
    <row r="2316" s="299" customFormat="1" ht="13.2"/>
    <row r="2317" s="299" customFormat="1" ht="13.2"/>
    <row r="2318" s="299" customFormat="1" ht="13.2"/>
    <row r="2319" s="299" customFormat="1" ht="13.2"/>
    <row r="2320" s="299" customFormat="1" ht="13.2"/>
    <row r="2321" s="299" customFormat="1" ht="13.2"/>
    <row r="2322" s="299" customFormat="1" ht="13.2"/>
    <row r="2323" s="299" customFormat="1" ht="13.2"/>
    <row r="2324" s="299" customFormat="1" ht="13.2"/>
    <row r="2325" s="299" customFormat="1" ht="13.2"/>
    <row r="2326" s="299" customFormat="1" ht="13.2"/>
    <row r="2327" s="299" customFormat="1" ht="13.2"/>
    <row r="2328" s="299" customFormat="1" ht="13.2"/>
    <row r="2329" s="299" customFormat="1" ht="13.2"/>
    <row r="2330" s="299" customFormat="1" ht="13.2"/>
    <row r="2331" s="299" customFormat="1" ht="13.2"/>
    <row r="2332" s="299" customFormat="1" ht="13.2"/>
    <row r="2333" s="299" customFormat="1" ht="13.2"/>
    <row r="2334" s="299" customFormat="1" ht="13.2"/>
    <row r="2335" s="299" customFormat="1" ht="13.2"/>
    <row r="2336" s="299" customFormat="1" ht="13.2"/>
    <row r="2337" s="299" customFormat="1" ht="13.2"/>
    <row r="2338" s="299" customFormat="1" ht="13.2"/>
    <row r="2339" s="299" customFormat="1" ht="13.2"/>
    <row r="2340" s="299" customFormat="1" ht="13.2"/>
    <row r="2341" s="299" customFormat="1" ht="13.2"/>
    <row r="2342" s="299" customFormat="1" ht="13.2"/>
    <row r="2343" s="299" customFormat="1" ht="13.2"/>
    <row r="2344" s="299" customFormat="1" ht="13.2"/>
    <row r="2345" s="299" customFormat="1" ht="13.2"/>
    <row r="2346" s="299" customFormat="1" ht="13.2"/>
    <row r="2347" s="299" customFormat="1" ht="13.2"/>
    <row r="2348" s="299" customFormat="1" ht="13.2"/>
    <row r="2349" s="299" customFormat="1" ht="13.2"/>
    <row r="2350" s="299" customFormat="1" ht="13.2"/>
    <row r="2351" s="299" customFormat="1" ht="13.2"/>
    <row r="2352" s="299" customFormat="1" ht="13.2"/>
    <row r="2353" s="299" customFormat="1" ht="13.2"/>
    <row r="2354" s="299" customFormat="1" ht="13.2"/>
    <row r="2355" s="299" customFormat="1" ht="13.2"/>
    <row r="2356" s="299" customFormat="1" ht="13.2"/>
    <row r="2357" s="299" customFormat="1" ht="13.2"/>
    <row r="2358" s="299" customFormat="1" ht="13.2"/>
    <row r="2359" s="299" customFormat="1" ht="13.2"/>
    <row r="2360" s="299" customFormat="1" ht="13.2"/>
    <row r="2361" s="299" customFormat="1" ht="13.2"/>
    <row r="2362" s="299" customFormat="1" ht="13.2"/>
    <row r="2363" s="299" customFormat="1" ht="13.2"/>
    <row r="2364" s="299" customFormat="1" ht="13.2"/>
    <row r="2365" s="299" customFormat="1" ht="13.2"/>
    <row r="2366" s="299" customFormat="1" ht="13.2"/>
    <row r="2367" s="299" customFormat="1" ht="13.2"/>
    <row r="2368" s="299" customFormat="1" ht="13.2"/>
    <row r="2369" s="299" customFormat="1" ht="13.2"/>
    <row r="2370" s="299" customFormat="1" ht="13.2"/>
    <row r="2371" s="299" customFormat="1" ht="13.2"/>
    <row r="2372" s="299" customFormat="1" ht="13.2"/>
    <row r="2373" s="299" customFormat="1" ht="13.2"/>
    <row r="2374" s="299" customFormat="1" ht="13.2"/>
    <row r="2375" s="299" customFormat="1" ht="13.2"/>
    <row r="2376" s="299" customFormat="1" ht="13.2"/>
    <row r="2377" s="299" customFormat="1" ht="13.2"/>
    <row r="2378" s="299" customFormat="1" ht="13.2"/>
    <row r="2379" s="299" customFormat="1" ht="13.2"/>
    <row r="2380" s="299" customFormat="1" ht="13.2"/>
    <row r="2381" s="299" customFormat="1" ht="13.2"/>
    <row r="2382" s="299" customFormat="1" ht="13.2"/>
    <row r="2383" s="299" customFormat="1" ht="13.2"/>
    <row r="2384" s="299" customFormat="1" ht="13.2"/>
    <row r="2385" s="299" customFormat="1" ht="13.2"/>
    <row r="2386" s="299" customFormat="1" ht="13.2"/>
    <row r="2387" s="299" customFormat="1" ht="13.2"/>
    <row r="2388" s="299" customFormat="1" ht="13.2"/>
    <row r="2389" s="299" customFormat="1" ht="13.2"/>
    <row r="2390" s="299" customFormat="1" ht="13.2"/>
    <row r="2391" s="299" customFormat="1" ht="13.2"/>
    <row r="2392" s="299" customFormat="1" ht="13.2"/>
    <row r="2393" s="299" customFormat="1" ht="13.2"/>
    <row r="2394" s="299" customFormat="1" ht="13.2"/>
    <row r="2395" s="299" customFormat="1" ht="13.2"/>
    <row r="2396" s="299" customFormat="1" ht="13.2"/>
    <row r="2397" s="299" customFormat="1" ht="13.2"/>
    <row r="2398" s="299" customFormat="1" ht="13.2"/>
    <row r="2399" s="299" customFormat="1" ht="13.2"/>
    <row r="2400" s="299" customFormat="1" ht="13.2"/>
    <row r="2401" s="299" customFormat="1" ht="13.2"/>
    <row r="2402" s="299" customFormat="1" ht="13.2"/>
    <row r="2403" s="299" customFormat="1" ht="13.2"/>
    <row r="2404" s="299" customFormat="1" ht="13.2"/>
    <row r="2405" s="299" customFormat="1" ht="13.2"/>
    <row r="2406" s="299" customFormat="1" ht="13.2"/>
    <row r="2407" s="299" customFormat="1" ht="13.2"/>
    <row r="2408" s="299" customFormat="1" ht="13.2"/>
    <row r="2409" s="299" customFormat="1" ht="13.2"/>
    <row r="2410" s="299" customFormat="1" ht="13.2"/>
    <row r="2411" s="299" customFormat="1" ht="13.2"/>
    <row r="2412" s="299" customFormat="1" ht="13.2"/>
    <row r="2413" s="299" customFormat="1" ht="13.2"/>
    <row r="2414" s="299" customFormat="1" ht="13.2"/>
    <row r="2415" s="299" customFormat="1" ht="13.2"/>
    <row r="2416" s="299" customFormat="1" ht="13.2"/>
    <row r="2417" s="299" customFormat="1" ht="13.2"/>
    <row r="2418" s="299" customFormat="1" ht="13.2"/>
    <row r="2419" s="299" customFormat="1" ht="13.2"/>
    <row r="2420" s="299" customFormat="1" ht="13.2"/>
    <row r="2421" s="299" customFormat="1" ht="13.2"/>
    <row r="2422" s="299" customFormat="1" ht="13.2"/>
    <row r="2423" s="299" customFormat="1" ht="13.2"/>
    <row r="2424" s="299" customFormat="1" ht="13.2"/>
    <row r="2425" s="299" customFormat="1" ht="13.2"/>
    <row r="2426" s="299" customFormat="1" ht="13.2"/>
    <row r="2427" s="299" customFormat="1" ht="13.2"/>
    <row r="2428" s="299" customFormat="1" ht="13.2"/>
    <row r="2429" s="299" customFormat="1" ht="13.2"/>
    <row r="2430" s="299" customFormat="1" ht="13.2"/>
    <row r="2431" s="299" customFormat="1" ht="13.2"/>
    <row r="2432" s="299" customFormat="1" ht="13.2"/>
    <row r="2433" s="299" customFormat="1" ht="13.2"/>
    <row r="2434" s="299" customFormat="1" ht="13.2"/>
    <row r="2435" s="299" customFormat="1" ht="13.2"/>
    <row r="2436" s="299" customFormat="1" ht="13.2"/>
    <row r="2437" s="299" customFormat="1" ht="13.2"/>
    <row r="2438" s="299" customFormat="1" ht="13.2"/>
    <row r="2439" s="299" customFormat="1" ht="13.2"/>
    <row r="2440" s="299" customFormat="1" ht="13.2"/>
    <row r="2441" s="299" customFormat="1" ht="13.2"/>
    <row r="2442" s="299" customFormat="1" ht="13.2"/>
    <row r="2443" s="299" customFormat="1" ht="13.2"/>
    <row r="2444" s="299" customFormat="1" ht="13.2"/>
    <row r="2445" s="299" customFormat="1" ht="13.2"/>
    <row r="2446" s="299" customFormat="1" ht="13.2"/>
    <row r="2447" s="299" customFormat="1" ht="13.2"/>
    <row r="2448" s="299" customFormat="1" ht="13.2"/>
    <row r="2449" s="299" customFormat="1" ht="13.2"/>
    <row r="2450" s="299" customFormat="1" ht="13.2"/>
    <row r="2451" s="299" customFormat="1" ht="13.2"/>
    <row r="2452" s="299" customFormat="1" ht="13.2"/>
    <row r="2453" s="299" customFormat="1" ht="13.2"/>
    <row r="2454" s="299" customFormat="1" ht="13.2"/>
    <row r="2455" s="299" customFormat="1" ht="13.2"/>
    <row r="2456" s="299" customFormat="1" ht="13.2"/>
    <row r="2457" s="299" customFormat="1" ht="13.2"/>
    <row r="2458" s="299" customFormat="1" ht="13.2"/>
    <row r="2459" s="299" customFormat="1" ht="13.2"/>
    <row r="2460" s="299" customFormat="1" ht="13.2"/>
    <row r="2461" s="299" customFormat="1" ht="13.2"/>
    <row r="2462" s="299" customFormat="1" ht="13.2"/>
    <row r="2463" s="299" customFormat="1" ht="13.2"/>
    <row r="2464" s="299" customFormat="1" ht="13.2"/>
    <row r="2465" s="299" customFormat="1" ht="13.2"/>
    <row r="2466" s="299" customFormat="1" ht="13.2"/>
    <row r="2467" s="299" customFormat="1" ht="13.2"/>
    <row r="2468" s="299" customFormat="1" ht="13.2"/>
    <row r="2469" s="299" customFormat="1" ht="13.2"/>
    <row r="2470" s="299" customFormat="1" ht="13.2"/>
    <row r="2471" s="299" customFormat="1" ht="13.2"/>
    <row r="2472" s="299" customFormat="1" ht="13.2"/>
    <row r="2473" s="299" customFormat="1" ht="13.2"/>
    <row r="2474" s="299" customFormat="1" ht="13.2"/>
    <row r="2475" s="299" customFormat="1" ht="13.2"/>
    <row r="2476" s="299" customFormat="1" ht="13.2"/>
    <row r="2477" s="299" customFormat="1" ht="13.2"/>
    <row r="2478" s="299" customFormat="1" ht="13.2"/>
    <row r="2479" s="299" customFormat="1" ht="13.2"/>
    <row r="2480" s="299" customFormat="1" ht="13.2"/>
    <row r="2481" s="299" customFormat="1" ht="13.2"/>
    <row r="2482" s="299" customFormat="1" ht="13.2"/>
    <row r="2483" s="299" customFormat="1" ht="13.2"/>
    <row r="2484" s="299" customFormat="1" ht="13.2"/>
    <row r="2485" s="299" customFormat="1" ht="13.2"/>
    <row r="2486" s="299" customFormat="1" ht="13.2"/>
    <row r="2487" s="299" customFormat="1" ht="13.2"/>
    <row r="2488" s="299" customFormat="1" ht="13.2"/>
    <row r="2489" s="299" customFormat="1" ht="13.2"/>
    <row r="2490" s="299" customFormat="1" ht="13.2"/>
    <row r="2491" s="299" customFormat="1" ht="13.2"/>
    <row r="2492" s="299" customFormat="1" ht="13.2"/>
    <row r="2493" s="299" customFormat="1" ht="13.2"/>
    <row r="2494" s="299" customFormat="1" ht="13.2"/>
    <row r="2495" s="299" customFormat="1" ht="13.2"/>
    <row r="2496" s="299" customFormat="1" ht="13.2"/>
    <row r="2497" s="299" customFormat="1" ht="13.2"/>
    <row r="2498" s="299" customFormat="1" ht="13.2"/>
    <row r="2499" s="299" customFormat="1" ht="13.2"/>
    <row r="2500" s="299" customFormat="1" ht="13.2"/>
    <row r="2501" s="299" customFormat="1" ht="13.2"/>
    <row r="2502" s="299" customFormat="1" ht="13.2"/>
    <row r="2503" s="299" customFormat="1" ht="13.2"/>
    <row r="2504" s="299" customFormat="1" ht="13.2"/>
    <row r="2505" s="299" customFormat="1" ht="13.2"/>
    <row r="2506" s="299" customFormat="1" ht="13.2"/>
    <row r="2507" s="299" customFormat="1" ht="13.2"/>
    <row r="2508" s="299" customFormat="1" ht="13.2"/>
    <row r="2509" s="299" customFormat="1" ht="13.2"/>
    <row r="2510" s="299" customFormat="1" ht="13.2"/>
    <row r="2511" s="299" customFormat="1" ht="13.2"/>
    <row r="2512" s="299" customFormat="1" ht="13.2"/>
    <row r="2513" s="299" customFormat="1" ht="13.2"/>
    <row r="2514" s="299" customFormat="1" ht="13.2"/>
    <row r="2515" s="299" customFormat="1" ht="13.2"/>
    <row r="2516" s="299" customFormat="1" ht="13.2"/>
    <row r="2517" s="299" customFormat="1" ht="13.2"/>
    <row r="2518" s="299" customFormat="1" ht="13.2"/>
    <row r="2519" s="299" customFormat="1" ht="13.2"/>
    <row r="2520" s="299" customFormat="1" ht="13.2"/>
    <row r="2521" s="299" customFormat="1" ht="13.2"/>
    <row r="2522" s="299" customFormat="1" ht="13.2"/>
    <row r="2523" s="299" customFormat="1" ht="13.2"/>
    <row r="2524" s="299" customFormat="1" ht="13.2"/>
    <row r="2525" s="299" customFormat="1" ht="13.2"/>
    <row r="2526" s="299" customFormat="1" ht="13.2"/>
    <row r="2527" s="299" customFormat="1" ht="13.2"/>
    <row r="2528" s="299" customFormat="1" ht="13.2"/>
    <row r="2529" s="299" customFormat="1" ht="13.2"/>
    <row r="2530" s="299" customFormat="1" ht="13.2"/>
    <row r="2531" s="299" customFormat="1" ht="13.2"/>
    <row r="2532" s="299" customFormat="1" ht="13.2"/>
    <row r="2533" s="299" customFormat="1" ht="13.2"/>
    <row r="2534" s="299" customFormat="1" ht="13.2"/>
    <row r="2535" s="299" customFormat="1" ht="13.2"/>
    <row r="2536" s="299" customFormat="1" ht="13.2"/>
    <row r="2537" s="299" customFormat="1" ht="13.2"/>
    <row r="2538" s="299" customFormat="1" ht="13.2"/>
    <row r="2539" s="299" customFormat="1" ht="13.2"/>
    <row r="2540" s="299" customFormat="1" ht="13.2"/>
    <row r="2541" s="299" customFormat="1" ht="13.2"/>
    <row r="2542" s="299" customFormat="1" ht="13.2"/>
    <row r="2543" s="299" customFormat="1" ht="13.2"/>
    <row r="2544" s="299" customFormat="1" ht="13.2"/>
    <row r="2545" s="299" customFormat="1" ht="13.2"/>
    <row r="2546" s="299" customFormat="1" ht="13.2"/>
    <row r="2547" s="299" customFormat="1" ht="13.2"/>
    <row r="2548" s="299" customFormat="1" ht="13.2"/>
    <row r="2549" s="299" customFormat="1" ht="13.2"/>
    <row r="2550" s="299" customFormat="1" ht="13.2"/>
    <row r="2551" s="299" customFormat="1" ht="13.2"/>
    <row r="2552" s="299" customFormat="1" ht="13.2"/>
    <row r="2553" s="299" customFormat="1" ht="13.2"/>
    <row r="2554" s="299" customFormat="1" ht="13.2"/>
    <row r="2555" s="299" customFormat="1" ht="13.2"/>
    <row r="2556" s="299" customFormat="1" ht="13.2"/>
    <row r="2557" s="299" customFormat="1" ht="13.2"/>
    <row r="2558" s="299" customFormat="1" ht="13.2"/>
    <row r="2559" s="299" customFormat="1" ht="13.2"/>
    <row r="2560" s="299" customFormat="1" ht="13.2"/>
    <row r="2561" s="299" customFormat="1" ht="13.2"/>
    <row r="2562" s="299" customFormat="1" ht="13.2"/>
    <row r="2563" s="299" customFormat="1" ht="13.2"/>
    <row r="2564" s="299" customFormat="1" ht="13.2"/>
    <row r="2565" s="299" customFormat="1" ht="13.2"/>
    <row r="2566" s="299" customFormat="1" ht="13.2"/>
    <row r="2567" s="299" customFormat="1" ht="13.2"/>
    <row r="2568" s="299" customFormat="1" ht="13.2"/>
    <row r="2569" s="299" customFormat="1" ht="13.2"/>
    <row r="2570" s="299" customFormat="1" ht="13.2"/>
    <row r="2571" s="299" customFormat="1" ht="13.2"/>
    <row r="2572" s="299" customFormat="1" ht="13.2"/>
    <row r="2573" s="299" customFormat="1" ht="13.2"/>
    <row r="2574" s="299" customFormat="1" ht="13.2"/>
    <row r="2575" s="299" customFormat="1" ht="13.2"/>
    <row r="2576" s="299" customFormat="1" ht="13.2"/>
    <row r="2577" s="299" customFormat="1" ht="13.2"/>
    <row r="2578" s="299" customFormat="1" ht="13.2"/>
    <row r="2579" s="299" customFormat="1" ht="13.2"/>
    <row r="2580" s="299" customFormat="1" ht="13.2"/>
    <row r="2581" s="299" customFormat="1" ht="13.2"/>
    <row r="2582" s="299" customFormat="1" ht="13.2"/>
    <row r="2583" s="299" customFormat="1" ht="13.2"/>
    <row r="2584" s="299" customFormat="1" ht="13.2"/>
    <row r="2585" s="299" customFormat="1" ht="13.2"/>
    <row r="2586" s="299" customFormat="1" ht="13.2"/>
    <row r="2587" s="299" customFormat="1" ht="13.2"/>
    <row r="2588" s="299" customFormat="1" ht="13.2"/>
    <row r="2589" s="299" customFormat="1" ht="13.2"/>
    <row r="2590" s="299" customFormat="1" ht="13.2"/>
    <row r="2591" s="299" customFormat="1" ht="13.2"/>
    <row r="2592" s="299" customFormat="1" ht="13.2"/>
    <row r="2593" s="299" customFormat="1" ht="13.2"/>
    <row r="2594" s="299" customFormat="1" ht="13.2"/>
    <row r="2595" s="299" customFormat="1" ht="13.2"/>
    <row r="2596" s="299" customFormat="1" ht="13.2"/>
    <row r="2597" s="299" customFormat="1" ht="13.2"/>
    <row r="2598" s="299" customFormat="1" ht="13.2"/>
    <row r="2599" s="299" customFormat="1" ht="13.2"/>
    <row r="2600" s="299" customFormat="1" ht="13.2"/>
    <row r="2601" s="299" customFormat="1" ht="13.2"/>
    <row r="2602" s="299" customFormat="1" ht="13.2"/>
    <row r="2603" s="299" customFormat="1" ht="13.2"/>
    <row r="2604" s="299" customFormat="1" ht="13.2"/>
    <row r="2605" s="299" customFormat="1" ht="13.2"/>
    <row r="2606" s="299" customFormat="1" ht="13.2"/>
    <row r="2607" s="299" customFormat="1" ht="13.2"/>
    <row r="2608" s="299" customFormat="1" ht="13.2"/>
    <row r="2609" s="299" customFormat="1" ht="13.2"/>
    <row r="2610" s="299" customFormat="1" ht="13.2"/>
    <row r="2611" s="299" customFormat="1" ht="13.2"/>
    <row r="2612" s="299" customFormat="1" ht="13.2"/>
    <row r="2613" s="299" customFormat="1" ht="13.2"/>
    <row r="2614" s="299" customFormat="1" ht="13.2"/>
    <row r="2615" s="299" customFormat="1" ht="13.2"/>
    <row r="2616" s="299" customFormat="1" ht="13.2"/>
    <row r="2617" s="299" customFormat="1" ht="13.2"/>
    <row r="2618" s="299" customFormat="1" ht="13.2"/>
    <row r="2619" s="299" customFormat="1" ht="13.2"/>
    <row r="2620" s="299" customFormat="1" ht="13.2"/>
    <row r="2621" s="299" customFormat="1" ht="13.2"/>
    <row r="2622" s="299" customFormat="1" ht="13.2"/>
    <row r="2623" s="299" customFormat="1" ht="13.2"/>
    <row r="2624" s="299" customFormat="1" ht="13.2"/>
    <row r="2625" s="299" customFormat="1" ht="13.2"/>
    <row r="2626" s="299" customFormat="1" ht="13.2"/>
    <row r="2627" s="299" customFormat="1" ht="13.2"/>
    <row r="2628" s="299" customFormat="1" ht="13.2"/>
    <row r="2629" s="299" customFormat="1" ht="13.2"/>
    <row r="2630" s="299" customFormat="1" ht="13.2"/>
    <row r="2631" s="299" customFormat="1" ht="13.2"/>
    <row r="2632" s="299" customFormat="1" ht="13.2"/>
    <row r="2633" s="299" customFormat="1" ht="13.2"/>
    <row r="2634" s="299" customFormat="1" ht="13.2"/>
    <row r="2635" s="299" customFormat="1" ht="13.2"/>
    <row r="2636" s="299" customFormat="1" ht="13.2"/>
    <row r="2637" s="299" customFormat="1" ht="13.2"/>
    <row r="2638" s="299" customFormat="1" ht="13.2"/>
    <row r="2639" s="299" customFormat="1" ht="13.2"/>
    <row r="2640" s="299" customFormat="1" ht="13.2"/>
    <row r="2641" s="299" customFormat="1" ht="13.2"/>
    <row r="2642" s="299" customFormat="1" ht="13.2"/>
    <row r="2643" s="299" customFormat="1" ht="13.2"/>
    <row r="2644" s="299" customFormat="1" ht="13.2"/>
    <row r="2645" s="299" customFormat="1" ht="13.2"/>
    <row r="2646" s="299" customFormat="1" ht="13.2"/>
    <row r="2647" s="299" customFormat="1" ht="13.2"/>
    <row r="2648" s="299" customFormat="1" ht="13.2"/>
    <row r="2649" s="299" customFormat="1" ht="13.2"/>
    <row r="2650" s="299" customFormat="1" ht="13.2"/>
    <row r="2651" s="299" customFormat="1" ht="13.2"/>
    <row r="2652" s="299" customFormat="1" ht="13.2"/>
    <row r="2653" s="299" customFormat="1" ht="13.2"/>
    <row r="2654" s="299" customFormat="1" ht="13.2"/>
    <row r="2655" s="299" customFormat="1" ht="13.2"/>
    <row r="2656" s="299" customFormat="1" ht="13.2"/>
    <row r="2657" s="299" customFormat="1" ht="13.2"/>
    <row r="2658" s="299" customFormat="1" ht="13.2"/>
    <row r="2659" s="299" customFormat="1" ht="13.2"/>
    <row r="2660" s="299" customFormat="1" ht="13.2"/>
    <row r="2661" s="299" customFormat="1" ht="13.2"/>
    <row r="2662" s="299" customFormat="1" ht="13.2"/>
    <row r="2663" s="299" customFormat="1" ht="13.2"/>
    <row r="2664" s="299" customFormat="1" ht="13.2"/>
    <row r="2665" s="299" customFormat="1" ht="13.2"/>
    <row r="2666" s="299" customFormat="1" ht="13.2"/>
    <row r="2667" s="299" customFormat="1" ht="13.2"/>
    <row r="2668" s="299" customFormat="1" ht="13.2"/>
    <row r="2669" s="299" customFormat="1" ht="13.2"/>
    <row r="2670" s="299" customFormat="1" ht="13.2"/>
    <row r="2671" s="299" customFormat="1" ht="13.2"/>
    <row r="2672" s="299" customFormat="1" ht="13.2"/>
    <row r="2673" s="299" customFormat="1" ht="13.2"/>
    <row r="2674" s="299" customFormat="1" ht="13.2"/>
    <row r="2675" s="299" customFormat="1" ht="13.2"/>
    <row r="2676" s="299" customFormat="1" ht="13.2"/>
    <row r="2677" s="299" customFormat="1" ht="13.2"/>
    <row r="2678" s="299" customFormat="1" ht="13.2"/>
    <row r="2679" s="299" customFormat="1" ht="13.2"/>
    <row r="2680" s="299" customFormat="1" ht="13.2"/>
    <row r="2681" s="299" customFormat="1" ht="13.2"/>
    <row r="2682" s="299" customFormat="1" ht="13.2"/>
    <row r="2683" s="299" customFormat="1" ht="13.2"/>
    <row r="2684" s="299" customFormat="1" ht="13.2"/>
    <row r="2685" s="299" customFormat="1" ht="13.2"/>
    <row r="2686" s="299" customFormat="1" ht="13.2"/>
    <row r="2687" s="299" customFormat="1" ht="13.2"/>
    <row r="2688" s="299" customFormat="1" ht="13.2"/>
    <row r="2689" s="299" customFormat="1" ht="13.2"/>
    <row r="2690" s="299" customFormat="1" ht="13.2"/>
    <row r="2691" s="299" customFormat="1" ht="13.2"/>
    <row r="2692" s="299" customFormat="1" ht="13.2"/>
    <row r="2693" s="299" customFormat="1" ht="13.2"/>
    <row r="2694" s="299" customFormat="1" ht="13.2"/>
    <row r="2695" s="299" customFormat="1" ht="13.2"/>
    <row r="2696" s="299" customFormat="1" ht="13.2"/>
    <row r="2697" s="299" customFormat="1" ht="13.2"/>
    <row r="2698" s="299" customFormat="1" ht="13.2"/>
    <row r="2699" s="299" customFormat="1" ht="13.2"/>
    <row r="2700" s="299" customFormat="1" ht="13.2"/>
    <row r="2701" s="299" customFormat="1" ht="13.2"/>
    <row r="2702" s="299" customFormat="1" ht="13.2"/>
    <row r="2703" s="299" customFormat="1" ht="13.2"/>
    <row r="2704" s="299" customFormat="1" ht="13.2"/>
    <row r="2705" s="299" customFormat="1" ht="13.2"/>
    <row r="2706" s="299" customFormat="1" ht="13.2"/>
    <row r="2707" s="299" customFormat="1" ht="13.2"/>
    <row r="2708" s="299" customFormat="1" ht="13.2"/>
    <row r="2709" s="299" customFormat="1" ht="13.2"/>
    <row r="2710" s="299" customFormat="1" ht="13.2"/>
    <row r="2711" s="299" customFormat="1" ht="13.2"/>
    <row r="2712" s="299" customFormat="1" ht="13.2"/>
    <row r="2713" s="299" customFormat="1" ht="13.2"/>
    <row r="2714" s="299" customFormat="1" ht="13.2"/>
    <row r="2715" s="299" customFormat="1" ht="13.2"/>
    <row r="2716" s="299" customFormat="1" ht="13.2"/>
    <row r="2717" s="299" customFormat="1" ht="13.2"/>
    <row r="2718" s="299" customFormat="1" ht="13.2"/>
    <row r="2719" s="299" customFormat="1" ht="13.2"/>
    <row r="2720" s="299" customFormat="1" ht="13.2"/>
    <row r="2721" s="299" customFormat="1" ht="13.2"/>
    <row r="2722" s="299" customFormat="1" ht="13.2"/>
    <row r="2723" s="299" customFormat="1" ht="13.2"/>
    <row r="2724" s="299" customFormat="1" ht="13.2"/>
    <row r="2725" s="299" customFormat="1" ht="13.2"/>
    <row r="2726" s="299" customFormat="1" ht="13.2"/>
    <row r="2727" s="299" customFormat="1" ht="13.2"/>
    <row r="2728" s="299" customFormat="1" ht="13.2"/>
    <row r="2729" s="299" customFormat="1" ht="13.2"/>
    <row r="2730" s="299" customFormat="1" ht="13.2"/>
    <row r="2731" s="299" customFormat="1" ht="13.2"/>
    <row r="2732" s="299" customFormat="1" ht="13.2"/>
    <row r="2733" s="299" customFormat="1" ht="13.2"/>
    <row r="2734" s="299" customFormat="1" ht="13.2"/>
    <row r="2735" s="299" customFormat="1" ht="13.2"/>
    <row r="2736" s="299" customFormat="1" ht="13.2"/>
    <row r="2737" s="299" customFormat="1" ht="13.2"/>
    <row r="2738" s="299" customFormat="1" ht="13.2"/>
    <row r="2739" s="299" customFormat="1" ht="13.2"/>
    <row r="2740" s="299" customFormat="1" ht="13.2"/>
    <row r="2741" s="299" customFormat="1" ht="13.2"/>
    <row r="2742" s="299" customFormat="1" ht="13.2"/>
    <row r="2743" s="299" customFormat="1" ht="13.2"/>
    <row r="2744" s="299" customFormat="1" ht="13.2"/>
    <row r="2745" s="299" customFormat="1" ht="13.2"/>
    <row r="2746" s="299" customFormat="1" ht="13.2"/>
    <row r="2747" s="299" customFormat="1" ht="13.2"/>
    <row r="2748" s="299" customFormat="1" ht="13.2"/>
    <row r="2749" s="299" customFormat="1" ht="13.2"/>
    <row r="2750" s="299" customFormat="1" ht="13.2"/>
    <row r="2751" s="299" customFormat="1" ht="13.2"/>
    <row r="2752" s="299" customFormat="1" ht="13.2"/>
    <row r="2753" s="299" customFormat="1" ht="13.2"/>
    <row r="2754" s="299" customFormat="1" ht="13.2"/>
    <row r="2755" s="299" customFormat="1" ht="13.2"/>
    <row r="2756" s="299" customFormat="1" ht="13.2"/>
    <row r="2757" s="299" customFormat="1" ht="13.2"/>
    <row r="2758" s="299" customFormat="1" ht="13.2"/>
    <row r="2759" s="299" customFormat="1" ht="13.2"/>
    <row r="2760" s="299" customFormat="1" ht="13.2"/>
    <row r="2761" s="299" customFormat="1" ht="13.2"/>
    <row r="2762" s="299" customFormat="1" ht="13.2"/>
    <row r="2763" s="299" customFormat="1" ht="13.2"/>
    <row r="2764" s="299" customFormat="1" ht="13.2"/>
    <row r="2765" s="299" customFormat="1" ht="13.2"/>
    <row r="2766" s="299" customFormat="1" ht="13.2"/>
    <row r="2767" s="299" customFormat="1" ht="13.2"/>
    <row r="2768" s="299" customFormat="1" ht="13.2"/>
    <row r="2769" s="299" customFormat="1" ht="13.2"/>
    <row r="2770" s="299" customFormat="1" ht="13.2"/>
    <row r="2771" s="299" customFormat="1" ht="13.2"/>
    <row r="2772" s="299" customFormat="1" ht="13.2"/>
    <row r="2773" s="299" customFormat="1" ht="13.2"/>
    <row r="2774" s="299" customFormat="1" ht="13.2"/>
    <row r="2775" s="299" customFormat="1" ht="13.2"/>
    <row r="2776" s="299" customFormat="1" ht="13.2"/>
    <row r="2777" s="299" customFormat="1" ht="13.2"/>
    <row r="2778" s="299" customFormat="1" ht="13.2"/>
    <row r="2779" s="299" customFormat="1" ht="13.2"/>
    <row r="2780" s="299" customFormat="1" ht="13.2"/>
    <row r="2781" s="299" customFormat="1" ht="13.2"/>
    <row r="2782" s="299" customFormat="1" ht="13.2"/>
    <row r="2783" s="299" customFormat="1" ht="13.2"/>
    <row r="2784" s="299" customFormat="1" ht="13.2"/>
    <row r="2785" s="299" customFormat="1" ht="13.2"/>
    <row r="2786" s="299" customFormat="1" ht="13.2"/>
    <row r="2787" s="299" customFormat="1" ht="13.2"/>
    <row r="2788" s="299" customFormat="1" ht="13.2"/>
    <row r="2789" s="299" customFormat="1" ht="13.2"/>
    <row r="2790" s="299" customFormat="1" ht="13.2"/>
    <row r="2791" s="299" customFormat="1" ht="13.2"/>
    <row r="2792" s="299" customFormat="1" ht="13.2"/>
    <row r="2793" s="299" customFormat="1" ht="13.2"/>
    <row r="2794" s="299" customFormat="1" ht="13.2"/>
    <row r="2795" s="299" customFormat="1" ht="13.2"/>
    <row r="2796" s="299" customFormat="1" ht="13.2"/>
    <row r="2797" s="299" customFormat="1" ht="13.2"/>
    <row r="2798" s="299" customFormat="1" ht="13.2"/>
    <row r="2799" s="299" customFormat="1" ht="13.2"/>
    <row r="2800" s="299" customFormat="1" ht="13.2"/>
    <row r="2801" s="299" customFormat="1" ht="13.2"/>
    <row r="2802" s="299" customFormat="1" ht="13.2"/>
    <row r="2803" s="299" customFormat="1" ht="13.2"/>
    <row r="2804" s="299" customFormat="1" ht="13.2"/>
    <row r="2805" s="299" customFormat="1" ht="13.2"/>
    <row r="2806" s="299" customFormat="1" ht="13.2"/>
    <row r="2807" s="299" customFormat="1" ht="13.2"/>
    <row r="2808" s="299" customFormat="1" ht="13.2"/>
    <row r="2809" s="299" customFormat="1" ht="13.2"/>
    <row r="2810" s="299" customFormat="1" ht="13.2"/>
    <row r="2811" s="299" customFormat="1" ht="13.2"/>
    <row r="2812" s="299" customFormat="1" ht="13.2"/>
    <row r="2813" s="299" customFormat="1" ht="13.2"/>
    <row r="2814" s="299" customFormat="1" ht="13.2"/>
    <row r="2815" s="299" customFormat="1" ht="13.2"/>
    <row r="2816" s="299" customFormat="1" ht="13.2"/>
    <row r="2817" s="299" customFormat="1" ht="13.2"/>
    <row r="2818" s="299" customFormat="1" ht="13.2"/>
    <row r="2819" s="299" customFormat="1" ht="13.2"/>
    <row r="2820" s="299" customFormat="1" ht="13.2"/>
    <row r="2821" s="299" customFormat="1" ht="13.2"/>
    <row r="2822" s="299" customFormat="1" ht="13.2"/>
    <row r="2823" s="299" customFormat="1" ht="13.2"/>
    <row r="2824" s="299" customFormat="1" ht="13.2"/>
    <row r="2825" s="299" customFormat="1" ht="13.2"/>
    <row r="2826" s="299" customFormat="1" ht="13.2"/>
    <row r="2827" s="299" customFormat="1" ht="13.2"/>
    <row r="2828" s="299" customFormat="1" ht="13.2"/>
    <row r="2829" s="299" customFormat="1" ht="13.2"/>
    <row r="2830" s="299" customFormat="1" ht="13.2"/>
    <row r="2831" s="299" customFormat="1" ht="13.2"/>
    <row r="2832" s="299" customFormat="1" ht="13.2"/>
    <row r="2833" s="299" customFormat="1" ht="13.2"/>
    <row r="2834" s="299" customFormat="1" ht="13.2"/>
    <row r="2835" s="299" customFormat="1" ht="13.2"/>
    <row r="2836" s="299" customFormat="1" ht="13.2"/>
    <row r="2837" s="299" customFormat="1" ht="13.2"/>
    <row r="2838" s="299" customFormat="1" ht="13.2"/>
    <row r="2839" s="299" customFormat="1" ht="13.2"/>
    <row r="2840" s="299" customFormat="1" ht="13.2"/>
    <row r="2841" s="299" customFormat="1" ht="13.2"/>
    <row r="2842" s="299" customFormat="1" ht="13.2"/>
    <row r="2843" s="299" customFormat="1" ht="13.2"/>
    <row r="2844" s="299" customFormat="1" ht="13.2"/>
    <row r="2845" s="299" customFormat="1" ht="13.2"/>
    <row r="2846" s="299" customFormat="1" ht="13.2"/>
    <row r="2847" s="299" customFormat="1" ht="13.2"/>
    <row r="2848" s="299" customFormat="1" ht="13.2"/>
    <row r="2849" s="299" customFormat="1" ht="13.2"/>
    <row r="2850" s="299" customFormat="1" ht="13.2"/>
    <row r="2851" s="299" customFormat="1" ht="13.2"/>
    <row r="2852" s="299" customFormat="1" ht="13.2"/>
    <row r="2853" s="299" customFormat="1" ht="13.2"/>
    <row r="2854" s="299" customFormat="1" ht="13.2"/>
    <row r="2855" s="299" customFormat="1" ht="13.2"/>
    <row r="2856" s="299" customFormat="1" ht="13.2"/>
    <row r="2857" s="299" customFormat="1" ht="13.2"/>
    <row r="2858" s="299" customFormat="1" ht="13.2"/>
    <row r="2859" s="299" customFormat="1" ht="13.2"/>
    <row r="2860" s="299" customFormat="1" ht="13.2"/>
    <row r="2861" s="299" customFormat="1" ht="13.2"/>
    <row r="2862" s="299" customFormat="1" ht="13.2"/>
    <row r="2863" s="299" customFormat="1" ht="13.2"/>
    <row r="2864" s="299" customFormat="1" ht="13.2"/>
    <row r="2865" s="299" customFormat="1" ht="13.2"/>
    <row r="2866" s="299" customFormat="1" ht="13.2"/>
    <row r="2867" s="299" customFormat="1" ht="13.2"/>
    <row r="2868" s="299" customFormat="1" ht="13.2"/>
    <row r="2869" s="299" customFormat="1" ht="13.2"/>
    <row r="2870" s="299" customFormat="1" ht="13.2"/>
    <row r="2871" s="299" customFormat="1" ht="13.2"/>
    <row r="2872" s="299" customFormat="1" ht="13.2"/>
    <row r="2873" s="299" customFormat="1" ht="13.2"/>
    <row r="2874" s="299" customFormat="1" ht="13.2"/>
    <row r="2875" s="299" customFormat="1" ht="13.2"/>
    <row r="2876" s="299" customFormat="1" ht="13.2"/>
    <row r="2877" s="299" customFormat="1" ht="13.2"/>
    <row r="2878" s="299" customFormat="1" ht="13.2"/>
    <row r="2879" s="299" customFormat="1" ht="13.2"/>
    <row r="2880" s="299" customFormat="1" ht="13.2"/>
    <row r="2881" s="299" customFormat="1" ht="13.2"/>
    <row r="2882" s="299" customFormat="1" ht="13.2"/>
    <row r="2883" s="299" customFormat="1" ht="13.2"/>
    <row r="2884" s="299" customFormat="1" ht="13.2"/>
    <row r="2885" s="299" customFormat="1" ht="13.2"/>
    <row r="2886" s="299" customFormat="1" ht="13.2"/>
    <row r="2887" s="299" customFormat="1" ht="13.2"/>
    <row r="2888" s="299" customFormat="1" ht="13.2"/>
    <row r="2889" s="299" customFormat="1" ht="13.2"/>
    <row r="2890" s="299" customFormat="1" ht="13.2"/>
    <row r="2891" s="299" customFormat="1" ht="13.2"/>
    <row r="2892" s="299" customFormat="1" ht="13.2"/>
    <row r="2893" s="299" customFormat="1" ht="13.2"/>
    <row r="2894" s="299" customFormat="1" ht="13.2"/>
    <row r="2895" s="299" customFormat="1" ht="13.2"/>
    <row r="2896" s="299" customFormat="1" ht="13.2"/>
    <row r="2897" s="299" customFormat="1" ht="13.2"/>
    <row r="2898" s="299" customFormat="1" ht="13.2"/>
    <row r="2899" s="299" customFormat="1" ht="13.2"/>
    <row r="2900" s="299" customFormat="1" ht="13.2"/>
    <row r="2901" s="299" customFormat="1" ht="13.2"/>
    <row r="2902" s="299" customFormat="1" ht="13.2"/>
    <row r="2903" s="299" customFormat="1" ht="13.2"/>
    <row r="2904" s="299" customFormat="1" ht="13.2"/>
    <row r="2905" s="299" customFormat="1" ht="13.2"/>
    <row r="2906" s="299" customFormat="1" ht="13.2"/>
    <row r="2907" s="299" customFormat="1" ht="13.2"/>
    <row r="2908" s="299" customFormat="1" ht="13.2"/>
    <row r="2909" s="299" customFormat="1" ht="13.2"/>
    <row r="2910" s="299" customFormat="1" ht="13.2"/>
    <row r="2911" s="299" customFormat="1" ht="13.2"/>
    <row r="2912" s="299" customFormat="1" ht="13.2"/>
    <row r="2913" s="299" customFormat="1" ht="13.2"/>
    <row r="2914" s="299" customFormat="1" ht="13.2"/>
    <row r="2915" s="299" customFormat="1" ht="13.2"/>
    <row r="2916" s="299" customFormat="1" ht="13.2"/>
    <row r="2917" s="299" customFormat="1" ht="13.2"/>
    <row r="2918" s="299" customFormat="1" ht="13.2"/>
    <row r="2919" s="299" customFormat="1" ht="13.2"/>
    <row r="2920" s="299" customFormat="1" ht="13.2"/>
    <row r="2921" s="299" customFormat="1" ht="13.2"/>
    <row r="2922" s="299" customFormat="1" ht="13.2"/>
    <row r="2923" s="299" customFormat="1" ht="13.2"/>
    <row r="2924" s="299" customFormat="1" ht="13.2"/>
    <row r="2925" s="299" customFormat="1" ht="13.2"/>
    <row r="2926" s="299" customFormat="1" ht="13.2"/>
    <row r="2927" s="299" customFormat="1" ht="13.2"/>
    <row r="2928" s="299" customFormat="1" ht="13.2"/>
    <row r="2929" s="299" customFormat="1" ht="13.2"/>
    <row r="2930" s="299" customFormat="1" ht="13.2"/>
    <row r="2931" s="299" customFormat="1" ht="13.2"/>
    <row r="2932" s="299" customFormat="1" ht="13.2"/>
    <row r="2933" s="299" customFormat="1" ht="13.2"/>
    <row r="2934" s="299" customFormat="1" ht="13.2"/>
    <row r="2935" s="299" customFormat="1" ht="13.2"/>
    <row r="2936" s="299" customFormat="1" ht="13.2"/>
    <row r="2937" s="299" customFormat="1" ht="13.2"/>
    <row r="2938" s="299" customFormat="1" ht="13.2"/>
    <row r="2939" s="299" customFormat="1" ht="13.2"/>
    <row r="2940" s="299" customFormat="1" ht="13.2"/>
    <row r="2941" s="299" customFormat="1" ht="13.2"/>
    <row r="2942" s="299" customFormat="1" ht="13.2"/>
    <row r="2943" s="299" customFormat="1" ht="13.2"/>
    <row r="2944" s="299" customFormat="1" ht="13.2"/>
    <row r="2945" s="299" customFormat="1" ht="13.2"/>
    <row r="2946" s="299" customFormat="1" ht="13.2"/>
    <row r="2947" s="299" customFormat="1" ht="13.2"/>
    <row r="2948" s="299" customFormat="1" ht="13.2"/>
    <row r="2949" s="299" customFormat="1" ht="13.2"/>
    <row r="2950" s="299" customFormat="1" ht="13.2"/>
    <row r="2951" s="299" customFormat="1" ht="13.2"/>
    <row r="2952" s="299" customFormat="1" ht="13.2"/>
    <row r="2953" s="299" customFormat="1" ht="13.2"/>
    <row r="2954" s="299" customFormat="1" ht="13.2"/>
    <row r="2955" s="299" customFormat="1" ht="13.2"/>
    <row r="2956" s="299" customFormat="1" ht="13.2"/>
    <row r="2957" s="299" customFormat="1" ht="13.2"/>
    <row r="2958" s="299" customFormat="1" ht="13.2"/>
    <row r="2959" s="299" customFormat="1" ht="13.2"/>
    <row r="2960" s="299" customFormat="1" ht="13.2"/>
    <row r="2961" s="299" customFormat="1" ht="13.2"/>
    <row r="2962" s="299" customFormat="1" ht="13.2"/>
    <row r="2963" s="299" customFormat="1" ht="13.2"/>
    <row r="2964" s="299" customFormat="1" ht="13.2"/>
    <row r="2965" s="299" customFormat="1" ht="13.2"/>
    <row r="2966" s="299" customFormat="1" ht="13.2"/>
    <row r="2967" s="299" customFormat="1" ht="13.2"/>
    <row r="2968" s="299" customFormat="1" ht="13.2"/>
    <row r="2969" s="299" customFormat="1" ht="13.2"/>
    <row r="2970" s="299" customFormat="1" ht="13.2"/>
    <row r="2971" s="299" customFormat="1" ht="13.2"/>
    <row r="2972" s="299" customFormat="1" ht="13.2"/>
    <row r="2973" s="299" customFormat="1" ht="13.2"/>
    <row r="2974" s="299" customFormat="1" ht="13.2"/>
    <row r="2975" s="299" customFormat="1" ht="13.2"/>
    <row r="2976" s="299" customFormat="1" ht="13.2"/>
    <row r="2977" s="299" customFormat="1" ht="13.2"/>
    <row r="2978" s="299" customFormat="1" ht="13.2"/>
    <row r="2979" s="299" customFormat="1" ht="13.2"/>
    <row r="2980" s="299" customFormat="1" ht="13.2"/>
    <row r="2981" s="299" customFormat="1" ht="13.2"/>
    <row r="2982" s="299" customFormat="1" ht="13.2"/>
    <row r="2983" s="299" customFormat="1" ht="13.2"/>
    <row r="2984" s="299" customFormat="1" ht="13.2"/>
    <row r="2985" s="299" customFormat="1" ht="13.2"/>
    <row r="2986" s="299" customFormat="1" ht="13.2"/>
    <row r="2987" s="299" customFormat="1" ht="13.2"/>
    <row r="2988" s="299" customFormat="1" ht="13.2"/>
    <row r="2989" s="299" customFormat="1" ht="13.2"/>
    <row r="2990" s="299" customFormat="1" ht="13.2"/>
    <row r="2991" s="299" customFormat="1" ht="13.2"/>
    <row r="2992" s="299" customFormat="1" ht="13.2"/>
    <row r="2993" s="299" customFormat="1" ht="13.2"/>
    <row r="2994" s="299" customFormat="1" ht="13.2"/>
    <row r="2995" s="299" customFormat="1" ht="13.2"/>
    <row r="2996" s="299" customFormat="1" ht="13.2"/>
    <row r="2997" s="299" customFormat="1" ht="13.2"/>
    <row r="2998" s="299" customFormat="1" ht="13.2"/>
    <row r="2999" s="299" customFormat="1" ht="13.2"/>
    <row r="3000" s="299" customFormat="1" ht="13.2"/>
    <row r="3001" s="299" customFormat="1" ht="13.2"/>
    <row r="3002" s="299" customFormat="1" ht="13.2"/>
    <row r="3003" s="299" customFormat="1" ht="13.2"/>
    <row r="3004" s="299" customFormat="1" ht="13.2"/>
    <row r="3005" s="299" customFormat="1" ht="13.2"/>
    <row r="3006" s="299" customFormat="1" ht="13.2"/>
    <row r="3007" s="299" customFormat="1" ht="13.2"/>
    <row r="3008" s="299" customFormat="1" ht="13.2"/>
    <row r="3009" s="299" customFormat="1" ht="13.2"/>
    <row r="3010" s="299" customFormat="1" ht="13.2"/>
    <row r="3011" s="299" customFormat="1" ht="13.2"/>
    <row r="3012" s="299" customFormat="1" ht="13.2"/>
    <row r="3013" s="299" customFormat="1" ht="13.2"/>
    <row r="3014" s="299" customFormat="1" ht="13.2"/>
    <row r="3015" s="299" customFormat="1" ht="13.2"/>
    <row r="3016" s="299" customFormat="1" ht="13.2"/>
    <row r="3017" s="299" customFormat="1" ht="13.2"/>
    <row r="3018" s="299" customFormat="1" ht="13.2"/>
    <row r="3019" s="299" customFormat="1" ht="13.2"/>
    <row r="3020" s="299" customFormat="1" ht="13.2"/>
    <row r="3021" s="299" customFormat="1" ht="13.2"/>
    <row r="3022" s="299" customFormat="1" ht="13.2"/>
    <row r="3023" s="299" customFormat="1" ht="13.2"/>
    <row r="3024" s="299" customFormat="1" ht="13.2"/>
    <row r="3025" s="299" customFormat="1" ht="13.2"/>
    <row r="3026" s="299" customFormat="1" ht="13.2"/>
    <row r="3027" s="299" customFormat="1" ht="13.2"/>
    <row r="3028" s="299" customFormat="1" ht="13.2"/>
    <row r="3029" s="299" customFormat="1" ht="13.2"/>
    <row r="3030" s="299" customFormat="1" ht="13.2"/>
    <row r="3031" s="299" customFormat="1" ht="13.2"/>
    <row r="3032" s="299" customFormat="1" ht="13.2"/>
    <row r="3033" s="299" customFormat="1" ht="13.2"/>
    <row r="3034" s="299" customFormat="1" ht="13.2"/>
    <row r="3035" s="299" customFormat="1" ht="13.2"/>
    <row r="3036" s="299" customFormat="1" ht="13.2"/>
    <row r="3037" s="299" customFormat="1" ht="13.2"/>
    <row r="3038" s="299" customFormat="1" ht="13.2"/>
    <row r="3039" s="299" customFormat="1" ht="13.2"/>
    <row r="3040" s="299" customFormat="1" ht="13.2"/>
    <row r="3041" s="299" customFormat="1" ht="13.2"/>
    <row r="3042" s="299" customFormat="1" ht="13.2"/>
    <row r="3043" s="299" customFormat="1" ht="13.2"/>
    <row r="3044" s="299" customFormat="1" ht="13.2"/>
    <row r="3045" s="299" customFormat="1" ht="13.2"/>
    <row r="3046" s="299" customFormat="1" ht="13.2"/>
    <row r="3047" s="299" customFormat="1" ht="13.2"/>
    <row r="3048" s="299" customFormat="1" ht="13.2"/>
    <row r="3049" s="299" customFormat="1" ht="13.2"/>
    <row r="3050" s="299" customFormat="1" ht="13.2"/>
    <row r="3051" s="299" customFormat="1" ht="13.2"/>
    <row r="3052" s="299" customFormat="1" ht="13.2"/>
    <row r="3053" s="299" customFormat="1" ht="13.2"/>
    <row r="3054" s="299" customFormat="1" ht="13.2"/>
    <row r="3055" s="299" customFormat="1" ht="13.2"/>
    <row r="3056" s="299" customFormat="1" ht="13.2"/>
    <row r="3057" s="299" customFormat="1" ht="13.2"/>
    <row r="3058" s="299" customFormat="1" ht="13.2"/>
    <row r="3059" s="299" customFormat="1" ht="13.2"/>
    <row r="3060" s="299" customFormat="1" ht="13.2"/>
    <row r="3061" s="299" customFormat="1" ht="13.2"/>
    <row r="3062" s="299" customFormat="1" ht="13.2"/>
    <row r="3063" s="299" customFormat="1" ht="13.2"/>
    <row r="3064" s="299" customFormat="1" ht="13.2"/>
    <row r="3065" s="299" customFormat="1" ht="13.2"/>
    <row r="3066" s="299" customFormat="1" ht="13.2"/>
    <row r="3067" s="299" customFormat="1" ht="13.2"/>
    <row r="3068" s="299" customFormat="1" ht="13.2"/>
    <row r="3069" s="299" customFormat="1" ht="13.2"/>
    <row r="3070" s="299" customFormat="1" ht="13.2"/>
    <row r="3071" s="299" customFormat="1" ht="13.2"/>
    <row r="3072" s="299" customFormat="1" ht="13.2"/>
    <row r="3073" s="299" customFormat="1" ht="13.2"/>
    <row r="3074" s="299" customFormat="1" ht="13.2"/>
    <row r="3075" s="299" customFormat="1" ht="13.2"/>
    <row r="3076" s="299" customFormat="1" ht="13.2"/>
    <row r="3077" s="299" customFormat="1" ht="13.2"/>
    <row r="3078" s="299" customFormat="1" ht="13.2"/>
    <row r="3079" s="299" customFormat="1" ht="13.2"/>
    <row r="3080" s="299" customFormat="1" ht="13.2"/>
    <row r="3081" s="299" customFormat="1" ht="13.2"/>
    <row r="3082" s="299" customFormat="1" ht="13.2"/>
    <row r="3083" s="299" customFormat="1" ht="13.2"/>
    <row r="3084" s="299" customFormat="1" ht="13.2"/>
    <row r="3085" s="299" customFormat="1" ht="13.2"/>
    <row r="3086" s="299" customFormat="1" ht="13.2"/>
    <row r="3087" s="299" customFormat="1" ht="13.2"/>
    <row r="3088" s="299" customFormat="1" ht="13.2"/>
    <row r="3089" s="299" customFormat="1" ht="13.2"/>
    <row r="3090" s="299" customFormat="1" ht="13.2"/>
    <row r="3091" s="299" customFormat="1" ht="13.2"/>
    <row r="3092" s="299" customFormat="1" ht="13.2"/>
    <row r="3093" s="299" customFormat="1" ht="13.2"/>
    <row r="3094" s="299" customFormat="1" ht="13.2"/>
    <row r="3095" s="299" customFormat="1" ht="13.2"/>
    <row r="3096" s="299" customFormat="1" ht="13.2"/>
    <row r="3097" s="299" customFormat="1" ht="13.2"/>
    <row r="3098" s="299" customFormat="1" ht="13.2"/>
    <row r="3099" s="299" customFormat="1" ht="13.2"/>
    <row r="3100" s="299" customFormat="1" ht="13.2"/>
    <row r="3101" s="299" customFormat="1" ht="13.2"/>
    <row r="3102" s="299" customFormat="1" ht="13.2"/>
    <row r="3103" s="299" customFormat="1" ht="13.2"/>
    <row r="3104" s="299" customFormat="1" ht="13.2"/>
    <row r="3105" s="299" customFormat="1" ht="13.2"/>
    <row r="3106" s="299" customFormat="1" ht="13.2"/>
    <row r="3107" s="299" customFormat="1" ht="13.2"/>
    <row r="3108" s="299" customFormat="1" ht="13.2"/>
    <row r="3109" s="299" customFormat="1" ht="13.2"/>
    <row r="3110" s="299" customFormat="1" ht="13.2"/>
    <row r="3111" s="299" customFormat="1" ht="13.2"/>
    <row r="3112" s="299" customFormat="1" ht="13.2"/>
    <row r="3113" s="299" customFormat="1" ht="13.2"/>
    <row r="3114" s="299" customFormat="1" ht="13.2"/>
    <row r="3115" s="299" customFormat="1" ht="13.2"/>
    <row r="3116" s="299" customFormat="1" ht="13.2"/>
    <row r="3117" s="299" customFormat="1" ht="13.2"/>
    <row r="3118" s="299" customFormat="1" ht="13.2"/>
    <row r="3119" s="299" customFormat="1" ht="13.2"/>
    <row r="3120" s="299" customFormat="1" ht="13.2"/>
    <row r="3121" s="299" customFormat="1" ht="13.2"/>
    <row r="3122" s="299" customFormat="1" ht="13.2"/>
    <row r="3123" s="299" customFormat="1" ht="13.2"/>
    <row r="3124" s="299" customFormat="1" ht="13.2"/>
    <row r="3125" s="299" customFormat="1" ht="13.2"/>
    <row r="3126" s="299" customFormat="1" ht="13.2"/>
    <row r="3127" s="299" customFormat="1" ht="13.2"/>
    <row r="3128" s="299" customFormat="1" ht="13.2"/>
    <row r="3129" s="299" customFormat="1" ht="13.2"/>
    <row r="3130" s="299" customFormat="1" ht="13.2"/>
    <row r="3131" s="299" customFormat="1" ht="13.2"/>
    <row r="3132" s="299" customFormat="1" ht="13.2"/>
    <row r="3133" s="299" customFormat="1" ht="13.2"/>
    <row r="3134" s="299" customFormat="1" ht="13.2"/>
    <row r="3135" s="299" customFormat="1" ht="13.2"/>
    <row r="3136" s="299" customFormat="1" ht="13.2"/>
    <row r="3137" s="299" customFormat="1" ht="13.2"/>
    <row r="3138" s="299" customFormat="1" ht="13.2"/>
    <row r="3139" s="299" customFormat="1" ht="13.2"/>
    <row r="3140" s="299" customFormat="1" ht="13.2"/>
    <row r="3141" s="299" customFormat="1" ht="13.2"/>
    <row r="3142" s="299" customFormat="1" ht="13.2"/>
    <row r="3143" s="299" customFormat="1" ht="13.2"/>
    <row r="3144" s="299" customFormat="1" ht="13.2"/>
    <row r="3145" s="299" customFormat="1" ht="13.2"/>
    <row r="3146" s="299" customFormat="1" ht="13.2"/>
    <row r="3147" s="299" customFormat="1" ht="13.2"/>
    <row r="3148" s="299" customFormat="1" ht="13.2"/>
    <row r="3149" s="299" customFormat="1" ht="13.2"/>
    <row r="3150" s="299" customFormat="1" ht="13.2"/>
    <row r="3151" s="299" customFormat="1" ht="13.2"/>
    <row r="3152" s="299" customFormat="1" ht="13.2"/>
    <row r="3153" s="299" customFormat="1" ht="13.2"/>
    <row r="3154" s="299" customFormat="1" ht="13.2"/>
    <row r="3155" s="299" customFormat="1" ht="13.2"/>
    <row r="3156" s="299" customFormat="1" ht="13.2"/>
    <row r="3157" s="299" customFormat="1" ht="13.2"/>
    <row r="3158" s="299" customFormat="1" ht="13.2"/>
    <row r="3159" s="299" customFormat="1" ht="13.2"/>
    <row r="3160" s="299" customFormat="1" ht="13.2"/>
    <row r="3161" s="299" customFormat="1" ht="13.2"/>
    <row r="3162" s="299" customFormat="1" ht="13.2"/>
    <row r="3163" s="299" customFormat="1" ht="13.2"/>
    <row r="3164" s="299" customFormat="1" ht="13.2"/>
    <row r="3165" s="299" customFormat="1" ht="13.2"/>
    <row r="3166" s="299" customFormat="1" ht="13.2"/>
    <row r="3167" s="299" customFormat="1" ht="13.2"/>
    <row r="3168" s="299" customFormat="1" ht="13.2"/>
    <row r="3169" s="299" customFormat="1" ht="13.2"/>
    <row r="3170" s="299" customFormat="1" ht="13.2"/>
    <row r="3171" s="299" customFormat="1" ht="13.2"/>
    <row r="3172" s="299" customFormat="1" ht="13.2"/>
    <row r="3173" s="299" customFormat="1" ht="13.2"/>
    <row r="3174" s="299" customFormat="1" ht="13.2"/>
    <row r="3175" s="299" customFormat="1" ht="13.2"/>
    <row r="3176" s="299" customFormat="1" ht="13.2"/>
    <row r="3177" s="299" customFormat="1" ht="13.2"/>
    <row r="3178" s="299" customFormat="1" ht="13.2"/>
    <row r="3179" s="299" customFormat="1" ht="13.2"/>
    <row r="3180" s="299" customFormat="1" ht="13.2"/>
    <row r="3181" s="299" customFormat="1" ht="13.2"/>
    <row r="3182" s="299" customFormat="1" ht="13.2"/>
    <row r="3183" s="299" customFormat="1" ht="13.2"/>
    <row r="3184" s="299" customFormat="1" ht="13.2"/>
    <row r="3185" s="299" customFormat="1" ht="13.2"/>
    <row r="3186" s="299" customFormat="1" ht="13.2"/>
    <row r="3187" s="299" customFormat="1" ht="13.2"/>
    <row r="3188" s="299" customFormat="1" ht="13.2"/>
    <row r="3189" s="299" customFormat="1" ht="13.2"/>
    <row r="3190" s="299" customFormat="1" ht="13.2"/>
    <row r="3191" s="299" customFormat="1" ht="13.2"/>
    <row r="3192" s="299" customFormat="1" ht="13.2"/>
    <row r="3193" s="299" customFormat="1" ht="13.2"/>
    <row r="3194" s="299" customFormat="1" ht="13.2"/>
    <row r="3195" s="299" customFormat="1" ht="13.2"/>
    <row r="3196" s="299" customFormat="1" ht="13.2"/>
    <row r="3197" s="299" customFormat="1" ht="13.2"/>
    <row r="3198" s="299" customFormat="1" ht="13.2"/>
    <row r="3199" s="299" customFormat="1" ht="13.2"/>
    <row r="3200" s="299" customFormat="1" ht="13.2"/>
    <row r="3201" s="299" customFormat="1" ht="13.2"/>
    <row r="3202" s="299" customFormat="1" ht="13.2"/>
    <row r="3203" s="299" customFormat="1" ht="13.2"/>
    <row r="3204" s="299" customFormat="1" ht="13.2"/>
    <row r="3205" s="299" customFormat="1" ht="13.2"/>
    <row r="3206" s="299" customFormat="1" ht="13.2"/>
    <row r="3207" s="299" customFormat="1" ht="13.2"/>
    <row r="3208" s="299" customFormat="1" ht="13.2"/>
    <row r="3209" s="299" customFormat="1" ht="13.2"/>
    <row r="3210" s="299" customFormat="1" ht="13.2"/>
    <row r="3211" s="299" customFormat="1" ht="13.2"/>
    <row r="3212" s="299" customFormat="1" ht="13.2"/>
    <row r="3213" s="299" customFormat="1" ht="13.2"/>
    <row r="3214" s="299" customFormat="1" ht="13.2"/>
    <row r="3215" s="299" customFormat="1" ht="13.2"/>
    <row r="3216" s="299" customFormat="1" ht="13.2"/>
    <row r="3217" s="299" customFormat="1" ht="13.2"/>
    <row r="3218" s="299" customFormat="1" ht="13.2"/>
    <row r="3219" s="299" customFormat="1" ht="13.2"/>
    <row r="3220" s="299" customFormat="1" ht="13.2"/>
    <row r="3221" s="299" customFormat="1" ht="13.2"/>
    <row r="3222" s="299" customFormat="1" ht="13.2"/>
    <row r="3223" s="299" customFormat="1" ht="13.2"/>
    <row r="3224" s="299" customFormat="1" ht="13.2"/>
    <row r="3225" s="299" customFormat="1" ht="13.2"/>
    <row r="3226" s="299" customFormat="1" ht="13.2"/>
    <row r="3227" s="299" customFormat="1" ht="13.2"/>
    <row r="3228" s="299" customFormat="1" ht="13.2"/>
    <row r="3229" s="299" customFormat="1" ht="13.2"/>
    <row r="3230" s="299" customFormat="1" ht="13.2"/>
    <row r="3231" s="299" customFormat="1" ht="13.2"/>
    <row r="3232" s="299" customFormat="1" ht="13.2"/>
    <row r="3233" s="299" customFormat="1" ht="13.2"/>
    <row r="3234" s="299" customFormat="1" ht="13.2"/>
    <row r="3235" s="299" customFormat="1" ht="13.2"/>
    <row r="3236" s="299" customFormat="1" ht="13.2"/>
    <row r="3237" s="299" customFormat="1" ht="13.2"/>
    <row r="3238" s="299" customFormat="1" ht="13.2"/>
    <row r="3239" s="299" customFormat="1" ht="13.2"/>
    <row r="3240" s="299" customFormat="1" ht="13.2"/>
    <row r="3241" s="299" customFormat="1" ht="13.2"/>
    <row r="3242" s="299" customFormat="1" ht="13.2"/>
    <row r="3243" s="299" customFormat="1" ht="13.2"/>
    <row r="3244" s="299" customFormat="1" ht="13.2"/>
    <row r="3245" s="299" customFormat="1" ht="13.2"/>
    <row r="3246" s="299" customFormat="1" ht="13.2"/>
    <row r="3247" s="299" customFormat="1" ht="13.2"/>
    <row r="3248" s="299" customFormat="1" ht="13.2"/>
    <row r="3249" s="299" customFormat="1" ht="13.2"/>
    <row r="3250" s="299" customFormat="1" ht="13.2"/>
    <row r="3251" s="299" customFormat="1" ht="13.2"/>
    <row r="3252" s="299" customFormat="1" ht="13.2"/>
    <row r="3253" s="299" customFormat="1" ht="13.2"/>
    <row r="3254" s="299" customFormat="1" ht="13.2"/>
    <row r="3255" s="299" customFormat="1" ht="13.2"/>
    <row r="3256" s="299" customFormat="1" ht="13.2"/>
    <row r="3257" s="299" customFormat="1" ht="13.2"/>
    <row r="3258" s="299" customFormat="1" ht="13.2"/>
    <row r="3259" s="299" customFormat="1" ht="13.2"/>
    <row r="3260" s="299" customFormat="1" ht="13.2"/>
    <row r="3261" s="299" customFormat="1" ht="13.2"/>
    <row r="3262" s="299" customFormat="1" ht="13.2"/>
    <row r="3263" s="299" customFormat="1" ht="13.2"/>
    <row r="3264" s="299" customFormat="1" ht="13.2"/>
    <row r="3265" s="299" customFormat="1" ht="13.2"/>
    <row r="3266" s="299" customFormat="1" ht="13.2"/>
    <row r="3267" s="299" customFormat="1" ht="13.2"/>
    <row r="3268" s="299" customFormat="1" ht="13.2"/>
    <row r="3269" s="299" customFormat="1" ht="13.2"/>
    <row r="3270" s="299" customFormat="1" ht="13.2"/>
    <row r="3271" s="299" customFormat="1" ht="13.2"/>
    <row r="3272" s="299" customFormat="1" ht="13.2"/>
    <row r="3273" s="299" customFormat="1" ht="13.2"/>
    <row r="3274" s="299" customFormat="1" ht="13.2"/>
    <row r="3275" s="299" customFormat="1" ht="13.2"/>
    <row r="3276" s="299" customFormat="1" ht="13.2"/>
    <row r="3277" s="299" customFormat="1" ht="13.2"/>
    <row r="3278" s="299" customFormat="1" ht="13.2"/>
    <row r="3279" s="299" customFormat="1" ht="13.2"/>
    <row r="3280" s="299" customFormat="1" ht="13.2"/>
    <row r="3281" s="299" customFormat="1" ht="13.2"/>
    <row r="3282" s="299" customFormat="1" ht="13.2"/>
    <row r="3283" s="299" customFormat="1" ht="13.2"/>
    <row r="3284" s="299" customFormat="1" ht="13.2"/>
    <row r="3285" s="299" customFormat="1" ht="13.2"/>
    <row r="3286" s="299" customFormat="1" ht="13.2"/>
    <row r="3287" s="299" customFormat="1" ht="13.2"/>
    <row r="3288" s="299" customFormat="1" ht="13.2"/>
    <row r="3289" s="299" customFormat="1" ht="13.2"/>
    <row r="3290" s="299" customFormat="1" ht="13.2"/>
    <row r="3291" s="299" customFormat="1" ht="13.2"/>
    <row r="3292" s="299" customFormat="1" ht="13.2"/>
    <row r="3293" s="299" customFormat="1" ht="13.2"/>
    <row r="3294" s="299" customFormat="1" ht="13.2"/>
    <row r="3295" s="299" customFormat="1" ht="13.2"/>
    <row r="3296" s="299" customFormat="1" ht="13.2"/>
    <row r="3297" s="299" customFormat="1" ht="13.2"/>
    <row r="3298" s="299" customFormat="1" ht="13.2"/>
    <row r="3299" s="299" customFormat="1" ht="13.2"/>
    <row r="3300" s="299" customFormat="1" ht="13.2"/>
    <row r="3301" s="299" customFormat="1" ht="13.2"/>
    <row r="3302" s="299" customFormat="1" ht="13.2"/>
    <row r="3303" s="299" customFormat="1" ht="13.2"/>
    <row r="3304" s="299" customFormat="1" ht="13.2"/>
    <row r="3305" s="299" customFormat="1" ht="13.2"/>
    <row r="3306" s="299" customFormat="1" ht="13.2"/>
    <row r="3307" s="299" customFormat="1" ht="13.2"/>
    <row r="3308" s="299" customFormat="1" ht="13.2"/>
    <row r="3309" s="299" customFormat="1" ht="13.2"/>
    <row r="3310" s="299" customFormat="1" ht="13.2"/>
    <row r="3311" s="299" customFormat="1" ht="13.2"/>
    <row r="3312" s="299" customFormat="1" ht="13.2"/>
    <row r="3313" s="299" customFormat="1" ht="13.2"/>
    <row r="3314" s="299" customFormat="1" ht="13.2"/>
    <row r="3315" s="299" customFormat="1" ht="13.2"/>
    <row r="3316" s="299" customFormat="1" ht="13.2"/>
    <row r="3317" s="299" customFormat="1" ht="13.2"/>
    <row r="3318" s="299" customFormat="1" ht="13.2"/>
    <row r="3319" s="299" customFormat="1" ht="13.2"/>
    <row r="3320" s="299" customFormat="1" ht="13.2"/>
    <row r="3321" s="299" customFormat="1" ht="13.2"/>
    <row r="3322" s="299" customFormat="1" ht="13.2"/>
    <row r="3323" s="299" customFormat="1" ht="13.2"/>
    <row r="3324" s="299" customFormat="1" ht="13.2"/>
    <row r="3325" s="299" customFormat="1" ht="13.2"/>
    <row r="3326" s="299" customFormat="1" ht="13.2"/>
    <row r="3327" s="299" customFormat="1" ht="13.2"/>
    <row r="3328" s="299" customFormat="1" ht="13.2"/>
    <row r="3329" s="299" customFormat="1" ht="13.2"/>
    <row r="3330" s="299" customFormat="1" ht="13.2"/>
    <row r="3331" s="299" customFormat="1" ht="13.2"/>
    <row r="3332" s="299" customFormat="1" ht="13.2"/>
    <row r="3333" s="299" customFormat="1" ht="13.2"/>
    <row r="3334" s="299" customFormat="1" ht="13.2"/>
    <row r="3335" s="299" customFormat="1" ht="13.2"/>
    <row r="3336" s="299" customFormat="1" ht="13.2"/>
    <row r="3337" s="299" customFormat="1" ht="13.2"/>
    <row r="3338" s="299" customFormat="1" ht="13.2"/>
    <row r="3339" s="299" customFormat="1" ht="13.2"/>
    <row r="3340" s="299" customFormat="1" ht="13.2"/>
    <row r="3341" s="299" customFormat="1" ht="13.2"/>
    <row r="3342" s="299" customFormat="1" ht="13.2"/>
    <row r="3343" s="299" customFormat="1" ht="13.2"/>
    <row r="3344" s="299" customFormat="1" ht="13.2"/>
    <row r="3345" s="299" customFormat="1" ht="13.2"/>
    <row r="3346" s="299" customFormat="1" ht="13.2"/>
    <row r="3347" s="299" customFormat="1" ht="13.2"/>
    <row r="3348" s="299" customFormat="1" ht="13.2"/>
    <row r="3349" s="299" customFormat="1" ht="13.2"/>
    <row r="3350" s="299" customFormat="1" ht="13.2"/>
    <row r="3351" s="299" customFormat="1" ht="13.2"/>
    <row r="3352" s="299" customFormat="1" ht="13.2"/>
    <row r="3353" s="299" customFormat="1" ht="13.2"/>
    <row r="3354" s="299" customFormat="1" ht="13.2"/>
    <row r="3355" s="299" customFormat="1" ht="13.2"/>
    <row r="3356" s="299" customFormat="1" ht="13.2"/>
    <row r="3357" s="299" customFormat="1" ht="13.2"/>
    <row r="3358" s="299" customFormat="1" ht="13.2"/>
    <row r="3359" s="299" customFormat="1" ht="13.2"/>
    <row r="3360" s="299" customFormat="1" ht="13.2"/>
    <row r="3361" s="299" customFormat="1" ht="13.2"/>
    <row r="3362" s="299" customFormat="1" ht="13.2"/>
    <row r="3363" s="299" customFormat="1" ht="13.2"/>
    <row r="3364" s="299" customFormat="1" ht="13.2"/>
    <row r="3365" s="299" customFormat="1" ht="13.2"/>
    <row r="3366" s="299" customFormat="1" ht="13.2"/>
    <row r="3367" s="299" customFormat="1" ht="13.2"/>
    <row r="3368" s="299" customFormat="1" ht="13.2"/>
    <row r="3369" s="299" customFormat="1" ht="13.2"/>
    <row r="3370" s="299" customFormat="1" ht="13.2"/>
    <row r="3371" s="299" customFormat="1" ht="13.2"/>
    <row r="3372" s="299" customFormat="1" ht="13.2"/>
    <row r="3373" s="299" customFormat="1" ht="13.2"/>
    <row r="3374" s="299" customFormat="1" ht="13.2"/>
    <row r="3375" s="299" customFormat="1" ht="13.2"/>
    <row r="3376" s="299" customFormat="1" ht="13.2"/>
    <row r="3377" s="299" customFormat="1" ht="13.2"/>
    <row r="3378" s="299" customFormat="1" ht="13.2"/>
    <row r="3379" s="299" customFormat="1" ht="13.2"/>
    <row r="3380" s="299" customFormat="1" ht="13.2"/>
    <row r="3381" s="299" customFormat="1" ht="13.2"/>
    <row r="3382" s="299" customFormat="1" ht="13.2"/>
    <row r="3383" s="299" customFormat="1" ht="13.2"/>
    <row r="3384" s="299" customFormat="1" ht="13.2"/>
    <row r="3385" s="299" customFormat="1" ht="13.2"/>
    <row r="3386" s="299" customFormat="1" ht="13.2"/>
    <row r="3387" s="299" customFormat="1" ht="13.2"/>
    <row r="3388" s="299" customFormat="1" ht="13.2"/>
    <row r="3389" s="299" customFormat="1" ht="13.2"/>
    <row r="3390" s="299" customFormat="1" ht="13.2"/>
    <row r="3391" s="299" customFormat="1" ht="13.2"/>
    <row r="3392" s="299" customFormat="1" ht="13.2"/>
    <row r="3393" s="299" customFormat="1" ht="13.2"/>
    <row r="3394" s="299" customFormat="1" ht="13.2"/>
    <row r="3395" s="299" customFormat="1" ht="13.2"/>
    <row r="3396" s="299" customFormat="1" ht="13.2"/>
    <row r="3397" s="299" customFormat="1" ht="13.2"/>
    <row r="3398" s="299" customFormat="1" ht="13.2"/>
    <row r="3399" s="299" customFormat="1" ht="13.2"/>
    <row r="3400" s="299" customFormat="1" ht="13.2"/>
    <row r="3401" s="299" customFormat="1" ht="13.2"/>
    <row r="3402" s="299" customFormat="1" ht="13.2"/>
    <row r="3403" s="299" customFormat="1" ht="13.2"/>
    <row r="3404" s="299" customFormat="1" ht="13.2"/>
    <row r="3405" s="299" customFormat="1" ht="13.2"/>
    <row r="3406" s="299" customFormat="1" ht="13.2"/>
    <row r="3407" s="299" customFormat="1" ht="13.2"/>
    <row r="3408" s="299" customFormat="1" ht="13.2"/>
    <row r="3409" s="299" customFormat="1" ht="13.2"/>
    <row r="3410" s="299" customFormat="1" ht="13.2"/>
    <row r="3411" s="299" customFormat="1" ht="13.2"/>
    <row r="3412" s="299" customFormat="1" ht="13.2"/>
    <row r="3413" s="299" customFormat="1" ht="13.2"/>
    <row r="3414" s="299" customFormat="1" ht="13.2"/>
    <row r="3415" s="299" customFormat="1" ht="13.2"/>
    <row r="3416" s="299" customFormat="1" ht="13.2"/>
    <row r="3417" s="299" customFormat="1" ht="13.2"/>
    <row r="3418" s="299" customFormat="1" ht="13.2"/>
    <row r="3419" s="299" customFormat="1" ht="13.2"/>
    <row r="3420" s="299" customFormat="1" ht="13.2"/>
    <row r="3421" s="299" customFormat="1" ht="13.2"/>
    <row r="3422" s="299" customFormat="1" ht="13.2"/>
    <row r="3423" s="299" customFormat="1" ht="13.2"/>
    <row r="3424" s="299" customFormat="1" ht="13.2"/>
    <row r="3425" s="299" customFormat="1" ht="13.2"/>
    <row r="3426" s="299" customFormat="1" ht="13.2"/>
    <row r="3427" s="299" customFormat="1" ht="13.2"/>
    <row r="3428" s="299" customFormat="1" ht="13.2"/>
    <row r="3429" s="299" customFormat="1" ht="13.2"/>
    <row r="3430" s="299" customFormat="1" ht="13.2"/>
    <row r="3431" s="299" customFormat="1" ht="13.2"/>
    <row r="3432" s="299" customFormat="1" ht="13.2"/>
    <row r="3433" s="299" customFormat="1" ht="13.2"/>
    <row r="3434" s="299" customFormat="1" ht="13.2"/>
    <row r="3435" s="299" customFormat="1" ht="13.2"/>
    <row r="3436" s="299" customFormat="1" ht="13.2"/>
    <row r="3437" s="299" customFormat="1" ht="13.2"/>
    <row r="3438" s="299" customFormat="1" ht="13.2"/>
    <row r="3439" s="299" customFormat="1" ht="13.2"/>
    <row r="3440" s="299" customFormat="1" ht="13.2"/>
    <row r="3441" s="299" customFormat="1" ht="13.2"/>
    <row r="3442" s="299" customFormat="1" ht="13.2"/>
    <row r="3443" s="299" customFormat="1" ht="13.2"/>
    <row r="3444" s="299" customFormat="1" ht="13.2"/>
    <row r="3445" s="299" customFormat="1" ht="13.2"/>
    <row r="3446" s="299" customFormat="1" ht="13.2"/>
    <row r="3447" s="299" customFormat="1" ht="13.2"/>
    <row r="3448" s="299" customFormat="1" ht="13.2"/>
    <row r="3449" s="299" customFormat="1" ht="13.2"/>
    <row r="3450" s="299" customFormat="1" ht="13.2"/>
    <row r="3451" s="299" customFormat="1" ht="13.2"/>
    <row r="3452" s="299" customFormat="1" ht="13.2"/>
    <row r="3453" s="299" customFormat="1" ht="13.2"/>
    <row r="3454" s="299" customFormat="1" ht="13.2"/>
    <row r="3455" s="299" customFormat="1" ht="13.2"/>
    <row r="3456" s="299" customFormat="1" ht="13.2"/>
    <row r="3457" s="299" customFormat="1" ht="13.2"/>
    <row r="3458" s="299" customFormat="1" ht="13.2"/>
    <row r="3459" s="299" customFormat="1" ht="13.2"/>
    <row r="3460" s="299" customFormat="1" ht="13.2"/>
    <row r="3461" s="299" customFormat="1" ht="13.2"/>
    <row r="3462" s="299" customFormat="1" ht="13.2"/>
    <row r="3463" s="299" customFormat="1" ht="13.2"/>
    <row r="3464" s="299" customFormat="1" ht="13.2"/>
    <row r="3465" s="299" customFormat="1" ht="13.2"/>
    <row r="3466" s="299" customFormat="1" ht="13.2"/>
    <row r="3467" s="299" customFormat="1" ht="13.2"/>
    <row r="3468" s="299" customFormat="1" ht="13.2"/>
    <row r="3469" s="299" customFormat="1" ht="13.2"/>
    <row r="3470" s="299" customFormat="1" ht="13.2"/>
    <row r="3471" s="299" customFormat="1" ht="13.2"/>
    <row r="3472" s="299" customFormat="1" ht="13.2"/>
    <row r="3473" s="299" customFormat="1" ht="13.2"/>
    <row r="3474" s="299" customFormat="1" ht="13.2"/>
    <row r="3475" s="299" customFormat="1" ht="13.2"/>
    <row r="3476" s="299" customFormat="1" ht="13.2"/>
    <row r="3477" s="299" customFormat="1" ht="13.2"/>
    <row r="3478" s="299" customFormat="1" ht="13.2"/>
    <row r="3479" s="299" customFormat="1" ht="13.2"/>
    <row r="3480" s="299" customFormat="1" ht="13.2"/>
    <row r="3481" s="299" customFormat="1" ht="13.2"/>
    <row r="3482" s="299" customFormat="1" ht="13.2"/>
    <row r="3483" s="299" customFormat="1" ht="13.2"/>
    <row r="3484" s="299" customFormat="1" ht="13.2"/>
    <row r="3485" s="299" customFormat="1" ht="13.2"/>
    <row r="3486" s="299" customFormat="1" ht="13.2"/>
    <row r="3487" s="299" customFormat="1" ht="13.2"/>
    <row r="3488" s="299" customFormat="1" ht="13.2"/>
    <row r="3489" s="299" customFormat="1" ht="13.2"/>
    <row r="3490" s="299" customFormat="1" ht="13.2"/>
    <row r="3491" s="299" customFormat="1" ht="13.2"/>
    <row r="3492" s="299" customFormat="1" ht="13.2"/>
    <row r="3493" s="299" customFormat="1" ht="13.2"/>
    <row r="3494" s="299" customFormat="1" ht="13.2"/>
    <row r="3495" s="299" customFormat="1" ht="13.2"/>
    <row r="3496" s="299" customFormat="1" ht="13.2"/>
    <row r="3497" s="299" customFormat="1" ht="13.2"/>
    <row r="3498" s="299" customFormat="1" ht="13.2"/>
    <row r="3499" s="299" customFormat="1" ht="13.2"/>
    <row r="3500" s="299" customFormat="1" ht="13.2"/>
    <row r="3501" s="299" customFormat="1" ht="13.2"/>
    <row r="3502" s="299" customFormat="1" ht="13.2"/>
    <row r="3503" s="299" customFormat="1" ht="13.2"/>
    <row r="3504" s="299" customFormat="1" ht="13.2"/>
    <row r="3505" s="299" customFormat="1" ht="13.2"/>
    <row r="3506" s="299" customFormat="1" ht="13.2"/>
    <row r="3507" s="299" customFormat="1" ht="13.2"/>
    <row r="3508" s="299" customFormat="1" ht="13.2"/>
    <row r="3509" s="299" customFormat="1" ht="13.2"/>
    <row r="3510" s="299" customFormat="1" ht="13.2"/>
    <row r="3511" s="299" customFormat="1" ht="13.2"/>
    <row r="3512" s="299" customFormat="1" ht="13.2"/>
    <row r="3513" s="299" customFormat="1" ht="13.2"/>
    <row r="3514" s="299" customFormat="1" ht="13.2"/>
    <row r="3515" s="299" customFormat="1" ht="13.2"/>
    <row r="3516" s="299" customFormat="1" ht="13.2"/>
    <row r="3517" s="299" customFormat="1" ht="13.2"/>
    <row r="3518" s="299" customFormat="1" ht="13.2"/>
    <row r="3519" s="299" customFormat="1" ht="13.2"/>
    <row r="3520" s="299" customFormat="1" ht="13.2"/>
    <row r="3521" s="299" customFormat="1" ht="13.2"/>
    <row r="3522" s="299" customFormat="1" ht="13.2"/>
    <row r="3523" s="299" customFormat="1" ht="13.2"/>
    <row r="3524" s="299" customFormat="1" ht="13.2"/>
    <row r="3525" s="299" customFormat="1" ht="13.2"/>
    <row r="3526" s="299" customFormat="1" ht="13.2"/>
    <row r="3527" s="299" customFormat="1" ht="13.2"/>
    <row r="3528" s="299" customFormat="1" ht="13.2"/>
    <row r="3529" s="299" customFormat="1" ht="13.2"/>
    <row r="3530" s="299" customFormat="1" ht="13.2"/>
    <row r="3531" s="299" customFormat="1" ht="13.2"/>
    <row r="3532" s="299" customFormat="1" ht="13.2"/>
    <row r="3533" s="299" customFormat="1" ht="13.2"/>
    <row r="3534" s="299" customFormat="1" ht="13.2"/>
    <row r="3535" s="299" customFormat="1" ht="13.2"/>
    <row r="3536" s="299" customFormat="1" ht="13.2"/>
    <row r="3537" s="299" customFormat="1" ht="13.2"/>
    <row r="3538" s="299" customFormat="1" ht="13.2"/>
    <row r="3539" s="299" customFormat="1" ht="13.2"/>
    <row r="3540" s="299" customFormat="1" ht="13.2"/>
    <row r="3541" s="299" customFormat="1" ht="13.2"/>
    <row r="3542" s="299" customFormat="1" ht="13.2"/>
    <row r="3543" s="299" customFormat="1" ht="13.2"/>
    <row r="3544" s="299" customFormat="1" ht="13.2"/>
    <row r="3545" s="299" customFormat="1" ht="13.2"/>
    <row r="3546" s="299" customFormat="1" ht="13.2"/>
    <row r="3547" s="299" customFormat="1" ht="13.2"/>
    <row r="3548" s="299" customFormat="1" ht="13.2"/>
    <row r="3549" s="299" customFormat="1" ht="13.2"/>
    <row r="3550" s="299" customFormat="1" ht="13.2"/>
    <row r="3551" s="299" customFormat="1" ht="13.2"/>
    <row r="3552" s="299" customFormat="1" ht="13.2"/>
    <row r="3553" s="299" customFormat="1" ht="13.2"/>
    <row r="3554" s="299" customFormat="1" ht="13.2"/>
    <row r="3555" s="299" customFormat="1" ht="13.2"/>
    <row r="3556" s="299" customFormat="1" ht="13.2"/>
    <row r="3557" s="299" customFormat="1" ht="13.2"/>
    <row r="3558" s="299" customFormat="1" ht="13.2"/>
    <row r="3559" s="299" customFormat="1" ht="13.2"/>
    <row r="3560" s="299" customFormat="1" ht="13.2"/>
    <row r="3561" s="299" customFormat="1" ht="13.2"/>
    <row r="3562" s="299" customFormat="1" ht="13.2"/>
    <row r="3563" s="299" customFormat="1" ht="13.2"/>
    <row r="3564" s="299" customFormat="1" ht="13.2"/>
    <row r="3565" s="299" customFormat="1" ht="13.2"/>
    <row r="3566" s="299" customFormat="1" ht="13.2"/>
    <row r="3567" s="299" customFormat="1" ht="13.2"/>
    <row r="3568" s="299" customFormat="1" ht="13.2"/>
    <row r="3569" s="299" customFormat="1" ht="13.2"/>
    <row r="3570" s="299" customFormat="1" ht="13.2"/>
    <row r="3571" s="299" customFormat="1" ht="13.2"/>
    <row r="3572" s="299" customFormat="1" ht="13.2"/>
    <row r="3573" s="299" customFormat="1" ht="13.2"/>
    <row r="3574" s="299" customFormat="1" ht="13.2"/>
    <row r="3575" s="299" customFormat="1" ht="13.2"/>
    <row r="3576" s="299" customFormat="1" ht="13.2"/>
    <row r="3577" s="299" customFormat="1" ht="13.2"/>
    <row r="3578" s="299" customFormat="1" ht="13.2"/>
    <row r="3579" s="299" customFormat="1" ht="13.2"/>
    <row r="3580" s="299" customFormat="1" ht="13.2"/>
    <row r="3581" s="299" customFormat="1" ht="13.2"/>
    <row r="3582" s="299" customFormat="1" ht="13.2"/>
    <row r="3583" s="299" customFormat="1" ht="13.2"/>
    <row r="3584" s="299" customFormat="1" ht="13.2"/>
    <row r="3585" s="299" customFormat="1" ht="13.2"/>
    <row r="3586" s="299" customFormat="1" ht="13.2"/>
    <row r="3587" s="299" customFormat="1" ht="13.2"/>
    <row r="3588" s="299" customFormat="1" ht="13.2"/>
    <row r="3589" s="299" customFormat="1" ht="13.2"/>
    <row r="3590" s="299" customFormat="1" ht="13.2"/>
    <row r="3591" s="299" customFormat="1" ht="13.2"/>
    <row r="3592" s="299" customFormat="1" ht="13.2"/>
    <row r="3593" s="299" customFormat="1" ht="13.2"/>
    <row r="3594" s="299" customFormat="1" ht="13.2"/>
    <row r="3595" s="299" customFormat="1" ht="13.2"/>
    <row r="3596" s="299" customFormat="1" ht="13.2"/>
    <row r="3597" s="299" customFormat="1" ht="13.2"/>
    <row r="3598" s="299" customFormat="1" ht="13.2"/>
    <row r="3599" s="299" customFormat="1" ht="13.2"/>
    <row r="3600" s="299" customFormat="1" ht="13.2"/>
    <row r="3601" s="299" customFormat="1" ht="13.2"/>
    <row r="3602" s="299" customFormat="1" ht="13.2"/>
    <row r="3603" s="299" customFormat="1" ht="13.2"/>
    <row r="3604" s="299" customFormat="1" ht="13.2"/>
    <row r="3605" s="299" customFormat="1" ht="13.2"/>
    <row r="3606" s="299" customFormat="1" ht="13.2"/>
    <row r="3607" s="299" customFormat="1" ht="13.2"/>
    <row r="3608" s="299" customFormat="1" ht="13.2"/>
    <row r="3609" s="299" customFormat="1" ht="13.2"/>
    <row r="3610" s="299" customFormat="1" ht="13.2"/>
    <row r="3611" s="299" customFormat="1" ht="13.2"/>
    <row r="3612" s="299" customFormat="1" ht="13.2"/>
    <row r="3613" s="299" customFormat="1" ht="13.2"/>
    <row r="3614" s="299" customFormat="1" ht="13.2"/>
    <row r="3615" s="299" customFormat="1" ht="13.2"/>
    <row r="3616" s="299" customFormat="1" ht="13.2"/>
    <row r="3617" s="299" customFormat="1" ht="13.2"/>
    <row r="3618" s="299" customFormat="1" ht="13.2"/>
    <row r="3619" s="299" customFormat="1" ht="13.2"/>
    <row r="3620" s="299" customFormat="1" ht="13.2"/>
    <row r="3621" s="299" customFormat="1" ht="13.2"/>
    <row r="3622" s="299" customFormat="1" ht="13.2"/>
    <row r="3623" s="299" customFormat="1" ht="13.2"/>
    <row r="3624" s="299" customFormat="1" ht="13.2"/>
    <row r="3625" s="299" customFormat="1" ht="13.2"/>
    <row r="3626" s="299" customFormat="1" ht="13.2"/>
    <row r="3627" s="299" customFormat="1" ht="13.2"/>
    <row r="3628" s="299" customFormat="1" ht="13.2"/>
    <row r="3629" s="299" customFormat="1" ht="13.2"/>
    <row r="3630" s="299" customFormat="1" ht="13.2"/>
    <row r="3631" s="299" customFormat="1" ht="13.2"/>
    <row r="3632" s="299" customFormat="1" ht="13.2"/>
    <row r="3633" s="299" customFormat="1" ht="13.2"/>
    <row r="3634" s="299" customFormat="1" ht="13.2"/>
    <row r="3635" s="299" customFormat="1" ht="13.2"/>
    <row r="3636" s="299" customFormat="1" ht="13.2"/>
    <row r="3637" s="299" customFormat="1" ht="13.2"/>
    <row r="3638" s="299" customFormat="1" ht="13.2"/>
    <row r="3639" s="299" customFormat="1" ht="13.2"/>
    <row r="3640" s="299" customFormat="1" ht="13.2"/>
    <row r="3641" s="299" customFormat="1" ht="13.2"/>
    <row r="3642" s="299" customFormat="1" ht="13.2"/>
    <row r="3643" s="299" customFormat="1" ht="13.2"/>
    <row r="3644" s="299" customFormat="1" ht="13.2"/>
    <row r="3645" s="299" customFormat="1" ht="13.2"/>
    <row r="3646" s="299" customFormat="1" ht="13.2"/>
    <row r="3647" s="299" customFormat="1" ht="13.2"/>
    <row r="3648" s="299" customFormat="1" ht="13.2"/>
    <row r="3649" s="299" customFormat="1" ht="13.2"/>
    <row r="3650" s="299" customFormat="1" ht="13.2"/>
    <row r="3651" s="299" customFormat="1" ht="13.2"/>
    <row r="3652" s="299" customFormat="1" ht="13.2"/>
    <row r="3653" s="299" customFormat="1" ht="13.2"/>
    <row r="3654" s="299" customFormat="1" ht="13.2"/>
    <row r="3655" s="299" customFormat="1" ht="13.2"/>
    <row r="3656" s="299" customFormat="1" ht="13.2"/>
    <row r="3657" s="299" customFormat="1" ht="13.2"/>
    <row r="3658" s="299" customFormat="1" ht="13.2"/>
    <row r="3659" s="299" customFormat="1" ht="13.2"/>
    <row r="3660" s="299" customFormat="1" ht="13.2"/>
    <row r="3661" s="299" customFormat="1" ht="13.2"/>
    <row r="3662" s="299" customFormat="1" ht="13.2"/>
    <row r="3663" s="299" customFormat="1" ht="13.2"/>
    <row r="3664" s="299" customFormat="1" ht="13.2"/>
    <row r="3665" s="299" customFormat="1" ht="13.2"/>
    <row r="3666" s="299" customFormat="1" ht="13.2"/>
    <row r="3667" s="299" customFormat="1" ht="13.2"/>
    <row r="3668" s="299" customFormat="1" ht="13.2"/>
    <row r="3669" s="299" customFormat="1" ht="13.2"/>
    <row r="3670" s="299" customFormat="1" ht="13.2"/>
    <row r="3671" s="299" customFormat="1" ht="13.2"/>
    <row r="3672" s="299" customFormat="1" ht="13.2"/>
    <row r="3673" s="299" customFormat="1" ht="13.2"/>
    <row r="3674" s="299" customFormat="1" ht="13.2"/>
    <row r="3675" s="299" customFormat="1" ht="13.2"/>
    <row r="3676" s="299" customFormat="1" ht="13.2"/>
    <row r="3677" s="299" customFormat="1" ht="13.2"/>
    <row r="3678" s="299" customFormat="1" ht="13.2"/>
    <row r="3679" s="299" customFormat="1" ht="13.2"/>
    <row r="3680" s="299" customFormat="1" ht="13.2"/>
    <row r="3681" s="299" customFormat="1" ht="13.2"/>
    <row r="3682" s="299" customFormat="1" ht="13.2"/>
    <row r="3683" s="299" customFormat="1" ht="13.2"/>
    <row r="3684" s="299" customFormat="1" ht="13.2"/>
    <row r="3685" s="299" customFormat="1" ht="13.2"/>
    <row r="3686" s="299" customFormat="1" ht="13.2"/>
    <row r="3687" s="299" customFormat="1" ht="13.2"/>
    <row r="3688" s="299" customFormat="1" ht="13.2"/>
    <row r="3689" s="299" customFormat="1" ht="13.2"/>
    <row r="3690" s="299" customFormat="1" ht="13.2"/>
    <row r="3691" s="299" customFormat="1" ht="13.2"/>
    <row r="3692" s="299" customFormat="1" ht="13.2"/>
    <row r="3693" s="299" customFormat="1" ht="13.2"/>
    <row r="3694" s="299" customFormat="1" ht="13.2"/>
    <row r="3695" s="299" customFormat="1" ht="13.2"/>
    <row r="3696" s="299" customFormat="1" ht="13.2"/>
    <row r="3697" s="299" customFormat="1" ht="13.2"/>
    <row r="3698" s="299" customFormat="1" ht="13.2"/>
    <row r="3699" s="299" customFormat="1" ht="13.2"/>
    <row r="3700" s="299" customFormat="1" ht="13.2"/>
    <row r="3701" s="299" customFormat="1" ht="13.2"/>
    <row r="3702" s="299" customFormat="1" ht="13.2"/>
    <row r="3703" s="299" customFormat="1" ht="13.2"/>
    <row r="3704" s="299" customFormat="1" ht="13.2"/>
    <row r="3705" s="299" customFormat="1" ht="13.2"/>
    <row r="3706" s="299" customFormat="1" ht="13.2"/>
    <row r="3707" s="299" customFormat="1" ht="13.2"/>
    <row r="3708" s="299" customFormat="1" ht="13.2"/>
    <row r="3709" s="299" customFormat="1" ht="13.2"/>
    <row r="3710" s="299" customFormat="1" ht="13.2"/>
    <row r="3711" s="299" customFormat="1" ht="13.2"/>
    <row r="3712" s="299" customFormat="1" ht="13.2"/>
    <row r="3713" s="299" customFormat="1" ht="13.2"/>
    <row r="3714" s="299" customFormat="1" ht="13.2"/>
    <row r="3715" s="299" customFormat="1" ht="13.2"/>
    <row r="3716" s="299" customFormat="1" ht="13.2"/>
    <row r="3717" s="299" customFormat="1" ht="13.2"/>
    <row r="3718" s="299" customFormat="1" ht="13.2"/>
    <row r="3719" s="299" customFormat="1" ht="13.2"/>
    <row r="3720" s="299" customFormat="1" ht="13.2"/>
    <row r="3721" s="299" customFormat="1" ht="13.2"/>
    <row r="3722" s="299" customFormat="1" ht="13.2"/>
    <row r="3723" s="299" customFormat="1" ht="13.2"/>
    <row r="3724" s="299" customFormat="1" ht="13.2"/>
    <row r="3725" s="299" customFormat="1" ht="13.2"/>
    <row r="3726" s="299" customFormat="1" ht="13.2"/>
    <row r="3727" s="299" customFormat="1" ht="13.2"/>
    <row r="3728" s="299" customFormat="1" ht="13.2"/>
    <row r="3729" s="299" customFormat="1" ht="13.2"/>
    <row r="3730" s="299" customFormat="1" ht="13.2"/>
    <row r="3731" s="299" customFormat="1" ht="13.2"/>
    <row r="3732" s="299" customFormat="1" ht="13.2"/>
    <row r="3733" s="299" customFormat="1" ht="13.2"/>
    <row r="3734" s="299" customFormat="1" ht="13.2"/>
    <row r="3735" s="299" customFormat="1" ht="13.2"/>
    <row r="3736" s="299" customFormat="1" ht="13.2"/>
    <row r="3737" s="299" customFormat="1" ht="13.2"/>
    <row r="3738" s="299" customFormat="1" ht="13.2"/>
    <row r="3739" s="299" customFormat="1" ht="13.2"/>
    <row r="3740" s="299" customFormat="1" ht="13.2"/>
    <row r="3741" s="299" customFormat="1" ht="13.2"/>
    <row r="3742" s="299" customFormat="1" ht="13.2"/>
    <row r="3743" s="299" customFormat="1" ht="13.2"/>
    <row r="3744" s="299" customFormat="1" ht="13.2"/>
    <row r="3745" s="299" customFormat="1" ht="13.2"/>
    <row r="3746" s="299" customFormat="1" ht="13.2"/>
    <row r="3747" s="299" customFormat="1" ht="13.2"/>
    <row r="3748" s="299" customFormat="1" ht="13.2"/>
    <row r="3749" s="299" customFormat="1" ht="13.2"/>
    <row r="3750" s="299" customFormat="1" ht="13.2"/>
    <row r="3751" s="299" customFormat="1" ht="13.2"/>
    <row r="3752" s="299" customFormat="1" ht="13.2"/>
    <row r="3753" s="299" customFormat="1" ht="13.2"/>
    <row r="3754" s="299" customFormat="1" ht="13.2"/>
    <row r="3755" s="299" customFormat="1" ht="13.2"/>
    <row r="3756" s="299" customFormat="1" ht="13.2"/>
    <row r="3757" s="299" customFormat="1" ht="13.2"/>
    <row r="3758" s="299" customFormat="1" ht="13.2"/>
    <row r="3759" s="299" customFormat="1" ht="13.2"/>
    <row r="3760" s="299" customFormat="1" ht="13.2"/>
    <row r="3761" s="299" customFormat="1" ht="13.2"/>
    <row r="3762" s="299" customFormat="1" ht="13.2"/>
    <row r="3763" s="299" customFormat="1" ht="13.2"/>
    <row r="3764" s="299" customFormat="1" ht="13.2"/>
    <row r="3765" s="299" customFormat="1" ht="13.2"/>
    <row r="3766" s="299" customFormat="1" ht="13.2"/>
    <row r="3767" s="299" customFormat="1" ht="13.2"/>
    <row r="3768" s="299" customFormat="1" ht="13.2"/>
    <row r="3769" s="299" customFormat="1" ht="13.2"/>
    <row r="3770" s="299" customFormat="1" ht="13.2"/>
    <row r="3771" s="299" customFormat="1" ht="13.2"/>
    <row r="3772" s="299" customFormat="1" ht="13.2"/>
    <row r="3773" s="299" customFormat="1" ht="13.2"/>
    <row r="3774" s="299" customFormat="1" ht="13.2"/>
    <row r="3775" s="299" customFormat="1" ht="13.2"/>
    <row r="3776" s="299" customFormat="1" ht="13.2"/>
    <row r="3777" s="299" customFormat="1" ht="13.2"/>
    <row r="3778" s="299" customFormat="1" ht="13.2"/>
    <row r="3779" s="299" customFormat="1" ht="13.2"/>
    <row r="3780" s="299" customFormat="1" ht="13.2"/>
    <row r="3781" s="299" customFormat="1" ht="13.2"/>
    <row r="3782" s="299" customFormat="1" ht="13.2"/>
    <row r="3783" s="299" customFormat="1" ht="13.2"/>
    <row r="3784" s="299" customFormat="1" ht="13.2"/>
    <row r="3785" s="299" customFormat="1" ht="13.2"/>
    <row r="3786" s="299" customFormat="1" ht="13.2"/>
    <row r="3787" s="299" customFormat="1" ht="13.2"/>
    <row r="3788" s="299" customFormat="1" ht="13.2"/>
    <row r="3789" s="299" customFormat="1" ht="13.2"/>
    <row r="3790" s="299" customFormat="1" ht="13.2"/>
    <row r="3791" s="299" customFormat="1" ht="13.2"/>
    <row r="3792" s="299" customFormat="1" ht="13.2"/>
    <row r="3793" s="299" customFormat="1" ht="13.2"/>
    <row r="3794" s="299" customFormat="1" ht="13.2"/>
    <row r="3795" s="299" customFormat="1" ht="13.2"/>
    <row r="3796" s="299" customFormat="1" ht="13.2"/>
    <row r="3797" s="299" customFormat="1" ht="13.2"/>
    <row r="3798" s="299" customFormat="1" ht="13.2"/>
    <row r="3799" s="299" customFormat="1" ht="13.2"/>
    <row r="3800" s="299" customFormat="1" ht="13.2"/>
    <row r="3801" s="299" customFormat="1" ht="13.2"/>
    <row r="3802" s="299" customFormat="1" ht="13.2"/>
    <row r="3803" s="299" customFormat="1" ht="13.2"/>
    <row r="3804" s="299" customFormat="1" ht="13.2"/>
    <row r="3805" s="299" customFormat="1" ht="13.2"/>
    <row r="3806" s="299" customFormat="1" ht="13.2"/>
    <row r="3807" s="299" customFormat="1" ht="13.2"/>
    <row r="3808" s="299" customFormat="1" ht="13.2"/>
    <row r="3809" s="299" customFormat="1" ht="13.2"/>
    <row r="3810" s="299" customFormat="1" ht="13.2"/>
    <row r="3811" s="299" customFormat="1" ht="13.2"/>
    <row r="3812" s="299" customFormat="1" ht="13.2"/>
    <row r="3813" s="299" customFormat="1" ht="13.2"/>
    <row r="3814" s="299" customFormat="1" ht="13.2"/>
    <row r="3815" s="299" customFormat="1" ht="13.2"/>
    <row r="3816" s="299" customFormat="1" ht="13.2"/>
    <row r="3817" s="299" customFormat="1" ht="13.2"/>
    <row r="3818" s="299" customFormat="1" ht="13.2"/>
    <row r="3819" s="299" customFormat="1" ht="13.2"/>
    <row r="3820" s="299" customFormat="1" ht="13.2"/>
    <row r="3821" s="299" customFormat="1" ht="13.2"/>
    <row r="3822" s="299" customFormat="1" ht="13.2"/>
    <row r="3823" s="299" customFormat="1" ht="13.2"/>
    <row r="3824" s="299" customFormat="1" ht="13.2"/>
    <row r="3825" s="299" customFormat="1" ht="13.2"/>
    <row r="3826" s="299" customFormat="1" ht="13.2"/>
    <row r="3827" s="299" customFormat="1" ht="13.2"/>
    <row r="3828" s="299" customFormat="1" ht="13.2"/>
    <row r="3829" s="299" customFormat="1" ht="13.2"/>
    <row r="3830" s="299" customFormat="1" ht="13.2"/>
    <row r="3831" s="299" customFormat="1" ht="13.2"/>
    <row r="3832" s="299" customFormat="1" ht="13.2"/>
    <row r="3833" s="299" customFormat="1" ht="13.2"/>
    <row r="3834" s="299" customFormat="1" ht="13.2"/>
    <row r="3835" s="299" customFormat="1" ht="13.2"/>
    <row r="3836" s="299" customFormat="1" ht="13.2"/>
    <row r="3837" s="299" customFormat="1" ht="13.2"/>
    <row r="3838" s="299" customFormat="1" ht="13.2"/>
    <row r="3839" s="299" customFormat="1" ht="13.2"/>
    <row r="3840" s="299" customFormat="1" ht="13.2"/>
    <row r="3841" s="299" customFormat="1" ht="13.2"/>
    <row r="3842" s="299" customFormat="1" ht="13.2"/>
    <row r="3843" s="299" customFormat="1" ht="13.2"/>
    <row r="3844" s="299" customFormat="1" ht="13.2"/>
    <row r="3845" s="299" customFormat="1" ht="13.2"/>
    <row r="3846" s="299" customFormat="1" ht="13.2"/>
    <row r="3847" s="299" customFormat="1" ht="13.2"/>
    <row r="3848" s="299" customFormat="1" ht="13.2"/>
    <row r="3849" s="299" customFormat="1" ht="13.2"/>
    <row r="3850" s="299" customFormat="1" ht="13.2"/>
    <row r="3851" s="299" customFormat="1" ht="13.2"/>
    <row r="3852" s="299" customFormat="1" ht="13.2"/>
    <row r="3853" s="299" customFormat="1" ht="13.2"/>
    <row r="3854" s="299" customFormat="1" ht="13.2"/>
    <row r="3855" s="299" customFormat="1" ht="13.2"/>
    <row r="3856" s="299" customFormat="1" ht="13.2"/>
    <row r="3857" s="299" customFormat="1" ht="13.2"/>
    <row r="3858" s="299" customFormat="1" ht="13.2"/>
    <row r="3859" s="299" customFormat="1" ht="13.2"/>
    <row r="3860" s="299" customFormat="1" ht="13.2"/>
    <row r="3861" s="299" customFormat="1" ht="13.2"/>
    <row r="3862" s="299" customFormat="1" ht="13.2"/>
    <row r="3863" s="299" customFormat="1" ht="13.2"/>
    <row r="3864" s="299" customFormat="1" ht="13.2"/>
    <row r="3865" s="299" customFormat="1" ht="13.2"/>
    <row r="3866" s="299" customFormat="1" ht="13.2"/>
    <row r="3867" s="299" customFormat="1" ht="13.2"/>
    <row r="3868" s="299" customFormat="1" ht="13.2"/>
    <row r="3869" s="299" customFormat="1" ht="13.2"/>
    <row r="3870" s="299" customFormat="1" ht="13.2"/>
    <row r="3871" s="299" customFormat="1" ht="13.2"/>
    <row r="3872" s="299" customFormat="1" ht="13.2"/>
    <row r="3873" s="299" customFormat="1" ht="13.2"/>
    <row r="3874" s="299" customFormat="1" ht="13.2"/>
    <row r="3875" s="299" customFormat="1" ht="13.2"/>
    <row r="3876" s="299" customFormat="1" ht="13.2"/>
    <row r="3877" s="299" customFormat="1" ht="13.2"/>
    <row r="3878" s="299" customFormat="1" ht="13.2"/>
    <row r="3879" s="299" customFormat="1" ht="13.2"/>
    <row r="3880" s="299" customFormat="1" ht="13.2"/>
    <row r="3881" s="299" customFormat="1" ht="13.2"/>
    <row r="3882" s="299" customFormat="1" ht="13.2"/>
    <row r="3883" s="299" customFormat="1" ht="13.2"/>
    <row r="3884" s="299" customFormat="1" ht="13.2"/>
    <row r="3885" s="299" customFormat="1" ht="13.2"/>
    <row r="3886" s="299" customFormat="1" ht="13.2"/>
    <row r="3887" s="299" customFormat="1" ht="13.2"/>
    <row r="3888" s="299" customFormat="1" ht="13.2"/>
    <row r="3889" s="299" customFormat="1" ht="13.2"/>
    <row r="3890" s="299" customFormat="1" ht="13.2"/>
    <row r="3891" s="299" customFormat="1" ht="13.2"/>
    <row r="3892" s="299" customFormat="1" ht="13.2"/>
    <row r="3893" s="299" customFormat="1" ht="13.2"/>
    <row r="3894" s="299" customFormat="1" ht="13.2"/>
    <row r="3895" s="299" customFormat="1" ht="13.2"/>
    <row r="3896" s="299" customFormat="1" ht="13.2"/>
    <row r="3897" s="299" customFormat="1" ht="13.2"/>
    <row r="3898" s="299" customFormat="1" ht="13.2"/>
    <row r="3899" s="299" customFormat="1" ht="13.2"/>
    <row r="3900" s="299" customFormat="1" ht="13.2"/>
    <row r="3901" s="299" customFormat="1" ht="13.2"/>
    <row r="3902" s="299" customFormat="1" ht="13.2"/>
    <row r="3903" s="299" customFormat="1" ht="13.2"/>
    <row r="3904" s="299" customFormat="1" ht="13.2"/>
    <row r="3905" s="299" customFormat="1" ht="13.2"/>
    <row r="3906" s="299" customFormat="1" ht="13.2"/>
    <row r="3907" s="299" customFormat="1" ht="13.2"/>
    <row r="3908" s="299" customFormat="1" ht="13.2"/>
    <row r="3909" s="299" customFormat="1" ht="13.2"/>
    <row r="3910" s="299" customFormat="1" ht="13.2"/>
    <row r="3911" s="299" customFormat="1" ht="13.2"/>
    <row r="3912" s="299" customFormat="1" ht="13.2"/>
    <row r="3913" s="299" customFormat="1" ht="13.2"/>
    <row r="3914" s="299" customFormat="1" ht="13.2"/>
    <row r="3915" s="299" customFormat="1" ht="13.2"/>
    <row r="3916" s="299" customFormat="1" ht="13.2"/>
    <row r="3917" s="299" customFormat="1" ht="13.2"/>
    <row r="3918" s="299" customFormat="1" ht="13.2"/>
    <row r="3919" s="299" customFormat="1" ht="13.2"/>
    <row r="3920" s="299" customFormat="1" ht="13.2"/>
    <row r="3921" s="299" customFormat="1" ht="13.2"/>
    <row r="3922" s="299" customFormat="1" ht="13.2"/>
    <row r="3923" s="299" customFormat="1" ht="13.2"/>
    <row r="3924" s="299" customFormat="1" ht="13.2"/>
    <row r="3925" s="299" customFormat="1" ht="13.2"/>
    <row r="3926" s="299" customFormat="1" ht="13.2"/>
    <row r="3927" s="299" customFormat="1" ht="13.2"/>
    <row r="3928" s="299" customFormat="1" ht="13.2"/>
    <row r="3929" s="299" customFormat="1" ht="13.2"/>
    <row r="3930" s="299" customFormat="1" ht="13.2"/>
    <row r="3931" s="299" customFormat="1" ht="13.2"/>
    <row r="3932" s="299" customFormat="1" ht="13.2"/>
    <row r="3933" s="299" customFormat="1" ht="13.2"/>
    <row r="3934" s="299" customFormat="1" ht="13.2"/>
    <row r="3935" s="299" customFormat="1" ht="13.2"/>
    <row r="3936" s="299" customFormat="1" ht="13.2"/>
    <row r="3937" s="299" customFormat="1" ht="13.2"/>
    <row r="3938" s="299" customFormat="1" ht="13.2"/>
    <row r="3939" s="299" customFormat="1" ht="13.2"/>
    <row r="3940" s="299" customFormat="1" ht="13.2"/>
    <row r="3941" s="299" customFormat="1" ht="13.2"/>
    <row r="3942" s="299" customFormat="1" ht="13.2"/>
    <row r="3943" s="299" customFormat="1" ht="13.2"/>
    <row r="3944" s="299" customFormat="1" ht="13.2"/>
    <row r="3945" s="299" customFormat="1" ht="13.2"/>
    <row r="3946" s="299" customFormat="1" ht="13.2"/>
    <row r="3947" s="299" customFormat="1" ht="13.2"/>
    <row r="3948" s="299" customFormat="1" ht="13.2"/>
    <row r="3949" s="299" customFormat="1" ht="13.2"/>
    <row r="3950" s="299" customFormat="1" ht="13.2"/>
    <row r="3951" s="299" customFormat="1" ht="13.2"/>
    <row r="3952" s="299" customFormat="1" ht="13.2"/>
    <row r="3953" s="299" customFormat="1" ht="13.2"/>
    <row r="3954" s="299" customFormat="1" ht="13.2"/>
    <row r="3955" s="299" customFormat="1" ht="13.2"/>
    <row r="3956" s="299" customFormat="1" ht="13.2"/>
    <row r="3957" s="299" customFormat="1" ht="13.2"/>
    <row r="3958" s="299" customFormat="1" ht="13.2"/>
    <row r="3959" s="299" customFormat="1" ht="13.2"/>
    <row r="3960" s="299" customFormat="1" ht="13.2"/>
    <row r="3961" s="299" customFormat="1" ht="13.2"/>
    <row r="3962" s="299" customFormat="1" ht="13.2"/>
    <row r="3963" s="299" customFormat="1" ht="13.2"/>
    <row r="3964" s="299" customFormat="1" ht="13.2"/>
    <row r="3965" s="299" customFormat="1" ht="13.2"/>
    <row r="3966" s="299" customFormat="1" ht="13.2"/>
    <row r="3967" s="299" customFormat="1" ht="13.2"/>
    <row r="3968" s="299" customFormat="1" ht="13.2"/>
    <row r="3969" s="299" customFormat="1" ht="13.2"/>
    <row r="3970" s="299" customFormat="1" ht="13.2"/>
    <row r="3971" s="299" customFormat="1" ht="13.2"/>
    <row r="3972" s="299" customFormat="1" ht="13.2"/>
    <row r="3973" s="299" customFormat="1" ht="13.2"/>
    <row r="3974" s="299" customFormat="1" ht="13.2"/>
    <row r="3975" s="299" customFormat="1" ht="13.2"/>
    <row r="3976" s="299" customFormat="1" ht="13.2"/>
    <row r="3977" s="299" customFormat="1" ht="13.2"/>
    <row r="3978" s="299" customFormat="1" ht="13.2"/>
    <row r="3979" s="299" customFormat="1" ht="13.2"/>
    <row r="3980" s="299" customFormat="1" ht="13.2"/>
    <row r="3981" s="299" customFormat="1" ht="13.2"/>
    <row r="3982" s="299" customFormat="1" ht="13.2"/>
    <row r="3983" s="299" customFormat="1" ht="13.2"/>
    <row r="3984" s="299" customFormat="1" ht="13.2"/>
    <row r="3985" s="299" customFormat="1" ht="13.2"/>
    <row r="3986" s="299" customFormat="1" ht="13.2"/>
    <row r="3987" s="299" customFormat="1" ht="13.2"/>
    <row r="3988" s="299" customFormat="1" ht="13.2"/>
    <row r="3989" s="299" customFormat="1" ht="13.2"/>
    <row r="3990" s="299" customFormat="1" ht="13.2"/>
    <row r="3991" s="299" customFormat="1" ht="13.2"/>
    <row r="3992" s="299" customFormat="1" ht="13.2"/>
    <row r="3993" s="299" customFormat="1" ht="13.2"/>
    <row r="3994" s="299" customFormat="1" ht="13.2"/>
    <row r="3995" s="299" customFormat="1" ht="13.2"/>
    <row r="3996" s="299" customFormat="1" ht="13.2"/>
    <row r="3997" s="299" customFormat="1" ht="13.2"/>
    <row r="3998" s="299" customFormat="1" ht="13.2"/>
    <row r="3999" s="299" customFormat="1" ht="13.2"/>
    <row r="4000" s="299" customFormat="1" ht="13.2"/>
    <row r="4001" s="299" customFormat="1" ht="13.2"/>
    <row r="4002" s="299" customFormat="1" ht="13.2"/>
    <row r="4003" s="299" customFormat="1" ht="13.2"/>
    <row r="4004" s="299" customFormat="1" ht="13.2"/>
    <row r="4005" s="299" customFormat="1" ht="13.2"/>
    <row r="4006" s="299" customFormat="1" ht="13.2"/>
    <row r="4007" s="299" customFormat="1" ht="13.2"/>
    <row r="4008" s="299" customFormat="1" ht="13.2"/>
    <row r="4009" s="299" customFormat="1" ht="13.2"/>
    <row r="4010" s="299" customFormat="1" ht="13.2"/>
    <row r="4011" s="299" customFormat="1" ht="13.2"/>
    <row r="4012" s="299" customFormat="1" ht="13.2"/>
    <row r="4013" s="299" customFormat="1" ht="13.2"/>
    <row r="4014" s="299" customFormat="1" ht="13.2"/>
    <row r="4015" s="299" customFormat="1" ht="13.2"/>
    <row r="4016" s="299" customFormat="1" ht="13.2"/>
    <row r="4017" s="299" customFormat="1" ht="13.2"/>
    <row r="4018" s="299" customFormat="1" ht="13.2"/>
    <row r="4019" s="299" customFormat="1" ht="13.2"/>
    <row r="4020" s="299" customFormat="1" ht="13.2"/>
    <row r="4021" s="299" customFormat="1" ht="13.2"/>
    <row r="4022" s="299" customFormat="1" ht="13.2"/>
    <row r="4023" s="299" customFormat="1" ht="13.2"/>
    <row r="4024" s="299" customFormat="1" ht="13.2"/>
    <row r="4025" s="299" customFormat="1" ht="13.2"/>
    <row r="4026" s="299" customFormat="1" ht="13.2"/>
    <row r="4027" s="299" customFormat="1" ht="13.2"/>
    <row r="4028" s="299" customFormat="1" ht="13.2"/>
    <row r="4029" s="299" customFormat="1" ht="13.2"/>
    <row r="4030" s="299" customFormat="1" ht="13.2"/>
    <row r="4031" s="299" customFormat="1" ht="13.2"/>
    <row r="4032" s="299" customFormat="1" ht="13.2"/>
    <row r="4033" s="299" customFormat="1" ht="13.2"/>
    <row r="4034" s="299" customFormat="1" ht="13.2"/>
    <row r="4035" s="299" customFormat="1" ht="13.2"/>
    <row r="4036" s="299" customFormat="1" ht="13.2"/>
    <row r="4037" s="299" customFormat="1" ht="13.2"/>
    <row r="4038" s="299" customFormat="1" ht="13.2"/>
    <row r="4039" s="299" customFormat="1" ht="13.2"/>
    <row r="4040" s="299" customFormat="1" ht="13.2"/>
    <row r="4041" s="299" customFormat="1" ht="13.2"/>
    <row r="4042" s="299" customFormat="1" ht="13.2"/>
    <row r="4043" s="299" customFormat="1" ht="13.2"/>
    <row r="4044" s="299" customFormat="1" ht="13.2"/>
    <row r="4045" s="299" customFormat="1" ht="13.2"/>
    <row r="4046" s="299" customFormat="1" ht="13.2"/>
    <row r="4047" s="299" customFormat="1" ht="13.2"/>
    <row r="4048" s="299" customFormat="1" ht="13.2"/>
    <row r="4049" s="299" customFormat="1" ht="13.2"/>
    <row r="4050" s="299" customFormat="1" ht="13.2"/>
    <row r="4051" s="299" customFormat="1" ht="13.2"/>
    <row r="4052" s="299" customFormat="1" ht="13.2"/>
    <row r="4053" s="299" customFormat="1" ht="13.2"/>
    <row r="4054" s="299" customFormat="1" ht="13.2"/>
    <row r="4055" s="299" customFormat="1" ht="13.2"/>
    <row r="4056" s="299" customFormat="1" ht="13.2"/>
    <row r="4057" s="299" customFormat="1" ht="13.2"/>
    <row r="4058" s="299" customFormat="1" ht="13.2"/>
    <row r="4059" s="299" customFormat="1" ht="13.2"/>
    <row r="4060" s="299" customFormat="1" ht="13.2"/>
    <row r="4061" s="299" customFormat="1" ht="13.2"/>
    <row r="4062" s="299" customFormat="1" ht="13.2"/>
    <row r="4063" s="299" customFormat="1" ht="13.2"/>
    <row r="4064" s="299" customFormat="1" ht="13.2"/>
    <row r="4065" s="299" customFormat="1" ht="13.2"/>
    <row r="4066" s="299" customFormat="1" ht="13.2"/>
    <row r="4067" s="299" customFormat="1" ht="13.2"/>
    <row r="4068" s="299" customFormat="1" ht="13.2"/>
    <row r="4069" s="299" customFormat="1" ht="13.2"/>
    <row r="4070" s="299" customFormat="1" ht="13.2"/>
    <row r="4071" s="299" customFormat="1" ht="13.2"/>
    <row r="4072" s="299" customFormat="1" ht="13.2"/>
    <row r="4073" s="299" customFormat="1" ht="13.2"/>
    <row r="4074" s="299" customFormat="1" ht="13.2"/>
    <row r="4075" s="299" customFormat="1" ht="13.2"/>
    <row r="4076" s="299" customFormat="1" ht="13.2"/>
    <row r="4077" s="299" customFormat="1" ht="13.2"/>
    <row r="4078" s="299" customFormat="1" ht="13.2"/>
    <row r="4079" s="299" customFormat="1" ht="13.2"/>
    <row r="4080" s="299" customFormat="1" ht="13.2"/>
    <row r="4081" s="299" customFormat="1" ht="13.2"/>
    <row r="4082" s="299" customFormat="1" ht="13.2"/>
    <row r="4083" s="299" customFormat="1" ht="13.2"/>
    <row r="4084" s="299" customFormat="1" ht="13.2"/>
    <row r="4085" s="299" customFormat="1" ht="13.2"/>
    <row r="4086" s="299" customFormat="1" ht="13.2"/>
    <row r="4087" s="299" customFormat="1" ht="13.2"/>
    <row r="4088" s="299" customFormat="1" ht="13.2"/>
    <row r="4089" s="299" customFormat="1" ht="13.2"/>
    <row r="4090" s="299" customFormat="1" ht="13.2"/>
    <row r="4091" s="299" customFormat="1" ht="13.2"/>
    <row r="4092" s="299" customFormat="1" ht="13.2"/>
    <row r="4093" s="299" customFormat="1" ht="13.2"/>
    <row r="4094" s="299" customFormat="1" ht="13.2"/>
    <row r="4095" s="299" customFormat="1" ht="13.2"/>
    <row r="4096" s="299" customFormat="1" ht="13.2"/>
    <row r="4097" s="299" customFormat="1" ht="13.2"/>
    <row r="4098" s="299" customFormat="1" ht="13.2"/>
    <row r="4099" s="299" customFormat="1" ht="13.2"/>
    <row r="4100" s="299" customFormat="1" ht="13.2"/>
    <row r="4101" s="299" customFormat="1" ht="13.2"/>
    <row r="4102" s="299" customFormat="1" ht="13.2"/>
    <row r="4103" s="299" customFormat="1" ht="13.2"/>
    <row r="4104" s="299" customFormat="1" ht="13.2"/>
    <row r="4105" s="299" customFormat="1" ht="13.2"/>
    <row r="4106" s="299" customFormat="1" ht="13.2"/>
    <row r="4107" s="299" customFormat="1" ht="13.2"/>
    <row r="4108" s="299" customFormat="1" ht="13.2"/>
    <row r="4109" s="299" customFormat="1" ht="13.2"/>
    <row r="4110" s="299" customFormat="1" ht="13.2"/>
    <row r="4111" s="299" customFormat="1" ht="13.2"/>
    <row r="4112" s="299" customFormat="1" ht="13.2"/>
    <row r="4113" s="299" customFormat="1" ht="13.2"/>
    <row r="4114" s="299" customFormat="1" ht="13.2"/>
    <row r="4115" s="299" customFormat="1" ht="13.2"/>
    <row r="4116" s="299" customFormat="1" ht="13.2"/>
    <row r="4117" s="299" customFormat="1" ht="13.2"/>
    <row r="4118" s="299" customFormat="1" ht="13.2"/>
    <row r="4119" s="299" customFormat="1" ht="13.2"/>
    <row r="4120" s="299" customFormat="1" ht="13.2"/>
    <row r="4121" s="299" customFormat="1" ht="13.2"/>
    <row r="4122" s="299" customFormat="1" ht="13.2"/>
    <row r="4123" s="299" customFormat="1" ht="13.2"/>
    <row r="4124" s="299" customFormat="1" ht="13.2"/>
    <row r="4125" s="299" customFormat="1" ht="13.2"/>
    <row r="4126" s="299" customFormat="1" ht="13.2"/>
    <row r="4127" s="299" customFormat="1" ht="13.2"/>
    <row r="4128" s="299" customFormat="1" ht="13.2"/>
    <row r="4129" s="299" customFormat="1" ht="13.2"/>
    <row r="4130" s="299" customFormat="1" ht="13.2"/>
    <row r="4131" s="299" customFormat="1" ht="13.2"/>
    <row r="4132" s="299" customFormat="1" ht="13.2"/>
    <row r="4133" s="299" customFormat="1" ht="13.2"/>
    <row r="4134" s="299" customFormat="1" ht="13.2"/>
    <row r="4135" s="299" customFormat="1" ht="13.2"/>
    <row r="4136" s="299" customFormat="1" ht="13.2"/>
    <row r="4137" s="299" customFormat="1" ht="13.2"/>
    <row r="4138" s="299" customFormat="1" ht="13.2"/>
    <row r="4139" s="299" customFormat="1" ht="13.2"/>
    <row r="4140" s="299" customFormat="1" ht="13.2"/>
    <row r="4141" s="299" customFormat="1" ht="13.2"/>
    <row r="4142" s="299" customFormat="1" ht="13.2"/>
    <row r="4143" s="299" customFormat="1" ht="13.2"/>
    <row r="4144" s="299" customFormat="1" ht="13.2"/>
    <row r="4145" s="299" customFormat="1" ht="13.2"/>
    <row r="4146" s="299" customFormat="1" ht="13.2"/>
    <row r="4147" s="299" customFormat="1" ht="13.2"/>
    <row r="4148" s="299" customFormat="1" ht="13.2"/>
    <row r="4149" s="299" customFormat="1" ht="13.2"/>
    <row r="4150" s="299" customFormat="1" ht="13.2"/>
    <row r="4151" s="299" customFormat="1" ht="13.2"/>
    <row r="4152" s="299" customFormat="1" ht="13.2"/>
    <row r="4153" s="299" customFormat="1" ht="13.2"/>
    <row r="4154" s="299" customFormat="1" ht="13.2"/>
    <row r="4155" s="299" customFormat="1" ht="13.2"/>
    <row r="4156" s="299" customFormat="1" ht="13.2"/>
    <row r="4157" s="299" customFormat="1" ht="13.2"/>
    <row r="4158" s="299" customFormat="1" ht="13.2"/>
    <row r="4159" s="299" customFormat="1" ht="13.2"/>
    <row r="4160" s="299" customFormat="1" ht="13.2"/>
    <row r="4161" s="299" customFormat="1" ht="13.2"/>
    <row r="4162" s="299" customFormat="1" ht="13.2"/>
    <row r="4163" s="299" customFormat="1" ht="13.2"/>
    <row r="4164" s="299" customFormat="1" ht="13.2"/>
    <row r="4165" s="299" customFormat="1" ht="13.2"/>
    <row r="4166" s="299" customFormat="1" ht="13.2"/>
    <row r="4167" s="299" customFormat="1" ht="13.2"/>
    <row r="4168" s="299" customFormat="1" ht="13.2"/>
    <row r="4169" s="299" customFormat="1" ht="13.2"/>
    <row r="4170" s="299" customFormat="1" ht="13.2"/>
    <row r="4171" s="299" customFormat="1" ht="13.2"/>
    <row r="4172" s="299" customFormat="1" ht="13.2"/>
    <row r="4173" s="299" customFormat="1" ht="13.2"/>
    <row r="4174" s="299" customFormat="1" ht="13.2"/>
    <row r="4175" s="299" customFormat="1" ht="13.2"/>
    <row r="4176" s="299" customFormat="1" ht="13.2"/>
    <row r="4177" s="299" customFormat="1" ht="13.2"/>
    <row r="4178" s="299" customFormat="1" ht="13.2"/>
    <row r="4179" s="299" customFormat="1" ht="13.2"/>
    <row r="4180" s="299" customFormat="1" ht="13.2"/>
    <row r="4181" s="299" customFormat="1" ht="13.2"/>
    <row r="4182" s="299" customFormat="1" ht="13.2"/>
    <row r="4183" s="299" customFormat="1" ht="13.2"/>
    <row r="4184" s="299" customFormat="1" ht="13.2"/>
    <row r="4185" s="299" customFormat="1" ht="13.2"/>
    <row r="4186" s="299" customFormat="1" ht="13.2"/>
    <row r="4187" s="299" customFormat="1" ht="13.2"/>
    <row r="4188" s="299" customFormat="1" ht="13.2"/>
    <row r="4189" s="299" customFormat="1" ht="13.2"/>
    <row r="4190" s="299" customFormat="1" ht="13.2"/>
    <row r="4191" s="299" customFormat="1" ht="13.2"/>
    <row r="4192" s="299" customFormat="1" ht="13.2"/>
    <row r="4193" s="299" customFormat="1" ht="13.2"/>
    <row r="4194" s="299" customFormat="1" ht="13.2"/>
    <row r="4195" s="299" customFormat="1" ht="13.2"/>
    <row r="4196" s="299" customFormat="1" ht="13.2"/>
    <row r="4197" s="299" customFormat="1" ht="13.2"/>
    <row r="4198" s="299" customFormat="1" ht="13.2"/>
    <row r="4199" s="299" customFormat="1" ht="13.2"/>
    <row r="4200" s="299" customFormat="1" ht="13.2"/>
    <row r="4201" s="299" customFormat="1" ht="13.2"/>
    <row r="4202" s="299" customFormat="1" ht="13.2"/>
    <row r="4203" s="299" customFormat="1" ht="13.2"/>
    <row r="4204" s="299" customFormat="1" ht="13.2"/>
    <row r="4205" s="299" customFormat="1" ht="13.2"/>
    <row r="4206" s="299" customFormat="1" ht="13.2"/>
    <row r="4207" s="299" customFormat="1" ht="13.2"/>
    <row r="4208" s="299" customFormat="1" ht="13.2"/>
    <row r="4209" s="299" customFormat="1" ht="13.2"/>
    <row r="4210" s="299" customFormat="1" ht="13.2"/>
    <row r="4211" s="299" customFormat="1" ht="13.2"/>
    <row r="4212" s="299" customFormat="1" ht="13.2"/>
    <row r="4213" s="299" customFormat="1" ht="13.2"/>
    <row r="4214" s="299" customFormat="1" ht="13.2"/>
    <row r="4215" s="299" customFormat="1" ht="13.2"/>
    <row r="4216" s="299" customFormat="1" ht="13.2"/>
    <row r="4217" s="299" customFormat="1" ht="13.2"/>
    <row r="4218" s="299" customFormat="1" ht="13.2"/>
    <row r="4219" s="299" customFormat="1" ht="13.2"/>
    <row r="4220" s="299" customFormat="1" ht="13.2"/>
    <row r="4221" s="299" customFormat="1" ht="13.2"/>
    <row r="4222" s="299" customFormat="1" ht="13.2"/>
    <row r="4223" s="299" customFormat="1" ht="13.2"/>
    <row r="4224" s="299" customFormat="1" ht="13.2"/>
    <row r="4225" s="299" customFormat="1" ht="13.2"/>
    <row r="4226" s="299" customFormat="1" ht="13.2"/>
    <row r="4227" s="299" customFormat="1" ht="13.2"/>
    <row r="4228" s="299" customFormat="1" ht="13.2"/>
    <row r="4229" s="299" customFormat="1" ht="13.2"/>
    <row r="4230" s="299" customFormat="1" ht="13.2"/>
    <row r="4231" s="299" customFormat="1" ht="13.2"/>
    <row r="4232" s="299" customFormat="1" ht="13.2"/>
    <row r="4233" s="299" customFormat="1" ht="13.2"/>
    <row r="4234" s="299" customFormat="1" ht="13.2"/>
    <row r="4235" s="299" customFormat="1" ht="13.2"/>
    <row r="4236" s="299" customFormat="1" ht="13.2"/>
    <row r="4237" s="299" customFormat="1" ht="13.2"/>
    <row r="4238" s="299" customFormat="1" ht="13.2"/>
    <row r="4239" s="299" customFormat="1" ht="13.2"/>
    <row r="4240" s="299" customFormat="1" ht="13.2"/>
    <row r="4241" s="299" customFormat="1" ht="13.2"/>
    <row r="4242" s="299" customFormat="1" ht="13.2"/>
    <row r="4243" s="299" customFormat="1" ht="13.2"/>
    <row r="4244" s="299" customFormat="1" ht="13.2"/>
    <row r="4245" s="299" customFormat="1" ht="13.2"/>
    <row r="4246" s="299" customFormat="1" ht="13.2"/>
    <row r="4247" s="299" customFormat="1" ht="13.2"/>
    <row r="4248" s="299" customFormat="1" ht="13.2"/>
    <row r="4249" s="299" customFormat="1" ht="13.2"/>
    <row r="4250" s="299" customFormat="1" ht="13.2"/>
    <row r="4251" s="299" customFormat="1" ht="13.2"/>
    <row r="4252" s="299" customFormat="1" ht="13.2"/>
    <row r="4253" s="299" customFormat="1" ht="13.2"/>
    <row r="4254" s="299" customFormat="1" ht="13.2"/>
    <row r="4255" s="299" customFormat="1" ht="13.2"/>
    <row r="4256" s="299" customFormat="1" ht="13.2"/>
    <row r="4257" s="299" customFormat="1" ht="13.2"/>
    <row r="4258" s="299" customFormat="1" ht="13.2"/>
    <row r="4259" s="299" customFormat="1" ht="13.2"/>
    <row r="4260" s="299" customFormat="1" ht="13.2"/>
    <row r="4261" s="299" customFormat="1" ht="13.2"/>
    <row r="4262" s="299" customFormat="1" ht="13.2"/>
    <row r="4263" s="299" customFormat="1" ht="13.2"/>
    <row r="4264" s="299" customFormat="1" ht="13.2"/>
    <row r="4265" s="299" customFormat="1" ht="13.2"/>
    <row r="4266" s="299" customFormat="1" ht="13.2"/>
    <row r="4267" s="299" customFormat="1" ht="13.2"/>
    <row r="4268" s="299" customFormat="1" ht="13.2"/>
    <row r="4269" s="299" customFormat="1" ht="13.2"/>
    <row r="4270" s="299" customFormat="1" ht="13.2"/>
    <row r="4271" s="299" customFormat="1" ht="13.2"/>
    <row r="4272" s="299" customFormat="1" ht="13.2"/>
    <row r="4273" s="299" customFormat="1" ht="13.2"/>
    <row r="4274" s="299" customFormat="1" ht="13.2"/>
    <row r="4275" s="299" customFormat="1" ht="13.2"/>
    <row r="4276" s="299" customFormat="1" ht="13.2"/>
    <row r="4277" s="299" customFormat="1" ht="13.2"/>
    <row r="4278" s="299" customFormat="1" ht="13.2"/>
    <row r="4279" s="299" customFormat="1" ht="13.2"/>
    <row r="4280" s="299" customFormat="1" ht="13.2"/>
    <row r="4281" s="299" customFormat="1" ht="13.2"/>
    <row r="4282" s="299" customFormat="1" ht="13.2"/>
    <row r="4283" s="299" customFormat="1" ht="13.2"/>
    <row r="4284" s="299" customFormat="1" ht="13.2"/>
    <row r="4285" s="299" customFormat="1" ht="13.2"/>
    <row r="4286" s="299" customFormat="1" ht="13.2"/>
    <row r="4287" s="299" customFormat="1" ht="13.2"/>
    <row r="4288" s="299" customFormat="1" ht="13.2"/>
    <row r="4289" s="299" customFormat="1" ht="13.2"/>
    <row r="4290" s="299" customFormat="1" ht="13.2"/>
    <row r="4291" s="299" customFormat="1" ht="13.2"/>
    <row r="4292" s="299" customFormat="1" ht="13.2"/>
    <row r="4293" s="299" customFormat="1" ht="13.2"/>
    <row r="4294" s="299" customFormat="1" ht="13.2"/>
    <row r="4295" s="299" customFormat="1" ht="13.2"/>
    <row r="4296" s="299" customFormat="1" ht="13.2"/>
    <row r="4297" s="299" customFormat="1" ht="13.2"/>
    <row r="4298" s="299" customFormat="1" ht="13.2"/>
    <row r="4299" s="299" customFormat="1" ht="13.2"/>
    <row r="4300" s="299" customFormat="1" ht="13.2"/>
    <row r="4301" s="299" customFormat="1" ht="13.2"/>
    <row r="4302" s="299" customFormat="1" ht="13.2"/>
    <row r="4303" s="299" customFormat="1" ht="13.2"/>
    <row r="4304" s="299" customFormat="1" ht="13.2"/>
    <row r="4305" s="299" customFormat="1" ht="13.2"/>
    <row r="4306" s="299" customFormat="1" ht="13.2"/>
    <row r="4307" s="299" customFormat="1" ht="13.2"/>
    <row r="4308" s="299" customFormat="1" ht="13.2"/>
    <row r="4309" s="299" customFormat="1" ht="13.2"/>
    <row r="4310" s="299" customFormat="1" ht="13.2"/>
    <row r="4311" s="299" customFormat="1" ht="13.2"/>
    <row r="4312" s="299" customFormat="1" ht="13.2"/>
    <row r="4313" s="299" customFormat="1" ht="13.2"/>
    <row r="4314" s="299" customFormat="1" ht="13.2"/>
    <row r="4315" s="299" customFormat="1" ht="13.2"/>
    <row r="4316" s="299" customFormat="1" ht="13.2"/>
    <row r="4317" s="299" customFormat="1" ht="13.2"/>
    <row r="4318" s="299" customFormat="1" ht="13.2"/>
    <row r="4319" s="299" customFormat="1" ht="13.2"/>
    <row r="4320" s="299" customFormat="1" ht="13.2"/>
    <row r="4321" s="299" customFormat="1" ht="13.2"/>
    <row r="4322" s="299" customFormat="1" ht="13.2"/>
    <row r="4323" s="299" customFormat="1" ht="13.2"/>
    <row r="4324" s="299" customFormat="1" ht="13.2"/>
    <row r="4325" s="299" customFormat="1" ht="13.2"/>
    <row r="4326" s="299" customFormat="1" ht="13.2"/>
    <row r="4327" s="299" customFormat="1" ht="13.2"/>
    <row r="4328" s="299" customFormat="1" ht="13.2"/>
    <row r="4329" s="299" customFormat="1" ht="13.2"/>
    <row r="4330" s="299" customFormat="1" ht="13.2"/>
    <row r="4331" s="299" customFormat="1" ht="13.2"/>
    <row r="4332" s="299" customFormat="1" ht="13.2"/>
    <row r="4333" s="299" customFormat="1" ht="13.2"/>
    <row r="4334" s="299" customFormat="1" ht="13.2"/>
    <row r="4335" s="299" customFormat="1" ht="13.2"/>
    <row r="4336" s="299" customFormat="1" ht="13.2"/>
    <row r="4337" s="299" customFormat="1" ht="13.2"/>
    <row r="4338" s="299" customFormat="1" ht="13.2"/>
    <row r="4339" s="299" customFormat="1" ht="13.2"/>
    <row r="4340" s="299" customFormat="1" ht="13.2"/>
    <row r="4341" s="299" customFormat="1" ht="13.2"/>
    <row r="4342" s="299" customFormat="1" ht="13.2"/>
    <row r="4343" s="299" customFormat="1" ht="13.2"/>
    <row r="4344" s="299" customFormat="1" ht="13.2"/>
    <row r="4345" s="299" customFormat="1" ht="13.2"/>
    <row r="4346" s="299" customFormat="1" ht="13.2"/>
    <row r="4347" s="299" customFormat="1" ht="13.2"/>
    <row r="4348" s="299" customFormat="1" ht="13.2"/>
    <row r="4349" s="299" customFormat="1" ht="13.2"/>
    <row r="4350" s="299" customFormat="1" ht="13.2"/>
    <row r="4351" s="299" customFormat="1" ht="13.2"/>
    <row r="4352" s="299" customFormat="1" ht="13.2"/>
    <row r="4353" s="299" customFormat="1" ht="13.2"/>
    <row r="4354" s="299" customFormat="1" ht="13.2"/>
    <row r="4355" s="299" customFormat="1" ht="13.2"/>
    <row r="4356" s="299" customFormat="1" ht="13.2"/>
    <row r="4357" s="299" customFormat="1" ht="13.2"/>
    <row r="4358" s="299" customFormat="1" ht="13.2"/>
    <row r="4359" s="299" customFormat="1" ht="13.2"/>
    <row r="4360" s="299" customFormat="1" ht="13.2"/>
    <row r="4361" s="299" customFormat="1" ht="13.2"/>
    <row r="4362" s="299" customFormat="1" ht="13.2"/>
    <row r="4363" s="299" customFormat="1" ht="13.2"/>
    <row r="4364" s="299" customFormat="1" ht="13.2"/>
    <row r="4365" s="299" customFormat="1" ht="13.2"/>
    <row r="4366" s="299" customFormat="1" ht="13.2"/>
    <row r="4367" s="299" customFormat="1" ht="13.2"/>
    <row r="4368" s="299" customFormat="1" ht="13.2"/>
    <row r="4369" s="299" customFormat="1" ht="13.2"/>
    <row r="4370" s="299" customFormat="1" ht="13.2"/>
    <row r="4371" s="299" customFormat="1" ht="13.2"/>
    <row r="4372" s="299" customFormat="1" ht="13.2"/>
    <row r="4373" s="299" customFormat="1" ht="13.2"/>
    <row r="4374" s="299" customFormat="1" ht="13.2"/>
    <row r="4375" s="299" customFormat="1" ht="13.2"/>
    <row r="4376" s="299" customFormat="1" ht="13.2"/>
    <row r="4377" s="299" customFormat="1" ht="13.2"/>
    <row r="4378" s="299" customFormat="1" ht="13.2"/>
    <row r="4379" s="299" customFormat="1" ht="13.2"/>
    <row r="4380" s="299" customFormat="1" ht="13.2"/>
    <row r="4381" s="299" customFormat="1" ht="13.2"/>
    <row r="4382" s="299" customFormat="1" ht="13.2"/>
    <row r="4383" s="299" customFormat="1" ht="13.2"/>
    <row r="4384" s="299" customFormat="1" ht="13.2"/>
    <row r="4385" s="299" customFormat="1" ht="13.2"/>
    <row r="4386" s="299" customFormat="1" ht="13.2"/>
    <row r="4387" s="299" customFormat="1" ht="13.2"/>
    <row r="4388" s="299" customFormat="1" ht="13.2"/>
    <row r="4389" s="299" customFormat="1" ht="13.2"/>
    <row r="4390" s="299" customFormat="1" ht="13.2"/>
    <row r="4391" s="299" customFormat="1" ht="13.2"/>
    <row r="4392" s="299" customFormat="1" ht="13.2"/>
    <row r="4393" s="299" customFormat="1" ht="13.2"/>
    <row r="4394" s="299" customFormat="1" ht="13.2"/>
    <row r="4395" s="299" customFormat="1" ht="13.2"/>
    <row r="4396" s="299" customFormat="1" ht="13.2"/>
    <row r="4397" s="299" customFormat="1" ht="13.2"/>
    <row r="4398" s="299" customFormat="1" ht="13.2"/>
    <row r="4399" s="299" customFormat="1" ht="13.2"/>
    <row r="4400" s="299" customFormat="1" ht="13.2"/>
    <row r="4401" s="299" customFormat="1" ht="13.2"/>
    <row r="4402" s="299" customFormat="1" ht="13.2"/>
    <row r="4403" s="299" customFormat="1" ht="13.2"/>
    <row r="4404" s="299" customFormat="1" ht="13.2"/>
    <row r="4405" s="299" customFormat="1" ht="13.2"/>
    <row r="4406" s="299" customFormat="1" ht="13.2"/>
    <row r="4407" s="299" customFormat="1" ht="13.2"/>
    <row r="4408" s="299" customFormat="1" ht="13.2"/>
    <row r="4409" s="299" customFormat="1" ht="13.2"/>
    <row r="4410" s="299" customFormat="1" ht="13.2"/>
    <row r="4411" s="299" customFormat="1" ht="13.2"/>
    <row r="4412" s="299" customFormat="1" ht="13.2"/>
    <row r="4413" s="299" customFormat="1" ht="13.2"/>
    <row r="4414" s="299" customFormat="1" ht="13.2"/>
    <row r="4415" s="299" customFormat="1" ht="13.2"/>
    <row r="4416" s="299" customFormat="1" ht="13.2"/>
    <row r="4417" s="299" customFormat="1" ht="13.2"/>
    <row r="4418" s="299" customFormat="1" ht="13.2"/>
    <row r="4419" s="299" customFormat="1" ht="13.2"/>
    <row r="4420" s="299" customFormat="1" ht="13.2"/>
    <row r="4421" s="299" customFormat="1" ht="13.2"/>
    <row r="4422" s="299" customFormat="1" ht="13.2"/>
    <row r="4423" s="299" customFormat="1" ht="13.2"/>
    <row r="4424" s="299" customFormat="1" ht="13.2"/>
    <row r="4425" s="299" customFormat="1" ht="13.2"/>
    <row r="4426" s="299" customFormat="1" ht="13.2"/>
    <row r="4427" s="299" customFormat="1" ht="13.2"/>
    <row r="4428" s="299" customFormat="1" ht="13.2"/>
    <row r="4429" s="299" customFormat="1" ht="13.2"/>
    <row r="4430" s="299" customFormat="1" ht="13.2"/>
    <row r="4431" s="299" customFormat="1" ht="13.2"/>
    <row r="4432" s="299" customFormat="1" ht="13.2"/>
    <row r="4433" s="299" customFormat="1" ht="13.2"/>
    <row r="4434" s="299" customFormat="1" ht="13.2"/>
    <row r="4435" s="299" customFormat="1" ht="13.2"/>
    <row r="4436" s="299" customFormat="1" ht="13.2"/>
    <row r="4437" s="299" customFormat="1" ht="13.2"/>
    <row r="4438" s="299" customFormat="1" ht="13.2"/>
    <row r="4439" s="299" customFormat="1" ht="13.2"/>
    <row r="4440" s="299" customFormat="1" ht="13.2"/>
    <row r="4441" s="299" customFormat="1" ht="13.2"/>
    <row r="4442" s="299" customFormat="1" ht="13.2"/>
    <row r="4443" s="299" customFormat="1" ht="13.2"/>
    <row r="4444" s="299" customFormat="1" ht="13.2"/>
    <row r="4445" s="299" customFormat="1" ht="13.2"/>
    <row r="4446" s="299" customFormat="1" ht="13.2"/>
    <row r="4447" s="299" customFormat="1" ht="13.2"/>
    <row r="4448" s="299" customFormat="1" ht="13.2"/>
    <row r="4449" s="299" customFormat="1" ht="13.2"/>
    <row r="4450" s="299" customFormat="1" ht="13.2"/>
    <row r="4451" s="299" customFormat="1" ht="13.2"/>
    <row r="4452" s="299" customFormat="1" ht="13.2"/>
    <row r="4453" s="299" customFormat="1" ht="13.2"/>
    <row r="4454" s="299" customFormat="1" ht="13.2"/>
    <row r="4455" s="299" customFormat="1" ht="13.2"/>
    <row r="4456" s="299" customFormat="1" ht="13.2"/>
    <row r="4457" s="299" customFormat="1" ht="13.2"/>
    <row r="4458" s="299" customFormat="1" ht="13.2"/>
    <row r="4459" s="299" customFormat="1" ht="13.2"/>
    <row r="4460" s="299" customFormat="1" ht="13.2"/>
    <row r="4461" s="299" customFormat="1" ht="13.2"/>
    <row r="4462" s="299" customFormat="1" ht="13.2"/>
    <row r="4463" s="299" customFormat="1" ht="13.2"/>
    <row r="4464" s="299" customFormat="1" ht="13.2"/>
    <row r="4465" s="299" customFormat="1" ht="13.2"/>
    <row r="4466" s="299" customFormat="1" ht="13.2"/>
    <row r="4467" s="299" customFormat="1" ht="13.2"/>
    <row r="4468" s="299" customFormat="1" ht="13.2"/>
    <row r="4469" s="299" customFormat="1" ht="13.2"/>
    <row r="4470" s="299" customFormat="1" ht="13.2"/>
    <row r="4471" s="299" customFormat="1" ht="13.2"/>
    <row r="4472" s="299" customFormat="1" ht="13.2"/>
    <row r="4473" s="299" customFormat="1" ht="13.2"/>
    <row r="4474" s="299" customFormat="1" ht="13.2"/>
    <row r="4475" s="299" customFormat="1" ht="13.2"/>
    <row r="4476" s="299" customFormat="1" ht="13.2"/>
    <row r="4477" s="299" customFormat="1" ht="13.2"/>
    <row r="4478" s="299" customFormat="1" ht="13.2"/>
    <row r="4479" s="299" customFormat="1" ht="13.2"/>
    <row r="4480" s="299" customFormat="1" ht="13.2"/>
    <row r="4481" s="299" customFormat="1" ht="13.2"/>
    <row r="4482" s="299" customFormat="1" ht="13.2"/>
    <row r="4483" s="299" customFormat="1" ht="13.2"/>
    <row r="4484" s="299" customFormat="1" ht="13.2"/>
    <row r="4485" s="299" customFormat="1" ht="13.2"/>
    <row r="4486" s="299" customFormat="1" ht="13.2"/>
    <row r="4487" s="299" customFormat="1" ht="13.2"/>
    <row r="4488" s="299" customFormat="1" ht="13.2"/>
    <row r="4489" s="299" customFormat="1" ht="13.2"/>
    <row r="4490" s="299" customFormat="1" ht="13.2"/>
    <row r="4491" s="299" customFormat="1" ht="13.2"/>
    <row r="4492" s="299" customFormat="1" ht="13.2"/>
    <row r="4493" s="299" customFormat="1" ht="13.2"/>
    <row r="4494" s="299" customFormat="1" ht="13.2"/>
    <row r="4495" s="299" customFormat="1" ht="13.2"/>
    <row r="4496" s="299" customFormat="1" ht="13.2"/>
    <row r="4497" s="299" customFormat="1" ht="13.2"/>
    <row r="4498" s="299" customFormat="1" ht="13.2"/>
    <row r="4499" s="299" customFormat="1" ht="13.2"/>
    <row r="4500" s="299" customFormat="1" ht="13.2"/>
    <row r="4501" s="299" customFormat="1" ht="13.2"/>
    <row r="4502" s="299" customFormat="1" ht="13.2"/>
    <row r="4503" s="299" customFormat="1" ht="13.2"/>
    <row r="4504" s="299" customFormat="1" ht="13.2"/>
    <row r="4505" s="299" customFormat="1" ht="13.2"/>
    <row r="4506" s="299" customFormat="1" ht="13.2"/>
    <row r="4507" s="299" customFormat="1" ht="13.2"/>
    <row r="4508" s="299" customFormat="1" ht="13.2"/>
    <row r="4509" s="299" customFormat="1" ht="13.2"/>
    <row r="4510" s="299" customFormat="1" ht="13.2"/>
    <row r="4511" s="299" customFormat="1" ht="13.2"/>
    <row r="4512" s="299" customFormat="1" ht="13.2"/>
    <row r="4513" s="299" customFormat="1" ht="13.2"/>
    <row r="4514" s="299" customFormat="1" ht="13.2"/>
    <row r="4515" s="299" customFormat="1" ht="13.2"/>
    <row r="4516" s="299" customFormat="1" ht="13.2"/>
    <row r="4517" s="299" customFormat="1" ht="13.2"/>
    <row r="4518" s="299" customFormat="1" ht="13.2"/>
    <row r="4519" s="299" customFormat="1" ht="13.2"/>
    <row r="4520" s="299" customFormat="1" ht="13.2"/>
    <row r="4521" s="299" customFormat="1" ht="13.2"/>
    <row r="4522" s="299" customFormat="1" ht="13.2"/>
    <row r="4523" s="299" customFormat="1" ht="13.2"/>
    <row r="4524" s="299" customFormat="1" ht="13.2"/>
    <row r="4525" s="299" customFormat="1" ht="13.2"/>
    <row r="4526" s="299" customFormat="1" ht="13.2"/>
    <row r="4527" s="299" customFormat="1" ht="13.2"/>
    <row r="4528" s="299" customFormat="1" ht="13.2"/>
    <row r="4529" s="299" customFormat="1" ht="13.2"/>
    <row r="4530" s="299" customFormat="1" ht="13.2"/>
    <row r="4531" s="299" customFormat="1" ht="13.2"/>
    <row r="4532" s="299" customFormat="1" ht="13.2"/>
    <row r="4533" s="299" customFormat="1" ht="13.2"/>
    <row r="4534" s="299" customFormat="1" ht="13.2"/>
    <row r="4535" s="299" customFormat="1" ht="13.2"/>
    <row r="4536" s="299" customFormat="1" ht="13.2"/>
    <row r="4537" s="299" customFormat="1" ht="13.2"/>
    <row r="4538" s="299" customFormat="1" ht="13.2"/>
    <row r="4539" s="299" customFormat="1" ht="13.2"/>
    <row r="4540" s="299" customFormat="1" ht="13.2"/>
    <row r="4541" s="299" customFormat="1" ht="13.2"/>
    <row r="4542" s="299" customFormat="1" ht="13.2"/>
    <row r="4543" s="299" customFormat="1" ht="13.2"/>
    <row r="4544" s="299" customFormat="1" ht="13.2"/>
    <row r="4545" s="299" customFormat="1" ht="13.2"/>
    <row r="4546" s="299" customFormat="1" ht="13.2"/>
    <row r="4547" s="299" customFormat="1" ht="13.2"/>
    <row r="4548" s="299" customFormat="1" ht="13.2"/>
    <row r="4549" s="299" customFormat="1" ht="13.2"/>
    <row r="4550" s="299" customFormat="1" ht="13.2"/>
    <row r="4551" s="299" customFormat="1" ht="13.2"/>
    <row r="4552" s="299" customFormat="1" ht="13.2"/>
    <row r="4553" s="299" customFormat="1" ht="13.2"/>
    <row r="4554" s="299" customFormat="1" ht="13.2"/>
    <row r="4555" s="299" customFormat="1" ht="13.2"/>
    <row r="4556" s="299" customFormat="1" ht="13.2"/>
    <row r="4557" s="299" customFormat="1" ht="13.2"/>
    <row r="4558" s="299" customFormat="1" ht="13.2"/>
    <row r="4559" s="299" customFormat="1" ht="13.2"/>
    <row r="4560" s="299" customFormat="1" ht="13.2"/>
    <row r="4561" s="299" customFormat="1" ht="13.2"/>
    <row r="4562" s="299" customFormat="1" ht="13.2"/>
    <row r="4563" s="299" customFormat="1" ht="13.2"/>
    <row r="4564" s="299" customFormat="1" ht="13.2"/>
    <row r="4565" s="299" customFormat="1" ht="13.2"/>
    <row r="4566" s="299" customFormat="1" ht="13.2"/>
    <row r="4567" s="299" customFormat="1" ht="13.2"/>
    <row r="4568" s="299" customFormat="1" ht="13.2"/>
    <row r="4569" s="299" customFormat="1" ht="13.2"/>
    <row r="4570" s="299" customFormat="1" ht="13.2"/>
    <row r="4571" s="299" customFormat="1" ht="13.2"/>
    <row r="4572" s="299" customFormat="1" ht="13.2"/>
    <row r="4573" s="299" customFormat="1" ht="13.2"/>
    <row r="4574" s="299" customFormat="1" ht="13.2"/>
    <row r="4575" s="299" customFormat="1" ht="13.2"/>
    <row r="4576" s="299" customFormat="1" ht="13.2"/>
    <row r="4577" s="299" customFormat="1" ht="13.2"/>
    <row r="4578" s="299" customFormat="1" ht="13.2"/>
    <row r="4579" s="299" customFormat="1" ht="13.2"/>
    <row r="4580" s="299" customFormat="1" ht="13.2"/>
    <row r="4581" s="299" customFormat="1" ht="13.2"/>
    <row r="4582" s="299" customFormat="1" ht="13.2"/>
    <row r="4583" s="299" customFormat="1" ht="13.2"/>
    <row r="4584" s="299" customFormat="1" ht="13.2"/>
    <row r="4585" s="299" customFormat="1" ht="13.2"/>
    <row r="4586" s="299" customFormat="1" ht="13.2"/>
    <row r="4587" s="299" customFormat="1" ht="13.2"/>
    <row r="4588" s="299" customFormat="1" ht="13.2"/>
    <row r="4589" s="299" customFormat="1" ht="13.2"/>
    <row r="4590" s="299" customFormat="1" ht="13.2"/>
    <row r="4591" s="299" customFormat="1" ht="13.2"/>
    <row r="4592" s="299" customFormat="1" ht="13.2"/>
    <row r="4593" s="299" customFormat="1" ht="13.2"/>
    <row r="4594" s="299" customFormat="1" ht="13.2"/>
    <row r="4595" s="299" customFormat="1" ht="13.2"/>
    <row r="4596" s="299" customFormat="1" ht="13.2"/>
    <row r="4597" s="299" customFormat="1" ht="13.2"/>
    <row r="4598" s="299" customFormat="1" ht="13.2"/>
    <row r="4599" s="299" customFormat="1" ht="13.2"/>
    <row r="4600" s="299" customFormat="1" ht="13.2"/>
    <row r="4601" s="299" customFormat="1" ht="13.2"/>
    <row r="4602" s="299" customFormat="1" ht="13.2"/>
    <row r="4603" s="299" customFormat="1" ht="13.2"/>
    <row r="4604" s="299" customFormat="1" ht="13.2"/>
    <row r="4605" s="299" customFormat="1" ht="13.2"/>
    <row r="4606" s="299" customFormat="1" ht="13.2"/>
    <row r="4607" s="299" customFormat="1" ht="13.2"/>
    <row r="4608" s="299" customFormat="1" ht="13.2"/>
    <row r="4609" s="299" customFormat="1" ht="13.2"/>
    <row r="4610" s="299" customFormat="1" ht="13.2"/>
    <row r="4611" s="299" customFormat="1" ht="13.2"/>
    <row r="4612" s="299" customFormat="1" ht="13.2"/>
    <row r="4613" s="299" customFormat="1" ht="13.2"/>
    <row r="4614" s="299" customFormat="1" ht="13.2"/>
    <row r="4615" s="299" customFormat="1" ht="13.2"/>
    <row r="4616" s="299" customFormat="1" ht="13.2"/>
    <row r="4617" s="299" customFormat="1" ht="13.2"/>
    <row r="4618" s="299" customFormat="1" ht="13.2"/>
    <row r="4619" s="299" customFormat="1" ht="13.2"/>
    <row r="4620" s="299" customFormat="1" ht="13.2"/>
    <row r="4621" s="299" customFormat="1" ht="13.2"/>
    <row r="4622" s="299" customFormat="1" ht="13.2"/>
    <row r="4623" s="299" customFormat="1" ht="13.2"/>
    <row r="4624" s="299" customFormat="1" ht="13.2"/>
    <row r="4625" s="299" customFormat="1" ht="13.2"/>
    <row r="4626" s="299" customFormat="1" ht="13.2"/>
    <row r="4627" s="299" customFormat="1" ht="13.2"/>
    <row r="4628" s="299" customFormat="1" ht="13.2"/>
    <row r="4629" s="299" customFormat="1" ht="13.2"/>
    <row r="4630" s="299" customFormat="1" ht="13.2"/>
    <row r="4631" s="299" customFormat="1" ht="13.2"/>
    <row r="4632" s="299" customFormat="1" ht="13.2"/>
    <row r="4633" s="299" customFormat="1" ht="13.2"/>
    <row r="4634" s="299" customFormat="1" ht="13.2"/>
    <row r="4635" s="299" customFormat="1" ht="13.2"/>
    <row r="4636" s="299" customFormat="1" ht="13.2"/>
    <row r="4637" s="299" customFormat="1" ht="13.2"/>
    <row r="4638" s="299" customFormat="1" ht="13.2"/>
    <row r="4639" s="299" customFormat="1" ht="13.2"/>
    <row r="4640" s="299" customFormat="1" ht="13.2"/>
    <row r="4641" s="299" customFormat="1" ht="13.2"/>
    <row r="4642" s="299" customFormat="1" ht="13.2"/>
    <row r="4643" s="299" customFormat="1" ht="13.2"/>
    <row r="4644" s="299" customFormat="1" ht="13.2"/>
    <row r="4645" s="299" customFormat="1" ht="13.2"/>
    <row r="4646" s="299" customFormat="1" ht="13.2"/>
    <row r="4647" s="299" customFormat="1" ht="13.2"/>
    <row r="4648" s="299" customFormat="1" ht="13.2"/>
    <row r="4649" s="299" customFormat="1" ht="13.2"/>
    <row r="4650" s="299" customFormat="1" ht="13.2"/>
    <row r="4651" s="299" customFormat="1" ht="13.2"/>
    <row r="4652" s="299" customFormat="1" ht="13.2"/>
    <row r="4653" s="299" customFormat="1" ht="13.2"/>
    <row r="4654" s="299" customFormat="1" ht="13.2"/>
    <row r="4655" s="299" customFormat="1" ht="13.2"/>
    <row r="4656" s="299" customFormat="1" ht="13.2"/>
    <row r="4657" s="299" customFormat="1" ht="13.2"/>
    <row r="4658" s="299" customFormat="1" ht="13.2"/>
    <row r="4659" s="299" customFormat="1" ht="13.2"/>
    <row r="4660" s="299" customFormat="1" ht="13.2"/>
    <row r="4661" s="299" customFormat="1" ht="13.2"/>
    <row r="4662" s="299" customFormat="1" ht="13.2"/>
    <row r="4663" s="299" customFormat="1" ht="13.2"/>
    <row r="4664" s="299" customFormat="1" ht="13.2"/>
    <row r="4665" s="299" customFormat="1" ht="13.2"/>
    <row r="4666" s="299" customFormat="1" ht="13.2"/>
    <row r="4667" s="299" customFormat="1" ht="13.2"/>
    <row r="4668" s="299" customFormat="1" ht="13.2"/>
    <row r="4669" s="299" customFormat="1" ht="13.2"/>
    <row r="4670" s="299" customFormat="1" ht="13.2"/>
    <row r="4671" s="299" customFormat="1" ht="13.2"/>
    <row r="4672" s="299" customFormat="1" ht="13.2"/>
    <row r="4673" s="299" customFormat="1" ht="13.2"/>
    <row r="4674" s="299" customFormat="1" ht="13.2"/>
    <row r="4675" s="299" customFormat="1" ht="13.2"/>
    <row r="4676" s="299" customFormat="1" ht="13.2"/>
    <row r="4677" s="299" customFormat="1" ht="13.2"/>
    <row r="4678" s="299" customFormat="1" ht="13.2"/>
    <row r="4679" s="299" customFormat="1" ht="13.2"/>
    <row r="4680" s="299" customFormat="1" ht="13.2"/>
    <row r="4681" s="299" customFormat="1" ht="13.2"/>
    <row r="4682" s="299" customFormat="1" ht="13.2"/>
    <row r="4683" s="299" customFormat="1" ht="13.2"/>
    <row r="4684" s="299" customFormat="1" ht="13.2"/>
    <row r="4685" s="299" customFormat="1" ht="13.2"/>
    <row r="4686" s="299" customFormat="1" ht="13.2"/>
    <row r="4687" s="299" customFormat="1" ht="13.2"/>
    <row r="4688" s="299" customFormat="1" ht="13.2"/>
    <row r="4689" s="299" customFormat="1" ht="13.2"/>
    <row r="4690" s="299" customFormat="1" ht="13.2"/>
    <row r="4691" s="299" customFormat="1" ht="13.2"/>
    <row r="4692" s="299" customFormat="1" ht="13.2"/>
    <row r="4693" s="299" customFormat="1" ht="13.2"/>
    <row r="4694" s="299" customFormat="1" ht="13.2"/>
    <row r="4695" s="299" customFormat="1" ht="13.2"/>
    <row r="4696" s="299" customFormat="1" ht="13.2"/>
    <row r="4697" s="299" customFormat="1" ht="13.2"/>
    <row r="4698" s="299" customFormat="1" ht="13.2"/>
    <row r="4699" s="299" customFormat="1" ht="13.2"/>
    <row r="4700" s="299" customFormat="1" ht="13.2"/>
    <row r="4701" s="299" customFormat="1" ht="13.2"/>
    <row r="4702" s="299" customFormat="1" ht="13.2"/>
    <row r="4703" s="299" customFormat="1" ht="13.2"/>
    <row r="4704" s="299" customFormat="1" ht="13.2"/>
    <row r="4705" s="299" customFormat="1" ht="13.2"/>
    <row r="4706" s="299" customFormat="1" ht="13.2"/>
    <row r="4707" s="299" customFormat="1" ht="13.2"/>
    <row r="4708" s="299" customFormat="1" ht="13.2"/>
    <row r="4709" s="299" customFormat="1" ht="13.2"/>
    <row r="4710" s="299" customFormat="1" ht="13.2"/>
    <row r="4711" s="299" customFormat="1" ht="13.2"/>
    <row r="4712" s="299" customFormat="1" ht="13.2"/>
    <row r="4713" s="299" customFormat="1" ht="13.2"/>
    <row r="4714" s="299" customFormat="1" ht="13.2"/>
    <row r="4715" s="299" customFormat="1" ht="13.2"/>
    <row r="4716" s="299" customFormat="1" ht="13.2"/>
    <row r="4717" s="299" customFormat="1" ht="13.2"/>
    <row r="4718" s="299" customFormat="1" ht="13.2"/>
    <row r="4719" s="299" customFormat="1" ht="13.2"/>
    <row r="4720" s="299" customFormat="1" ht="13.2"/>
    <row r="4721" s="299" customFormat="1" ht="13.2"/>
    <row r="4722" s="299" customFormat="1" ht="13.2"/>
    <row r="4723" s="299" customFormat="1" ht="13.2"/>
    <row r="4724" s="299" customFormat="1" ht="13.2"/>
    <row r="4725" s="299" customFormat="1" ht="13.2"/>
    <row r="4726" s="299" customFormat="1" ht="13.2"/>
    <row r="4727" s="299" customFormat="1" ht="13.2"/>
    <row r="4728" s="299" customFormat="1" ht="13.2"/>
    <row r="4729" s="299" customFormat="1" ht="13.2"/>
    <row r="4730" s="299" customFormat="1" ht="13.2"/>
    <row r="4731" s="299" customFormat="1" ht="13.2"/>
    <row r="4732" s="299" customFormat="1" ht="13.2"/>
    <row r="4733" s="299" customFormat="1" ht="13.2"/>
    <row r="4734" s="299" customFormat="1" ht="13.2"/>
    <row r="4735" s="299" customFormat="1" ht="13.2"/>
    <row r="4736" s="299" customFormat="1" ht="13.2"/>
    <row r="4737" s="299" customFormat="1" ht="13.2"/>
    <row r="4738" s="299" customFormat="1" ht="13.2"/>
    <row r="4739" s="299" customFormat="1" ht="13.2"/>
    <row r="4740" s="299" customFormat="1" ht="13.2"/>
    <row r="4741" s="299" customFormat="1" ht="13.2"/>
    <row r="4742" s="299" customFormat="1" ht="13.2"/>
    <row r="4743" s="299" customFormat="1" ht="13.2"/>
    <row r="4744" s="299" customFormat="1" ht="13.2"/>
    <row r="4745" s="299" customFormat="1" ht="13.2"/>
    <row r="4746" s="299" customFormat="1" ht="13.2"/>
    <row r="4747" s="299" customFormat="1" ht="13.2"/>
    <row r="4748" s="299" customFormat="1" ht="13.2"/>
    <row r="4749" s="299" customFormat="1" ht="13.2"/>
    <row r="4750" s="299" customFormat="1" ht="13.2"/>
    <row r="4751" s="299" customFormat="1" ht="13.2"/>
    <row r="4752" s="299" customFormat="1" ht="13.2"/>
    <row r="4753" s="299" customFormat="1" ht="13.2"/>
    <row r="4754" s="299" customFormat="1" ht="13.2"/>
    <row r="4755" s="299" customFormat="1" ht="13.2"/>
    <row r="4756" s="299" customFormat="1" ht="13.2"/>
    <row r="4757" s="299" customFormat="1" ht="13.2"/>
    <row r="4758" s="299" customFormat="1" ht="13.2"/>
    <row r="4759" s="299" customFormat="1" ht="13.2"/>
    <row r="4760" s="299" customFormat="1" ht="13.2"/>
    <row r="4761" s="299" customFormat="1" ht="13.2"/>
    <row r="4762" s="299" customFormat="1" ht="13.2"/>
    <row r="4763" s="299" customFormat="1" ht="13.2"/>
    <row r="4764" s="299" customFormat="1" ht="13.2"/>
    <row r="4765" s="299" customFormat="1" ht="13.2"/>
    <row r="4766" s="299" customFormat="1" ht="13.2"/>
    <row r="4767" s="299" customFormat="1" ht="13.2"/>
    <row r="4768" s="299" customFormat="1" ht="13.2"/>
    <row r="4769" s="299" customFormat="1" ht="13.2"/>
    <row r="4770" s="299" customFormat="1" ht="13.2"/>
    <row r="4771" s="299" customFormat="1" ht="13.2"/>
    <row r="4772" s="299" customFormat="1" ht="13.2"/>
    <row r="4773" s="299" customFormat="1" ht="13.2"/>
    <row r="4774" s="299" customFormat="1" ht="13.2"/>
    <row r="4775" s="299" customFormat="1" ht="13.2"/>
    <row r="4776" s="299" customFormat="1" ht="13.2"/>
    <row r="4777" s="299" customFormat="1" ht="13.2"/>
    <row r="4778" s="299" customFormat="1" ht="13.2"/>
    <row r="4779" s="299" customFormat="1" ht="13.2"/>
    <row r="4780" s="299" customFormat="1" ht="13.2"/>
    <row r="4781" s="299" customFormat="1" ht="13.2"/>
    <row r="4782" s="299" customFormat="1" ht="13.2"/>
    <row r="4783" s="299" customFormat="1" ht="13.2"/>
    <row r="4784" s="299" customFormat="1" ht="13.2"/>
    <row r="4785" s="299" customFormat="1" ht="13.2"/>
    <row r="4786" s="299" customFormat="1" ht="13.2"/>
    <row r="4787" s="299" customFormat="1" ht="13.2"/>
    <row r="4788" s="299" customFormat="1" ht="13.2"/>
    <row r="4789" s="299" customFormat="1" ht="13.2"/>
    <row r="4790" s="299" customFormat="1" ht="13.2"/>
    <row r="4791" s="299" customFormat="1" ht="13.2"/>
    <row r="4792" s="299" customFormat="1" ht="13.2"/>
    <row r="4793" s="299" customFormat="1" ht="13.2"/>
    <row r="4794" s="299" customFormat="1" ht="13.2"/>
    <row r="4795" s="299" customFormat="1" ht="13.2"/>
    <row r="4796" s="299" customFormat="1" ht="13.2"/>
    <row r="4797" s="299" customFormat="1" ht="13.2"/>
    <row r="4798" s="299" customFormat="1" ht="13.2"/>
    <row r="4799" s="299" customFormat="1" ht="13.2"/>
    <row r="4800" s="299" customFormat="1" ht="13.2"/>
    <row r="4801" s="299" customFormat="1" ht="13.2"/>
    <row r="4802" s="299" customFormat="1" ht="13.2"/>
    <row r="4803" s="299" customFormat="1" ht="13.2"/>
    <row r="4804" s="299" customFormat="1" ht="13.2"/>
    <row r="4805" s="299" customFormat="1" ht="13.2"/>
    <row r="4806" s="299" customFormat="1" ht="13.2"/>
    <row r="4807" s="299" customFormat="1" ht="13.2"/>
    <row r="4808" s="299" customFormat="1" ht="13.2"/>
    <row r="4809" s="299" customFormat="1" ht="13.2"/>
    <row r="4810" s="299" customFormat="1" ht="13.2"/>
    <row r="4811" s="299" customFormat="1" ht="13.2"/>
    <row r="4812" s="299" customFormat="1" ht="13.2"/>
    <row r="4813" s="299" customFormat="1" ht="13.2"/>
    <row r="4814" s="299" customFormat="1" ht="13.2"/>
    <row r="4815" s="299" customFormat="1" ht="13.2"/>
    <row r="4816" s="299" customFormat="1" ht="13.2"/>
    <row r="4817" s="299" customFormat="1" ht="13.2"/>
    <row r="4818" s="299" customFormat="1" ht="13.2"/>
    <row r="4819" s="299" customFormat="1" ht="13.2"/>
    <row r="4820" s="299" customFormat="1" ht="13.2"/>
    <row r="4821" s="299" customFormat="1" ht="13.2"/>
    <row r="4822" s="299" customFormat="1" ht="13.2"/>
    <row r="4823" s="299" customFormat="1" ht="13.2"/>
    <row r="4824" s="299" customFormat="1" ht="13.2"/>
    <row r="4825" s="299" customFormat="1" ht="13.2"/>
    <row r="4826" s="299" customFormat="1" ht="13.2"/>
    <row r="4827" s="299" customFormat="1" ht="13.2"/>
    <row r="4828" s="299" customFormat="1" ht="13.2"/>
    <row r="4829" s="299" customFormat="1" ht="13.2"/>
    <row r="4830" s="299" customFormat="1" ht="13.2"/>
    <row r="4831" s="299" customFormat="1" ht="13.2"/>
    <row r="4832" s="299" customFormat="1" ht="13.2"/>
    <row r="4833" s="299" customFormat="1" ht="13.2"/>
    <row r="4834" s="299" customFormat="1" ht="13.2"/>
    <row r="4835" s="299" customFormat="1" ht="13.2"/>
    <row r="4836" s="299" customFormat="1" ht="13.2"/>
    <row r="4837" s="299" customFormat="1" ht="13.2"/>
    <row r="4838" s="299" customFormat="1" ht="13.2"/>
    <row r="4839" s="299" customFormat="1" ht="13.2"/>
    <row r="4840" s="299" customFormat="1" ht="13.2"/>
    <row r="4841" s="299" customFormat="1" ht="13.2"/>
    <row r="4842" s="299" customFormat="1" ht="13.2"/>
    <row r="4843" s="299" customFormat="1" ht="13.2"/>
    <row r="4844" s="299" customFormat="1" ht="13.2"/>
    <row r="4845" s="299" customFormat="1" ht="13.2"/>
    <row r="4846" s="299" customFormat="1" ht="13.2"/>
    <row r="4847" s="299" customFormat="1" ht="13.2"/>
    <row r="4848" s="299" customFormat="1" ht="13.2"/>
    <row r="4849" s="299" customFormat="1" ht="13.2"/>
    <row r="4850" s="299" customFormat="1" ht="13.2"/>
    <row r="4851" s="299" customFormat="1" ht="13.2"/>
    <row r="4852" s="299" customFormat="1" ht="13.2"/>
    <row r="4853" s="299" customFormat="1" ht="13.2"/>
    <row r="4854" s="299" customFormat="1" ht="13.2"/>
    <row r="4855" s="299" customFormat="1" ht="13.2"/>
    <row r="4856" s="299" customFormat="1" ht="13.2"/>
    <row r="4857" s="299" customFormat="1" ht="13.2"/>
    <row r="4858" s="299" customFormat="1" ht="13.2"/>
    <row r="4859" s="299" customFormat="1" ht="13.2"/>
    <row r="4860" s="299" customFormat="1" ht="13.2"/>
    <row r="4861" s="299" customFormat="1" ht="13.2"/>
    <row r="4862" s="299" customFormat="1" ht="13.2"/>
    <row r="4863" s="299" customFormat="1" ht="13.2"/>
    <row r="4864" s="299" customFormat="1" ht="13.2"/>
    <row r="4865" s="299" customFormat="1" ht="13.2"/>
    <row r="4866" s="299" customFormat="1" ht="13.2"/>
    <row r="4867" s="299" customFormat="1" ht="13.2"/>
    <row r="4868" s="299" customFormat="1" ht="13.2"/>
    <row r="4869" s="299" customFormat="1" ht="13.2"/>
    <row r="4870" s="299" customFormat="1" ht="13.2"/>
    <row r="4871" s="299" customFormat="1" ht="13.2"/>
    <row r="4872" s="299" customFormat="1" ht="13.2"/>
    <row r="4873" s="299" customFormat="1" ht="13.2"/>
    <row r="4874" s="299" customFormat="1" ht="13.2"/>
    <row r="4875" s="299" customFormat="1" ht="13.2"/>
    <row r="4876" s="299" customFormat="1" ht="13.2"/>
    <row r="4877" s="299" customFormat="1" ht="13.2"/>
    <row r="4878" s="299" customFormat="1" ht="13.2"/>
    <row r="4879" s="299" customFormat="1" ht="13.2"/>
    <row r="4880" s="299" customFormat="1" ht="13.2"/>
    <row r="4881" s="299" customFormat="1" ht="13.2"/>
    <row r="4882" s="299" customFormat="1" ht="13.2"/>
    <row r="4883" s="299" customFormat="1" ht="13.2"/>
    <row r="4884" s="299" customFormat="1" ht="13.2"/>
    <row r="4885" s="299" customFormat="1" ht="13.2"/>
    <row r="4886" s="299" customFormat="1" ht="13.2"/>
    <row r="4887" s="299" customFormat="1" ht="13.2"/>
    <row r="4888" s="299" customFormat="1" ht="13.2"/>
    <row r="4889" s="299" customFormat="1" ht="13.2"/>
    <row r="4890" s="299" customFormat="1" ht="13.2"/>
    <row r="4891" s="299" customFormat="1" ht="13.2"/>
    <row r="4892" s="299" customFormat="1" ht="13.2"/>
    <row r="4893" s="299" customFormat="1" ht="13.2"/>
    <row r="4894" s="299" customFormat="1" ht="13.2"/>
    <row r="4895" s="299" customFormat="1" ht="13.2"/>
    <row r="4896" s="299" customFormat="1" ht="13.2"/>
    <row r="4897" s="299" customFormat="1" ht="13.2"/>
    <row r="4898" s="299" customFormat="1" ht="13.2"/>
    <row r="4899" s="299" customFormat="1" ht="13.2"/>
    <row r="4900" s="299" customFormat="1" ht="13.2"/>
    <row r="4901" s="299" customFormat="1" ht="13.2"/>
    <row r="4902" s="299" customFormat="1" ht="13.2"/>
    <row r="4903" s="299" customFormat="1" ht="13.2"/>
    <row r="4904" s="299" customFormat="1" ht="13.2"/>
    <row r="4905" s="299" customFormat="1" ht="13.2"/>
    <row r="4906" s="299" customFormat="1" ht="13.2"/>
    <row r="4907" s="299" customFormat="1" ht="13.2"/>
    <row r="4908" s="299" customFormat="1" ht="13.2"/>
    <row r="4909" s="299" customFormat="1" ht="13.2"/>
    <row r="4910" s="299" customFormat="1" ht="13.2"/>
    <row r="4911" s="299" customFormat="1" ht="13.2"/>
    <row r="4912" s="299" customFormat="1" ht="13.2"/>
    <row r="4913" s="299" customFormat="1" ht="13.2"/>
    <row r="4914" s="299" customFormat="1" ht="13.2"/>
    <row r="4915" s="299" customFormat="1" ht="13.2"/>
    <row r="4916" s="299" customFormat="1" ht="13.2"/>
    <row r="4917" s="299" customFormat="1" ht="13.2"/>
    <row r="4918" s="299" customFormat="1" ht="13.2"/>
    <row r="4919" s="299" customFormat="1" ht="13.2"/>
    <row r="4920" s="299" customFormat="1" ht="13.2"/>
    <row r="4921" s="299" customFormat="1" ht="13.2"/>
    <row r="4922" s="299" customFormat="1" ht="13.2"/>
    <row r="4923" s="299" customFormat="1" ht="13.2"/>
    <row r="4924" s="299" customFormat="1" ht="13.2"/>
    <row r="4925" s="299" customFormat="1" ht="13.2"/>
    <row r="4926" s="299" customFormat="1" ht="13.2"/>
    <row r="4927" s="299" customFormat="1" ht="13.2"/>
    <row r="4928" s="299" customFormat="1" ht="13.2"/>
    <row r="4929" s="299" customFormat="1" ht="13.2"/>
    <row r="4930" s="299" customFormat="1" ht="13.2"/>
    <row r="4931" s="299" customFormat="1" ht="13.2"/>
    <row r="4932" s="299" customFormat="1" ht="13.2"/>
    <row r="4933" s="299" customFormat="1" ht="13.2"/>
    <row r="4934" s="299" customFormat="1" ht="13.2"/>
    <row r="4935" s="299" customFormat="1" ht="13.2"/>
    <row r="4936" s="299" customFormat="1" ht="13.2"/>
    <row r="4937" s="299" customFormat="1" ht="13.2"/>
    <row r="4938" s="299" customFormat="1" ht="13.2"/>
    <row r="4939" s="299" customFormat="1" ht="13.2"/>
    <row r="4940" s="299" customFormat="1" ht="13.2"/>
    <row r="4941" s="299" customFormat="1" ht="13.2"/>
    <row r="4942" s="299" customFormat="1" ht="13.2"/>
    <row r="4943" s="299" customFormat="1" ht="13.2"/>
    <row r="4944" s="299" customFormat="1" ht="13.2"/>
    <row r="4945" s="299" customFormat="1" ht="13.2"/>
    <row r="4946" s="299" customFormat="1" ht="13.2"/>
    <row r="4947" s="299" customFormat="1" ht="13.2"/>
    <row r="4948" s="299" customFormat="1" ht="13.2"/>
    <row r="4949" s="299" customFormat="1" ht="13.2"/>
    <row r="4950" s="299" customFormat="1" ht="13.2"/>
    <row r="4951" s="299" customFormat="1" ht="13.2"/>
    <row r="4952" s="299" customFormat="1" ht="13.2"/>
    <row r="4953" s="299" customFormat="1" ht="13.2"/>
    <row r="4954" s="299" customFormat="1" ht="13.2"/>
    <row r="4955" s="299" customFormat="1" ht="13.2"/>
    <row r="4956" s="299" customFormat="1" ht="13.2"/>
    <row r="4957" s="299" customFormat="1" ht="13.2"/>
    <row r="4958" s="299" customFormat="1" ht="13.2"/>
    <row r="4959" s="299" customFormat="1" ht="13.2"/>
    <row r="4960" s="299" customFormat="1" ht="13.2"/>
    <row r="4961" s="299" customFormat="1" ht="13.2"/>
    <row r="4962" s="299" customFormat="1" ht="13.2"/>
    <row r="4963" s="299" customFormat="1" ht="13.2"/>
    <row r="4964" s="299" customFormat="1" ht="13.2"/>
    <row r="4965" s="299" customFormat="1" ht="13.2"/>
    <row r="4966" s="299" customFormat="1" ht="13.2"/>
    <row r="4967" s="299" customFormat="1" ht="13.2"/>
    <row r="4968" s="299" customFormat="1" ht="13.2"/>
    <row r="4969" s="299" customFormat="1" ht="13.2"/>
    <row r="4970" s="299" customFormat="1" ht="13.2"/>
    <row r="4971" s="299" customFormat="1" ht="13.2"/>
    <row r="4972" s="299" customFormat="1" ht="13.2"/>
    <row r="4973" s="299" customFormat="1" ht="13.2"/>
    <row r="4974" s="299" customFormat="1" ht="13.2"/>
    <row r="4975" s="299" customFormat="1" ht="13.2"/>
    <row r="4976" s="299" customFormat="1" ht="13.2"/>
    <row r="4977" s="299" customFormat="1" ht="13.2"/>
    <row r="4978" s="299" customFormat="1" ht="13.2"/>
    <row r="4979" s="299" customFormat="1" ht="13.2"/>
    <row r="4980" s="299" customFormat="1" ht="13.2"/>
    <row r="4981" s="299" customFormat="1" ht="13.2"/>
    <row r="4982" s="299" customFormat="1" ht="13.2"/>
    <row r="4983" s="299" customFormat="1" ht="13.2"/>
    <row r="4984" s="299" customFormat="1" ht="13.2"/>
    <row r="4985" s="299" customFormat="1" ht="13.2"/>
    <row r="4986" s="299" customFormat="1" ht="13.2"/>
    <row r="4987" s="299" customFormat="1" ht="13.2"/>
    <row r="4988" s="299" customFormat="1" ht="13.2"/>
    <row r="4989" s="299" customFormat="1" ht="13.2"/>
    <row r="4990" s="299" customFormat="1" ht="13.2"/>
    <row r="4991" s="299" customFormat="1" ht="13.2"/>
    <row r="4992" s="299" customFormat="1" ht="13.2"/>
    <row r="4993" s="299" customFormat="1" ht="13.2"/>
    <row r="4994" s="299" customFormat="1" ht="13.2"/>
    <row r="4995" s="299" customFormat="1" ht="13.2"/>
    <row r="4996" s="299" customFormat="1" ht="13.2"/>
    <row r="4997" s="299" customFormat="1" ht="13.2"/>
    <row r="4998" s="299" customFormat="1" ht="13.2"/>
    <row r="4999" s="299" customFormat="1" ht="13.2"/>
    <row r="5000" s="299" customFormat="1" ht="13.2"/>
    <row r="5001" s="299" customFormat="1" ht="13.2"/>
    <row r="5002" s="299" customFormat="1" ht="13.2"/>
    <row r="5003" s="299" customFormat="1" ht="13.2"/>
    <row r="5004" s="299" customFormat="1" ht="13.2"/>
    <row r="5005" s="299" customFormat="1" ht="13.2"/>
    <row r="5006" s="299" customFormat="1" ht="13.2"/>
    <row r="5007" s="299" customFormat="1" ht="13.2"/>
    <row r="5008" s="299" customFormat="1" ht="13.2"/>
    <row r="5009" s="299" customFormat="1" ht="13.2"/>
    <row r="5010" s="299" customFormat="1" ht="13.2"/>
    <row r="5011" s="299" customFormat="1" ht="13.2"/>
    <row r="5012" s="299" customFormat="1" ht="13.2"/>
    <row r="5013" s="299" customFormat="1" ht="13.2"/>
    <row r="5014" s="299" customFormat="1" ht="13.2"/>
    <row r="5015" s="299" customFormat="1" ht="13.2"/>
    <row r="5016" s="299" customFormat="1" ht="13.2"/>
    <row r="5017" s="299" customFormat="1" ht="13.2"/>
    <row r="5018" s="299" customFormat="1" ht="13.2"/>
    <row r="5019" s="299" customFormat="1" ht="13.2"/>
    <row r="5020" s="299" customFormat="1" ht="13.2"/>
    <row r="5021" s="299" customFormat="1" ht="13.2"/>
    <row r="5022" s="299" customFormat="1" ht="13.2"/>
    <row r="5023" s="299" customFormat="1" ht="13.2"/>
    <row r="5024" s="299" customFormat="1" ht="13.2"/>
    <row r="5025" s="299" customFormat="1" ht="13.2"/>
    <row r="5026" s="299" customFormat="1" ht="13.2"/>
    <row r="5027" s="299" customFormat="1" ht="13.2"/>
    <row r="5028" s="299" customFormat="1" ht="13.2"/>
    <row r="5029" s="299" customFormat="1" ht="13.2"/>
    <row r="5030" s="299" customFormat="1" ht="13.2"/>
    <row r="5031" s="299" customFormat="1" ht="13.2"/>
    <row r="5032" s="299" customFormat="1" ht="13.2"/>
    <row r="5033" s="299" customFormat="1" ht="13.2"/>
    <row r="5034" s="299" customFormat="1" ht="13.2"/>
    <row r="5035" s="299" customFormat="1" ht="13.2"/>
    <row r="5036" s="299" customFormat="1" ht="13.2"/>
    <row r="5037" s="299" customFormat="1" ht="13.2"/>
    <row r="5038" s="299" customFormat="1" ht="13.2"/>
    <row r="5039" s="299" customFormat="1" ht="13.2"/>
    <row r="5040" s="299" customFormat="1" ht="13.2"/>
    <row r="5041" s="299" customFormat="1" ht="13.2"/>
    <row r="5042" s="299" customFormat="1" ht="13.2"/>
    <row r="5043" s="299" customFormat="1" ht="13.2"/>
    <row r="5044" s="299" customFormat="1" ht="13.2"/>
    <row r="5045" s="299" customFormat="1" ht="13.2"/>
    <row r="5046" s="299" customFormat="1" ht="13.2"/>
    <row r="5047" s="299" customFormat="1" ht="13.2"/>
    <row r="5048" s="299" customFormat="1" ht="13.2"/>
    <row r="5049" s="299" customFormat="1" ht="13.2"/>
    <row r="5050" s="299" customFormat="1" ht="13.2"/>
    <row r="5051" s="299" customFormat="1" ht="13.2"/>
    <row r="5052" s="299" customFormat="1" ht="13.2"/>
    <row r="5053" s="299" customFormat="1" ht="13.2"/>
    <row r="5054" s="299" customFormat="1" ht="13.2"/>
    <row r="5055" s="299" customFormat="1" ht="13.2"/>
    <row r="5056" s="299" customFormat="1" ht="13.2"/>
    <row r="5057" s="299" customFormat="1" ht="13.2"/>
    <row r="5058" s="299" customFormat="1" ht="13.2"/>
    <row r="5059" s="299" customFormat="1" ht="13.2"/>
    <row r="5060" s="299" customFormat="1" ht="13.2"/>
    <row r="5061" s="299" customFormat="1" ht="13.2"/>
    <row r="5062" s="299" customFormat="1" ht="13.2"/>
    <row r="5063" s="299" customFormat="1" ht="13.2"/>
    <row r="5064" s="299" customFormat="1" ht="13.2"/>
    <row r="5065" s="299" customFormat="1" ht="13.2"/>
    <row r="5066" s="299" customFormat="1" ht="13.2"/>
    <row r="5067" s="299" customFormat="1" ht="13.2"/>
    <row r="5068" s="299" customFormat="1" ht="13.2"/>
    <row r="5069" s="299" customFormat="1" ht="13.2"/>
    <row r="5070" s="299" customFormat="1" ht="13.2"/>
    <row r="5071" s="299" customFormat="1" ht="13.2"/>
    <row r="5072" s="299" customFormat="1" ht="13.2"/>
    <row r="5073" s="299" customFormat="1" ht="13.2"/>
    <row r="5074" s="299" customFormat="1" ht="13.2"/>
    <row r="5075" s="299" customFormat="1" ht="13.2"/>
    <row r="5076" s="299" customFormat="1" ht="13.2"/>
    <row r="5077" s="299" customFormat="1" ht="13.2"/>
    <row r="5078" s="299" customFormat="1" ht="13.2"/>
    <row r="5079" s="299" customFormat="1" ht="13.2"/>
    <row r="5080" s="299" customFormat="1" ht="13.2"/>
    <row r="5081" s="299" customFormat="1" ht="13.2"/>
    <row r="5082" s="299" customFormat="1" ht="13.2"/>
    <row r="5083" s="299" customFormat="1" ht="13.2"/>
    <row r="5084" s="299" customFormat="1" ht="13.2"/>
    <row r="5085" s="299" customFormat="1" ht="13.2"/>
    <row r="5086" s="299" customFormat="1" ht="13.2"/>
    <row r="5087" s="299" customFormat="1" ht="13.2"/>
    <row r="5088" s="299" customFormat="1" ht="13.2"/>
    <row r="5089" s="299" customFormat="1" ht="13.2"/>
    <row r="5090" s="299" customFormat="1" ht="13.2"/>
    <row r="5091" s="299" customFormat="1" ht="13.2"/>
    <row r="5092" s="299" customFormat="1" ht="13.2"/>
    <row r="5093" s="299" customFormat="1" ht="13.2"/>
    <row r="5094" s="299" customFormat="1" ht="13.2"/>
    <row r="5095" s="299" customFormat="1" ht="13.2"/>
    <row r="5096" s="299" customFormat="1" ht="13.2"/>
    <row r="5097" s="299" customFormat="1" ht="13.2"/>
    <row r="5098" s="299" customFormat="1" ht="13.2"/>
    <row r="5099" s="299" customFormat="1" ht="13.2"/>
    <row r="5100" s="299" customFormat="1" ht="13.2"/>
    <row r="5101" s="299" customFormat="1" ht="13.2"/>
    <row r="5102" s="299" customFormat="1" ht="13.2"/>
    <row r="5103" s="299" customFormat="1" ht="13.2"/>
    <row r="5104" s="299" customFormat="1" ht="13.2"/>
    <row r="5105" s="299" customFormat="1" ht="13.2"/>
    <row r="5106" s="299" customFormat="1" ht="13.2"/>
    <row r="5107" s="299" customFormat="1" ht="13.2"/>
    <row r="5108" s="299" customFormat="1" ht="13.2"/>
    <row r="5109" s="299" customFormat="1" ht="13.2"/>
    <row r="5110" s="299" customFormat="1" ht="13.2"/>
    <row r="5111" s="299" customFormat="1" ht="13.2"/>
    <row r="5112" s="299" customFormat="1" ht="13.2"/>
    <row r="5113" s="299" customFormat="1" ht="13.2"/>
    <row r="5114" s="299" customFormat="1" ht="13.2"/>
    <row r="5115" s="299" customFormat="1" ht="13.2"/>
    <row r="5116" s="299" customFormat="1" ht="13.2"/>
    <row r="5117" s="299" customFormat="1" ht="13.2"/>
    <row r="5118" s="299" customFormat="1" ht="13.2"/>
    <row r="5119" s="299" customFormat="1" ht="13.2"/>
    <row r="5120" s="299" customFormat="1" ht="13.2"/>
    <row r="5121" s="299" customFormat="1" ht="13.2"/>
    <row r="5122" s="299" customFormat="1" ht="13.2"/>
    <row r="5123" s="299" customFormat="1" ht="13.2"/>
    <row r="5124" s="299" customFormat="1" ht="13.2"/>
    <row r="5125" s="299" customFormat="1" ht="13.2"/>
    <row r="5126" s="299" customFormat="1" ht="13.2"/>
    <row r="5127" s="299" customFormat="1" ht="13.2"/>
    <row r="5128" s="299" customFormat="1" ht="13.2"/>
    <row r="5129" s="299" customFormat="1" ht="13.2"/>
    <row r="5130" s="299" customFormat="1" ht="13.2"/>
    <row r="5131" s="299" customFormat="1" ht="13.2"/>
    <row r="5132" s="299" customFormat="1" ht="13.2"/>
    <row r="5133" s="299" customFormat="1" ht="13.2"/>
    <row r="5134" s="299" customFormat="1" ht="13.2"/>
    <row r="5135" s="299" customFormat="1" ht="13.2"/>
    <row r="5136" s="299" customFormat="1" ht="13.2"/>
    <row r="5137" s="299" customFormat="1" ht="13.2"/>
    <row r="5138" s="299" customFormat="1" ht="13.2"/>
    <row r="5139" s="299" customFormat="1" ht="13.2"/>
    <row r="5140" s="299" customFormat="1" ht="13.2"/>
    <row r="5141" s="299" customFormat="1" ht="13.2"/>
    <row r="5142" s="299" customFormat="1" ht="13.2"/>
    <row r="5143" s="299" customFormat="1" ht="13.2"/>
    <row r="5144" s="299" customFormat="1" ht="13.2"/>
    <row r="5145" s="299" customFormat="1" ht="13.2"/>
    <row r="5146" s="299" customFormat="1" ht="13.2"/>
    <row r="5147" s="299" customFormat="1" ht="13.2"/>
    <row r="5148" s="299" customFormat="1" ht="13.2"/>
    <row r="5149" s="299" customFormat="1" ht="13.2"/>
    <row r="5150" s="299" customFormat="1" ht="13.2"/>
    <row r="5151" s="299" customFormat="1" ht="13.2"/>
    <row r="5152" s="299" customFormat="1" ht="13.2"/>
    <row r="5153" s="299" customFormat="1" ht="13.2"/>
    <row r="5154" s="299" customFormat="1" ht="13.2"/>
    <row r="5155" s="299" customFormat="1" ht="13.2"/>
    <row r="5156" s="299" customFormat="1" ht="13.2"/>
    <row r="5157" s="299" customFormat="1" ht="13.2"/>
    <row r="5158" s="299" customFormat="1" ht="13.2"/>
    <row r="5159" s="299" customFormat="1" ht="13.2"/>
    <row r="5160" s="299" customFormat="1" ht="13.2"/>
    <row r="5161" s="299" customFormat="1" ht="13.2"/>
    <row r="5162" s="299" customFormat="1" ht="13.2"/>
    <row r="5163" s="299" customFormat="1" ht="13.2"/>
    <row r="5164" s="299" customFormat="1" ht="13.2"/>
    <row r="5165" s="299" customFormat="1" ht="13.2"/>
    <row r="5166" s="299" customFormat="1" ht="13.2"/>
    <row r="5167" s="299" customFormat="1" ht="13.2"/>
    <row r="5168" s="299" customFormat="1" ht="13.2"/>
    <row r="5169" s="299" customFormat="1" ht="13.2"/>
    <row r="5170" s="299" customFormat="1" ht="13.2"/>
    <row r="5171" s="299" customFormat="1" ht="13.2"/>
    <row r="5172" s="299" customFormat="1" ht="13.2"/>
    <row r="5173" s="299" customFormat="1" ht="13.2"/>
    <row r="5174" s="299" customFormat="1" ht="13.2"/>
    <row r="5175" s="299" customFormat="1" ht="13.2"/>
    <row r="5176" s="299" customFormat="1" ht="13.2"/>
    <row r="5177" s="299" customFormat="1" ht="13.2"/>
    <row r="5178" s="299" customFormat="1" ht="13.2"/>
    <row r="5179" s="299" customFormat="1" ht="13.2"/>
    <row r="5180" s="299" customFormat="1" ht="13.2"/>
    <row r="5181" s="299" customFormat="1" ht="13.2"/>
    <row r="5182" s="299" customFormat="1" ht="13.2"/>
    <row r="5183" s="299" customFormat="1" ht="13.2"/>
    <row r="5184" s="299" customFormat="1" ht="13.2"/>
    <row r="5185" s="299" customFormat="1" ht="13.2"/>
    <row r="5186" s="299" customFormat="1" ht="13.2"/>
    <row r="5187" s="299" customFormat="1" ht="13.2"/>
    <row r="5188" s="299" customFormat="1" ht="13.2"/>
    <row r="5189" s="299" customFormat="1" ht="13.2"/>
    <row r="5190" s="299" customFormat="1" ht="13.2"/>
    <row r="5191" s="299" customFormat="1" ht="13.2"/>
    <row r="5192" s="299" customFormat="1" ht="13.2"/>
    <row r="5193" s="299" customFormat="1" ht="13.2"/>
    <row r="5194" s="299" customFormat="1" ht="13.2"/>
    <row r="5195" s="299" customFormat="1" ht="13.2"/>
    <row r="5196" s="299" customFormat="1" ht="13.2"/>
    <row r="5197" s="299" customFormat="1" ht="13.2"/>
    <row r="5198" s="299" customFormat="1" ht="13.2"/>
    <row r="5199" s="299" customFormat="1" ht="13.2"/>
    <row r="5200" s="299" customFormat="1" ht="13.2"/>
    <row r="5201" s="299" customFormat="1" ht="13.2"/>
    <row r="5202" s="299" customFormat="1" ht="13.2"/>
    <row r="5203" s="299" customFormat="1" ht="13.2"/>
    <row r="5204" s="299" customFormat="1" ht="13.2"/>
    <row r="5205" s="299" customFormat="1" ht="13.2"/>
    <row r="5206" s="299" customFormat="1" ht="13.2"/>
    <row r="5207" s="299" customFormat="1" ht="13.2"/>
    <row r="5208" s="299" customFormat="1" ht="13.2"/>
    <row r="5209" s="299" customFormat="1" ht="13.2"/>
    <row r="5210" s="299" customFormat="1" ht="13.2"/>
    <row r="5211" s="299" customFormat="1" ht="13.2"/>
    <row r="5212" s="299" customFormat="1" ht="13.2"/>
    <row r="5213" s="299" customFormat="1" ht="13.2"/>
    <row r="5214" s="299" customFormat="1" ht="13.2"/>
    <row r="5215" s="299" customFormat="1" ht="13.2"/>
    <row r="5216" s="299" customFormat="1" ht="13.2"/>
    <row r="5217" s="299" customFormat="1" ht="13.2"/>
    <row r="5218" s="299" customFormat="1" ht="13.2"/>
    <row r="5219" s="299" customFormat="1" ht="13.2"/>
    <row r="5220" s="299" customFormat="1" ht="13.2"/>
    <row r="5221" s="299" customFormat="1" ht="13.2"/>
    <row r="5222" s="299" customFormat="1" ht="13.2"/>
    <row r="5223" s="299" customFormat="1" ht="13.2"/>
    <row r="5224" s="299" customFormat="1" ht="13.2"/>
    <row r="5225" s="299" customFormat="1" ht="13.2"/>
    <row r="5226" s="299" customFormat="1" ht="13.2"/>
    <row r="5227" s="299" customFormat="1" ht="13.2"/>
    <row r="5228" s="299" customFormat="1" ht="13.2"/>
    <row r="5229" s="299" customFormat="1" ht="13.2"/>
    <row r="5230" s="299" customFormat="1" ht="13.2"/>
    <row r="5231" s="299" customFormat="1" ht="13.2"/>
    <row r="5232" s="299" customFormat="1" ht="13.2"/>
    <row r="5233" s="299" customFormat="1" ht="13.2"/>
    <row r="5234" s="299" customFormat="1" ht="13.2"/>
    <row r="5235" s="299" customFormat="1" ht="13.2"/>
    <row r="5236" s="299" customFormat="1" ht="13.2"/>
    <row r="5237" s="299" customFormat="1" ht="13.2"/>
    <row r="5238" s="299" customFormat="1" ht="13.2"/>
    <row r="5239" s="299" customFormat="1" ht="13.2"/>
    <row r="5240" s="299" customFormat="1" ht="13.2"/>
    <row r="5241" s="299" customFormat="1" ht="13.2"/>
    <row r="5242" s="299" customFormat="1" ht="13.2"/>
    <row r="5243" s="299" customFormat="1" ht="13.2"/>
    <row r="5244" s="299" customFormat="1" ht="13.2"/>
    <row r="5245" s="299" customFormat="1" ht="13.2"/>
    <row r="5246" s="299" customFormat="1" ht="13.2"/>
    <row r="5247" s="299" customFormat="1" ht="13.2"/>
    <row r="5248" s="299" customFormat="1" ht="13.2"/>
    <row r="5249" s="299" customFormat="1" ht="13.2"/>
    <row r="5250" s="299" customFormat="1" ht="13.2"/>
    <row r="5251" s="299" customFormat="1" ht="13.2"/>
    <row r="5252" s="299" customFormat="1" ht="13.2"/>
    <row r="5253" s="299" customFormat="1" ht="13.2"/>
    <row r="5254" s="299" customFormat="1" ht="13.2"/>
    <row r="5255" s="299" customFormat="1" ht="13.2"/>
    <row r="5256" s="299" customFormat="1" ht="13.2"/>
    <row r="5257" s="299" customFormat="1" ht="13.2"/>
    <row r="5258" s="299" customFormat="1" ht="13.2"/>
    <row r="5259" s="299" customFormat="1" ht="13.2"/>
    <row r="5260" s="299" customFormat="1" ht="13.2"/>
    <row r="5261" s="299" customFormat="1" ht="13.2"/>
    <row r="5262" s="299" customFormat="1" ht="13.2"/>
    <row r="5263" s="299" customFormat="1" ht="13.2"/>
    <row r="5264" s="299" customFormat="1" ht="13.2"/>
    <row r="5265" s="299" customFormat="1" ht="13.2"/>
    <row r="5266" s="299" customFormat="1" ht="13.2"/>
    <row r="5267" s="299" customFormat="1" ht="13.2"/>
    <row r="5268" s="299" customFormat="1" ht="13.2"/>
    <row r="5269" s="299" customFormat="1" ht="13.2"/>
    <row r="5270" s="299" customFormat="1" ht="13.2"/>
    <row r="5271" s="299" customFormat="1" ht="13.2"/>
    <row r="5272" s="299" customFormat="1" ht="13.2"/>
    <row r="5273" s="299" customFormat="1" ht="13.2"/>
    <row r="5274" s="299" customFormat="1" ht="13.2"/>
    <row r="5275" s="299" customFormat="1" ht="13.2"/>
    <row r="5276" s="299" customFormat="1" ht="13.2"/>
    <row r="5277" s="299" customFormat="1" ht="13.2"/>
    <row r="5278" s="299" customFormat="1" ht="13.2"/>
    <row r="5279" s="299" customFormat="1" ht="13.2"/>
    <row r="5280" s="299" customFormat="1" ht="13.2"/>
    <row r="5281" s="299" customFormat="1" ht="13.2"/>
    <row r="5282" s="299" customFormat="1" ht="13.2"/>
    <row r="5283" s="299" customFormat="1" ht="13.2"/>
    <row r="5284" s="299" customFormat="1" ht="13.2"/>
    <row r="5285" s="299" customFormat="1" ht="13.2"/>
    <row r="5286" s="299" customFormat="1" ht="13.2"/>
    <row r="5287" s="299" customFormat="1" ht="13.2"/>
    <row r="5288" s="299" customFormat="1" ht="13.2"/>
    <row r="5289" s="299" customFormat="1" ht="13.2"/>
    <row r="5290" s="299" customFormat="1" ht="13.2"/>
    <row r="5291" s="299" customFormat="1" ht="13.2"/>
    <row r="5292" s="299" customFormat="1" ht="13.2"/>
    <row r="5293" s="299" customFormat="1" ht="13.2"/>
    <row r="5294" s="299" customFormat="1" ht="13.2"/>
    <row r="5295" s="299" customFormat="1" ht="13.2"/>
    <row r="5296" s="299" customFormat="1" ht="13.2"/>
    <row r="5297" s="299" customFormat="1" ht="13.2"/>
    <row r="5298" s="299" customFormat="1" ht="13.2"/>
    <row r="5299" s="299" customFormat="1" ht="13.2"/>
    <row r="5300" s="299" customFormat="1" ht="13.2"/>
    <row r="5301" s="299" customFormat="1" ht="13.2"/>
    <row r="5302" s="299" customFormat="1" ht="13.2"/>
    <row r="5303" s="299" customFormat="1" ht="13.2"/>
    <row r="5304" s="299" customFormat="1" ht="13.2"/>
    <row r="5305" s="299" customFormat="1" ht="13.2"/>
    <row r="5306" s="299" customFormat="1" ht="13.2"/>
    <row r="5307" s="299" customFormat="1" ht="13.2"/>
    <row r="5308" s="299" customFormat="1" ht="13.2"/>
    <row r="5309" s="299" customFormat="1" ht="13.2"/>
    <row r="5310" s="299" customFormat="1" ht="13.2"/>
    <row r="5311" s="299" customFormat="1" ht="13.2"/>
    <row r="5312" s="299" customFormat="1" ht="13.2"/>
    <row r="5313" s="299" customFormat="1" ht="13.2"/>
    <row r="5314" s="299" customFormat="1" ht="13.2"/>
    <row r="5315" s="299" customFormat="1" ht="13.2"/>
    <row r="5316" s="299" customFormat="1" ht="13.2"/>
    <row r="5317" s="299" customFormat="1" ht="13.2"/>
    <row r="5318" s="299" customFormat="1" ht="13.2"/>
    <row r="5319" s="299" customFormat="1" ht="13.2"/>
    <row r="5320" s="299" customFormat="1" ht="13.2"/>
    <row r="5321" s="299" customFormat="1" ht="13.2"/>
    <row r="5322" s="299" customFormat="1" ht="13.2"/>
    <row r="5323" s="299" customFormat="1" ht="13.2"/>
    <row r="5324" s="299" customFormat="1" ht="13.2"/>
    <row r="5325" s="299" customFormat="1" ht="13.2"/>
    <row r="5326" s="299" customFormat="1" ht="13.2"/>
    <row r="5327" s="299" customFormat="1" ht="13.2"/>
    <row r="5328" s="299" customFormat="1" ht="13.2"/>
    <row r="5329" s="299" customFormat="1" ht="13.2"/>
    <row r="5330" s="299" customFormat="1" ht="13.2"/>
    <row r="5331" s="299" customFormat="1" ht="13.2"/>
    <row r="5332" s="299" customFormat="1" ht="13.2"/>
    <row r="5333" s="299" customFormat="1" ht="13.2"/>
    <row r="5334" s="299" customFormat="1" ht="13.2"/>
    <row r="5335" s="299" customFormat="1" ht="13.2"/>
    <row r="5336" s="299" customFormat="1" ht="13.2"/>
    <row r="5337" s="299" customFormat="1" ht="13.2"/>
    <row r="5338" s="299" customFormat="1" ht="13.2"/>
    <row r="5339" s="299" customFormat="1" ht="13.2"/>
    <row r="5340" s="299" customFormat="1" ht="13.2"/>
    <row r="5341" s="299" customFormat="1" ht="13.2"/>
    <row r="5342" s="299" customFormat="1" ht="13.2"/>
    <row r="5343" s="299" customFormat="1" ht="13.2"/>
    <row r="5344" s="299" customFormat="1" ht="13.2"/>
    <row r="5345" s="299" customFormat="1" ht="13.2"/>
    <row r="5346" s="299" customFormat="1" ht="13.2"/>
    <row r="5347" s="299" customFormat="1" ht="13.2"/>
    <row r="5348" s="299" customFormat="1" ht="13.2"/>
    <row r="5349" s="299" customFormat="1" ht="13.2"/>
    <row r="5350" s="299" customFormat="1" ht="13.2"/>
    <row r="5351" s="299" customFormat="1" ht="13.2"/>
    <row r="5352" s="299" customFormat="1" ht="13.2"/>
    <row r="5353" s="299" customFormat="1" ht="13.2"/>
    <row r="5354" s="299" customFormat="1" ht="13.2"/>
    <row r="5355" s="299" customFormat="1" ht="13.2"/>
    <row r="5356" s="299" customFormat="1" ht="13.2"/>
    <row r="5357" s="299" customFormat="1" ht="13.2"/>
    <row r="5358" s="299" customFormat="1" ht="13.2"/>
    <row r="5359" s="299" customFormat="1" ht="13.2"/>
    <row r="5360" s="299" customFormat="1" ht="13.2"/>
    <row r="5361" s="299" customFormat="1" ht="13.2"/>
    <row r="5362" s="299" customFormat="1" ht="13.2"/>
    <row r="5363" s="299" customFormat="1" ht="13.2"/>
    <row r="5364" s="299" customFormat="1" ht="13.2"/>
    <row r="5365" s="299" customFormat="1" ht="13.2"/>
    <row r="5366" s="299" customFormat="1" ht="13.2"/>
    <row r="5367" s="299" customFormat="1" ht="13.2"/>
    <row r="5368" s="299" customFormat="1" ht="13.2"/>
    <row r="5369" s="299" customFormat="1" ht="13.2"/>
    <row r="5370" s="299" customFormat="1" ht="13.2"/>
    <row r="5371" s="299" customFormat="1" ht="13.2"/>
    <row r="5372" s="299" customFormat="1" ht="13.2"/>
    <row r="5373" s="299" customFormat="1" ht="13.2"/>
    <row r="5374" s="299" customFormat="1" ht="13.2"/>
    <row r="5375" s="299" customFormat="1" ht="13.2"/>
    <row r="5376" s="299" customFormat="1" ht="13.2"/>
    <row r="5377" s="299" customFormat="1" ht="13.2"/>
    <row r="5378" s="299" customFormat="1" ht="13.2"/>
    <row r="5379" s="299" customFormat="1" ht="13.2"/>
    <row r="5380" s="299" customFormat="1" ht="13.2"/>
    <row r="5381" s="299" customFormat="1" ht="13.2"/>
    <row r="5382" s="299" customFormat="1" ht="13.2"/>
    <row r="5383" s="299" customFormat="1" ht="13.2"/>
    <row r="5384" s="299" customFormat="1" ht="13.2"/>
    <row r="5385" s="299" customFormat="1" ht="13.2"/>
    <row r="5386" s="299" customFormat="1" ht="13.2"/>
    <row r="5387" s="299" customFormat="1" ht="13.2"/>
    <row r="5388" s="299" customFormat="1" ht="13.2"/>
    <row r="5389" s="299" customFormat="1" ht="13.2"/>
    <row r="5390" s="299" customFormat="1" ht="13.2"/>
    <row r="5391" s="299" customFormat="1" ht="13.2"/>
    <row r="5392" s="299" customFormat="1" ht="13.2"/>
    <row r="5393" s="299" customFormat="1" ht="13.2"/>
    <row r="5394" s="299" customFormat="1" ht="13.2"/>
    <row r="5395" s="299" customFormat="1" ht="13.2"/>
    <row r="5396" s="299" customFormat="1" ht="13.2"/>
    <row r="5397" s="299" customFormat="1" ht="13.2"/>
    <row r="5398" s="299" customFormat="1" ht="13.2"/>
    <row r="5399" s="299" customFormat="1" ht="13.2"/>
    <row r="5400" s="299" customFormat="1" ht="13.2"/>
    <row r="5401" s="299" customFormat="1" ht="13.2"/>
    <row r="5402" s="299" customFormat="1" ht="13.2"/>
    <row r="5403" s="299" customFormat="1" ht="13.2"/>
    <row r="5404" s="299" customFormat="1" ht="13.2"/>
    <row r="5405" s="299" customFormat="1" ht="13.2"/>
    <row r="5406" s="299" customFormat="1" ht="13.2"/>
    <row r="5407" s="299" customFormat="1" ht="13.2"/>
    <row r="5408" s="299" customFormat="1" ht="13.2"/>
    <row r="5409" s="299" customFormat="1" ht="13.2"/>
    <row r="5410" s="299" customFormat="1" ht="13.2"/>
    <row r="5411" s="299" customFormat="1" ht="13.2"/>
    <row r="5412" s="299" customFormat="1" ht="13.2"/>
    <row r="5413" s="299" customFormat="1" ht="13.2"/>
    <row r="5414" s="299" customFormat="1" ht="13.2"/>
    <row r="5415" s="299" customFormat="1" ht="13.2"/>
    <row r="5416" s="299" customFormat="1" ht="13.2"/>
    <row r="5417" s="299" customFormat="1" ht="13.2"/>
    <row r="5418" s="299" customFormat="1" ht="13.2"/>
    <row r="5419" s="299" customFormat="1" ht="13.2"/>
    <row r="5420" s="299" customFormat="1" ht="13.2"/>
    <row r="5421" s="299" customFormat="1" ht="13.2"/>
    <row r="5422" s="299" customFormat="1" ht="13.2"/>
    <row r="5423" s="299" customFormat="1" ht="13.2"/>
    <row r="5424" s="299" customFormat="1" ht="13.2"/>
    <row r="5425" s="299" customFormat="1" ht="13.2"/>
    <row r="5426" s="299" customFormat="1" ht="13.2"/>
    <row r="5427" s="299" customFormat="1" ht="13.2"/>
    <row r="5428" s="299" customFormat="1" ht="13.2"/>
    <row r="5429" s="299" customFormat="1" ht="13.2"/>
    <row r="5430" s="299" customFormat="1" ht="13.2"/>
    <row r="5431" s="299" customFormat="1" ht="13.2"/>
    <row r="5432" s="299" customFormat="1" ht="13.2"/>
    <row r="5433" s="299" customFormat="1" ht="13.2"/>
    <row r="5434" s="299" customFormat="1" ht="13.2"/>
    <row r="5435" s="299" customFormat="1" ht="13.2"/>
    <row r="5436" s="299" customFormat="1" ht="13.2"/>
    <row r="5437" s="299" customFormat="1" ht="13.2"/>
    <row r="5438" s="299" customFormat="1" ht="13.2"/>
    <row r="5439" s="299" customFormat="1" ht="13.2"/>
    <row r="5440" s="299" customFormat="1" ht="13.2"/>
    <row r="5441" s="299" customFormat="1" ht="13.2"/>
    <row r="5442" s="299" customFormat="1" ht="13.2"/>
    <row r="5443" s="299" customFormat="1" ht="13.2"/>
    <row r="5444" s="299" customFormat="1" ht="13.2"/>
    <row r="5445" s="299" customFormat="1" ht="13.2"/>
    <row r="5446" s="299" customFormat="1" ht="13.2"/>
    <row r="5447" s="299" customFormat="1" ht="13.2"/>
    <row r="5448" s="299" customFormat="1" ht="13.2"/>
    <row r="5449" s="299" customFormat="1" ht="13.2"/>
    <row r="5450" s="299" customFormat="1" ht="13.2"/>
    <row r="5451" s="299" customFormat="1" ht="13.2"/>
    <row r="5452" s="299" customFormat="1" ht="13.2"/>
    <row r="5453" s="299" customFormat="1" ht="13.2"/>
    <row r="5454" s="299" customFormat="1" ht="13.2"/>
    <row r="5455" s="299" customFormat="1" ht="13.2"/>
    <row r="5456" s="299" customFormat="1" ht="13.2"/>
    <row r="5457" s="299" customFormat="1" ht="13.2"/>
    <row r="5458" s="299" customFormat="1" ht="13.2"/>
    <row r="5459" s="299" customFormat="1" ht="13.2"/>
    <row r="5460" s="299" customFormat="1" ht="13.2"/>
    <row r="5461" s="299" customFormat="1" ht="13.2"/>
    <row r="5462" s="299" customFormat="1" ht="13.2"/>
    <row r="5463" s="299" customFormat="1" ht="13.2"/>
    <row r="5464" s="299" customFormat="1" ht="13.2"/>
    <row r="5465" s="299" customFormat="1" ht="13.2"/>
    <row r="5466" s="299" customFormat="1" ht="13.2"/>
    <row r="5467" s="299" customFormat="1" ht="13.2"/>
    <row r="5468" s="299" customFormat="1" ht="13.2"/>
    <row r="5469" s="299" customFormat="1" ht="13.2"/>
    <row r="5470" s="299" customFormat="1" ht="13.2"/>
    <row r="5471" s="299" customFormat="1" ht="13.2"/>
    <row r="5472" s="299" customFormat="1" ht="13.2"/>
    <row r="5473" s="299" customFormat="1" ht="13.2"/>
    <row r="5474" s="299" customFormat="1" ht="13.2"/>
    <row r="5475" s="299" customFormat="1" ht="13.2"/>
    <row r="5476" s="299" customFormat="1" ht="13.2"/>
    <row r="5477" s="299" customFormat="1" ht="13.2"/>
    <row r="5478" s="299" customFormat="1" ht="13.2"/>
    <row r="5479" s="299" customFormat="1" ht="13.2"/>
    <row r="5480" s="299" customFormat="1" ht="13.2"/>
    <row r="5481" s="299" customFormat="1" ht="13.2"/>
    <row r="5482" s="299" customFormat="1" ht="13.2"/>
    <row r="5483" s="299" customFormat="1" ht="13.2"/>
    <row r="5484" s="299" customFormat="1" ht="13.2"/>
    <row r="5485" s="299" customFormat="1" ht="13.2"/>
    <row r="5486" s="299" customFormat="1" ht="13.2"/>
    <row r="5487" s="299" customFormat="1" ht="13.2"/>
    <row r="5488" s="299" customFormat="1" ht="13.2"/>
    <row r="5489" s="299" customFormat="1" ht="13.2"/>
    <row r="5490" s="299" customFormat="1" ht="13.2"/>
    <row r="5491" s="299" customFormat="1" ht="13.2"/>
    <row r="5492" s="299" customFormat="1" ht="13.2"/>
    <row r="5493" s="299" customFormat="1" ht="13.2"/>
    <row r="5494" s="299" customFormat="1" ht="13.2"/>
    <row r="5495" s="299" customFormat="1" ht="13.2"/>
    <row r="5496" s="299" customFormat="1" ht="13.2"/>
    <row r="5497" s="299" customFormat="1" ht="13.2"/>
    <row r="5498" s="299" customFormat="1" ht="13.2"/>
    <row r="5499" s="299" customFormat="1" ht="13.2"/>
    <row r="5500" s="299" customFormat="1" ht="13.2"/>
    <row r="5501" s="299" customFormat="1" ht="13.2"/>
    <row r="5502" s="299" customFormat="1" ht="13.2"/>
    <row r="5503" s="299" customFormat="1" ht="13.2"/>
    <row r="5504" s="299" customFormat="1" ht="13.2"/>
    <row r="5505" s="299" customFormat="1" ht="13.2"/>
    <row r="5506" s="299" customFormat="1" ht="13.2"/>
    <row r="5507" s="299" customFormat="1" ht="13.2"/>
    <row r="5508" s="299" customFormat="1" ht="13.2"/>
    <row r="5509" s="299" customFormat="1" ht="13.2"/>
    <row r="5510" s="299" customFormat="1" ht="13.2"/>
    <row r="5511" s="299" customFormat="1" ht="13.2"/>
    <row r="5512" s="299" customFormat="1" ht="13.2"/>
    <row r="5513" s="299" customFormat="1" ht="13.2"/>
    <row r="5514" s="299" customFormat="1" ht="13.2"/>
    <row r="5515" s="299" customFormat="1" ht="13.2"/>
    <row r="5516" s="299" customFormat="1" ht="13.2"/>
    <row r="5517" s="299" customFormat="1" ht="13.2"/>
    <row r="5518" s="299" customFormat="1" ht="13.2"/>
    <row r="5519" s="299" customFormat="1" ht="13.2"/>
    <row r="5520" s="299" customFormat="1" ht="13.2"/>
    <row r="5521" s="299" customFormat="1" ht="13.2"/>
    <row r="5522" s="299" customFormat="1" ht="13.2"/>
    <row r="5523" s="299" customFormat="1" ht="13.2"/>
    <row r="5524" s="299" customFormat="1" ht="13.2"/>
    <row r="5525" s="299" customFormat="1" ht="13.2"/>
    <row r="5526" s="299" customFormat="1" ht="13.2"/>
    <row r="5527" s="299" customFormat="1" ht="13.2"/>
    <row r="5528" s="299" customFormat="1" ht="13.2"/>
    <row r="5529" s="299" customFormat="1" ht="13.2"/>
    <row r="5530" s="299" customFormat="1" ht="13.2"/>
    <row r="5531" s="299" customFormat="1" ht="13.2"/>
    <row r="5532" s="299" customFormat="1" ht="13.2"/>
    <row r="5533" s="299" customFormat="1" ht="13.2"/>
    <row r="5534" s="299" customFormat="1" ht="13.2"/>
    <row r="5535" s="299" customFormat="1" ht="13.2"/>
    <row r="5536" s="299" customFormat="1" ht="13.2"/>
    <row r="5537" s="299" customFormat="1" ht="13.2"/>
    <row r="5538" s="299" customFormat="1" ht="13.2"/>
    <row r="5539" s="299" customFormat="1" ht="13.2"/>
    <row r="5540" s="299" customFormat="1" ht="13.2"/>
    <row r="5541" s="299" customFormat="1" ht="13.2"/>
    <row r="5542" s="299" customFormat="1" ht="13.2"/>
    <row r="5543" s="299" customFormat="1" ht="13.2"/>
    <row r="5544" s="299" customFormat="1" ht="13.2"/>
    <row r="5545" s="299" customFormat="1" ht="13.2"/>
    <row r="5546" s="299" customFormat="1" ht="13.2"/>
    <row r="5547" s="299" customFormat="1" ht="13.2"/>
    <row r="5548" s="299" customFormat="1" ht="13.2"/>
    <row r="5549" s="299" customFormat="1" ht="13.2"/>
    <row r="5550" s="299" customFormat="1" ht="13.2"/>
    <row r="5551" s="299" customFormat="1" ht="13.2"/>
    <row r="5552" s="299" customFormat="1" ht="13.2"/>
    <row r="5553" s="299" customFormat="1" ht="13.2"/>
    <row r="5554" s="299" customFormat="1" ht="13.2"/>
    <row r="5555" s="299" customFormat="1" ht="13.2"/>
    <row r="5556" s="299" customFormat="1" ht="13.2"/>
    <row r="5557" s="299" customFormat="1" ht="13.2"/>
    <row r="5558" s="299" customFormat="1" ht="13.2"/>
    <row r="5559" s="299" customFormat="1" ht="13.2"/>
    <row r="5560" s="299" customFormat="1" ht="13.2"/>
    <row r="5561" s="299" customFormat="1" ht="13.2"/>
    <row r="5562" s="299" customFormat="1" ht="13.2"/>
    <row r="5563" s="299" customFormat="1" ht="13.2"/>
    <row r="5564" s="299" customFormat="1" ht="13.2"/>
    <row r="5565" s="299" customFormat="1" ht="13.2"/>
    <row r="5566" s="299" customFormat="1" ht="13.2"/>
    <row r="5567" s="299" customFormat="1" ht="13.2"/>
    <row r="5568" s="299" customFormat="1" ht="13.2"/>
    <row r="5569" s="299" customFormat="1" ht="13.2"/>
    <row r="5570" s="299" customFormat="1" ht="13.2"/>
    <row r="5571" s="299" customFormat="1" ht="13.2"/>
    <row r="5572" s="299" customFormat="1" ht="13.2"/>
    <row r="5573" s="299" customFormat="1" ht="13.2"/>
    <row r="5574" s="299" customFormat="1" ht="13.2"/>
    <row r="5575" s="299" customFormat="1" ht="13.2"/>
    <row r="5576" s="299" customFormat="1" ht="13.2"/>
    <row r="5577" s="299" customFormat="1" ht="13.2"/>
    <row r="5578" s="299" customFormat="1" ht="13.2"/>
    <row r="5579" s="299" customFormat="1" ht="13.2"/>
    <row r="5580" s="299" customFormat="1" ht="13.2"/>
    <row r="5581" s="299" customFormat="1" ht="13.2"/>
    <row r="5582" s="299" customFormat="1" ht="13.2"/>
    <row r="5583" s="299" customFormat="1" ht="13.2"/>
    <row r="5584" s="299" customFormat="1" ht="13.2"/>
    <row r="5585" s="299" customFormat="1" ht="13.2"/>
    <row r="5586" s="299" customFormat="1" ht="13.2"/>
    <row r="5587" s="299" customFormat="1" ht="13.2"/>
    <row r="5588" s="299" customFormat="1" ht="13.2"/>
    <row r="5589" s="299" customFormat="1" ht="13.2"/>
    <row r="5590" s="299" customFormat="1" ht="13.2"/>
    <row r="5591" s="299" customFormat="1" ht="13.2"/>
    <row r="5592" s="299" customFormat="1" ht="13.2"/>
    <row r="5593" s="299" customFormat="1" ht="13.2"/>
    <row r="5594" s="299" customFormat="1" ht="13.2"/>
    <row r="5595" s="299" customFormat="1" ht="13.2"/>
    <row r="5596" s="299" customFormat="1" ht="13.2"/>
    <row r="5597" s="299" customFormat="1" ht="13.2"/>
    <row r="5598" s="299" customFormat="1" ht="13.2"/>
    <row r="5599" s="299" customFormat="1" ht="13.2"/>
    <row r="5600" s="299" customFormat="1" ht="13.2"/>
    <row r="5601" s="299" customFormat="1" ht="13.2"/>
    <row r="5602" s="299" customFormat="1" ht="13.2"/>
    <row r="5603" s="299" customFormat="1" ht="13.2"/>
    <row r="5604" s="299" customFormat="1" ht="13.2"/>
    <row r="5605" s="299" customFormat="1" ht="13.2"/>
    <row r="5606" s="299" customFormat="1" ht="13.2"/>
    <row r="5607" s="299" customFormat="1" ht="13.2"/>
    <row r="5608" s="299" customFormat="1" ht="13.2"/>
    <row r="5609" s="299" customFormat="1" ht="13.2"/>
    <row r="5610" s="299" customFormat="1" ht="13.2"/>
    <row r="5611" s="299" customFormat="1" ht="13.2"/>
    <row r="5612" s="299" customFormat="1" ht="13.2"/>
    <row r="5613" s="299" customFormat="1" ht="13.2"/>
    <row r="5614" s="299" customFormat="1" ht="13.2"/>
    <row r="5615" s="299" customFormat="1" ht="13.2"/>
    <row r="5616" s="299" customFormat="1" ht="13.2"/>
    <row r="5617" s="299" customFormat="1" ht="13.2"/>
    <row r="5618" s="299" customFormat="1" ht="13.2"/>
    <row r="5619" s="299" customFormat="1" ht="13.2"/>
    <row r="5620" s="299" customFormat="1" ht="13.2"/>
    <row r="5621" s="299" customFormat="1" ht="13.2"/>
    <row r="5622" s="299" customFormat="1" ht="13.2"/>
    <row r="5623" s="299" customFormat="1" ht="13.2"/>
    <row r="5624" s="299" customFormat="1" ht="13.2"/>
    <row r="5625" s="299" customFormat="1" ht="13.2"/>
    <row r="5626" s="299" customFormat="1" ht="13.2"/>
    <row r="5627" s="299" customFormat="1" ht="13.2"/>
    <row r="5628" s="299" customFormat="1" ht="13.2"/>
    <row r="5629" s="299" customFormat="1" ht="13.2"/>
    <row r="5630" s="299" customFormat="1" ht="13.2"/>
    <row r="5631" s="299" customFormat="1" ht="13.2"/>
    <row r="5632" s="299" customFormat="1" ht="13.2"/>
    <row r="5633" s="299" customFormat="1" ht="13.2"/>
    <row r="5634" s="299" customFormat="1" ht="13.2"/>
    <row r="5635" s="299" customFormat="1" ht="13.2"/>
    <row r="5636" s="299" customFormat="1" ht="13.2"/>
    <row r="5637" s="299" customFormat="1" ht="13.2"/>
    <row r="5638" s="299" customFormat="1" ht="13.2"/>
    <row r="5639" s="299" customFormat="1" ht="13.2"/>
    <row r="5640" s="299" customFormat="1" ht="13.2"/>
    <row r="5641" s="299" customFormat="1" ht="13.2"/>
    <row r="5642" s="299" customFormat="1" ht="13.2"/>
    <row r="5643" s="299" customFormat="1" ht="13.2"/>
    <row r="5644" s="299" customFormat="1" ht="13.2"/>
    <row r="5645" s="299" customFormat="1" ht="13.2"/>
    <row r="5646" s="299" customFormat="1" ht="13.2"/>
    <row r="5647" s="299" customFormat="1" ht="13.2"/>
    <row r="5648" s="299" customFormat="1" ht="13.2"/>
    <row r="5649" s="299" customFormat="1" ht="13.2"/>
    <row r="5650" s="299" customFormat="1" ht="13.2"/>
    <row r="5651" s="299" customFormat="1" ht="13.2"/>
    <row r="5652" s="299" customFormat="1" ht="13.2"/>
    <row r="5653" s="299" customFormat="1" ht="13.2"/>
    <row r="5654" s="299" customFormat="1" ht="13.2"/>
    <row r="5655" s="299" customFormat="1" ht="13.2"/>
    <row r="5656" s="299" customFormat="1" ht="13.2"/>
    <row r="5657" s="299" customFormat="1" ht="13.2"/>
    <row r="5658" s="299" customFormat="1" ht="13.2"/>
    <row r="5659" s="299" customFormat="1" ht="13.2"/>
    <row r="5660" s="299" customFormat="1" ht="13.2"/>
    <row r="5661" s="299" customFormat="1" ht="13.2"/>
    <row r="5662" s="299" customFormat="1" ht="13.2"/>
    <row r="5663" s="299" customFormat="1" ht="13.2"/>
    <row r="5664" s="299" customFormat="1" ht="13.2"/>
    <row r="5665" s="299" customFormat="1" ht="13.2"/>
    <row r="5666" s="299" customFormat="1" ht="13.2"/>
    <row r="5667" s="299" customFormat="1" ht="13.2"/>
    <row r="5668" s="299" customFormat="1" ht="13.2"/>
    <row r="5669" s="299" customFormat="1" ht="13.2"/>
    <row r="5670" s="299" customFormat="1" ht="13.2"/>
    <row r="5671" s="299" customFormat="1" ht="13.2"/>
    <row r="5672" s="299" customFormat="1" ht="13.2"/>
    <row r="5673" s="299" customFormat="1" ht="13.2"/>
    <row r="5674" s="299" customFormat="1" ht="13.2"/>
    <row r="5675" s="299" customFormat="1" ht="13.2"/>
    <row r="5676" s="299" customFormat="1" ht="13.2"/>
    <row r="5677" s="299" customFormat="1" ht="13.2"/>
    <row r="5678" s="299" customFormat="1" ht="13.2"/>
    <row r="5679" s="299" customFormat="1" ht="13.2"/>
    <row r="5680" s="299" customFormat="1" ht="13.2"/>
    <row r="5681" s="299" customFormat="1" ht="13.2"/>
    <row r="5682" s="299" customFormat="1" ht="13.2"/>
    <row r="5683" s="299" customFormat="1" ht="13.2"/>
    <row r="5684" s="299" customFormat="1" ht="13.2"/>
    <row r="5685" s="299" customFormat="1" ht="13.2"/>
    <row r="5686" s="299" customFormat="1" ht="13.2"/>
    <row r="5687" s="299" customFormat="1" ht="13.2"/>
    <row r="5688" s="299" customFormat="1" ht="13.2"/>
    <row r="5689" s="299" customFormat="1" ht="13.2"/>
    <row r="5690" s="299" customFormat="1" ht="13.2"/>
    <row r="5691" s="299" customFormat="1" ht="13.2"/>
    <row r="5692" s="299" customFormat="1" ht="13.2"/>
    <row r="5693" s="299" customFormat="1" ht="13.2"/>
    <row r="5694" s="299" customFormat="1" ht="13.2"/>
    <row r="5695" s="299" customFormat="1" ht="13.2"/>
    <row r="5696" s="299" customFormat="1" ht="13.2"/>
    <row r="5697" s="299" customFormat="1" ht="13.2"/>
    <row r="5698" s="299" customFormat="1" ht="13.2"/>
    <row r="5699" s="299" customFormat="1" ht="13.2"/>
    <row r="5700" s="299" customFormat="1" ht="13.2"/>
    <row r="5701" s="299" customFormat="1" ht="13.2"/>
    <row r="5702" s="299" customFormat="1" ht="13.2"/>
    <row r="5703" s="299" customFormat="1" ht="13.2"/>
    <row r="5704" s="299" customFormat="1" ht="13.2"/>
    <row r="5705" s="299" customFormat="1" ht="13.2"/>
    <row r="5706" s="299" customFormat="1" ht="13.2"/>
    <row r="5707" s="299" customFormat="1" ht="13.2"/>
    <row r="5708" s="299" customFormat="1" ht="13.2"/>
    <row r="5709" s="299" customFormat="1" ht="13.2"/>
    <row r="5710" s="299" customFormat="1" ht="13.2"/>
    <row r="5711" s="299" customFormat="1" ht="13.2"/>
    <row r="5712" s="299" customFormat="1" ht="13.2"/>
    <row r="5713" s="299" customFormat="1" ht="13.2"/>
    <row r="5714" s="299" customFormat="1" ht="13.2"/>
    <row r="5715" s="299" customFormat="1" ht="13.2"/>
    <row r="5716" s="299" customFormat="1" ht="13.2"/>
    <row r="5717" s="299" customFormat="1" ht="13.2"/>
    <row r="5718" s="299" customFormat="1" ht="13.2"/>
    <row r="5719" s="299" customFormat="1" ht="13.2"/>
    <row r="5720" s="299" customFormat="1" ht="13.2"/>
    <row r="5721" s="299" customFormat="1" ht="13.2"/>
    <row r="5722" s="299" customFormat="1" ht="13.2"/>
    <row r="5723" s="299" customFormat="1" ht="13.2"/>
    <row r="5724" s="299" customFormat="1" ht="13.2"/>
    <row r="5725" s="299" customFormat="1" ht="13.2"/>
    <row r="5726" s="299" customFormat="1" ht="13.2"/>
    <row r="5727" s="299" customFormat="1" ht="13.2"/>
    <row r="5728" s="299" customFormat="1" ht="13.2"/>
    <row r="5729" s="299" customFormat="1" ht="13.2"/>
    <row r="5730" s="299" customFormat="1" ht="13.2"/>
    <row r="5731" s="299" customFormat="1" ht="13.2"/>
    <row r="5732" s="299" customFormat="1" ht="13.2"/>
    <row r="5733" s="299" customFormat="1" ht="13.2"/>
    <row r="5734" s="299" customFormat="1" ht="13.2"/>
    <row r="5735" s="299" customFormat="1" ht="13.2"/>
    <row r="5736" s="299" customFormat="1" ht="13.2"/>
    <row r="5737" s="299" customFormat="1" ht="13.2"/>
    <row r="5738" s="299" customFormat="1" ht="13.2"/>
    <row r="5739" s="299" customFormat="1" ht="13.2"/>
    <row r="5740" s="299" customFormat="1" ht="13.2"/>
    <row r="5741" s="299" customFormat="1" ht="13.2"/>
    <row r="5742" s="299" customFormat="1" ht="13.2"/>
    <row r="5743" s="299" customFormat="1" ht="13.2"/>
    <row r="5744" s="299" customFormat="1" ht="13.2"/>
    <row r="5745" s="299" customFormat="1" ht="13.2"/>
    <row r="5746" s="299" customFormat="1" ht="13.2"/>
    <row r="5747" s="299" customFormat="1" ht="13.2"/>
    <row r="5748" s="299" customFormat="1" ht="13.2"/>
    <row r="5749" s="299" customFormat="1" ht="13.2"/>
    <row r="5750" s="299" customFormat="1" ht="13.2"/>
    <row r="5751" s="299" customFormat="1" ht="13.2"/>
    <row r="5752" s="299" customFormat="1" ht="13.2"/>
    <row r="5753" s="299" customFormat="1" ht="13.2"/>
    <row r="5754" s="299" customFormat="1" ht="13.2"/>
    <row r="5755" s="299" customFormat="1" ht="13.2"/>
    <row r="5756" s="299" customFormat="1" ht="13.2"/>
    <row r="5757" s="299" customFormat="1" ht="13.2"/>
    <row r="5758" s="299" customFormat="1" ht="13.2"/>
    <row r="5759" s="299" customFormat="1" ht="13.2"/>
    <row r="5760" s="299" customFormat="1" ht="13.2"/>
    <row r="5761" s="299" customFormat="1" ht="13.2"/>
    <row r="5762" s="299" customFormat="1" ht="13.2"/>
    <row r="5763" s="299" customFormat="1" ht="13.2"/>
    <row r="5764" s="299" customFormat="1" ht="13.2"/>
    <row r="5765" s="299" customFormat="1" ht="13.2"/>
    <row r="5766" s="299" customFormat="1" ht="13.2"/>
    <row r="5767" s="299" customFormat="1" ht="13.2"/>
    <row r="5768" s="299" customFormat="1" ht="13.2"/>
    <row r="5769" s="299" customFormat="1" ht="13.2"/>
    <row r="5770" s="299" customFormat="1" ht="13.2"/>
    <row r="5771" s="299" customFormat="1" ht="13.2"/>
    <row r="5772" s="299" customFormat="1" ht="13.2"/>
    <row r="5773" s="299" customFormat="1" ht="13.2"/>
    <row r="5774" s="299" customFormat="1" ht="13.2"/>
    <row r="5775" s="299" customFormat="1" ht="13.2"/>
    <row r="5776" s="299" customFormat="1" ht="13.2"/>
    <row r="5777" s="299" customFormat="1" ht="13.2"/>
    <row r="5778" s="299" customFormat="1" ht="13.2"/>
    <row r="5779" s="299" customFormat="1" ht="13.2"/>
    <row r="5780" s="299" customFormat="1" ht="13.2"/>
    <row r="5781" s="299" customFormat="1" ht="13.2"/>
    <row r="5782" s="299" customFormat="1" ht="13.2"/>
    <row r="5783" s="299" customFormat="1" ht="13.2"/>
    <row r="5784" s="299" customFormat="1" ht="13.2"/>
    <row r="5785" s="299" customFormat="1" ht="13.2"/>
    <row r="5786" s="299" customFormat="1" ht="13.2"/>
    <row r="5787" s="299" customFormat="1" ht="13.2"/>
    <row r="5788" s="299" customFormat="1" ht="13.2"/>
    <row r="5789" s="299" customFormat="1" ht="13.2"/>
    <row r="5790" s="299" customFormat="1" ht="13.2"/>
    <row r="5791" s="299" customFormat="1" ht="13.2"/>
    <row r="5792" s="299" customFormat="1" ht="13.2"/>
    <row r="5793" s="299" customFormat="1" ht="13.2"/>
    <row r="5794" s="299" customFormat="1" ht="13.2"/>
    <row r="5795" s="299" customFormat="1" ht="13.2"/>
    <row r="5796" s="299" customFormat="1" ht="13.2"/>
    <row r="5797" s="299" customFormat="1" ht="13.2"/>
    <row r="5798" s="299" customFormat="1" ht="13.2"/>
    <row r="5799" s="299" customFormat="1" ht="13.2"/>
    <row r="5800" s="299" customFormat="1" ht="13.2"/>
    <row r="5801" s="299" customFormat="1" ht="13.2"/>
    <row r="5802" s="299" customFormat="1" ht="13.2"/>
    <row r="5803" s="299" customFormat="1" ht="13.2"/>
    <row r="5804" s="299" customFormat="1" ht="13.2"/>
    <row r="5805" s="299" customFormat="1" ht="13.2"/>
    <row r="5806" s="299" customFormat="1" ht="13.2"/>
    <row r="5807" s="299" customFormat="1" ht="13.2"/>
    <row r="5808" s="299" customFormat="1" ht="13.2"/>
    <row r="5809" s="299" customFormat="1" ht="13.2"/>
    <row r="5810" s="299" customFormat="1" ht="13.2"/>
    <row r="5811" s="299" customFormat="1" ht="13.2"/>
    <row r="5812" s="299" customFormat="1" ht="13.2"/>
    <row r="5813" s="299" customFormat="1" ht="13.2"/>
    <row r="5814" s="299" customFormat="1" ht="13.2"/>
    <row r="5815" s="299" customFormat="1" ht="13.2"/>
    <row r="5816" s="299" customFormat="1" ht="13.2"/>
    <row r="5817" s="299" customFormat="1" ht="13.2"/>
    <row r="5818" s="299" customFormat="1" ht="13.2"/>
    <row r="5819" s="299" customFormat="1" ht="13.2"/>
    <row r="5820" s="299" customFormat="1" ht="13.2"/>
    <row r="5821" s="299" customFormat="1" ht="13.2"/>
    <row r="5822" s="299" customFormat="1" ht="13.2"/>
    <row r="5823" s="299" customFormat="1" ht="13.2"/>
    <row r="5824" s="299" customFormat="1" ht="13.2"/>
    <row r="5825" s="299" customFormat="1" ht="13.2"/>
    <row r="5826" s="299" customFormat="1" ht="13.2"/>
    <row r="5827" s="299" customFormat="1" ht="13.2"/>
    <row r="5828" s="299" customFormat="1" ht="13.2"/>
    <row r="5829" s="299" customFormat="1" ht="13.2"/>
    <row r="5830" s="299" customFormat="1" ht="13.2"/>
    <row r="5831" s="299" customFormat="1" ht="13.2"/>
    <row r="5832" s="299" customFormat="1" ht="13.2"/>
    <row r="5833" s="299" customFormat="1" ht="13.2"/>
    <row r="5834" s="299" customFormat="1" ht="13.2"/>
    <row r="5835" s="299" customFormat="1" ht="13.2"/>
    <row r="5836" s="299" customFormat="1" ht="13.2"/>
    <row r="5837" s="299" customFormat="1" ht="13.2"/>
    <row r="5838" s="299" customFormat="1" ht="13.2"/>
    <row r="5839" s="299" customFormat="1" ht="13.2"/>
    <row r="5840" s="299" customFormat="1" ht="13.2"/>
    <row r="5841" s="299" customFormat="1" ht="13.2"/>
    <row r="5842" s="299" customFormat="1" ht="13.2"/>
    <row r="5843" s="299" customFormat="1" ht="13.2"/>
    <row r="5844" s="299" customFormat="1" ht="13.2"/>
    <row r="5845" s="299" customFormat="1" ht="13.2"/>
    <row r="5846" s="299" customFormat="1" ht="13.2"/>
    <row r="5847" s="299" customFormat="1" ht="13.2"/>
    <row r="5848" s="299" customFormat="1" ht="13.2"/>
    <row r="5849" s="299" customFormat="1" ht="13.2"/>
    <row r="5850" s="299" customFormat="1" ht="13.2"/>
    <row r="5851" s="299" customFormat="1" ht="13.2"/>
    <row r="5852" s="299" customFormat="1" ht="13.2"/>
    <row r="5853" s="299" customFormat="1" ht="13.2"/>
    <row r="5854" s="299" customFormat="1" ht="13.2"/>
    <row r="5855" s="299" customFormat="1" ht="13.2"/>
    <row r="5856" s="299" customFormat="1" ht="13.2"/>
    <row r="5857" s="299" customFormat="1" ht="13.2"/>
    <row r="5858" s="299" customFormat="1" ht="13.2"/>
    <row r="5859" s="299" customFormat="1" ht="13.2"/>
    <row r="5860" s="299" customFormat="1" ht="13.2"/>
    <row r="5861" s="299" customFormat="1" ht="13.2"/>
    <row r="5862" s="299" customFormat="1" ht="13.2"/>
    <row r="5863" s="299" customFormat="1" ht="13.2"/>
    <row r="5864" s="299" customFormat="1" ht="13.2"/>
    <row r="5865" s="299" customFormat="1" ht="13.2"/>
    <row r="5866" s="299" customFormat="1" ht="13.2"/>
    <row r="5867" s="299" customFormat="1" ht="13.2"/>
    <row r="5868" s="299" customFormat="1" ht="13.2"/>
    <row r="5869" s="299" customFormat="1" ht="13.2"/>
    <row r="5870" s="299" customFormat="1" ht="13.2"/>
    <row r="5871" s="299" customFormat="1" ht="13.2"/>
    <row r="5872" s="299" customFormat="1" ht="13.2"/>
    <row r="5873" s="299" customFormat="1" ht="13.2"/>
    <row r="5874" s="299" customFormat="1" ht="13.2"/>
    <row r="5875" s="299" customFormat="1" ht="13.2"/>
    <row r="5876" s="299" customFormat="1" ht="13.2"/>
    <row r="5877" s="299" customFormat="1" ht="13.2"/>
    <row r="5878" s="299" customFormat="1" ht="13.2"/>
    <row r="5879" s="299" customFormat="1" ht="13.2"/>
    <row r="5880" s="299" customFormat="1" ht="13.2"/>
    <row r="5881" s="299" customFormat="1" ht="13.2"/>
    <row r="5882" s="299" customFormat="1" ht="13.2"/>
    <row r="5883" s="299" customFormat="1" ht="13.2"/>
    <row r="5884" s="299" customFormat="1" ht="13.2"/>
    <row r="5885" s="299" customFormat="1" ht="13.2"/>
    <row r="5886" s="299" customFormat="1" ht="13.2"/>
    <row r="5887" s="299" customFormat="1" ht="13.2"/>
    <row r="5888" s="299" customFormat="1" ht="13.2"/>
    <row r="5889" s="299" customFormat="1" ht="13.2"/>
    <row r="5890" s="299" customFormat="1" ht="13.2"/>
    <row r="5891" s="299" customFormat="1" ht="13.2"/>
    <row r="5892" s="299" customFormat="1" ht="13.2"/>
    <row r="5893" s="299" customFormat="1" ht="13.2"/>
    <row r="5894" s="299" customFormat="1" ht="13.2"/>
    <row r="5895" s="299" customFormat="1" ht="13.2"/>
    <row r="5896" s="299" customFormat="1" ht="13.2"/>
    <row r="5897" s="299" customFormat="1" ht="13.2"/>
    <row r="5898" s="299" customFormat="1" ht="13.2"/>
    <row r="5899" s="299" customFormat="1" ht="13.2"/>
    <row r="5900" s="299" customFormat="1" ht="13.2"/>
    <row r="5901" s="299" customFormat="1" ht="13.2"/>
    <row r="5902" s="299" customFormat="1" ht="13.2"/>
    <row r="5903" s="299" customFormat="1" ht="13.2"/>
    <row r="5904" s="299" customFormat="1" ht="13.2"/>
    <row r="5905" s="299" customFormat="1" ht="13.2"/>
    <row r="5906" s="299" customFormat="1" ht="13.2"/>
    <row r="5907" s="299" customFormat="1" ht="13.2"/>
    <row r="5908" s="299" customFormat="1" ht="13.2"/>
    <row r="5909" s="299" customFormat="1" ht="13.2"/>
    <row r="5910" s="299" customFormat="1" ht="13.2"/>
    <row r="5911" s="299" customFormat="1" ht="13.2"/>
    <row r="5912" s="299" customFormat="1" ht="13.2"/>
    <row r="5913" s="299" customFormat="1" ht="13.2"/>
    <row r="5914" s="299" customFormat="1" ht="13.2"/>
    <row r="5915" s="299" customFormat="1" ht="13.2"/>
    <row r="5916" s="299" customFormat="1" ht="13.2"/>
    <row r="5917" s="299" customFormat="1" ht="13.2"/>
    <row r="5918" s="299" customFormat="1" ht="13.2"/>
    <row r="5919" s="299" customFormat="1" ht="13.2"/>
    <row r="5920" s="299" customFormat="1" ht="13.2"/>
    <row r="5921" s="299" customFormat="1" ht="13.2"/>
    <row r="5922" s="299" customFormat="1" ht="13.2"/>
    <row r="5923" s="299" customFormat="1" ht="13.2"/>
    <row r="5924" s="299" customFormat="1" ht="13.2"/>
    <row r="5925" s="299" customFormat="1" ht="13.2"/>
    <row r="5926" s="299" customFormat="1" ht="13.2"/>
    <row r="5927" s="299" customFormat="1" ht="13.2"/>
    <row r="5928" s="299" customFormat="1" ht="13.2"/>
    <row r="5929" s="299" customFormat="1" ht="13.2"/>
    <row r="5930" s="299" customFormat="1" ht="13.2"/>
    <row r="5931" s="299" customFormat="1" ht="13.2"/>
    <row r="5932" s="299" customFormat="1" ht="13.2"/>
    <row r="5933" s="299" customFormat="1" ht="13.2"/>
    <row r="5934" s="299" customFormat="1" ht="13.2"/>
    <row r="5935" s="299" customFormat="1" ht="13.2"/>
    <row r="5936" s="299" customFormat="1" ht="13.2"/>
    <row r="5937" s="299" customFormat="1" ht="13.2"/>
    <row r="5938" s="299" customFormat="1" ht="13.2"/>
    <row r="5939" s="299" customFormat="1" ht="13.2"/>
    <row r="5940" s="299" customFormat="1" ht="13.2"/>
    <row r="5941" s="299" customFormat="1" ht="13.2"/>
    <row r="5942" s="299" customFormat="1" ht="13.2"/>
    <row r="5943" s="299" customFormat="1" ht="13.2"/>
    <row r="5944" s="299" customFormat="1" ht="13.2"/>
    <row r="5945" s="299" customFormat="1" ht="13.2"/>
    <row r="5946" s="299" customFormat="1" ht="13.2"/>
    <row r="5947" s="299" customFormat="1" ht="13.2"/>
    <row r="5948" s="299" customFormat="1" ht="13.2"/>
    <row r="5949" s="299" customFormat="1" ht="13.2"/>
    <row r="5950" s="299" customFormat="1" ht="13.2"/>
    <row r="5951" s="299" customFormat="1" ht="13.2"/>
    <row r="5952" s="299" customFormat="1" ht="13.2"/>
    <row r="5953" s="299" customFormat="1" ht="13.2"/>
    <row r="5954" s="299" customFormat="1" ht="13.2"/>
    <row r="5955" s="299" customFormat="1" ht="13.2"/>
    <row r="5956" s="299" customFormat="1" ht="13.2"/>
    <row r="5957" s="299" customFormat="1" ht="13.2"/>
    <row r="5958" s="299" customFormat="1" ht="13.2"/>
    <row r="5959" s="299" customFormat="1" ht="13.2"/>
    <row r="5960" s="299" customFormat="1" ht="13.2"/>
    <row r="5961" s="299" customFormat="1" ht="13.2"/>
    <row r="5962" s="299" customFormat="1" ht="13.2"/>
    <row r="5963" s="299" customFormat="1" ht="13.2"/>
    <row r="5964" s="299" customFormat="1" ht="13.2"/>
    <row r="5965" s="299" customFormat="1" ht="13.2"/>
    <row r="5966" s="299" customFormat="1" ht="13.2"/>
    <row r="5967" s="299" customFormat="1" ht="13.2"/>
    <row r="5968" s="299" customFormat="1" ht="13.2"/>
    <row r="5969" s="299" customFormat="1" ht="13.2"/>
    <row r="5970" s="299" customFormat="1" ht="13.2"/>
    <row r="5971" s="299" customFormat="1" ht="13.2"/>
    <row r="5972" s="299" customFormat="1" ht="13.2"/>
    <row r="5973" s="299" customFormat="1" ht="13.2"/>
    <row r="5974" s="299" customFormat="1" ht="13.2"/>
    <row r="5975" s="299" customFormat="1" ht="13.2"/>
    <row r="5976" s="299" customFormat="1" ht="13.2"/>
    <row r="5977" s="299" customFormat="1" ht="13.2"/>
    <row r="5978" s="299" customFormat="1" ht="13.2"/>
    <row r="5979" s="299" customFormat="1" ht="13.2"/>
    <row r="5980" s="299" customFormat="1" ht="13.2"/>
    <row r="5981" s="299" customFormat="1" ht="13.2"/>
    <row r="5982" s="299" customFormat="1" ht="13.2"/>
    <row r="5983" s="299" customFormat="1" ht="13.2"/>
    <row r="5984" s="299" customFormat="1" ht="13.2"/>
    <row r="5985" s="299" customFormat="1" ht="13.2"/>
    <row r="5986" s="299" customFormat="1" ht="13.2"/>
    <row r="5987" s="299" customFormat="1" ht="13.2"/>
    <row r="5988" s="299" customFormat="1" ht="13.2"/>
    <row r="5989" s="299" customFormat="1" ht="13.2"/>
    <row r="5990" s="299" customFormat="1" ht="13.2"/>
    <row r="5991" s="299" customFormat="1" ht="13.2"/>
    <row r="5992" s="299" customFormat="1" ht="13.2"/>
    <row r="5993" s="299" customFormat="1" ht="13.2"/>
    <row r="5994" s="299" customFormat="1" ht="13.2"/>
    <row r="5995" s="299" customFormat="1" ht="13.2"/>
    <row r="5996" s="299" customFormat="1" ht="13.2"/>
    <row r="5997" s="299" customFormat="1" ht="13.2"/>
    <row r="5998" s="299" customFormat="1" ht="13.2"/>
    <row r="5999" s="299" customFormat="1" ht="13.2"/>
    <row r="6000" s="299" customFormat="1" ht="13.2"/>
    <row r="6001" s="299" customFormat="1" ht="13.2"/>
    <row r="6002" s="299" customFormat="1" ht="13.2"/>
    <row r="6003" s="299" customFormat="1" ht="13.2"/>
    <row r="6004" s="299" customFormat="1" ht="13.2"/>
    <row r="6005" s="299" customFormat="1" ht="13.2"/>
    <row r="6006" s="299" customFormat="1" ht="13.2"/>
    <row r="6007" s="299" customFormat="1" ht="13.2"/>
    <row r="6008" s="299" customFormat="1" ht="13.2"/>
    <row r="6009" s="299" customFormat="1" ht="13.2"/>
    <row r="6010" s="299" customFormat="1" ht="13.2"/>
    <row r="6011" s="299" customFormat="1" ht="13.2"/>
    <row r="6012" s="299" customFormat="1" ht="13.2"/>
    <row r="6013" s="299" customFormat="1" ht="13.2"/>
    <row r="6014" s="299" customFormat="1" ht="13.2"/>
    <row r="6015" s="299" customFormat="1" ht="13.2"/>
    <row r="6016" s="299" customFormat="1" ht="13.2"/>
    <row r="6017" s="299" customFormat="1" ht="13.2"/>
    <row r="6018" s="299" customFormat="1" ht="13.2"/>
    <row r="6019" s="299" customFormat="1" ht="13.2"/>
    <row r="6020" s="299" customFormat="1" ht="13.2"/>
    <row r="6021" s="299" customFormat="1" ht="13.2"/>
    <row r="6022" s="299" customFormat="1" ht="13.2"/>
    <row r="6023" s="299" customFormat="1" ht="13.2"/>
    <row r="6024" s="299" customFormat="1" ht="13.2"/>
    <row r="6025" s="299" customFormat="1" ht="13.2"/>
    <row r="6026" s="299" customFormat="1" ht="13.2"/>
    <row r="6027" s="299" customFormat="1" ht="13.2"/>
    <row r="6028" s="299" customFormat="1" ht="13.2"/>
    <row r="6029" s="299" customFormat="1" ht="13.2"/>
    <row r="6030" s="299" customFormat="1" ht="13.2"/>
    <row r="6031" s="299" customFormat="1" ht="13.2"/>
    <row r="6032" s="299" customFormat="1" ht="13.2"/>
    <row r="6033" s="299" customFormat="1" ht="13.2"/>
    <row r="6034" s="299" customFormat="1" ht="13.2"/>
    <row r="6035" s="299" customFormat="1" ht="13.2"/>
    <row r="6036" s="299" customFormat="1" ht="13.2"/>
    <row r="6037" s="299" customFormat="1" ht="13.2"/>
    <row r="6038" s="299" customFormat="1" ht="13.2"/>
    <row r="6039" s="299" customFormat="1" ht="13.2"/>
    <row r="6040" s="299" customFormat="1" ht="13.2"/>
    <row r="6041" s="299" customFormat="1" ht="13.2"/>
    <row r="6042" s="299" customFormat="1" ht="13.2"/>
    <row r="6043" s="299" customFormat="1" ht="13.2"/>
    <row r="6044" s="299" customFormat="1" ht="13.2"/>
    <row r="6045" s="299" customFormat="1" ht="13.2"/>
    <row r="6046" s="299" customFormat="1" ht="13.2"/>
    <row r="6047" s="299" customFormat="1" ht="13.2"/>
    <row r="6048" s="299" customFormat="1" ht="13.2"/>
    <row r="6049" s="299" customFormat="1" ht="13.2"/>
    <row r="6050" s="299" customFormat="1" ht="13.2"/>
    <row r="6051" s="299" customFormat="1" ht="13.2"/>
    <row r="6052" s="299" customFormat="1" ht="13.2"/>
    <row r="6053" s="299" customFormat="1" ht="13.2"/>
    <row r="6054" s="299" customFormat="1" ht="13.2"/>
    <row r="6055" s="299" customFormat="1" ht="13.2"/>
    <row r="6056" s="299" customFormat="1" ht="13.2"/>
    <row r="6057" s="299" customFormat="1" ht="13.2"/>
    <row r="6058" s="299" customFormat="1" ht="13.2"/>
    <row r="6059" s="299" customFormat="1" ht="13.2"/>
    <row r="6060" s="299" customFormat="1" ht="13.2"/>
    <row r="6061" s="299" customFormat="1" ht="13.2"/>
    <row r="6062" s="299" customFormat="1" ht="13.2"/>
    <row r="6063" s="299" customFormat="1" ht="13.2"/>
    <row r="6064" s="299" customFormat="1" ht="13.2"/>
    <row r="6065" s="299" customFormat="1" ht="13.2"/>
    <row r="6066" s="299" customFormat="1" ht="13.2"/>
    <row r="6067" s="299" customFormat="1" ht="13.2"/>
    <row r="6068" s="299" customFormat="1" ht="13.2"/>
    <row r="6069" s="299" customFormat="1" ht="13.2"/>
    <row r="6070" s="299" customFormat="1" ht="13.2"/>
    <row r="6071" s="299" customFormat="1" ht="13.2"/>
    <row r="6072" s="299" customFormat="1" ht="13.2"/>
    <row r="6073" s="299" customFormat="1" ht="13.2"/>
    <row r="6074" s="299" customFormat="1" ht="13.2"/>
    <row r="6075" s="299" customFormat="1" ht="13.2"/>
    <row r="6076" s="299" customFormat="1" ht="13.2"/>
    <row r="6077" s="299" customFormat="1" ht="13.2"/>
    <row r="6078" s="299" customFormat="1" ht="13.2"/>
    <row r="6079" s="299" customFormat="1" ht="13.2"/>
    <row r="6080" s="299" customFormat="1" ht="13.2"/>
    <row r="6081" s="299" customFormat="1" ht="13.2"/>
    <row r="6082" s="299" customFormat="1" ht="13.2"/>
    <row r="6083" s="299" customFormat="1" ht="13.2"/>
    <row r="6084" s="299" customFormat="1" ht="13.2"/>
    <row r="6085" s="299" customFormat="1" ht="13.2"/>
    <row r="6086" s="299" customFormat="1" ht="13.2"/>
    <row r="6087" s="299" customFormat="1" ht="13.2"/>
    <row r="6088" s="299" customFormat="1" ht="13.2"/>
    <row r="6089" s="299" customFormat="1" ht="13.2"/>
    <row r="6090" s="299" customFormat="1" ht="13.2"/>
    <row r="6091" s="299" customFormat="1" ht="13.2"/>
    <row r="6092" s="299" customFormat="1" ht="13.2"/>
    <row r="6093" s="299" customFormat="1" ht="13.2"/>
    <row r="6094" s="299" customFormat="1" ht="13.2"/>
    <row r="6095" s="299" customFormat="1" ht="13.2"/>
    <row r="6096" s="299" customFormat="1" ht="13.2"/>
    <row r="6097" s="299" customFormat="1" ht="13.2"/>
    <row r="6098" s="299" customFormat="1" ht="13.2"/>
    <row r="6099" s="299" customFormat="1" ht="13.2"/>
    <row r="6100" s="299" customFormat="1" ht="13.2"/>
    <row r="6101" s="299" customFormat="1" ht="13.2"/>
    <row r="6102" s="299" customFormat="1" ht="13.2"/>
    <row r="6103" s="299" customFormat="1" ht="13.2"/>
    <row r="6104" s="299" customFormat="1" ht="13.2"/>
    <row r="6105" s="299" customFormat="1" ht="13.2"/>
    <row r="6106" s="299" customFormat="1" ht="13.2"/>
    <row r="6107" s="299" customFormat="1" ht="13.2"/>
    <row r="6108" s="299" customFormat="1" ht="13.2"/>
    <row r="6109" s="299" customFormat="1" ht="13.2"/>
    <row r="6110" s="299" customFormat="1" ht="13.2"/>
    <row r="6111" s="299" customFormat="1" ht="13.2"/>
    <row r="6112" s="299" customFormat="1" ht="13.2"/>
    <row r="6113" s="299" customFormat="1" ht="13.2"/>
    <row r="6114" s="299" customFormat="1" ht="13.2"/>
    <row r="6115" s="299" customFormat="1" ht="13.2"/>
    <row r="6116" s="299" customFormat="1" ht="13.2"/>
    <row r="6117" s="299" customFormat="1" ht="13.2"/>
    <row r="6118" s="299" customFormat="1" ht="13.2"/>
    <row r="6119" s="299" customFormat="1" ht="13.2"/>
    <row r="6120" s="299" customFormat="1" ht="13.2"/>
    <row r="6121" s="299" customFormat="1" ht="13.2"/>
    <row r="6122" s="299" customFormat="1" ht="13.2"/>
    <row r="6123" s="299" customFormat="1" ht="13.2"/>
    <row r="6124" s="299" customFormat="1" ht="13.2"/>
    <row r="6125" s="299" customFormat="1" ht="13.2"/>
    <row r="6126" s="299" customFormat="1" ht="13.2"/>
    <row r="6127" s="299" customFormat="1" ht="13.2"/>
    <row r="6128" s="299" customFormat="1" ht="13.2"/>
    <row r="6129" s="299" customFormat="1" ht="13.2"/>
    <row r="6130" s="299" customFormat="1" ht="13.2"/>
    <row r="6131" s="299" customFormat="1" ht="13.2"/>
    <row r="6132" s="299" customFormat="1" ht="13.2"/>
    <row r="6133" s="299" customFormat="1" ht="13.2"/>
    <row r="6134" s="299" customFormat="1" ht="13.2"/>
    <row r="6135" s="299" customFormat="1" ht="13.2"/>
    <row r="6136" s="299" customFormat="1" ht="13.2"/>
    <row r="6137" s="299" customFormat="1" ht="13.2"/>
    <row r="6138" s="299" customFormat="1" ht="13.2"/>
    <row r="6139" s="299" customFormat="1" ht="13.2"/>
    <row r="6140" s="299" customFormat="1" ht="13.2"/>
    <row r="6141" s="299" customFormat="1" ht="13.2"/>
    <row r="6142" s="299" customFormat="1" ht="13.2"/>
    <row r="6143" s="299" customFormat="1" ht="13.2"/>
    <row r="6144" s="299" customFormat="1" ht="13.2"/>
    <row r="6145" s="299" customFormat="1" ht="13.2"/>
    <row r="6146" s="299" customFormat="1" ht="13.2"/>
    <row r="6147" s="299" customFormat="1" ht="13.2"/>
    <row r="6148" s="299" customFormat="1" ht="13.2"/>
    <row r="6149" s="299" customFormat="1" ht="13.2"/>
    <row r="6150" s="299" customFormat="1" ht="13.2"/>
    <row r="6151" s="299" customFormat="1" ht="13.2"/>
    <row r="6152" s="299" customFormat="1" ht="13.2"/>
    <row r="6153" s="299" customFormat="1" ht="13.2"/>
    <row r="6154" s="299" customFormat="1" ht="13.2"/>
    <row r="6155" s="299" customFormat="1" ht="13.2"/>
    <row r="6156" s="299" customFormat="1" ht="13.2"/>
    <row r="6157" s="299" customFormat="1" ht="13.2"/>
    <row r="6158" s="299" customFormat="1" ht="13.2"/>
    <row r="6159" s="299" customFormat="1" ht="13.2"/>
    <row r="6160" s="299" customFormat="1" ht="13.2"/>
    <row r="6161" s="299" customFormat="1" ht="13.2"/>
    <row r="6162" s="299" customFormat="1" ht="13.2"/>
    <row r="6163" s="299" customFormat="1" ht="13.2"/>
    <row r="6164" s="299" customFormat="1" ht="13.2"/>
    <row r="6165" s="299" customFormat="1" ht="13.2"/>
    <row r="6166" s="299" customFormat="1" ht="13.2"/>
    <row r="6167" s="299" customFormat="1" ht="13.2"/>
    <row r="6168" s="299" customFormat="1" ht="13.2"/>
    <row r="6169" s="299" customFormat="1" ht="13.2"/>
    <row r="6170" s="299" customFormat="1" ht="13.2"/>
    <row r="6171" s="299" customFormat="1" ht="13.2"/>
    <row r="6172" s="299" customFormat="1" ht="13.2"/>
    <row r="6173" s="299" customFormat="1" ht="13.2"/>
    <row r="6174" s="299" customFormat="1" ht="13.2"/>
    <row r="6175" s="299" customFormat="1" ht="13.2"/>
    <row r="6176" s="299" customFormat="1" ht="13.2"/>
    <row r="6177" s="299" customFormat="1" ht="13.2"/>
    <row r="6178" s="299" customFormat="1" ht="13.2"/>
    <row r="6179" s="299" customFormat="1" ht="13.2"/>
    <row r="6180" s="299" customFormat="1" ht="13.2"/>
    <row r="6181" s="299" customFormat="1" ht="13.2"/>
    <row r="6182" s="299" customFormat="1" ht="13.2"/>
    <row r="6183" s="299" customFormat="1" ht="13.2"/>
    <row r="6184" s="299" customFormat="1" ht="13.2"/>
    <row r="6185" s="299" customFormat="1" ht="13.2"/>
    <row r="6186" s="299" customFormat="1" ht="13.2"/>
    <row r="6187" s="299" customFormat="1" ht="13.2"/>
    <row r="6188" s="299" customFormat="1" ht="13.2"/>
    <row r="6189" s="299" customFormat="1" ht="13.2"/>
    <row r="6190" s="299" customFormat="1" ht="13.2"/>
    <row r="6191" s="299" customFormat="1" ht="13.2"/>
    <row r="6192" s="299" customFormat="1" ht="13.2"/>
    <row r="6193" s="299" customFormat="1" ht="13.2"/>
    <row r="6194" s="299" customFormat="1" ht="13.2"/>
    <row r="6195" s="299" customFormat="1" ht="13.2"/>
    <row r="6196" s="299" customFormat="1" ht="13.2"/>
    <row r="6197" s="299" customFormat="1" ht="13.2"/>
    <row r="6198" s="299" customFormat="1" ht="13.2"/>
    <row r="6199" s="299" customFormat="1" ht="13.2"/>
    <row r="6200" s="299" customFormat="1" ht="13.2"/>
    <row r="6201" s="299" customFormat="1" ht="13.2"/>
    <row r="6202" s="299" customFormat="1" ht="13.2"/>
    <row r="6203" s="299" customFormat="1" ht="13.2"/>
    <row r="6204" s="299" customFormat="1" ht="13.2"/>
    <row r="6205" s="299" customFormat="1" ht="13.2"/>
    <row r="6206" s="299" customFormat="1" ht="13.2"/>
    <row r="6207" s="299" customFormat="1" ht="13.2"/>
    <row r="6208" s="299" customFormat="1" ht="13.2"/>
    <row r="6209" s="299" customFormat="1" ht="13.2"/>
    <row r="6210" s="299" customFormat="1" ht="13.2"/>
    <row r="6211" s="299" customFormat="1" ht="13.2"/>
    <row r="6212" s="299" customFormat="1" ht="13.2"/>
    <row r="6213" s="299" customFormat="1" ht="13.2"/>
    <row r="6214" s="299" customFormat="1" ht="13.2"/>
    <row r="6215" s="299" customFormat="1" ht="13.2"/>
    <row r="6216" s="299" customFormat="1" ht="13.2"/>
    <row r="6217" s="299" customFormat="1" ht="13.2"/>
    <row r="6218" s="299" customFormat="1" ht="13.2"/>
    <row r="6219" s="299" customFormat="1" ht="13.2"/>
    <row r="6220" s="299" customFormat="1" ht="13.2"/>
    <row r="6221" s="299" customFormat="1" ht="13.2"/>
    <row r="6222" s="299" customFormat="1" ht="13.2"/>
    <row r="6223" s="299" customFormat="1" ht="13.2"/>
    <row r="6224" s="299" customFormat="1" ht="13.2"/>
    <row r="6225" s="299" customFormat="1" ht="13.2"/>
    <row r="6226" s="299" customFormat="1" ht="13.2"/>
    <row r="6227" s="299" customFormat="1" ht="13.2"/>
    <row r="6228" s="299" customFormat="1" ht="13.2"/>
    <row r="6229" s="299" customFormat="1" ht="13.2"/>
    <row r="6230" s="299" customFormat="1" ht="13.2"/>
    <row r="6231" s="299" customFormat="1" ht="13.2"/>
    <row r="6232" s="299" customFormat="1" ht="13.2"/>
    <row r="6233" s="299" customFormat="1" ht="13.2"/>
    <row r="6234" s="299" customFormat="1" ht="13.2"/>
    <row r="6235" s="299" customFormat="1" ht="13.2"/>
    <row r="6236" s="299" customFormat="1" ht="13.2"/>
    <row r="6237" s="299" customFormat="1" ht="13.2"/>
    <row r="6238" s="299" customFormat="1" ht="13.2"/>
    <row r="6239" s="299" customFormat="1" ht="13.2"/>
    <row r="6240" s="299" customFormat="1" ht="13.2"/>
    <row r="6241" s="299" customFormat="1" ht="13.2"/>
    <row r="6242" s="299" customFormat="1" ht="13.2"/>
    <row r="6243" s="299" customFormat="1" ht="13.2"/>
    <row r="6244" s="299" customFormat="1" ht="13.2"/>
    <row r="6245" s="299" customFormat="1" ht="13.2"/>
    <row r="6246" s="299" customFormat="1" ht="13.2"/>
    <row r="6247" s="299" customFormat="1" ht="13.2"/>
    <row r="6248" s="299" customFormat="1" ht="13.2"/>
    <row r="6249" s="299" customFormat="1" ht="13.2"/>
    <row r="6250" s="299" customFormat="1" ht="13.2"/>
    <row r="6251" s="299" customFormat="1" ht="13.2"/>
    <row r="6252" s="299" customFormat="1" ht="13.2"/>
    <row r="6253" s="299" customFormat="1" ht="13.2"/>
    <row r="6254" s="299" customFormat="1" ht="13.2"/>
    <row r="6255" s="299" customFormat="1" ht="13.2"/>
    <row r="6256" s="299" customFormat="1" ht="13.2"/>
    <row r="6257" s="299" customFormat="1" ht="13.2"/>
    <row r="6258" s="299" customFormat="1" ht="13.2"/>
    <row r="6259" s="299" customFormat="1" ht="13.2"/>
    <row r="6260" s="299" customFormat="1" ht="13.2"/>
    <row r="6261" s="299" customFormat="1" ht="13.2"/>
    <row r="6262" s="299" customFormat="1" ht="13.2"/>
    <row r="6263" s="299" customFormat="1" ht="13.2"/>
    <row r="6264" s="299" customFormat="1" ht="13.2"/>
    <row r="6265" s="299" customFormat="1" ht="13.2"/>
    <row r="6266" s="299" customFormat="1" ht="13.2"/>
    <row r="6267" s="299" customFormat="1" ht="13.2"/>
    <row r="6268" s="299" customFormat="1" ht="13.2"/>
    <row r="6269" s="299" customFormat="1" ht="13.2"/>
    <row r="6270" s="299" customFormat="1" ht="13.2"/>
    <row r="6271" s="299" customFormat="1" ht="13.2"/>
    <row r="6272" s="299" customFormat="1" ht="13.2"/>
    <row r="6273" s="299" customFormat="1" ht="13.2"/>
    <row r="6274" s="299" customFormat="1" ht="13.2"/>
    <row r="6275" s="299" customFormat="1" ht="13.2"/>
    <row r="6276" s="299" customFormat="1" ht="13.2"/>
    <row r="6277" s="299" customFormat="1" ht="13.2"/>
    <row r="6278" s="299" customFormat="1" ht="13.2"/>
    <row r="6279" s="299" customFormat="1" ht="13.2"/>
    <row r="6280" s="299" customFormat="1" ht="13.2"/>
    <row r="6281" s="299" customFormat="1" ht="13.2"/>
    <row r="6282" s="299" customFormat="1" ht="13.2"/>
    <row r="6283" s="299" customFormat="1" ht="13.2"/>
    <row r="6284" s="299" customFormat="1" ht="13.2"/>
    <row r="6285" s="299" customFormat="1" ht="13.2"/>
    <row r="6286" s="299" customFormat="1" ht="13.2"/>
    <row r="6287" s="299" customFormat="1" ht="13.2"/>
    <row r="6288" s="299" customFormat="1" ht="13.2"/>
    <row r="6289" s="299" customFormat="1" ht="13.2"/>
    <row r="6290" s="299" customFormat="1" ht="13.2"/>
    <row r="6291" s="299" customFormat="1" ht="13.2"/>
    <row r="6292" s="299" customFormat="1" ht="13.2"/>
    <row r="6293" s="299" customFormat="1" ht="13.2"/>
    <row r="6294" s="299" customFormat="1" ht="13.2"/>
    <row r="6295" s="299" customFormat="1" ht="13.2"/>
    <row r="6296" s="299" customFormat="1" ht="13.2"/>
    <row r="6297" s="299" customFormat="1" ht="13.2"/>
    <row r="6298" s="299" customFormat="1" ht="13.2"/>
    <row r="6299" s="299" customFormat="1" ht="13.2"/>
    <row r="6300" s="299" customFormat="1" ht="13.2"/>
    <row r="6301" s="299" customFormat="1" ht="13.2"/>
    <row r="6302" s="299" customFormat="1" ht="13.2"/>
    <row r="6303" s="299" customFormat="1" ht="13.2"/>
    <row r="6304" s="299" customFormat="1" ht="13.2"/>
    <row r="6305" s="299" customFormat="1" ht="13.2"/>
    <row r="6306" s="299" customFormat="1" ht="13.2"/>
    <row r="6307" s="299" customFormat="1" ht="13.2"/>
    <row r="6308" s="299" customFormat="1" ht="13.2"/>
    <row r="6309" s="299" customFormat="1" ht="13.2"/>
    <row r="6310" s="299" customFormat="1" ht="13.2"/>
    <row r="6311" s="299" customFormat="1" ht="13.2"/>
    <row r="6312" s="299" customFormat="1" ht="13.2"/>
    <row r="6313" s="299" customFormat="1" ht="13.2"/>
    <row r="6314" s="299" customFormat="1" ht="13.2"/>
    <row r="6315" s="299" customFormat="1" ht="13.2"/>
    <row r="6316" s="299" customFormat="1" ht="13.2"/>
    <row r="6317" s="299" customFormat="1" ht="13.2"/>
    <row r="6318" s="299" customFormat="1" ht="13.2"/>
    <row r="6319" s="299" customFormat="1" ht="13.2"/>
    <row r="6320" s="299" customFormat="1" ht="13.2"/>
    <row r="6321" s="299" customFormat="1" ht="13.2"/>
    <row r="6322" s="299" customFormat="1" ht="13.2"/>
    <row r="6323" s="299" customFormat="1" ht="13.2"/>
    <row r="6324" s="299" customFormat="1" ht="13.2"/>
    <row r="6325" s="299" customFormat="1" ht="13.2"/>
    <row r="6326" s="299" customFormat="1" ht="13.2"/>
    <row r="6327" s="299" customFormat="1" ht="13.2"/>
    <row r="6328" s="299" customFormat="1" ht="13.2"/>
    <row r="6329" s="299" customFormat="1" ht="13.2"/>
    <row r="6330" s="299" customFormat="1" ht="13.2"/>
    <row r="6331" s="299" customFormat="1" ht="13.2"/>
    <row r="6332" s="299" customFormat="1" ht="13.2"/>
    <row r="6333" s="299" customFormat="1" ht="13.2"/>
    <row r="6334" s="299" customFormat="1" ht="13.2"/>
    <row r="6335" s="299" customFormat="1" ht="13.2"/>
    <row r="6336" s="299" customFormat="1" ht="13.2"/>
    <row r="6337" s="299" customFormat="1" ht="13.2"/>
    <row r="6338" s="299" customFormat="1" ht="13.2"/>
    <row r="6339" s="299" customFormat="1" ht="13.2"/>
    <row r="6340" s="299" customFormat="1" ht="13.2"/>
    <row r="6341" s="299" customFormat="1" ht="13.2"/>
    <row r="6342" s="299" customFormat="1" ht="13.2"/>
    <row r="6343" s="299" customFormat="1" ht="13.2"/>
    <row r="6344" s="299" customFormat="1" ht="13.2"/>
    <row r="6345" s="299" customFormat="1" ht="13.2"/>
    <row r="6346" s="299" customFormat="1" ht="13.2"/>
    <row r="6347" s="299" customFormat="1" ht="13.2"/>
    <row r="6348" s="299" customFormat="1" ht="13.2"/>
    <row r="6349" s="299" customFormat="1" ht="13.2"/>
    <row r="6350" s="299" customFormat="1" ht="13.2"/>
    <row r="6351" s="299" customFormat="1" ht="13.2"/>
    <row r="6352" s="299" customFormat="1" ht="13.2"/>
    <row r="6353" s="299" customFormat="1" ht="13.2"/>
    <row r="6354" s="299" customFormat="1" ht="13.2"/>
    <row r="6355" s="299" customFormat="1" ht="13.2"/>
    <row r="6356" s="299" customFormat="1" ht="13.2"/>
    <row r="6357" s="299" customFormat="1" ht="13.2"/>
    <row r="6358" s="299" customFormat="1" ht="13.2"/>
    <row r="6359" s="299" customFormat="1" ht="13.2"/>
    <row r="6360" s="299" customFormat="1" ht="13.2"/>
    <row r="6361" s="299" customFormat="1" ht="13.2"/>
    <row r="6362" s="299" customFormat="1" ht="13.2"/>
    <row r="6363" s="299" customFormat="1" ht="13.2"/>
    <row r="6364" s="299" customFormat="1" ht="13.2"/>
    <row r="6365" s="299" customFormat="1" ht="13.2"/>
    <row r="6366" s="299" customFormat="1" ht="13.2"/>
    <row r="6367" s="299" customFormat="1" ht="13.2"/>
    <row r="6368" s="299" customFormat="1" ht="13.2"/>
    <row r="6369" s="299" customFormat="1" ht="13.2"/>
    <row r="6370" s="299" customFormat="1" ht="13.2"/>
    <row r="6371" s="299" customFormat="1" ht="13.2"/>
    <row r="6372" s="299" customFormat="1" ht="13.2"/>
    <row r="6373" s="299" customFormat="1" ht="13.2"/>
    <row r="6374" s="299" customFormat="1" ht="13.2"/>
    <row r="6375" s="299" customFormat="1" ht="13.2"/>
    <row r="6376" s="299" customFormat="1" ht="13.2"/>
    <row r="6377" s="299" customFormat="1" ht="13.2"/>
    <row r="6378" s="299" customFormat="1" ht="13.2"/>
    <row r="6379" s="299" customFormat="1" ht="13.2"/>
    <row r="6380" s="299" customFormat="1" ht="13.2"/>
    <row r="6381" s="299" customFormat="1" ht="13.2"/>
    <row r="6382" s="299" customFormat="1" ht="13.2"/>
    <row r="6383" s="299" customFormat="1" ht="13.2"/>
    <row r="6384" s="299" customFormat="1" ht="13.2"/>
    <row r="6385" s="299" customFormat="1" ht="13.2"/>
    <row r="6386" s="299" customFormat="1" ht="13.2"/>
    <row r="6387" s="299" customFormat="1" ht="13.2"/>
    <row r="6388" s="299" customFormat="1" ht="13.2"/>
    <row r="6389" s="299" customFormat="1" ht="13.2"/>
    <row r="6390" s="299" customFormat="1" ht="13.2"/>
    <row r="6391" s="299" customFormat="1" ht="13.2"/>
    <row r="6392" s="299" customFormat="1" ht="13.2"/>
    <row r="6393" s="299" customFormat="1" ht="13.2"/>
    <row r="6394" s="299" customFormat="1" ht="13.2"/>
    <row r="6395" s="299" customFormat="1" ht="13.2"/>
    <row r="6396" s="299" customFormat="1" ht="13.2"/>
    <row r="6397" s="299" customFormat="1" ht="13.2"/>
    <row r="6398" s="299" customFormat="1" ht="13.2"/>
    <row r="6399" s="299" customFormat="1" ht="13.2"/>
    <row r="6400" s="299" customFormat="1" ht="13.2"/>
    <row r="6401" s="299" customFormat="1" ht="13.2"/>
    <row r="6402" s="299" customFormat="1" ht="13.2"/>
    <row r="6403" s="299" customFormat="1" ht="13.2"/>
    <row r="6404" s="299" customFormat="1" ht="13.2"/>
    <row r="6405" s="299" customFormat="1" ht="13.2"/>
    <row r="6406" s="299" customFormat="1" ht="13.2"/>
    <row r="6407" s="299" customFormat="1" ht="13.2"/>
    <row r="6408" s="299" customFormat="1" ht="13.2"/>
    <row r="6409" s="299" customFormat="1" ht="13.2"/>
    <row r="6410" s="299" customFormat="1" ht="13.2"/>
    <row r="6411" s="299" customFormat="1" ht="13.2"/>
    <row r="6412" s="299" customFormat="1" ht="13.2"/>
    <row r="6413" s="299" customFormat="1" ht="13.2"/>
    <row r="6414" s="299" customFormat="1" ht="13.2"/>
    <row r="6415" s="299" customFormat="1" ht="13.2"/>
    <row r="6416" s="299" customFormat="1" ht="13.2"/>
    <row r="6417" s="299" customFormat="1" ht="13.2"/>
    <row r="6418" s="299" customFormat="1" ht="13.2"/>
    <row r="6419" s="299" customFormat="1" ht="13.2"/>
    <row r="6420" s="299" customFormat="1" ht="13.2"/>
    <row r="6421" s="299" customFormat="1" ht="13.2"/>
    <row r="6422" s="299" customFormat="1" ht="13.2"/>
    <row r="6423" s="299" customFormat="1" ht="13.2"/>
    <row r="6424" s="299" customFormat="1" ht="13.2"/>
    <row r="6425" s="299" customFormat="1" ht="13.2"/>
    <row r="6426" s="299" customFormat="1" ht="13.2"/>
    <row r="6427" s="299" customFormat="1" ht="13.2"/>
    <row r="6428" s="299" customFormat="1" ht="13.2"/>
    <row r="6429" s="299" customFormat="1" ht="13.2"/>
    <row r="6430" s="299" customFormat="1" ht="13.2"/>
    <row r="6431" s="299" customFormat="1" ht="13.2"/>
    <row r="6432" s="299" customFormat="1" ht="13.2"/>
    <row r="6433" s="299" customFormat="1" ht="13.2"/>
    <row r="6434" s="299" customFormat="1" ht="13.2"/>
    <row r="6435" s="299" customFormat="1" ht="13.2"/>
    <row r="6436" s="299" customFormat="1" ht="13.2"/>
    <row r="6437" s="299" customFormat="1" ht="13.2"/>
    <row r="6438" s="299" customFormat="1" ht="13.2"/>
    <row r="6439" s="299" customFormat="1" ht="13.2"/>
    <row r="6440" s="299" customFormat="1" ht="13.2"/>
    <row r="6441" s="299" customFormat="1" ht="13.2"/>
    <row r="6442" s="299" customFormat="1" ht="13.2"/>
    <row r="6443" s="299" customFormat="1" ht="13.2"/>
    <row r="6444" s="299" customFormat="1" ht="13.2"/>
    <row r="6445" s="299" customFormat="1" ht="13.2"/>
    <row r="6446" s="299" customFormat="1" ht="13.2"/>
    <row r="6447" s="299" customFormat="1" ht="13.2"/>
    <row r="6448" s="299" customFormat="1" ht="13.2"/>
    <row r="6449" s="299" customFormat="1" ht="13.2"/>
    <row r="6450" s="299" customFormat="1" ht="13.2"/>
    <row r="6451" s="299" customFormat="1" ht="13.2"/>
    <row r="6452" s="299" customFormat="1" ht="13.2"/>
    <row r="6453" s="299" customFormat="1" ht="13.2"/>
    <row r="6454" s="299" customFormat="1" ht="13.2"/>
    <row r="6455" s="299" customFormat="1" ht="13.2"/>
    <row r="6456" s="299" customFormat="1" ht="13.2"/>
    <row r="6457" s="299" customFormat="1" ht="13.2"/>
    <row r="6458" s="299" customFormat="1" ht="13.2"/>
    <row r="6459" s="299" customFormat="1" ht="13.2"/>
    <row r="6460" s="299" customFormat="1" ht="13.2"/>
    <row r="6461" s="299" customFormat="1" ht="13.2"/>
    <row r="6462" s="299" customFormat="1" ht="13.2"/>
    <row r="6463" s="299" customFormat="1" ht="13.2"/>
    <row r="6464" s="299" customFormat="1" ht="13.2"/>
    <row r="6465" s="299" customFormat="1" ht="13.2"/>
    <row r="6466" s="299" customFormat="1" ht="13.2"/>
    <row r="6467" s="299" customFormat="1" ht="13.2"/>
    <row r="6468" s="299" customFormat="1" ht="13.2"/>
    <row r="6469" s="299" customFormat="1" ht="13.2"/>
    <row r="6470" s="299" customFormat="1" ht="13.2"/>
    <row r="6471" s="299" customFormat="1" ht="13.2"/>
    <row r="6472" s="299" customFormat="1" ht="13.2"/>
    <row r="6473" s="299" customFormat="1" ht="13.2"/>
    <row r="6474" s="299" customFormat="1" ht="13.2"/>
    <row r="6475" s="299" customFormat="1" ht="13.2"/>
    <row r="6476" s="299" customFormat="1" ht="13.2"/>
    <row r="6477" s="299" customFormat="1" ht="13.2"/>
    <row r="6478" s="299" customFormat="1" ht="13.2"/>
    <row r="6479" s="299" customFormat="1" ht="13.2"/>
    <row r="6480" s="299" customFormat="1" ht="13.2"/>
    <row r="6481" s="299" customFormat="1" ht="13.2"/>
    <row r="6482" s="299" customFormat="1" ht="13.2"/>
    <row r="6483" s="299" customFormat="1" ht="13.2"/>
    <row r="6484" s="299" customFormat="1" ht="13.2"/>
    <row r="6485" s="299" customFormat="1" ht="13.2"/>
    <row r="6486" s="299" customFormat="1" ht="13.2"/>
    <row r="6487" s="299" customFormat="1" ht="13.2"/>
    <row r="6488" s="299" customFormat="1" ht="13.2"/>
    <row r="6489" s="299" customFormat="1" ht="13.2"/>
    <row r="6490" s="299" customFormat="1" ht="13.2"/>
    <row r="6491" s="299" customFormat="1" ht="13.2"/>
    <row r="6492" s="299" customFormat="1" ht="13.2"/>
    <row r="6493" s="299" customFormat="1" ht="13.2"/>
    <row r="6494" s="299" customFormat="1" ht="13.2"/>
    <row r="6495" s="299" customFormat="1" ht="13.2"/>
    <row r="6496" s="299" customFormat="1" ht="13.2"/>
    <row r="6497" s="299" customFormat="1" ht="13.2"/>
    <row r="6498" s="299" customFormat="1" ht="13.2"/>
    <row r="6499" s="299" customFormat="1" ht="13.2"/>
    <row r="6500" s="299" customFormat="1" ht="13.2"/>
    <row r="6501" s="299" customFormat="1" ht="13.2"/>
    <row r="6502" s="299" customFormat="1" ht="13.2"/>
    <row r="6503" s="299" customFormat="1" ht="13.2"/>
    <row r="6504" s="299" customFormat="1" ht="13.2"/>
    <row r="6505" s="299" customFormat="1" ht="13.2"/>
    <row r="6506" s="299" customFormat="1" ht="13.2"/>
    <row r="6507" s="299" customFormat="1" ht="13.2"/>
    <row r="6508" s="299" customFormat="1" ht="13.2"/>
    <row r="6509" s="299" customFormat="1" ht="13.2"/>
    <row r="6510" s="299" customFormat="1" ht="13.2"/>
    <row r="6511" s="299" customFormat="1" ht="13.2"/>
    <row r="6512" s="299" customFormat="1" ht="13.2"/>
    <row r="6513" s="299" customFormat="1" ht="13.2"/>
    <row r="6514" s="299" customFormat="1" ht="13.2"/>
    <row r="6515" s="299" customFormat="1" ht="13.2"/>
    <row r="6516" s="299" customFormat="1" ht="13.2"/>
    <row r="6517" s="299" customFormat="1" ht="13.2"/>
    <row r="6518" s="299" customFormat="1" ht="13.2"/>
    <row r="6519" s="299" customFormat="1" ht="13.2"/>
    <row r="6520" s="299" customFormat="1" ht="13.2"/>
    <row r="6521" s="299" customFormat="1" ht="13.2"/>
    <row r="6522" s="299" customFormat="1" ht="13.2"/>
    <row r="6523" s="299" customFormat="1" ht="13.2"/>
    <row r="6524" s="299" customFormat="1" ht="13.2"/>
    <row r="6525" s="299" customFormat="1" ht="13.2"/>
    <row r="6526" s="299" customFormat="1" ht="13.2"/>
    <row r="6527" s="299" customFormat="1" ht="13.2"/>
    <row r="6528" s="299" customFormat="1" ht="13.2"/>
    <row r="6529" s="299" customFormat="1" ht="13.2"/>
    <row r="6530" s="299" customFormat="1" ht="13.2"/>
    <row r="6531" s="299" customFormat="1" ht="13.2"/>
    <row r="6532" s="299" customFormat="1" ht="13.2"/>
    <row r="6533" s="299" customFormat="1" ht="13.2"/>
    <row r="6534" s="299" customFormat="1" ht="13.2"/>
    <row r="6535" s="299" customFormat="1" ht="13.2"/>
    <row r="6536" s="299" customFormat="1" ht="13.2"/>
    <row r="6537" s="299" customFormat="1" ht="13.2"/>
    <row r="6538" s="299" customFormat="1" ht="13.2"/>
    <row r="6539" s="299" customFormat="1" ht="13.2"/>
    <row r="6540" s="299" customFormat="1" ht="13.2"/>
    <row r="6541" s="299" customFormat="1" ht="13.2"/>
    <row r="6542" s="299" customFormat="1" ht="13.2"/>
    <row r="6543" s="299" customFormat="1" ht="13.2"/>
    <row r="6544" s="299" customFormat="1" ht="13.2"/>
    <row r="6545" s="299" customFormat="1" ht="13.2"/>
    <row r="6546" s="299" customFormat="1" ht="13.2"/>
    <row r="6547" s="299" customFormat="1" ht="13.2"/>
    <row r="6548" s="299" customFormat="1" ht="13.2"/>
    <row r="6549" s="299" customFormat="1" ht="13.2"/>
    <row r="6550" s="299" customFormat="1" ht="13.2"/>
    <row r="6551" s="299" customFormat="1" ht="13.2"/>
    <row r="6552" s="299" customFormat="1" ht="13.2"/>
    <row r="6553" s="299" customFormat="1" ht="13.2"/>
    <row r="6554" s="299" customFormat="1" ht="13.2"/>
    <row r="6555" s="299" customFormat="1" ht="13.2"/>
    <row r="6556" s="299" customFormat="1" ht="13.2"/>
    <row r="6557" s="299" customFormat="1" ht="13.2"/>
    <row r="6558" s="299" customFormat="1" ht="13.2"/>
    <row r="6559" s="299" customFormat="1" ht="13.2"/>
    <row r="6560" s="299" customFormat="1" ht="13.2"/>
    <row r="6561" s="299" customFormat="1" ht="13.2"/>
    <row r="6562" s="299" customFormat="1" ht="13.2"/>
    <row r="6563" s="299" customFormat="1" ht="13.2"/>
    <row r="6564" s="299" customFormat="1" ht="13.2"/>
    <row r="6565" s="299" customFormat="1" ht="13.2"/>
    <row r="6566" s="299" customFormat="1" ht="13.2"/>
    <row r="6567" s="299" customFormat="1" ht="13.2"/>
    <row r="6568" s="299" customFormat="1" ht="13.2"/>
    <row r="6569" s="299" customFormat="1" ht="13.2"/>
    <row r="6570" s="299" customFormat="1" ht="13.2"/>
    <row r="6571" s="299" customFormat="1" ht="13.2"/>
    <row r="6572" s="299" customFormat="1" ht="13.2"/>
    <row r="6573" s="299" customFormat="1" ht="13.2"/>
    <row r="6574" s="299" customFormat="1" ht="13.2"/>
    <row r="6575" s="299" customFormat="1" ht="13.2"/>
    <row r="6576" s="299" customFormat="1" ht="13.2"/>
    <row r="6577" s="299" customFormat="1" ht="13.2"/>
    <row r="6578" s="299" customFormat="1" ht="13.2"/>
    <row r="6579" s="299" customFormat="1" ht="13.2"/>
    <row r="6580" s="299" customFormat="1" ht="13.2"/>
    <row r="6581" s="299" customFormat="1" ht="13.2"/>
    <row r="6582" s="299" customFormat="1" ht="13.2"/>
    <row r="6583" s="299" customFormat="1" ht="13.2"/>
    <row r="6584" s="299" customFormat="1" ht="13.2"/>
    <row r="6585" s="299" customFormat="1" ht="13.2"/>
    <row r="6586" s="299" customFormat="1" ht="13.2"/>
    <row r="6587" s="299" customFormat="1" ht="13.2"/>
    <row r="6588" s="299" customFormat="1" ht="13.2"/>
    <row r="6589" s="299" customFormat="1" ht="13.2"/>
    <row r="6590" s="299" customFormat="1" ht="13.2"/>
    <row r="6591" s="299" customFormat="1" ht="13.2"/>
    <row r="6592" s="299" customFormat="1" ht="13.2"/>
    <row r="6593" s="299" customFormat="1" ht="13.2"/>
    <row r="6594" s="299" customFormat="1" ht="13.2"/>
    <row r="6595" s="299" customFormat="1" ht="13.2"/>
    <row r="6596" s="299" customFormat="1" ht="13.2"/>
    <row r="6597" s="299" customFormat="1" ht="13.2"/>
    <row r="6598" s="299" customFormat="1" ht="13.2"/>
    <row r="6599" s="299" customFormat="1" ht="13.2"/>
    <row r="6600" s="299" customFormat="1" ht="13.2"/>
    <row r="6601" s="299" customFormat="1" ht="13.2"/>
    <row r="6602" s="299" customFormat="1" ht="13.2"/>
    <row r="6603" s="299" customFormat="1" ht="13.2"/>
    <row r="6604" s="299" customFormat="1" ht="13.2"/>
    <row r="6605" s="299" customFormat="1" ht="13.2"/>
    <row r="6606" s="299" customFormat="1" ht="13.2"/>
    <row r="6607" s="299" customFormat="1" ht="13.2"/>
    <row r="6608" s="299" customFormat="1" ht="13.2"/>
    <row r="6609" s="299" customFormat="1" ht="13.2"/>
    <row r="6610" s="299" customFormat="1" ht="13.2"/>
    <row r="6611" s="299" customFormat="1" ht="13.2"/>
    <row r="6612" s="299" customFormat="1" ht="13.2"/>
    <row r="6613" s="299" customFormat="1" ht="13.2"/>
    <row r="6614" s="299" customFormat="1" ht="13.2"/>
    <row r="6615" s="299" customFormat="1" ht="13.2"/>
    <row r="6616" s="299" customFormat="1" ht="13.2"/>
    <row r="6617" s="299" customFormat="1" ht="13.2"/>
    <row r="6618" s="299" customFormat="1" ht="13.2"/>
    <row r="6619" s="299" customFormat="1" ht="13.2"/>
    <row r="6620" s="299" customFormat="1" ht="13.2"/>
    <row r="6621" s="299" customFormat="1" ht="13.2"/>
    <row r="6622" s="299" customFormat="1" ht="13.2"/>
    <row r="6623" s="299" customFormat="1" ht="13.2"/>
    <row r="6624" s="299" customFormat="1" ht="13.2"/>
    <row r="6625" s="299" customFormat="1" ht="13.2"/>
    <row r="6626" s="299" customFormat="1" ht="13.2"/>
    <row r="6627" s="299" customFormat="1" ht="13.2"/>
    <row r="6628" s="299" customFormat="1" ht="13.2"/>
    <row r="6629" s="299" customFormat="1" ht="13.2"/>
    <row r="6630" s="299" customFormat="1" ht="13.2"/>
    <row r="6631" s="299" customFormat="1" ht="13.2"/>
    <row r="6632" s="299" customFormat="1" ht="13.2"/>
    <row r="6633" s="299" customFormat="1" ht="13.2"/>
    <row r="6634" s="299" customFormat="1" ht="13.2"/>
    <row r="6635" s="299" customFormat="1" ht="13.2"/>
    <row r="6636" s="299" customFormat="1" ht="13.2"/>
    <row r="6637" s="299" customFormat="1" ht="13.2"/>
    <row r="6638" s="299" customFormat="1" ht="13.2"/>
    <row r="6639" s="299" customFormat="1" ht="13.2"/>
    <row r="6640" s="299" customFormat="1" ht="13.2"/>
    <row r="6641" s="299" customFormat="1" ht="13.2"/>
    <row r="6642" s="299" customFormat="1" ht="13.2"/>
    <row r="6643" s="299" customFormat="1" ht="13.2"/>
    <row r="6644" s="299" customFormat="1" ht="13.2"/>
    <row r="6645" s="299" customFormat="1" ht="13.2"/>
    <row r="6646" s="299" customFormat="1" ht="13.2"/>
    <row r="6647" s="299" customFormat="1" ht="13.2"/>
    <row r="6648" s="299" customFormat="1" ht="13.2"/>
    <row r="6649" s="299" customFormat="1" ht="13.2"/>
    <row r="6650" s="299" customFormat="1" ht="13.2"/>
    <row r="6651" s="299" customFormat="1" ht="13.2"/>
    <row r="6652" s="299" customFormat="1" ht="13.2"/>
    <row r="6653" s="299" customFormat="1" ht="13.2"/>
    <row r="6654" s="299" customFormat="1" ht="13.2"/>
    <row r="6655" s="299" customFormat="1" ht="13.2"/>
    <row r="6656" s="299" customFormat="1" ht="13.2"/>
    <row r="6657" s="299" customFormat="1" ht="13.2"/>
    <row r="6658" s="299" customFormat="1" ht="13.2"/>
    <row r="6659" s="299" customFormat="1" ht="13.2"/>
    <row r="6660" s="299" customFormat="1" ht="13.2"/>
    <row r="6661" s="299" customFormat="1" ht="13.2"/>
    <row r="6662" s="299" customFormat="1" ht="13.2"/>
    <row r="6663" s="299" customFormat="1" ht="13.2"/>
    <row r="6664" s="299" customFormat="1" ht="13.2"/>
    <row r="6665" s="299" customFormat="1" ht="13.2"/>
    <row r="6666" s="299" customFormat="1" ht="13.2"/>
    <row r="6667" s="299" customFormat="1" ht="13.2"/>
    <row r="6668" s="299" customFormat="1" ht="13.2"/>
    <row r="6669" s="299" customFormat="1" ht="13.2"/>
    <row r="6670" s="299" customFormat="1" ht="13.2"/>
    <row r="6671" s="299" customFormat="1" ht="13.2"/>
    <row r="6672" s="299" customFormat="1" ht="13.2"/>
    <row r="6673" s="299" customFormat="1" ht="13.2"/>
    <row r="6674" s="299" customFormat="1" ht="13.2"/>
    <row r="6675" s="299" customFormat="1" ht="13.2"/>
    <row r="6676" s="299" customFormat="1" ht="13.2"/>
    <row r="6677" s="299" customFormat="1" ht="13.2"/>
    <row r="6678" s="299" customFormat="1" ht="13.2"/>
    <row r="6679" s="299" customFormat="1" ht="13.2"/>
    <row r="6680" s="299" customFormat="1" ht="13.2"/>
    <row r="6681" s="299" customFormat="1" ht="13.2"/>
    <row r="6682" s="299" customFormat="1" ht="13.2"/>
    <row r="6683" s="299" customFormat="1" ht="13.2"/>
    <row r="6684" s="299" customFormat="1" ht="13.2"/>
    <row r="6685" s="299" customFormat="1" ht="13.2"/>
    <row r="6686" s="299" customFormat="1" ht="13.2"/>
    <row r="6687" s="299" customFormat="1" ht="13.2"/>
    <row r="6688" s="299" customFormat="1" ht="13.2"/>
    <row r="6689" s="299" customFormat="1" ht="13.2"/>
    <row r="6690" s="299" customFormat="1" ht="13.2"/>
    <row r="6691" s="299" customFormat="1" ht="13.2"/>
    <row r="6692" s="299" customFormat="1" ht="13.2"/>
    <row r="6693" s="299" customFormat="1" ht="13.2"/>
    <row r="6694" s="299" customFormat="1" ht="13.2"/>
    <row r="6695" s="299" customFormat="1" ht="13.2"/>
    <row r="6696" s="299" customFormat="1" ht="13.2"/>
    <row r="6697" s="299" customFormat="1" ht="13.2"/>
    <row r="6698" s="299" customFormat="1" ht="13.2"/>
    <row r="6699" s="299" customFormat="1" ht="13.2"/>
    <row r="6700" s="299" customFormat="1" ht="13.2"/>
    <row r="6701" s="299" customFormat="1" ht="13.2"/>
    <row r="6702" s="299" customFormat="1" ht="13.2"/>
    <row r="6703" s="299" customFormat="1" ht="13.2"/>
    <row r="6704" s="299" customFormat="1" ht="13.2"/>
    <row r="6705" s="299" customFormat="1" ht="13.2"/>
    <row r="6706" s="299" customFormat="1" ht="13.2"/>
    <row r="6707" s="299" customFormat="1" ht="13.2"/>
    <row r="6708" s="299" customFormat="1" ht="13.2"/>
    <row r="6709" s="299" customFormat="1" ht="13.2"/>
    <row r="6710" s="299" customFormat="1" ht="13.2"/>
    <row r="6711" s="299" customFormat="1" ht="13.2"/>
    <row r="6712" s="299" customFormat="1" ht="13.2"/>
    <row r="6713" s="299" customFormat="1" ht="13.2"/>
    <row r="6714" s="299" customFormat="1" ht="13.2"/>
    <row r="6715" s="299" customFormat="1" ht="13.2"/>
    <row r="6716" s="299" customFormat="1" ht="13.2"/>
    <row r="6717" s="299" customFormat="1" ht="13.2"/>
    <row r="6718" s="299" customFormat="1" ht="13.2"/>
    <row r="6719" s="299" customFormat="1" ht="13.2"/>
    <row r="6720" s="299" customFormat="1" ht="13.2"/>
    <row r="6721" s="299" customFormat="1" ht="13.2"/>
    <row r="6722" s="299" customFormat="1" ht="13.2"/>
    <row r="6723" s="299" customFormat="1" ht="13.2"/>
    <row r="6724" s="299" customFormat="1" ht="13.2"/>
    <row r="6725" s="299" customFormat="1" ht="13.2"/>
    <row r="6726" s="299" customFormat="1" ht="13.2"/>
    <row r="6727" s="299" customFormat="1" ht="13.2"/>
    <row r="6728" s="299" customFormat="1" ht="13.2"/>
    <row r="6729" s="299" customFormat="1" ht="13.2"/>
    <row r="6730" s="299" customFormat="1" ht="13.2"/>
    <row r="6731" s="299" customFormat="1" ht="13.2"/>
    <row r="6732" s="299" customFormat="1" ht="13.2"/>
    <row r="6733" s="299" customFormat="1" ht="13.2"/>
    <row r="6734" s="299" customFormat="1" ht="13.2"/>
    <row r="6735" s="299" customFormat="1" ht="13.2"/>
    <row r="6736" s="299" customFormat="1" ht="13.2"/>
    <row r="6737" s="299" customFormat="1" ht="13.2"/>
    <row r="6738" s="299" customFormat="1" ht="13.2"/>
    <row r="6739" s="299" customFormat="1" ht="13.2"/>
    <row r="6740" s="299" customFormat="1" ht="13.2"/>
    <row r="6741" s="299" customFormat="1" ht="13.2"/>
    <row r="6742" s="299" customFormat="1" ht="13.2"/>
    <row r="6743" s="299" customFormat="1" ht="13.2"/>
    <row r="6744" s="299" customFormat="1" ht="13.2"/>
    <row r="6745" s="299" customFormat="1" ht="13.2"/>
    <row r="6746" s="299" customFormat="1" ht="13.2"/>
    <row r="6747" s="299" customFormat="1" ht="13.2"/>
    <row r="6748" s="299" customFormat="1" ht="13.2"/>
    <row r="6749" s="299" customFormat="1" ht="13.2"/>
    <row r="6750" s="299" customFormat="1" ht="13.2"/>
    <row r="6751" s="299" customFormat="1" ht="13.2"/>
    <row r="6752" s="299" customFormat="1" ht="13.2"/>
    <row r="6753" s="299" customFormat="1" ht="13.2"/>
    <row r="6754" s="299" customFormat="1" ht="13.2"/>
    <row r="6755" s="299" customFormat="1" ht="13.2"/>
    <row r="6756" s="299" customFormat="1" ht="13.2"/>
    <row r="6757" s="299" customFormat="1" ht="13.2"/>
    <row r="6758" s="299" customFormat="1" ht="13.2"/>
    <row r="6759" s="299" customFormat="1" ht="13.2"/>
    <row r="6760" s="299" customFormat="1" ht="13.2"/>
    <row r="6761" s="299" customFormat="1" ht="13.2"/>
    <row r="6762" s="299" customFormat="1" ht="13.2"/>
    <row r="6763" s="299" customFormat="1" ht="13.2"/>
    <row r="6764" s="299" customFormat="1" ht="13.2"/>
    <row r="6765" s="299" customFormat="1" ht="13.2"/>
    <row r="6766" s="299" customFormat="1" ht="13.2"/>
    <row r="6767" s="299" customFormat="1" ht="13.2"/>
    <row r="6768" s="299" customFormat="1" ht="13.2"/>
    <row r="6769" s="299" customFormat="1" ht="13.2"/>
    <row r="6770" s="299" customFormat="1" ht="13.2"/>
    <row r="6771" s="299" customFormat="1" ht="13.2"/>
    <row r="6772" s="299" customFormat="1" ht="13.2"/>
    <row r="6773" s="299" customFormat="1" ht="13.2"/>
    <row r="6774" s="299" customFormat="1" ht="13.2"/>
    <row r="6775" s="299" customFormat="1" ht="13.2"/>
    <row r="6776" s="299" customFormat="1" ht="13.2"/>
    <row r="6777" s="299" customFormat="1" ht="13.2"/>
    <row r="6778" s="299" customFormat="1" ht="13.2"/>
    <row r="6779" s="299" customFormat="1" ht="13.2"/>
    <row r="6780" s="299" customFormat="1" ht="13.2"/>
    <row r="6781" s="299" customFormat="1" ht="13.2"/>
    <row r="6782" s="299" customFormat="1" ht="13.2"/>
    <row r="6783" s="299" customFormat="1" ht="13.2"/>
    <row r="6784" s="299" customFormat="1" ht="13.2"/>
    <row r="6785" s="299" customFormat="1" ht="13.2"/>
    <row r="6786" s="299" customFormat="1" ht="13.2"/>
    <row r="6787" s="299" customFormat="1" ht="13.2"/>
    <row r="6788" s="299" customFormat="1" ht="13.2"/>
    <row r="6789" s="299" customFormat="1" ht="13.2"/>
    <row r="6790" s="299" customFormat="1" ht="13.2"/>
    <row r="6791" s="299" customFormat="1" ht="13.2"/>
    <row r="6792" s="299" customFormat="1" ht="13.2"/>
    <row r="6793" s="299" customFormat="1" ht="13.2"/>
    <row r="6794" s="299" customFormat="1" ht="13.2"/>
    <row r="6795" s="299" customFormat="1" ht="13.2"/>
    <row r="6796" s="299" customFormat="1" ht="13.2"/>
    <row r="6797" s="299" customFormat="1" ht="13.2"/>
    <row r="6798" s="299" customFormat="1" ht="13.2"/>
    <row r="6799" s="299" customFormat="1" ht="13.2"/>
    <row r="6800" s="299" customFormat="1" ht="13.2"/>
    <row r="6801" s="299" customFormat="1" ht="13.2"/>
    <row r="6802" s="299" customFormat="1" ht="13.2"/>
    <row r="6803" s="299" customFormat="1" ht="13.2"/>
    <row r="6804" s="299" customFormat="1" ht="13.2"/>
    <row r="6805" s="299" customFormat="1" ht="13.2"/>
    <row r="6806" s="299" customFormat="1" ht="13.2"/>
    <row r="6807" s="299" customFormat="1" ht="13.2"/>
    <row r="6808" s="299" customFormat="1" ht="13.2"/>
    <row r="6809" s="299" customFormat="1" ht="13.2"/>
    <row r="6810" s="299" customFormat="1" ht="13.2"/>
    <row r="6811" s="299" customFormat="1" ht="13.2"/>
    <row r="6812" s="299" customFormat="1" ht="13.2"/>
    <row r="6813" s="299" customFormat="1" ht="13.2"/>
    <row r="6814" s="299" customFormat="1" ht="13.2"/>
    <row r="6815" s="299" customFormat="1" ht="13.2"/>
    <row r="6816" s="299" customFormat="1" ht="13.2"/>
    <row r="6817" s="299" customFormat="1" ht="13.2"/>
    <row r="6818" s="299" customFormat="1" ht="13.2"/>
    <row r="6819" s="299" customFormat="1" ht="13.2"/>
    <row r="6820" s="299" customFormat="1" ht="13.2"/>
    <row r="6821" s="299" customFormat="1" ht="13.2"/>
    <row r="6822" s="299" customFormat="1" ht="13.2"/>
    <row r="6823" s="299" customFormat="1" ht="13.2"/>
    <row r="6824" s="299" customFormat="1" ht="13.2"/>
    <row r="6825" s="299" customFormat="1" ht="13.2"/>
    <row r="6826" s="299" customFormat="1" ht="13.2"/>
    <row r="6827" s="299" customFormat="1" ht="13.2"/>
    <row r="6828" s="299" customFormat="1" ht="13.2"/>
    <row r="6829" s="299" customFormat="1" ht="13.2"/>
    <row r="6830" s="299" customFormat="1" ht="13.2"/>
    <row r="6831" s="299" customFormat="1" ht="13.2"/>
    <row r="6832" s="299" customFormat="1" ht="13.2"/>
    <row r="6833" s="299" customFormat="1" ht="13.2"/>
    <row r="6834" s="299" customFormat="1" ht="13.2"/>
    <row r="6835" s="299" customFormat="1" ht="13.2"/>
    <row r="6836" s="299" customFormat="1" ht="13.2"/>
    <row r="6837" s="299" customFormat="1" ht="13.2"/>
    <row r="6838" s="299" customFormat="1" ht="13.2"/>
    <row r="6839" s="299" customFormat="1" ht="13.2"/>
    <row r="6840" s="299" customFormat="1" ht="13.2"/>
    <row r="6841" s="299" customFormat="1" ht="13.2"/>
    <row r="6842" s="299" customFormat="1" ht="13.2"/>
    <row r="6843" s="299" customFormat="1" ht="13.2"/>
    <row r="6844" s="299" customFormat="1" ht="13.2"/>
    <row r="6845" s="299" customFormat="1" ht="13.2"/>
    <row r="6846" s="299" customFormat="1" ht="13.2"/>
    <row r="6847" s="299" customFormat="1" ht="13.2"/>
    <row r="6848" s="299" customFormat="1" ht="13.2"/>
    <row r="6849" s="299" customFormat="1" ht="13.2"/>
    <row r="6850" s="299" customFormat="1" ht="13.2"/>
    <row r="6851" s="299" customFormat="1" ht="13.2"/>
    <row r="6852" s="299" customFormat="1" ht="13.2"/>
    <row r="6853" s="299" customFormat="1" ht="13.2"/>
    <row r="6854" s="299" customFormat="1" ht="13.2"/>
    <row r="6855" s="299" customFormat="1" ht="13.2"/>
    <row r="6856" s="299" customFormat="1" ht="13.2"/>
    <row r="6857" s="299" customFormat="1" ht="13.2"/>
    <row r="6858" s="299" customFormat="1" ht="13.2"/>
    <row r="6859" s="299" customFormat="1" ht="13.2"/>
    <row r="6860" s="299" customFormat="1" ht="13.2"/>
    <row r="6861" s="299" customFormat="1" ht="13.2"/>
    <row r="6862" s="299" customFormat="1" ht="13.2"/>
    <row r="6863" s="299" customFormat="1" ht="13.2"/>
    <row r="6864" s="299" customFormat="1" ht="13.2"/>
    <row r="6865" s="299" customFormat="1" ht="13.2"/>
    <row r="6866" s="299" customFormat="1" ht="13.2"/>
    <row r="6867" s="299" customFormat="1" ht="13.2"/>
    <row r="6868" s="299" customFormat="1" ht="13.2"/>
    <row r="6869" s="299" customFormat="1" ht="13.2"/>
    <row r="6870" s="299" customFormat="1" ht="13.2"/>
    <row r="6871" s="299" customFormat="1" ht="13.2"/>
    <row r="6872" s="299" customFormat="1" ht="13.2"/>
    <row r="6873" s="299" customFormat="1" ht="13.2"/>
    <row r="6874" s="299" customFormat="1" ht="13.2"/>
    <row r="6875" s="299" customFormat="1" ht="13.2"/>
    <row r="6876" s="299" customFormat="1" ht="13.2"/>
    <row r="6877" s="299" customFormat="1" ht="13.2"/>
    <row r="6878" s="299" customFormat="1" ht="13.2"/>
    <row r="6879" s="299" customFormat="1" ht="13.2"/>
    <row r="6880" s="299" customFormat="1" ht="13.2"/>
    <row r="6881" s="299" customFormat="1" ht="13.2"/>
    <row r="6882" s="299" customFormat="1" ht="13.2"/>
    <row r="6883" s="299" customFormat="1" ht="13.2"/>
    <row r="6884" s="299" customFormat="1" ht="13.2"/>
    <row r="6885" s="299" customFormat="1" ht="13.2"/>
    <row r="6886" s="299" customFormat="1" ht="13.2"/>
    <row r="6887" s="299" customFormat="1" ht="13.2"/>
    <row r="6888" s="299" customFormat="1" ht="13.2"/>
    <row r="6889" s="299" customFormat="1" ht="13.2"/>
    <row r="6890" s="299" customFormat="1" ht="13.2"/>
    <row r="6891" s="299" customFormat="1" ht="13.2"/>
    <row r="6892" s="299" customFormat="1" ht="13.2"/>
    <row r="6893" s="299" customFormat="1" ht="13.2"/>
    <row r="6894" s="299" customFormat="1" ht="13.2"/>
    <row r="6895" s="299" customFormat="1" ht="13.2"/>
    <row r="6896" s="299" customFormat="1" ht="13.2"/>
    <row r="6897" s="299" customFormat="1" ht="13.2"/>
    <row r="6898" s="299" customFormat="1" ht="13.2"/>
    <row r="6899" s="299" customFormat="1" ht="13.2"/>
    <row r="6900" s="299" customFormat="1" ht="13.2"/>
    <row r="6901" s="299" customFormat="1" ht="13.2"/>
    <row r="6902" s="299" customFormat="1" ht="13.2"/>
    <row r="6903" s="299" customFormat="1" ht="13.2"/>
    <row r="6904" s="299" customFormat="1" ht="13.2"/>
    <row r="6905" s="299" customFormat="1" ht="13.2"/>
    <row r="6906" s="299" customFormat="1" ht="13.2"/>
    <row r="6907" s="299" customFormat="1" ht="13.2"/>
    <row r="6908" s="299" customFormat="1" ht="13.2"/>
    <row r="6909" s="299" customFormat="1" ht="13.2"/>
    <row r="6910" s="299" customFormat="1" ht="13.2"/>
    <row r="6911" s="299" customFormat="1" ht="13.2"/>
    <row r="6912" s="299" customFormat="1" ht="13.2"/>
    <row r="6913" s="299" customFormat="1" ht="13.2"/>
    <row r="6914" s="299" customFormat="1" ht="13.2"/>
    <row r="6915" s="299" customFormat="1" ht="13.2"/>
    <row r="6916" s="299" customFormat="1" ht="13.2"/>
    <row r="6917" s="299" customFormat="1" ht="13.2"/>
    <row r="6918" s="299" customFormat="1" ht="13.2"/>
    <row r="6919" s="299" customFormat="1" ht="13.2"/>
    <row r="6920" s="299" customFormat="1" ht="13.2"/>
    <row r="6921" s="299" customFormat="1" ht="13.2"/>
    <row r="6922" s="299" customFormat="1" ht="13.2"/>
    <row r="6923" s="299" customFormat="1" ht="13.2"/>
    <row r="6924" s="299" customFormat="1" ht="13.2"/>
    <row r="6925" s="299" customFormat="1" ht="13.2"/>
    <row r="6926" s="299" customFormat="1" ht="13.2"/>
    <row r="6927" s="299" customFormat="1" ht="13.2"/>
    <row r="6928" s="299" customFormat="1" ht="13.2"/>
    <row r="6929" s="299" customFormat="1" ht="13.2"/>
    <row r="6930" s="299" customFormat="1" ht="13.2"/>
    <row r="6931" s="299" customFormat="1" ht="13.2"/>
    <row r="6932" s="299" customFormat="1" ht="13.2"/>
    <row r="6933" s="299" customFormat="1" ht="13.2"/>
    <row r="6934" s="299" customFormat="1" ht="13.2"/>
    <row r="6935" s="299" customFormat="1" ht="13.2"/>
    <row r="6936" s="299" customFormat="1" ht="13.2"/>
    <row r="6937" s="299" customFormat="1" ht="13.2"/>
    <row r="6938" s="299" customFormat="1" ht="13.2"/>
    <row r="6939" s="299" customFormat="1" ht="13.2"/>
    <row r="6940" s="299" customFormat="1" ht="13.2"/>
    <row r="6941" s="299" customFormat="1" ht="13.2"/>
    <row r="6942" s="299" customFormat="1" ht="13.2"/>
    <row r="6943" s="299" customFormat="1" ht="13.2"/>
    <row r="6944" s="299" customFormat="1" ht="13.2"/>
    <row r="6945" s="299" customFormat="1" ht="13.2"/>
    <row r="6946" s="299" customFormat="1" ht="13.2"/>
    <row r="6947" s="299" customFormat="1" ht="13.2"/>
    <row r="6948" s="299" customFormat="1" ht="13.2"/>
    <row r="6949" s="299" customFormat="1" ht="13.2"/>
    <row r="6950" s="299" customFormat="1" ht="13.2"/>
    <row r="6951" s="299" customFormat="1" ht="13.2"/>
    <row r="6952" s="299" customFormat="1" ht="13.2"/>
    <row r="6953" s="299" customFormat="1" ht="13.2"/>
    <row r="6954" s="299" customFormat="1" ht="13.2"/>
    <row r="6955" s="299" customFormat="1" ht="13.2"/>
    <row r="6956" s="299" customFormat="1" ht="13.2"/>
    <row r="6957" s="299" customFormat="1" ht="13.2"/>
    <row r="6958" s="299" customFormat="1" ht="13.2"/>
    <row r="6959" s="299" customFormat="1" ht="13.2"/>
    <row r="6960" s="299" customFormat="1" ht="13.2"/>
    <row r="6961" s="299" customFormat="1" ht="13.2"/>
    <row r="6962" s="299" customFormat="1" ht="13.2"/>
    <row r="6963" s="299" customFormat="1" ht="13.2"/>
    <row r="6964" s="299" customFormat="1" ht="13.2"/>
    <row r="6965" s="299" customFormat="1" ht="13.2"/>
    <row r="6966" s="299" customFormat="1" ht="13.2"/>
    <row r="6967" s="299" customFormat="1" ht="13.2"/>
    <row r="6968" s="299" customFormat="1" ht="13.2"/>
    <row r="6969" s="299" customFormat="1" ht="13.2"/>
    <row r="6970" s="299" customFormat="1" ht="13.2"/>
    <row r="6971" s="299" customFormat="1" ht="13.2"/>
    <row r="6972" s="299" customFormat="1" ht="13.2"/>
    <row r="6973" s="299" customFormat="1" ht="13.2"/>
    <row r="6974" s="299" customFormat="1" ht="13.2"/>
    <row r="6975" s="299" customFormat="1" ht="13.2"/>
    <row r="6976" s="299" customFormat="1" ht="13.2"/>
    <row r="6977" s="299" customFormat="1" ht="13.2"/>
    <row r="6978" s="299" customFormat="1" ht="13.2"/>
    <row r="6979" s="299" customFormat="1" ht="13.2"/>
    <row r="6980" s="299" customFormat="1" ht="13.2"/>
    <row r="6981" s="299" customFormat="1" ht="13.2"/>
    <row r="6982" s="299" customFormat="1" ht="13.2"/>
    <row r="6983" s="299" customFormat="1" ht="13.2"/>
    <row r="6984" s="299" customFormat="1" ht="13.2"/>
    <row r="6985" s="299" customFormat="1" ht="13.2"/>
    <row r="6986" s="299" customFormat="1" ht="13.2"/>
    <row r="6987" s="299" customFormat="1" ht="13.2"/>
    <row r="6988" s="299" customFormat="1" ht="13.2"/>
    <row r="6989" s="299" customFormat="1" ht="13.2"/>
    <row r="6990" s="299" customFormat="1" ht="13.2"/>
    <row r="6991" s="299" customFormat="1" ht="13.2"/>
    <row r="6992" s="299" customFormat="1" ht="13.2"/>
    <row r="6993" s="299" customFormat="1" ht="13.2"/>
    <row r="6994" s="299" customFormat="1" ht="13.2"/>
    <row r="6995" s="299" customFormat="1" ht="13.2"/>
    <row r="6996" s="299" customFormat="1" ht="13.2"/>
    <row r="6997" s="299" customFormat="1" ht="13.2"/>
    <row r="6998" s="299" customFormat="1" ht="13.2"/>
    <row r="6999" s="299" customFormat="1" ht="13.2"/>
    <row r="7000" s="299" customFormat="1" ht="13.2"/>
    <row r="7001" s="299" customFormat="1" ht="13.2"/>
    <row r="7002" s="299" customFormat="1" ht="13.2"/>
    <row r="7003" s="299" customFormat="1" ht="13.2"/>
    <row r="7004" s="299" customFormat="1" ht="13.2"/>
    <row r="7005" s="299" customFormat="1" ht="13.2"/>
    <row r="7006" s="299" customFormat="1" ht="13.2"/>
    <row r="7007" s="299" customFormat="1" ht="13.2"/>
    <row r="7008" s="299" customFormat="1" ht="13.2"/>
    <row r="7009" s="299" customFormat="1" ht="13.2"/>
    <row r="7010" s="299" customFormat="1" ht="13.2"/>
    <row r="7011" s="299" customFormat="1" ht="13.2"/>
    <row r="7012" s="299" customFormat="1" ht="13.2"/>
    <row r="7013" s="299" customFormat="1" ht="13.2"/>
    <row r="7014" s="299" customFormat="1" ht="13.2"/>
    <row r="7015" s="299" customFormat="1" ht="13.2"/>
    <row r="7016" s="299" customFormat="1" ht="13.2"/>
    <row r="7017" s="299" customFormat="1" ht="13.2"/>
    <row r="7018" s="299" customFormat="1" ht="13.2"/>
    <row r="7019" s="299" customFormat="1" ht="13.2"/>
    <row r="7020" s="299" customFormat="1" ht="13.2"/>
    <row r="7021" s="299" customFormat="1" ht="13.2"/>
    <row r="7022" s="299" customFormat="1" ht="13.2"/>
    <row r="7023" s="299" customFormat="1" ht="13.2"/>
    <row r="7024" s="299" customFormat="1" ht="13.2"/>
    <row r="7025" s="299" customFormat="1" ht="13.2"/>
    <row r="7026" s="299" customFormat="1" ht="13.2"/>
    <row r="7027" s="299" customFormat="1" ht="13.2"/>
    <row r="7028" s="299" customFormat="1" ht="13.2"/>
    <row r="7029" s="299" customFormat="1" ht="13.2"/>
    <row r="7030" s="299" customFormat="1" ht="13.2"/>
    <row r="7031" s="299" customFormat="1" ht="13.2"/>
    <row r="7032" s="299" customFormat="1" ht="13.2"/>
    <row r="7033" s="299" customFormat="1" ht="13.2"/>
    <row r="7034" s="299" customFormat="1" ht="13.2"/>
    <row r="7035" s="299" customFormat="1" ht="13.2"/>
    <row r="7036" s="299" customFormat="1" ht="13.2"/>
    <row r="7037" s="299" customFormat="1" ht="13.2"/>
    <row r="7038" s="299" customFormat="1" ht="13.2"/>
    <row r="7039" s="299" customFormat="1" ht="13.2"/>
    <row r="7040" s="299" customFormat="1" ht="13.2"/>
    <row r="7041" s="299" customFormat="1" ht="13.2"/>
    <row r="7042" s="299" customFormat="1" ht="13.2"/>
    <row r="7043" s="299" customFormat="1" ht="13.2"/>
    <row r="7044" s="299" customFormat="1" ht="13.2"/>
    <row r="7045" s="299" customFormat="1" ht="13.2"/>
    <row r="7046" s="299" customFormat="1" ht="13.2"/>
    <row r="7047" s="299" customFormat="1" ht="13.2"/>
    <row r="7048" s="299" customFormat="1" ht="13.2"/>
    <row r="7049" s="299" customFormat="1" ht="13.2"/>
    <row r="7050" s="299" customFormat="1" ht="13.2"/>
    <row r="7051" s="299" customFormat="1" ht="13.2"/>
    <row r="7052" s="299" customFormat="1" ht="13.2"/>
    <row r="7053" s="299" customFormat="1" ht="13.2"/>
    <row r="7054" s="299" customFormat="1" ht="13.2"/>
    <row r="7055" s="299" customFormat="1" ht="13.2"/>
    <row r="7056" s="299" customFormat="1" ht="13.2"/>
    <row r="7057" s="299" customFormat="1" ht="13.2"/>
    <row r="7058" s="299" customFormat="1" ht="13.2"/>
    <row r="7059" s="299" customFormat="1" ht="13.2"/>
    <row r="7060" s="299" customFormat="1" ht="13.2"/>
    <row r="7061" s="299" customFormat="1" ht="13.2"/>
    <row r="7062" s="299" customFormat="1" ht="13.2"/>
    <row r="7063" s="299" customFormat="1" ht="13.2"/>
    <row r="7064" s="299" customFormat="1" ht="13.2"/>
    <row r="7065" s="299" customFormat="1" ht="13.2"/>
    <row r="7066" s="299" customFormat="1" ht="13.2"/>
    <row r="7067" s="299" customFormat="1" ht="13.2"/>
    <row r="7068" s="299" customFormat="1" ht="13.2"/>
    <row r="7069" s="299" customFormat="1" ht="13.2"/>
    <row r="7070" s="299" customFormat="1" ht="13.2"/>
    <row r="7071" s="299" customFormat="1" ht="13.2"/>
    <row r="7072" s="299" customFormat="1" ht="13.2"/>
    <row r="7073" s="299" customFormat="1" ht="13.2"/>
    <row r="7074" s="299" customFormat="1" ht="13.2"/>
    <row r="7075" s="299" customFormat="1" ht="13.2"/>
    <row r="7076" s="299" customFormat="1" ht="13.2"/>
    <row r="7077" s="299" customFormat="1" ht="13.2"/>
    <row r="7078" s="299" customFormat="1" ht="13.2"/>
    <row r="7079" s="299" customFormat="1" ht="13.2"/>
    <row r="7080" s="299" customFormat="1" ht="13.2"/>
    <row r="7081" s="299" customFormat="1" ht="13.2"/>
    <row r="7082" s="299" customFormat="1" ht="13.2"/>
    <row r="7083" s="299" customFormat="1" ht="13.2"/>
    <row r="7084" s="299" customFormat="1" ht="13.2"/>
    <row r="7085" s="299" customFormat="1" ht="13.2"/>
    <row r="7086" s="299" customFormat="1" ht="13.2"/>
    <row r="7087" s="299" customFormat="1" ht="13.2"/>
    <row r="7088" s="299" customFormat="1" ht="13.2"/>
    <row r="7089" s="299" customFormat="1" ht="13.2"/>
    <row r="7090" s="299" customFormat="1" ht="13.2"/>
    <row r="7091" s="299" customFormat="1" ht="13.2"/>
    <row r="7092" s="299" customFormat="1" ht="13.2"/>
    <row r="7093" s="299" customFormat="1" ht="13.2"/>
    <row r="7094" s="299" customFormat="1" ht="13.2"/>
    <row r="7095" s="299" customFormat="1" ht="13.2"/>
    <row r="7096" s="299" customFormat="1" ht="13.2"/>
    <row r="7097" s="299" customFormat="1" ht="13.2"/>
    <row r="7098" s="299" customFormat="1" ht="13.2"/>
    <row r="7099" s="299" customFormat="1" ht="13.2"/>
    <row r="7100" s="299" customFormat="1" ht="13.2"/>
    <row r="7101" s="299" customFormat="1" ht="13.2"/>
    <row r="7102" s="299" customFormat="1" ht="13.2"/>
    <row r="7103" s="299" customFormat="1" ht="13.2"/>
    <row r="7104" s="299" customFormat="1" ht="13.2"/>
    <row r="7105" s="299" customFormat="1" ht="13.2"/>
    <row r="7106" s="299" customFormat="1" ht="13.2"/>
    <row r="7107" s="299" customFormat="1" ht="13.2"/>
    <row r="7108" s="299" customFormat="1" ht="13.2"/>
    <row r="7109" s="299" customFormat="1" ht="13.2"/>
    <row r="7110" s="299" customFormat="1" ht="13.2"/>
    <row r="7111" s="299" customFormat="1" ht="13.2"/>
    <row r="7112" s="299" customFormat="1" ht="13.2"/>
    <row r="7113" s="299" customFormat="1" ht="13.2"/>
    <row r="7114" s="299" customFormat="1" ht="13.2"/>
    <row r="7115" s="299" customFormat="1" ht="13.2"/>
    <row r="7116" s="299" customFormat="1" ht="13.2"/>
    <row r="7117" s="299" customFormat="1" ht="13.2"/>
    <row r="7118" s="299" customFormat="1" ht="13.2"/>
    <row r="7119" s="299" customFormat="1" ht="13.2"/>
    <row r="7120" s="299" customFormat="1" ht="13.2"/>
    <row r="7121" s="299" customFormat="1" ht="13.2"/>
    <row r="7122" s="299" customFormat="1" ht="13.2"/>
    <row r="7123" s="299" customFormat="1" ht="13.2"/>
    <row r="7124" s="299" customFormat="1" ht="13.2"/>
    <row r="7125" s="299" customFormat="1" ht="13.2"/>
    <row r="7126" s="299" customFormat="1" ht="13.2"/>
    <row r="7127" s="299" customFormat="1" ht="13.2"/>
    <row r="7128" s="299" customFormat="1" ht="13.2"/>
    <row r="7129" s="299" customFormat="1" ht="13.2"/>
    <row r="7130" s="299" customFormat="1" ht="13.2"/>
    <row r="7131" s="299" customFormat="1" ht="13.2"/>
    <row r="7132" s="299" customFormat="1" ht="13.2"/>
    <row r="7133" s="299" customFormat="1" ht="13.2"/>
    <row r="7134" s="299" customFormat="1" ht="13.2"/>
    <row r="7135" s="299" customFormat="1" ht="13.2"/>
    <row r="7136" s="299" customFormat="1" ht="13.2"/>
    <row r="7137" s="299" customFormat="1" ht="13.2"/>
    <row r="7138" s="299" customFormat="1" ht="13.2"/>
    <row r="7139" s="299" customFormat="1" ht="13.2"/>
    <row r="7140" s="299" customFormat="1" ht="13.2"/>
    <row r="7141" s="299" customFormat="1" ht="13.2"/>
    <row r="7142" s="299" customFormat="1" ht="13.2"/>
    <row r="7143" s="299" customFormat="1" ht="13.2"/>
    <row r="7144" s="299" customFormat="1" ht="13.2"/>
    <row r="7145" s="299" customFormat="1" ht="13.2"/>
    <row r="7146" s="299" customFormat="1" ht="13.2"/>
    <row r="7147" s="299" customFormat="1" ht="13.2"/>
    <row r="7148" s="299" customFormat="1" ht="13.2"/>
    <row r="7149" s="299" customFormat="1" ht="13.2"/>
    <row r="7150" s="299" customFormat="1" ht="13.2"/>
    <row r="7151" s="299" customFormat="1" ht="13.2"/>
    <row r="7152" s="299" customFormat="1" ht="13.2"/>
    <row r="7153" s="299" customFormat="1" ht="13.2"/>
    <row r="7154" s="299" customFormat="1" ht="13.2"/>
    <row r="7155" s="299" customFormat="1" ht="13.2"/>
    <row r="7156" s="299" customFormat="1" ht="13.2"/>
    <row r="7157" s="299" customFormat="1" ht="13.2"/>
    <row r="7158" s="299" customFormat="1" ht="13.2"/>
    <row r="7159" s="299" customFormat="1" ht="13.2"/>
    <row r="7160" s="299" customFormat="1" ht="13.2"/>
    <row r="7161" s="299" customFormat="1" ht="13.2"/>
    <row r="7162" s="299" customFormat="1" ht="13.2"/>
    <row r="7163" s="299" customFormat="1" ht="13.2"/>
    <row r="7164" s="299" customFormat="1" ht="13.2"/>
    <row r="7165" s="299" customFormat="1" ht="13.2"/>
    <row r="7166" s="299" customFormat="1" ht="13.2"/>
    <row r="7167" s="299" customFormat="1" ht="13.2"/>
    <row r="7168" s="299" customFormat="1" ht="13.2"/>
    <row r="7169" s="299" customFormat="1" ht="13.2"/>
    <row r="7170" s="299" customFormat="1" ht="13.2"/>
    <row r="7171" s="299" customFormat="1" ht="13.2"/>
    <row r="7172" s="299" customFormat="1" ht="13.2"/>
    <row r="7173" s="299" customFormat="1" ht="13.2"/>
    <row r="7174" s="299" customFormat="1" ht="13.2"/>
    <row r="7175" s="299" customFormat="1" ht="13.2"/>
    <row r="7176" s="299" customFormat="1" ht="13.2"/>
    <row r="7177" s="299" customFormat="1" ht="13.2"/>
    <row r="7178" s="299" customFormat="1" ht="13.2"/>
    <row r="7179" s="299" customFormat="1" ht="13.2"/>
    <row r="7180" s="299" customFormat="1" ht="13.2"/>
    <row r="7181" s="299" customFormat="1" ht="13.2"/>
    <row r="7182" s="299" customFormat="1" ht="13.2"/>
    <row r="7183" s="299" customFormat="1" ht="13.2"/>
    <row r="7184" s="299" customFormat="1" ht="13.2"/>
    <row r="7185" s="299" customFormat="1" ht="13.2"/>
    <row r="7186" s="299" customFormat="1" ht="13.2"/>
    <row r="7187" s="299" customFormat="1" ht="13.2"/>
    <row r="7188" s="299" customFormat="1" ht="13.2"/>
    <row r="7189" s="299" customFormat="1" ht="13.2"/>
    <row r="7190" s="299" customFormat="1" ht="13.2"/>
    <row r="7191" s="299" customFormat="1" ht="13.2"/>
    <row r="7192" s="299" customFormat="1" ht="13.2"/>
    <row r="7193" s="299" customFormat="1" ht="13.2"/>
    <row r="7194" s="299" customFormat="1" ht="13.2"/>
    <row r="7195" s="299" customFormat="1" ht="13.2"/>
    <row r="7196" s="299" customFormat="1" ht="13.2"/>
    <row r="7197" s="299" customFormat="1" ht="13.2"/>
    <row r="7198" s="299" customFormat="1" ht="13.2"/>
    <row r="7199" s="299" customFormat="1" ht="13.2"/>
    <row r="7200" s="299" customFormat="1" ht="13.2"/>
    <row r="7201" s="299" customFormat="1" ht="13.2"/>
    <row r="7202" s="299" customFormat="1" ht="13.2"/>
    <row r="7203" s="299" customFormat="1" ht="13.2"/>
    <row r="7204" s="299" customFormat="1" ht="13.2"/>
    <row r="7205" s="299" customFormat="1" ht="13.2"/>
    <row r="7206" s="299" customFormat="1" ht="13.2"/>
    <row r="7207" s="299" customFormat="1" ht="13.2"/>
    <row r="7208" s="299" customFormat="1" ht="13.2"/>
    <row r="7209" s="299" customFormat="1" ht="13.2"/>
    <row r="7210" s="299" customFormat="1" ht="13.2"/>
    <row r="7211" s="299" customFormat="1" ht="13.2"/>
    <row r="7212" s="299" customFormat="1" ht="13.2"/>
    <row r="7213" s="299" customFormat="1" ht="13.2"/>
    <row r="7214" s="299" customFormat="1" ht="13.2"/>
    <row r="7215" s="299" customFormat="1" ht="13.2"/>
    <row r="7216" s="299" customFormat="1" ht="13.2"/>
    <row r="7217" s="299" customFormat="1" ht="13.2"/>
    <row r="7218" s="299" customFormat="1" ht="13.2"/>
    <row r="7219" s="299" customFormat="1" ht="13.2"/>
    <row r="7220" s="299" customFormat="1" ht="13.2"/>
    <row r="7221" s="299" customFormat="1" ht="13.2"/>
    <row r="7222" s="299" customFormat="1" ht="13.2"/>
    <row r="7223" s="299" customFormat="1" ht="13.2"/>
    <row r="7224" s="299" customFormat="1" ht="13.2"/>
    <row r="7225" s="299" customFormat="1" ht="13.2"/>
    <row r="7226" s="299" customFormat="1" ht="13.2"/>
    <row r="7227" s="299" customFormat="1" ht="13.2"/>
    <row r="7228" s="299" customFormat="1" ht="13.2"/>
    <row r="7229" s="299" customFormat="1" ht="13.2"/>
    <row r="7230" s="299" customFormat="1" ht="13.2"/>
    <row r="7231" s="299" customFormat="1" ht="13.2"/>
    <row r="7232" s="299" customFormat="1" ht="13.2"/>
    <row r="7233" s="299" customFormat="1" ht="13.2"/>
    <row r="7234" s="299" customFormat="1" ht="13.2"/>
    <row r="7235" s="299" customFormat="1" ht="13.2"/>
    <row r="7236" s="299" customFormat="1" ht="13.2"/>
    <row r="7237" s="299" customFormat="1" ht="13.2"/>
    <row r="7238" s="299" customFormat="1" ht="13.2"/>
    <row r="7239" s="299" customFormat="1" ht="13.2"/>
    <row r="7240" s="299" customFormat="1" ht="13.2"/>
    <row r="7241" s="299" customFormat="1" ht="13.2"/>
    <row r="7242" s="299" customFormat="1" ht="13.2"/>
    <row r="7243" s="299" customFormat="1" ht="13.2"/>
    <row r="7244" s="299" customFormat="1" ht="13.2"/>
    <row r="7245" s="299" customFormat="1" ht="13.2"/>
    <row r="7246" s="299" customFormat="1" ht="13.2"/>
    <row r="7247" s="299" customFormat="1" ht="13.2"/>
    <row r="7248" s="299" customFormat="1" ht="13.2"/>
    <row r="7249" s="299" customFormat="1" ht="13.2"/>
    <row r="7250" s="299" customFormat="1" ht="13.2"/>
    <row r="7251" s="299" customFormat="1" ht="13.2"/>
    <row r="7252" s="299" customFormat="1" ht="13.2"/>
    <row r="7253" s="299" customFormat="1" ht="13.2"/>
    <row r="7254" s="299" customFormat="1" ht="13.2"/>
    <row r="7255" s="299" customFormat="1" ht="13.2"/>
    <row r="7256" s="299" customFormat="1" ht="13.2"/>
    <row r="7257" s="299" customFormat="1" ht="13.2"/>
    <row r="7258" s="299" customFormat="1" ht="13.2"/>
    <row r="7259" s="299" customFormat="1" ht="13.2"/>
    <row r="7260" s="299" customFormat="1" ht="13.2"/>
    <row r="7261" s="299" customFormat="1" ht="13.2"/>
    <row r="7262" s="299" customFormat="1" ht="13.2"/>
    <row r="7263" s="299" customFormat="1" ht="13.2"/>
    <row r="7264" s="299" customFormat="1" ht="13.2"/>
    <row r="7265" s="299" customFormat="1" ht="13.2"/>
    <row r="7266" s="299" customFormat="1" ht="13.2"/>
    <row r="7267" s="299" customFormat="1" ht="13.2"/>
    <row r="7268" s="299" customFormat="1" ht="13.2"/>
    <row r="7269" s="299" customFormat="1" ht="13.2"/>
    <row r="7270" s="299" customFormat="1" ht="13.2"/>
    <row r="7271" s="299" customFormat="1" ht="13.2"/>
    <row r="7272" s="299" customFormat="1" ht="13.2"/>
    <row r="7273" s="299" customFormat="1" ht="13.2"/>
    <row r="7274" s="299" customFormat="1" ht="13.2"/>
    <row r="7275" s="299" customFormat="1" ht="13.2"/>
    <row r="7276" s="299" customFormat="1" ht="13.2"/>
    <row r="7277" s="299" customFormat="1" ht="13.2"/>
    <row r="7278" s="299" customFormat="1" ht="13.2"/>
    <row r="7279" s="299" customFormat="1" ht="13.2"/>
    <row r="7280" s="299" customFormat="1" ht="13.2"/>
    <row r="7281" s="299" customFormat="1" ht="13.2"/>
    <row r="7282" s="299" customFormat="1" ht="13.2"/>
    <row r="7283" s="299" customFormat="1" ht="13.2"/>
    <row r="7284" s="299" customFormat="1" ht="13.2"/>
    <row r="7285" s="299" customFormat="1" ht="13.2"/>
    <row r="7286" s="299" customFormat="1" ht="13.2"/>
    <row r="7287" s="299" customFormat="1" ht="13.2"/>
    <row r="7288" s="299" customFormat="1" ht="13.2"/>
    <row r="7289" s="299" customFormat="1" ht="13.2"/>
    <row r="7290" s="299" customFormat="1" ht="13.2"/>
    <row r="7291" s="299" customFormat="1" ht="13.2"/>
    <row r="7292" s="299" customFormat="1" ht="13.2"/>
    <row r="7293" s="299" customFormat="1" ht="13.2"/>
    <row r="7294" s="299" customFormat="1" ht="13.2"/>
    <row r="7295" s="299" customFormat="1" ht="13.2"/>
    <row r="7296" s="299" customFormat="1" ht="13.2"/>
    <row r="7297" s="299" customFormat="1" ht="13.2"/>
    <row r="7298" s="299" customFormat="1" ht="13.2"/>
    <row r="7299" s="299" customFormat="1" ht="13.2"/>
    <row r="7300" s="299" customFormat="1" ht="13.2"/>
    <row r="7301" s="299" customFormat="1" ht="13.2"/>
    <row r="7302" s="299" customFormat="1" ht="13.2"/>
    <row r="7303" s="299" customFormat="1" ht="13.2"/>
    <row r="7304" s="299" customFormat="1" ht="13.2"/>
    <row r="7305" s="299" customFormat="1" ht="13.2"/>
    <row r="7306" s="299" customFormat="1" ht="13.2"/>
    <row r="7307" s="299" customFormat="1" ht="13.2"/>
    <row r="7308" s="299" customFormat="1" ht="13.2"/>
    <row r="7309" s="299" customFormat="1" ht="13.2"/>
    <row r="7310" s="299" customFormat="1" ht="13.2"/>
    <row r="7311" s="299" customFormat="1" ht="13.2"/>
    <row r="7312" s="299" customFormat="1" ht="13.2"/>
    <row r="7313" s="299" customFormat="1" ht="13.2"/>
    <row r="7314" s="299" customFormat="1" ht="13.2"/>
    <row r="7315" s="299" customFormat="1" ht="13.2"/>
    <row r="7316" s="299" customFormat="1" ht="13.2"/>
    <row r="7317" s="299" customFormat="1" ht="13.2"/>
    <row r="7318" s="299" customFormat="1" ht="13.2"/>
    <row r="7319" s="299" customFormat="1" ht="13.2"/>
    <row r="7320" s="299" customFormat="1" ht="13.2"/>
    <row r="7321" s="299" customFormat="1" ht="13.2"/>
    <row r="7322" s="299" customFormat="1" ht="13.2"/>
    <row r="7323" s="299" customFormat="1" ht="13.2"/>
    <row r="7324" s="299" customFormat="1" ht="13.2"/>
    <row r="7325" s="299" customFormat="1" ht="13.2"/>
    <row r="7326" s="299" customFormat="1" ht="13.2"/>
    <row r="7327" s="299" customFormat="1" ht="13.2"/>
    <row r="7328" s="299" customFormat="1" ht="13.2"/>
    <row r="7329" s="299" customFormat="1" ht="13.2"/>
    <row r="7330" s="299" customFormat="1" ht="13.2"/>
    <row r="7331" s="299" customFormat="1" ht="13.2"/>
    <row r="7332" s="299" customFormat="1" ht="13.2"/>
    <row r="7333" s="299" customFormat="1" ht="13.2"/>
    <row r="7334" s="299" customFormat="1" ht="13.2"/>
    <row r="7335" s="299" customFormat="1" ht="13.2"/>
    <row r="7336" s="299" customFormat="1" ht="13.2"/>
    <row r="7337" s="299" customFormat="1" ht="13.2"/>
    <row r="7338" s="299" customFormat="1" ht="13.2"/>
    <row r="7339" s="299" customFormat="1" ht="13.2"/>
    <row r="7340" s="299" customFormat="1" ht="13.2"/>
    <row r="7341" s="299" customFormat="1" ht="13.2"/>
    <row r="7342" s="299" customFormat="1" ht="13.2"/>
    <row r="7343" s="299" customFormat="1" ht="13.2"/>
    <row r="7344" s="299" customFormat="1" ht="13.2"/>
    <row r="7345" s="299" customFormat="1" ht="13.2"/>
    <row r="7346" s="299" customFormat="1" ht="13.2"/>
    <row r="7347" s="299" customFormat="1" ht="13.2"/>
    <row r="7348" s="299" customFormat="1" ht="13.2"/>
    <row r="7349" s="299" customFormat="1" ht="13.2"/>
    <row r="7350" s="299" customFormat="1" ht="13.2"/>
    <row r="7351" s="299" customFormat="1" ht="13.2"/>
    <row r="7352" s="299" customFormat="1" ht="13.2"/>
    <row r="7353" s="299" customFormat="1" ht="13.2"/>
    <row r="7354" s="299" customFormat="1" ht="13.2"/>
    <row r="7355" s="299" customFormat="1" ht="13.2"/>
    <row r="7356" s="299" customFormat="1" ht="13.2"/>
    <row r="7357" s="299" customFormat="1" ht="13.2"/>
    <row r="7358" s="299" customFormat="1" ht="13.2"/>
    <row r="7359" s="299" customFormat="1" ht="13.2"/>
    <row r="7360" s="299" customFormat="1" ht="13.2"/>
    <row r="7361" s="299" customFormat="1" ht="13.2"/>
    <row r="7362" s="299" customFormat="1" ht="13.2"/>
    <row r="7363" s="299" customFormat="1" ht="13.2"/>
    <row r="7364" s="299" customFormat="1" ht="13.2"/>
    <row r="7365" s="299" customFormat="1" ht="13.2"/>
    <row r="7366" s="299" customFormat="1" ht="13.2"/>
    <row r="7367" s="299" customFormat="1" ht="13.2"/>
    <row r="7368" s="299" customFormat="1" ht="13.2"/>
    <row r="7369" s="299" customFormat="1" ht="13.2"/>
    <row r="7370" s="299" customFormat="1" ht="13.2"/>
    <row r="7371" s="299" customFormat="1" ht="13.2"/>
    <row r="7372" s="299" customFormat="1" ht="13.2"/>
    <row r="7373" s="299" customFormat="1" ht="13.2"/>
    <row r="7374" s="299" customFormat="1" ht="13.2"/>
    <row r="7375" s="299" customFormat="1" ht="13.2"/>
    <row r="7376" s="299" customFormat="1" ht="13.2"/>
    <row r="7377" s="299" customFormat="1" ht="13.2"/>
    <row r="7378" s="299" customFormat="1" ht="13.2"/>
    <row r="7379" s="299" customFormat="1" ht="13.2"/>
    <row r="7380" s="299" customFormat="1" ht="13.2"/>
    <row r="7381" s="299" customFormat="1" ht="13.2"/>
    <row r="7382" s="299" customFormat="1" ht="13.2"/>
    <row r="7383" s="299" customFormat="1" ht="13.2"/>
    <row r="7384" s="299" customFormat="1" ht="13.2"/>
    <row r="7385" s="299" customFormat="1" ht="13.2"/>
    <row r="7386" s="299" customFormat="1" ht="13.2"/>
    <row r="7387" s="299" customFormat="1" ht="13.2"/>
    <row r="7388" s="299" customFormat="1" ht="13.2"/>
    <row r="7389" s="299" customFormat="1" ht="13.2"/>
    <row r="7390" s="299" customFormat="1" ht="13.2"/>
    <row r="7391" s="299" customFormat="1" ht="13.2"/>
    <row r="7392" s="299" customFormat="1" ht="13.2"/>
    <row r="7393" s="299" customFormat="1" ht="13.2"/>
    <row r="7394" s="299" customFormat="1" ht="13.2"/>
    <row r="7395" s="299" customFormat="1" ht="13.2"/>
    <row r="7396" s="299" customFormat="1" ht="13.2"/>
    <row r="7397" s="299" customFormat="1" ht="13.2"/>
    <row r="7398" s="299" customFormat="1" ht="13.2"/>
    <row r="7399" s="299" customFormat="1" ht="13.2"/>
    <row r="7400" s="299" customFormat="1" ht="13.2"/>
    <row r="7401" s="299" customFormat="1" ht="13.2"/>
    <row r="7402" s="299" customFormat="1" ht="13.2"/>
    <row r="7403" s="299" customFormat="1" ht="13.2"/>
    <row r="7404" s="299" customFormat="1" ht="13.2"/>
    <row r="7405" s="299" customFormat="1" ht="13.2"/>
    <row r="7406" s="299" customFormat="1" ht="13.2"/>
    <row r="7407" s="299" customFormat="1" ht="13.2"/>
    <row r="7408" s="299" customFormat="1" ht="13.2"/>
    <row r="7409" s="299" customFormat="1" ht="13.2"/>
    <row r="7410" s="299" customFormat="1" ht="13.2"/>
    <row r="7411" s="299" customFormat="1" ht="13.2"/>
    <row r="7412" s="299" customFormat="1" ht="13.2"/>
    <row r="7413" s="299" customFormat="1" ht="13.2"/>
    <row r="7414" s="299" customFormat="1" ht="13.2"/>
    <row r="7415" s="299" customFormat="1" ht="13.2"/>
    <row r="7416" s="299" customFormat="1" ht="13.2"/>
    <row r="7417" s="299" customFormat="1" ht="13.2"/>
    <row r="7418" s="299" customFormat="1" ht="13.2"/>
    <row r="7419" s="299" customFormat="1" ht="13.2"/>
    <row r="7420" s="299" customFormat="1" ht="13.2"/>
    <row r="7421" s="299" customFormat="1" ht="13.2"/>
    <row r="7422" s="299" customFormat="1" ht="13.2"/>
    <row r="7423" s="299" customFormat="1" ht="13.2"/>
    <row r="7424" s="299" customFormat="1" ht="13.2"/>
    <row r="7425" s="299" customFormat="1" ht="13.2"/>
    <row r="7426" s="299" customFormat="1" ht="13.2"/>
    <row r="7427" s="299" customFormat="1" ht="13.2"/>
    <row r="7428" s="299" customFormat="1" ht="13.2"/>
    <row r="7429" s="299" customFormat="1" ht="13.2"/>
    <row r="7430" s="299" customFormat="1" ht="13.2"/>
    <row r="7431" s="299" customFormat="1" ht="13.2"/>
    <row r="7432" s="299" customFormat="1" ht="13.2"/>
    <row r="7433" s="299" customFormat="1" ht="13.2"/>
    <row r="7434" s="299" customFormat="1" ht="13.2"/>
    <row r="7435" s="299" customFormat="1" ht="13.2"/>
    <row r="7436" s="299" customFormat="1" ht="13.2"/>
    <row r="7437" s="299" customFormat="1" ht="13.2"/>
    <row r="7438" s="299" customFormat="1" ht="13.2"/>
    <row r="7439" s="299" customFormat="1" ht="13.2"/>
    <row r="7440" s="299" customFormat="1" ht="13.2"/>
    <row r="7441" s="299" customFormat="1" ht="13.2"/>
    <row r="7442" s="299" customFormat="1" ht="13.2"/>
    <row r="7443" s="299" customFormat="1" ht="13.2"/>
    <row r="7444" s="299" customFormat="1" ht="13.2"/>
    <row r="7445" s="299" customFormat="1" ht="13.2"/>
    <row r="7446" s="299" customFormat="1" ht="13.2"/>
    <row r="7447" s="299" customFormat="1" ht="13.2"/>
    <row r="7448" s="299" customFormat="1" ht="13.2"/>
    <row r="7449" s="299" customFormat="1" ht="13.2"/>
    <row r="7450" s="299" customFormat="1" ht="13.2"/>
    <row r="7451" s="299" customFormat="1" ht="13.2"/>
    <row r="7452" s="299" customFormat="1" ht="13.2"/>
    <row r="7453" s="299" customFormat="1" ht="13.2"/>
    <row r="7454" s="299" customFormat="1" ht="13.2"/>
    <row r="7455" s="299" customFormat="1" ht="13.2"/>
    <row r="7456" s="299" customFormat="1" ht="13.2"/>
    <row r="7457" s="299" customFormat="1" ht="13.2"/>
    <row r="7458" s="299" customFormat="1" ht="13.2"/>
    <row r="7459" s="299" customFormat="1" ht="13.2"/>
    <row r="7460" s="299" customFormat="1" ht="13.2"/>
    <row r="7461" s="299" customFormat="1" ht="13.2"/>
    <row r="7462" s="299" customFormat="1" ht="13.2"/>
    <row r="7463" s="299" customFormat="1" ht="13.2"/>
    <row r="7464" s="299" customFormat="1" ht="13.2"/>
    <row r="7465" s="299" customFormat="1" ht="13.2"/>
    <row r="7466" s="299" customFormat="1" ht="13.2"/>
    <row r="7467" s="299" customFormat="1" ht="13.2"/>
    <row r="7468" s="299" customFormat="1" ht="13.2"/>
    <row r="7469" s="299" customFormat="1" ht="13.2"/>
    <row r="7470" s="299" customFormat="1" ht="13.2"/>
    <row r="7471" s="299" customFormat="1" ht="13.2"/>
    <row r="7472" s="299" customFormat="1" ht="13.2"/>
    <row r="7473" s="299" customFormat="1" ht="13.2"/>
    <row r="7474" s="299" customFormat="1" ht="13.2"/>
    <row r="7475" s="299" customFormat="1" ht="13.2"/>
    <row r="7476" s="299" customFormat="1" ht="13.2"/>
    <row r="7477" s="299" customFormat="1" ht="13.2"/>
    <row r="7478" s="299" customFormat="1" ht="13.2"/>
    <row r="7479" s="299" customFormat="1" ht="13.2"/>
    <row r="7480" s="299" customFormat="1" ht="13.2"/>
    <row r="7481" s="299" customFormat="1" ht="13.2"/>
    <row r="7482" s="299" customFormat="1" ht="13.2"/>
    <row r="7483" s="299" customFormat="1" ht="13.2"/>
    <row r="7484" s="299" customFormat="1" ht="13.2"/>
    <row r="7485" s="299" customFormat="1" ht="13.2"/>
    <row r="7486" s="299" customFormat="1" ht="13.2"/>
    <row r="7487" s="299" customFormat="1" ht="13.2"/>
    <row r="7488" s="299" customFormat="1" ht="13.2"/>
    <row r="7489" s="299" customFormat="1" ht="13.2"/>
    <row r="7490" s="299" customFormat="1" ht="13.2"/>
    <row r="7491" s="299" customFormat="1" ht="13.2"/>
    <row r="7492" s="299" customFormat="1" ht="13.2"/>
    <row r="7493" s="299" customFormat="1" ht="13.2"/>
    <row r="7494" s="299" customFormat="1" ht="13.2"/>
    <row r="7495" s="299" customFormat="1" ht="13.2"/>
    <row r="7496" s="299" customFormat="1" ht="13.2"/>
    <row r="7497" s="299" customFormat="1" ht="13.2"/>
    <row r="7498" s="299" customFormat="1" ht="13.2"/>
    <row r="7499" s="299" customFormat="1" ht="13.2"/>
    <row r="7500" s="299" customFormat="1" ht="13.2"/>
    <row r="7501" s="299" customFormat="1" ht="13.2"/>
    <row r="7502" s="299" customFormat="1" ht="13.2"/>
    <row r="7503" s="299" customFormat="1" ht="13.2"/>
    <row r="7504" s="299" customFormat="1" ht="13.2"/>
    <row r="7505" s="299" customFormat="1" ht="13.2"/>
    <row r="7506" s="299" customFormat="1" ht="13.2"/>
    <row r="7507" s="299" customFormat="1" ht="13.2"/>
    <row r="7508" s="299" customFormat="1" ht="13.2"/>
    <row r="7509" s="299" customFormat="1" ht="13.2"/>
    <row r="7510" s="299" customFormat="1" ht="13.2"/>
    <row r="7511" s="299" customFormat="1" ht="13.2"/>
    <row r="7512" s="299" customFormat="1" ht="13.2"/>
    <row r="7513" s="299" customFormat="1" ht="13.2"/>
    <row r="7514" s="299" customFormat="1" ht="13.2"/>
    <row r="7515" s="299" customFormat="1" ht="13.2"/>
    <row r="7516" s="299" customFormat="1" ht="13.2"/>
    <row r="7517" s="299" customFormat="1" ht="13.2"/>
    <row r="7518" s="299" customFormat="1" ht="13.2"/>
    <row r="7519" s="299" customFormat="1" ht="13.2"/>
    <row r="7520" s="299" customFormat="1" ht="13.2"/>
    <row r="7521" s="299" customFormat="1" ht="13.2"/>
    <row r="7522" s="299" customFormat="1" ht="13.2"/>
    <row r="7523" s="299" customFormat="1" ht="13.2"/>
    <row r="7524" s="299" customFormat="1" ht="13.2"/>
    <row r="7525" s="299" customFormat="1" ht="13.2"/>
    <row r="7526" s="299" customFormat="1" ht="13.2"/>
    <row r="7527" s="299" customFormat="1" ht="13.2"/>
    <row r="7528" s="299" customFormat="1" ht="13.2"/>
    <row r="7529" s="299" customFormat="1" ht="13.2"/>
    <row r="7530" s="299" customFormat="1" ht="13.2"/>
    <row r="7531" s="299" customFormat="1" ht="13.2"/>
    <row r="7532" s="299" customFormat="1" ht="13.2"/>
    <row r="7533" s="299" customFormat="1" ht="13.2"/>
    <row r="7534" s="299" customFormat="1" ht="13.2"/>
    <row r="7535" s="299" customFormat="1" ht="13.2"/>
    <row r="7536" s="299" customFormat="1" ht="13.2"/>
    <row r="7537" s="299" customFormat="1" ht="13.2"/>
    <row r="7538" s="299" customFormat="1" ht="13.2"/>
    <row r="7539" s="299" customFormat="1" ht="13.2"/>
    <row r="7540" s="299" customFormat="1" ht="13.2"/>
    <row r="7541" s="299" customFormat="1" ht="13.2"/>
    <row r="7542" s="299" customFormat="1" ht="13.2"/>
    <row r="7543" s="299" customFormat="1" ht="13.2"/>
    <row r="7544" s="299" customFormat="1" ht="13.2"/>
    <row r="7545" s="299" customFormat="1" ht="13.2"/>
    <row r="7546" s="299" customFormat="1" ht="13.2"/>
    <row r="7547" s="299" customFormat="1" ht="13.2"/>
    <row r="7548" s="299" customFormat="1" ht="13.2"/>
    <row r="7549" s="299" customFormat="1" ht="13.2"/>
    <row r="7550" s="299" customFormat="1" ht="13.2"/>
    <row r="7551" s="299" customFormat="1" ht="13.2"/>
    <row r="7552" s="299" customFormat="1" ht="13.2"/>
    <row r="7553" s="299" customFormat="1" ht="13.2"/>
    <row r="7554" s="299" customFormat="1" ht="13.2"/>
    <row r="7555" s="299" customFormat="1" ht="13.2"/>
    <row r="7556" s="299" customFormat="1" ht="13.2"/>
    <row r="7557" s="299" customFormat="1" ht="13.2"/>
    <row r="7558" s="299" customFormat="1" ht="13.2"/>
    <row r="7559" s="299" customFormat="1" ht="13.2"/>
    <row r="7560" s="299" customFormat="1" ht="13.2"/>
    <row r="7561" s="299" customFormat="1" ht="13.2"/>
    <row r="7562" s="299" customFormat="1" ht="13.2"/>
    <row r="7563" s="299" customFormat="1" ht="13.2"/>
    <row r="7564" s="299" customFormat="1" ht="13.2"/>
    <row r="7565" s="299" customFormat="1" ht="13.2"/>
    <row r="7566" s="299" customFormat="1" ht="13.2"/>
    <row r="7567" s="299" customFormat="1" ht="13.2"/>
    <row r="7568" s="299" customFormat="1" ht="13.2"/>
    <row r="7569" s="299" customFormat="1" ht="13.2"/>
    <row r="7570" s="299" customFormat="1" ht="13.2"/>
    <row r="7571" s="299" customFormat="1" ht="13.2"/>
    <row r="7572" s="299" customFormat="1" ht="13.2"/>
    <row r="7573" s="299" customFormat="1" ht="13.2"/>
    <row r="7574" s="299" customFormat="1" ht="13.2"/>
    <row r="7575" s="299" customFormat="1" ht="13.2"/>
    <row r="7576" s="299" customFormat="1" ht="13.2"/>
    <row r="7577" s="299" customFormat="1" ht="13.2"/>
    <row r="7578" s="299" customFormat="1" ht="13.2"/>
    <row r="7579" s="299" customFormat="1" ht="13.2"/>
    <row r="7580" s="299" customFormat="1" ht="13.2"/>
    <row r="7581" s="299" customFormat="1" ht="13.2"/>
    <row r="7582" s="299" customFormat="1" ht="13.2"/>
    <row r="7583" s="299" customFormat="1" ht="13.2"/>
    <row r="7584" s="299" customFormat="1" ht="13.2"/>
    <row r="7585" s="299" customFormat="1" ht="13.2"/>
    <row r="7586" s="299" customFormat="1" ht="13.2"/>
    <row r="7587" s="299" customFormat="1" ht="13.2"/>
    <row r="7588" s="299" customFormat="1" ht="13.2"/>
    <row r="7589" s="299" customFormat="1" ht="13.2"/>
    <row r="7590" s="299" customFormat="1" ht="13.2"/>
    <row r="7591" s="299" customFormat="1" ht="13.2"/>
    <row r="7592" s="299" customFormat="1" ht="13.2"/>
    <row r="7593" s="299" customFormat="1" ht="13.2"/>
    <row r="7594" s="299" customFormat="1" ht="13.2"/>
    <row r="7595" s="299" customFormat="1" ht="13.2"/>
    <row r="7596" s="299" customFormat="1" ht="13.2"/>
    <row r="7597" s="299" customFormat="1" ht="13.2"/>
    <row r="7598" s="299" customFormat="1" ht="13.2"/>
    <row r="7599" s="299" customFormat="1" ht="13.2"/>
    <row r="7600" s="299" customFormat="1" ht="13.2"/>
    <row r="7601" s="299" customFormat="1" ht="13.2"/>
    <row r="7602" s="299" customFormat="1" ht="13.2"/>
    <row r="7603" s="299" customFormat="1" ht="13.2"/>
    <row r="7604" s="299" customFormat="1" ht="13.2"/>
    <row r="7605" s="299" customFormat="1" ht="13.2"/>
    <row r="7606" s="299" customFormat="1" ht="13.2"/>
    <row r="7607" s="299" customFormat="1" ht="13.2"/>
    <row r="7608" s="299" customFormat="1" ht="13.2"/>
    <row r="7609" s="299" customFormat="1" ht="13.2"/>
    <row r="7610" s="299" customFormat="1" ht="13.2"/>
    <row r="7611" s="299" customFormat="1" ht="13.2"/>
    <row r="7612" s="299" customFormat="1" ht="13.2"/>
    <row r="7613" s="299" customFormat="1" ht="13.2"/>
    <row r="7614" s="299" customFormat="1" ht="13.2"/>
    <row r="7615" s="299" customFormat="1" ht="13.2"/>
    <row r="7616" s="299" customFormat="1" ht="13.2"/>
    <row r="7617" s="299" customFormat="1" ht="13.2"/>
    <row r="7618" s="299" customFormat="1" ht="13.2"/>
    <row r="7619" s="299" customFormat="1" ht="13.2"/>
    <row r="7620" s="299" customFormat="1" ht="13.2"/>
    <row r="7621" s="299" customFormat="1" ht="13.2"/>
    <row r="7622" s="299" customFormat="1" ht="13.2"/>
    <row r="7623" s="299" customFormat="1" ht="13.2"/>
    <row r="7624" s="299" customFormat="1" ht="13.2"/>
    <row r="7625" s="299" customFormat="1" ht="13.2"/>
    <row r="7626" s="299" customFormat="1" ht="13.2"/>
    <row r="7627" s="299" customFormat="1" ht="13.2"/>
    <row r="7628" s="299" customFormat="1" ht="13.2"/>
    <row r="7629" s="299" customFormat="1" ht="13.2"/>
    <row r="7630" s="299" customFormat="1" ht="13.2"/>
    <row r="7631" s="299" customFormat="1" ht="13.2"/>
    <row r="7632" s="299" customFormat="1" ht="13.2"/>
    <row r="7633" s="299" customFormat="1" ht="13.2"/>
    <row r="7634" s="299" customFormat="1" ht="13.2"/>
    <row r="7635" s="299" customFormat="1" ht="13.2"/>
    <row r="7636" s="299" customFormat="1" ht="13.2"/>
    <row r="7637" s="299" customFormat="1" ht="13.2"/>
    <row r="7638" s="299" customFormat="1" ht="13.2"/>
    <row r="7639" s="299" customFormat="1" ht="13.2"/>
    <row r="7640" s="299" customFormat="1" ht="13.2"/>
    <row r="7641" s="299" customFormat="1" ht="13.2"/>
    <row r="7642" s="299" customFormat="1" ht="13.2"/>
    <row r="7643" s="299" customFormat="1" ht="13.2"/>
    <row r="7644" s="299" customFormat="1" ht="13.2"/>
    <row r="7645" s="299" customFormat="1" ht="13.2"/>
    <row r="7646" s="299" customFormat="1" ht="13.2"/>
    <row r="7647" s="299" customFormat="1" ht="13.2"/>
    <row r="7648" s="299" customFormat="1" ht="13.2"/>
    <row r="7649" s="299" customFormat="1" ht="13.2"/>
    <row r="7650" s="299" customFormat="1" ht="13.2"/>
    <row r="7651" s="299" customFormat="1" ht="13.2"/>
    <row r="7652" s="299" customFormat="1" ht="13.2"/>
    <row r="7653" s="299" customFormat="1" ht="13.2"/>
    <row r="7654" s="299" customFormat="1" ht="13.2"/>
    <row r="7655" s="299" customFormat="1" ht="13.2"/>
    <row r="7656" s="299" customFormat="1" ht="13.2"/>
    <row r="7657" s="299" customFormat="1" ht="13.2"/>
    <row r="7658" s="299" customFormat="1" ht="13.2"/>
    <row r="7659" s="299" customFormat="1" ht="13.2"/>
    <row r="7660" s="299" customFormat="1" ht="13.2"/>
    <row r="7661" s="299" customFormat="1" ht="13.2"/>
    <row r="7662" s="299" customFormat="1" ht="13.2"/>
    <row r="7663" s="299" customFormat="1" ht="13.2"/>
    <row r="7664" s="299" customFormat="1" ht="13.2"/>
    <row r="7665" s="299" customFormat="1" ht="13.2"/>
    <row r="7666" s="299" customFormat="1" ht="13.2"/>
    <row r="7667" s="299" customFormat="1" ht="13.2"/>
    <row r="7668" s="299" customFormat="1" ht="13.2"/>
    <row r="7669" s="299" customFormat="1" ht="13.2"/>
    <row r="7670" s="299" customFormat="1" ht="13.2"/>
    <row r="7671" s="299" customFormat="1" ht="13.2"/>
    <row r="7672" s="299" customFormat="1" ht="13.2"/>
    <row r="7673" s="299" customFormat="1" ht="13.2"/>
    <row r="7674" s="299" customFormat="1" ht="13.2"/>
    <row r="7675" s="299" customFormat="1" ht="13.2"/>
    <row r="7676" s="299" customFormat="1" ht="13.2"/>
    <row r="7677" s="299" customFormat="1" ht="13.2"/>
    <row r="7678" s="299" customFormat="1" ht="13.2"/>
    <row r="7679" s="299" customFormat="1" ht="13.2"/>
    <row r="7680" s="299" customFormat="1" ht="13.2"/>
    <row r="7681" s="299" customFormat="1" ht="13.2"/>
    <row r="7682" s="299" customFormat="1" ht="13.2"/>
    <row r="7683" s="299" customFormat="1" ht="13.2"/>
    <row r="7684" s="299" customFormat="1" ht="13.2"/>
    <row r="7685" s="299" customFormat="1" ht="13.2"/>
    <row r="7686" s="299" customFormat="1" ht="13.2"/>
    <row r="7687" s="299" customFormat="1" ht="13.2"/>
    <row r="7688" s="299" customFormat="1" ht="13.2"/>
    <row r="7689" s="299" customFormat="1" ht="13.2"/>
    <row r="7690" s="299" customFormat="1" ht="13.2"/>
    <row r="7691" s="299" customFormat="1" ht="13.2"/>
    <row r="7692" s="299" customFormat="1" ht="13.2"/>
    <row r="7693" s="299" customFormat="1" ht="13.2"/>
    <row r="7694" s="299" customFormat="1" ht="13.2"/>
    <row r="7695" s="299" customFormat="1" ht="13.2"/>
    <row r="7696" s="299" customFormat="1" ht="13.2"/>
    <row r="7697" s="299" customFormat="1" ht="13.2"/>
    <row r="7698" s="299" customFormat="1" ht="13.2"/>
    <row r="7699" s="299" customFormat="1" ht="13.2"/>
    <row r="7700" s="299" customFormat="1" ht="13.2"/>
    <row r="7701" s="299" customFormat="1" ht="13.2"/>
    <row r="7702" s="299" customFormat="1" ht="13.2"/>
    <row r="7703" s="299" customFormat="1" ht="13.2"/>
    <row r="7704" s="299" customFormat="1" ht="13.2"/>
    <row r="7705" s="299" customFormat="1" ht="13.2"/>
    <row r="7706" s="299" customFormat="1" ht="13.2"/>
    <row r="7707" s="299" customFormat="1" ht="13.2"/>
    <row r="7708" s="299" customFormat="1" ht="13.2"/>
    <row r="7709" s="299" customFormat="1" ht="13.2"/>
    <row r="7710" s="299" customFormat="1" ht="13.2"/>
    <row r="7711" s="299" customFormat="1" ht="13.2"/>
    <row r="7712" s="299" customFormat="1" ht="13.2"/>
    <row r="7713" s="299" customFormat="1" ht="13.2"/>
    <row r="7714" s="299" customFormat="1" ht="13.2"/>
    <row r="7715" s="299" customFormat="1" ht="13.2"/>
    <row r="7716" s="299" customFormat="1" ht="13.2"/>
    <row r="7717" s="299" customFormat="1" ht="13.2"/>
    <row r="7718" s="299" customFormat="1" ht="13.2"/>
    <row r="7719" s="299" customFormat="1" ht="13.2"/>
    <row r="7720" s="299" customFormat="1" ht="13.2"/>
    <row r="7721" s="299" customFormat="1" ht="13.2"/>
    <row r="7722" s="299" customFormat="1" ht="13.2"/>
    <row r="7723" s="299" customFormat="1" ht="13.2"/>
    <row r="7724" s="299" customFormat="1" ht="13.2"/>
    <row r="7725" s="299" customFormat="1" ht="13.2"/>
    <row r="7726" s="299" customFormat="1" ht="13.2"/>
    <row r="7727" s="299" customFormat="1" ht="13.2"/>
    <row r="7728" s="299" customFormat="1" ht="13.2"/>
    <row r="7729" s="299" customFormat="1" ht="13.2"/>
    <row r="7730" s="299" customFormat="1" ht="13.2"/>
    <row r="7731" s="299" customFormat="1" ht="13.2"/>
    <row r="7732" s="299" customFormat="1" ht="13.2"/>
    <row r="7733" s="299" customFormat="1" ht="13.2"/>
    <row r="7734" s="299" customFormat="1" ht="13.2"/>
    <row r="7735" s="299" customFormat="1" ht="13.2"/>
    <row r="7736" s="299" customFormat="1" ht="13.2"/>
    <row r="7737" s="299" customFormat="1" ht="13.2"/>
    <row r="7738" s="299" customFormat="1" ht="13.2"/>
    <row r="7739" s="299" customFormat="1" ht="13.2"/>
    <row r="7740" s="299" customFormat="1" ht="13.2"/>
    <row r="7741" s="299" customFormat="1" ht="13.2"/>
    <row r="7742" s="299" customFormat="1" ht="13.2"/>
    <row r="7743" s="299" customFormat="1" ht="13.2"/>
    <row r="7744" s="299" customFormat="1" ht="13.2"/>
    <row r="7745" s="299" customFormat="1" ht="13.2"/>
    <row r="7746" s="299" customFormat="1" ht="13.2"/>
    <row r="7747" s="299" customFormat="1" ht="13.2"/>
    <row r="7748" s="299" customFormat="1" ht="13.2"/>
    <row r="7749" s="299" customFormat="1" ht="13.2"/>
    <row r="7750" s="299" customFormat="1" ht="13.2"/>
    <row r="7751" s="299" customFormat="1" ht="13.2"/>
    <row r="7752" s="299" customFormat="1" ht="13.2"/>
    <row r="7753" s="299" customFormat="1" ht="13.2"/>
    <row r="7754" s="299" customFormat="1" ht="13.2"/>
    <row r="7755" s="299" customFormat="1" ht="13.2"/>
    <row r="7756" s="299" customFormat="1" ht="13.2"/>
    <row r="7757" s="299" customFormat="1" ht="13.2"/>
    <row r="7758" s="299" customFormat="1" ht="13.2"/>
    <row r="7759" s="299" customFormat="1" ht="13.2"/>
    <row r="7760" s="299" customFormat="1" ht="13.2"/>
    <row r="7761" s="299" customFormat="1" ht="13.2"/>
    <row r="7762" s="299" customFormat="1" ht="13.2"/>
    <row r="7763" s="299" customFormat="1" ht="13.2"/>
    <row r="7764" s="299" customFormat="1" ht="13.2"/>
    <row r="7765" s="299" customFormat="1" ht="13.2"/>
    <row r="7766" s="299" customFormat="1" ht="13.2"/>
    <row r="7767" s="299" customFormat="1" ht="13.2"/>
    <row r="7768" s="299" customFormat="1" ht="13.2"/>
    <row r="7769" s="299" customFormat="1" ht="13.2"/>
    <row r="7770" s="299" customFormat="1" ht="13.2"/>
    <row r="7771" s="299" customFormat="1" ht="13.2"/>
    <row r="7772" s="299" customFormat="1" ht="13.2"/>
    <row r="7773" s="299" customFormat="1" ht="13.2"/>
    <row r="7774" s="299" customFormat="1" ht="13.2"/>
    <row r="7775" s="299" customFormat="1" ht="13.2"/>
    <row r="7776" s="299" customFormat="1" ht="13.2"/>
    <row r="7777" s="299" customFormat="1" ht="13.2"/>
    <row r="7778" s="299" customFormat="1" ht="13.2"/>
    <row r="7779" s="299" customFormat="1" ht="13.2"/>
    <row r="7780" s="299" customFormat="1" ht="13.2"/>
    <row r="7781" s="299" customFormat="1" ht="13.2"/>
    <row r="7782" s="299" customFormat="1" ht="13.2"/>
    <row r="7783" s="299" customFormat="1" ht="13.2"/>
    <row r="7784" s="299" customFormat="1" ht="13.2"/>
    <row r="7785" s="299" customFormat="1" ht="13.2"/>
    <row r="7786" s="299" customFormat="1" ht="13.2"/>
    <row r="7787" s="299" customFormat="1" ht="13.2"/>
    <row r="7788" s="299" customFormat="1" ht="13.2"/>
    <row r="7789" s="299" customFormat="1" ht="13.2"/>
    <row r="7790" s="299" customFormat="1" ht="13.2"/>
    <row r="7791" s="299" customFormat="1" ht="13.2"/>
    <row r="7792" s="299" customFormat="1" ht="13.2"/>
    <row r="7793" s="299" customFormat="1" ht="13.2"/>
    <row r="7794" s="299" customFormat="1" ht="13.2"/>
    <row r="7795" s="299" customFormat="1" ht="13.2"/>
    <row r="7796" s="299" customFormat="1" ht="13.2"/>
    <row r="7797" s="299" customFormat="1" ht="13.2"/>
    <row r="7798" s="299" customFormat="1" ht="13.2"/>
    <row r="7799" s="299" customFormat="1" ht="13.2"/>
    <row r="7800" s="299" customFormat="1" ht="13.2"/>
    <row r="7801" s="299" customFormat="1" ht="13.2"/>
    <row r="7802" s="299" customFormat="1" ht="13.2"/>
    <row r="7803" s="299" customFormat="1" ht="13.2"/>
    <row r="7804" s="299" customFormat="1" ht="13.2"/>
    <row r="7805" s="299" customFormat="1" ht="13.2"/>
    <row r="7806" s="299" customFormat="1" ht="13.2"/>
    <row r="7807" s="299" customFormat="1" ht="13.2"/>
    <row r="7808" s="299" customFormat="1" ht="13.2"/>
    <row r="7809" s="299" customFormat="1" ht="13.2"/>
    <row r="7810" s="299" customFormat="1" ht="13.2"/>
    <row r="7811" s="299" customFormat="1" ht="13.2"/>
    <row r="7812" s="299" customFormat="1" ht="13.2"/>
    <row r="7813" s="299" customFormat="1" ht="13.2"/>
    <row r="7814" s="299" customFormat="1" ht="13.2"/>
    <row r="7815" s="299" customFormat="1" ht="13.2"/>
    <row r="7816" s="299" customFormat="1" ht="13.2"/>
    <row r="7817" s="299" customFormat="1" ht="13.2"/>
    <row r="7818" s="299" customFormat="1" ht="13.2"/>
    <row r="7819" s="299" customFormat="1" ht="13.2"/>
    <row r="7820" s="299" customFormat="1" ht="13.2"/>
    <row r="7821" s="299" customFormat="1" ht="13.2"/>
    <row r="7822" s="299" customFormat="1" ht="13.2"/>
    <row r="7823" s="299" customFormat="1" ht="13.2"/>
    <row r="7824" s="299" customFormat="1" ht="13.2"/>
    <row r="7825" s="299" customFormat="1" ht="13.2"/>
    <row r="7826" s="299" customFormat="1" ht="13.2"/>
    <row r="7827" s="299" customFormat="1" ht="13.2"/>
    <row r="7828" s="299" customFormat="1" ht="13.2"/>
    <row r="7829" s="299" customFormat="1" ht="13.2"/>
    <row r="7830" s="299" customFormat="1" ht="13.2"/>
    <row r="7831" s="299" customFormat="1" ht="13.2"/>
    <row r="7832" s="299" customFormat="1" ht="13.2"/>
    <row r="7833" s="299" customFormat="1" ht="13.2"/>
    <row r="7834" s="299" customFormat="1" ht="13.2"/>
    <row r="7835" s="299" customFormat="1" ht="13.2"/>
    <row r="7836" s="299" customFormat="1" ht="13.2"/>
    <row r="7837" s="299" customFormat="1" ht="13.2"/>
    <row r="7838" s="299" customFormat="1" ht="13.2"/>
    <row r="7839" s="299" customFormat="1" ht="13.2"/>
    <row r="7840" s="299" customFormat="1" ht="13.2"/>
    <row r="7841" s="299" customFormat="1" ht="13.2"/>
    <row r="7842" s="299" customFormat="1" ht="13.2"/>
    <row r="7843" s="299" customFormat="1" ht="13.2"/>
    <row r="7844" s="299" customFormat="1" ht="13.2"/>
    <row r="7845" s="299" customFormat="1" ht="13.2"/>
    <row r="7846" s="299" customFormat="1" ht="13.2"/>
    <row r="7847" s="299" customFormat="1" ht="13.2"/>
    <row r="7848" s="299" customFormat="1" ht="13.2"/>
    <row r="7849" s="299" customFormat="1" ht="13.2"/>
    <row r="7850" s="299" customFormat="1" ht="13.2"/>
    <row r="7851" s="299" customFormat="1" ht="13.2"/>
    <row r="7852" s="299" customFormat="1" ht="13.2"/>
    <row r="7853" s="299" customFormat="1" ht="13.2"/>
    <row r="7854" s="299" customFormat="1" ht="13.2"/>
    <row r="7855" s="299" customFormat="1" ht="13.2"/>
    <row r="7856" s="299" customFormat="1" ht="13.2"/>
    <row r="7857" s="299" customFormat="1" ht="13.2"/>
    <row r="7858" s="299" customFormat="1" ht="13.2"/>
    <row r="7859" s="299" customFormat="1" ht="13.2"/>
    <row r="7860" s="299" customFormat="1" ht="13.2"/>
    <row r="7861" s="299" customFormat="1" ht="13.2"/>
    <row r="7862" s="299" customFormat="1" ht="13.2"/>
    <row r="7863" s="299" customFormat="1" ht="13.2"/>
    <row r="7864" s="299" customFormat="1" ht="13.2"/>
    <row r="7865" s="299" customFormat="1" ht="13.2"/>
    <row r="7866" s="299" customFormat="1" ht="13.2"/>
    <row r="7867" s="299" customFormat="1" ht="13.2"/>
    <row r="7868" s="299" customFormat="1" ht="13.2"/>
    <row r="7869" s="299" customFormat="1" ht="13.2"/>
    <row r="7870" s="299" customFormat="1" ht="13.2"/>
    <row r="7871" s="299" customFormat="1" ht="13.2"/>
    <row r="7872" s="299" customFormat="1" ht="13.2"/>
    <row r="7873" s="299" customFormat="1" ht="13.2"/>
    <row r="7874" s="299" customFormat="1" ht="13.2"/>
    <row r="7875" s="299" customFormat="1" ht="13.2"/>
    <row r="7876" s="299" customFormat="1" ht="13.2"/>
    <row r="7877" s="299" customFormat="1" ht="13.2"/>
    <row r="7878" s="299" customFormat="1" ht="13.2"/>
    <row r="7879" s="299" customFormat="1" ht="13.2"/>
    <row r="7880" s="299" customFormat="1" ht="13.2"/>
    <row r="7881" s="299" customFormat="1" ht="13.2"/>
    <row r="7882" s="299" customFormat="1" ht="13.2"/>
    <row r="7883" s="299" customFormat="1" ht="13.2"/>
    <row r="7884" s="299" customFormat="1" ht="13.2"/>
    <row r="7885" s="299" customFormat="1" ht="13.2"/>
    <row r="7886" s="299" customFormat="1" ht="13.2"/>
    <row r="7887" s="299" customFormat="1" ht="13.2"/>
    <row r="7888" s="299" customFormat="1" ht="13.2"/>
    <row r="7889" s="299" customFormat="1" ht="13.2"/>
    <row r="7890" s="299" customFormat="1" ht="13.2"/>
    <row r="7891" s="299" customFormat="1" ht="13.2"/>
    <row r="7892" s="299" customFormat="1" ht="13.2"/>
    <row r="7893" s="299" customFormat="1" ht="13.2"/>
    <row r="7894" s="299" customFormat="1" ht="13.2"/>
    <row r="7895" s="299" customFormat="1" ht="13.2"/>
    <row r="7896" s="299" customFormat="1" ht="13.2"/>
    <row r="7897" s="299" customFormat="1" ht="13.2"/>
    <row r="7898" s="299" customFormat="1" ht="13.2"/>
    <row r="7899" s="299" customFormat="1" ht="13.2"/>
    <row r="7900" s="299" customFormat="1" ht="13.2"/>
    <row r="7901" s="299" customFormat="1" ht="13.2"/>
    <row r="7902" s="299" customFormat="1" ht="13.2"/>
    <row r="7903" s="299" customFormat="1" ht="13.2"/>
    <row r="7904" s="299" customFormat="1" ht="13.2"/>
    <row r="7905" s="299" customFormat="1" ht="13.2"/>
    <row r="7906" s="299" customFormat="1" ht="13.2"/>
    <row r="7907" s="299" customFormat="1" ht="13.2"/>
    <row r="7908" s="299" customFormat="1" ht="13.2"/>
    <row r="7909" s="299" customFormat="1" ht="13.2"/>
    <row r="7910" s="299" customFormat="1" ht="13.2"/>
    <row r="7911" s="299" customFormat="1" ht="13.2"/>
    <row r="7912" s="299" customFormat="1" ht="13.2"/>
    <row r="7913" s="299" customFormat="1" ht="13.2"/>
    <row r="7914" s="299" customFormat="1" ht="13.2"/>
    <row r="7915" s="299" customFormat="1" ht="13.2"/>
    <row r="7916" s="299" customFormat="1" ht="13.2"/>
    <row r="7917" s="299" customFormat="1" ht="13.2"/>
    <row r="7918" s="299" customFormat="1" ht="13.2"/>
    <row r="7919" s="299" customFormat="1" ht="13.2"/>
    <row r="7920" s="299" customFormat="1" ht="13.2"/>
    <row r="7921" s="299" customFormat="1" ht="13.2"/>
    <row r="7922" s="299" customFormat="1" ht="13.2"/>
    <row r="7923" s="299" customFormat="1" ht="13.2"/>
    <row r="7924" s="299" customFormat="1" ht="13.2"/>
    <row r="7925" s="299" customFormat="1" ht="13.2"/>
    <row r="7926" s="299" customFormat="1" ht="13.2"/>
    <row r="7927" s="299" customFormat="1" ht="13.2"/>
    <row r="7928" s="299" customFormat="1" ht="13.2"/>
    <row r="7929" s="299" customFormat="1" ht="13.2"/>
    <row r="7930" s="299" customFormat="1" ht="13.2"/>
    <row r="7931" s="299" customFormat="1" ht="13.2"/>
    <row r="7932" s="299" customFormat="1" ht="13.2"/>
    <row r="7933" s="299" customFormat="1" ht="13.2"/>
    <row r="7934" s="299" customFormat="1" ht="13.2"/>
    <row r="7935" s="299" customFormat="1" ht="13.2"/>
    <row r="7936" s="299" customFormat="1" ht="13.2"/>
    <row r="7937" s="299" customFormat="1" ht="13.2"/>
    <row r="7938" s="299" customFormat="1" ht="13.2"/>
    <row r="7939" s="299" customFormat="1" ht="13.2"/>
    <row r="7940" s="299" customFormat="1" ht="13.2"/>
    <row r="7941" s="299" customFormat="1" ht="13.2"/>
    <row r="7942" s="299" customFormat="1" ht="13.2"/>
    <row r="7943" s="299" customFormat="1" ht="13.2"/>
    <row r="7944" s="299" customFormat="1" ht="13.2"/>
    <row r="7945" s="299" customFormat="1" ht="13.2"/>
    <row r="7946" s="299" customFormat="1" ht="13.2"/>
    <row r="7947" s="299" customFormat="1" ht="13.2"/>
    <row r="7948" s="299" customFormat="1" ht="13.2"/>
    <row r="7949" s="299" customFormat="1" ht="13.2"/>
    <row r="7950" s="299" customFormat="1" ht="13.2"/>
    <row r="7951" s="299" customFormat="1" ht="13.2"/>
    <row r="7952" s="299" customFormat="1" ht="13.2"/>
    <row r="7953" s="299" customFormat="1" ht="13.2"/>
    <row r="7954" s="299" customFormat="1" ht="13.2"/>
    <row r="7955" s="299" customFormat="1" ht="13.2"/>
    <row r="7956" s="299" customFormat="1" ht="13.2"/>
    <row r="7957" s="299" customFormat="1" ht="13.2"/>
    <row r="7958" s="299" customFormat="1" ht="13.2"/>
    <row r="7959" s="299" customFormat="1" ht="13.2"/>
    <row r="7960" s="299" customFormat="1" ht="13.2"/>
    <row r="7961" s="299" customFormat="1" ht="13.2"/>
    <row r="7962" s="299" customFormat="1" ht="13.2"/>
    <row r="7963" s="299" customFormat="1" ht="13.2"/>
    <row r="7964" s="299" customFormat="1" ht="13.2"/>
    <row r="7965" s="299" customFormat="1" ht="13.2"/>
    <row r="7966" s="299" customFormat="1" ht="13.2"/>
    <row r="7967" s="299" customFormat="1" ht="13.2"/>
    <row r="7968" s="299" customFormat="1" ht="13.2"/>
    <row r="7969" s="299" customFormat="1" ht="13.2"/>
    <row r="7970" s="299" customFormat="1" ht="13.2"/>
    <row r="7971" s="299" customFormat="1" ht="13.2"/>
    <row r="7972" s="299" customFormat="1" ht="13.2"/>
    <row r="7973" s="299" customFormat="1" ht="13.2"/>
    <row r="7974" s="299" customFormat="1" ht="13.2"/>
    <row r="7975" s="299" customFormat="1" ht="13.2"/>
    <row r="7976" s="299" customFormat="1" ht="13.2"/>
    <row r="7977" s="299" customFormat="1" ht="13.2"/>
    <row r="7978" s="299" customFormat="1" ht="13.2"/>
    <row r="7979" s="299" customFormat="1" ht="13.2"/>
    <row r="7980" s="299" customFormat="1" ht="13.2"/>
    <row r="7981" s="299" customFormat="1" ht="13.2"/>
    <row r="7982" s="299" customFormat="1" ht="13.2"/>
    <row r="7983" s="299" customFormat="1" ht="13.2"/>
    <row r="7984" s="299" customFormat="1" ht="13.2"/>
    <row r="7985" s="299" customFormat="1" ht="13.2"/>
    <row r="7986" s="299" customFormat="1" ht="13.2"/>
    <row r="7987" s="299" customFormat="1" ht="13.2"/>
    <row r="7988" s="299" customFormat="1" ht="13.2"/>
    <row r="7989" s="299" customFormat="1" ht="13.2"/>
    <row r="7990" s="299" customFormat="1" ht="13.2"/>
    <row r="7991" s="299" customFormat="1" ht="13.2"/>
    <row r="7992" s="299" customFormat="1" ht="13.2"/>
    <row r="7993" s="299" customFormat="1" ht="13.2"/>
    <row r="7994" s="299" customFormat="1" ht="13.2"/>
    <row r="7995" s="299" customFormat="1" ht="13.2"/>
    <row r="7996" s="299" customFormat="1" ht="13.2"/>
    <row r="7997" s="299" customFormat="1" ht="13.2"/>
    <row r="7998" s="299" customFormat="1" ht="13.2"/>
    <row r="7999" s="299" customFormat="1" ht="13.2"/>
    <row r="8000" s="299" customFormat="1" ht="13.2"/>
    <row r="8001" s="299" customFormat="1" ht="13.2"/>
    <row r="8002" s="299" customFormat="1" ht="13.2"/>
    <row r="8003" s="299" customFormat="1" ht="13.2"/>
    <row r="8004" s="299" customFormat="1" ht="13.2"/>
    <row r="8005" s="299" customFormat="1" ht="13.2"/>
    <row r="8006" s="299" customFormat="1" ht="13.2"/>
    <row r="8007" s="299" customFormat="1" ht="13.2"/>
    <row r="8008" s="299" customFormat="1" ht="13.2"/>
    <row r="8009" s="299" customFormat="1" ht="13.2"/>
    <row r="8010" s="299" customFormat="1" ht="13.2"/>
    <row r="8011" s="299" customFormat="1" ht="13.2"/>
    <row r="8012" s="299" customFormat="1" ht="13.2"/>
    <row r="8013" s="299" customFormat="1" ht="13.2"/>
    <row r="8014" s="299" customFormat="1" ht="13.2"/>
    <row r="8015" s="299" customFormat="1" ht="13.2"/>
    <row r="8016" s="299" customFormat="1" ht="13.2"/>
    <row r="8017" s="299" customFormat="1" ht="13.2"/>
    <row r="8018" s="299" customFormat="1" ht="13.2"/>
    <row r="8019" s="299" customFormat="1" ht="13.2"/>
    <row r="8020" s="299" customFormat="1" ht="13.2"/>
    <row r="8021" s="299" customFormat="1" ht="13.2"/>
    <row r="8022" s="299" customFormat="1" ht="13.2"/>
    <row r="8023" s="299" customFormat="1" ht="13.2"/>
    <row r="8024" s="299" customFormat="1" ht="13.2"/>
    <row r="8025" s="299" customFormat="1" ht="13.2"/>
    <row r="8026" s="299" customFormat="1" ht="13.2"/>
    <row r="8027" s="299" customFormat="1" ht="13.2"/>
    <row r="8028" s="299" customFormat="1" ht="13.2"/>
    <row r="8029" s="299" customFormat="1" ht="13.2"/>
    <row r="8030" s="299" customFormat="1" ht="13.2"/>
    <row r="8031" s="299" customFormat="1" ht="13.2"/>
    <row r="8032" s="299" customFormat="1" ht="13.2"/>
    <row r="8033" s="299" customFormat="1" ht="13.2"/>
    <row r="8034" s="299" customFormat="1" ht="13.2"/>
    <row r="8035" s="299" customFormat="1" ht="13.2"/>
    <row r="8036" s="299" customFormat="1" ht="13.2"/>
    <row r="8037" s="299" customFormat="1" ht="13.2"/>
    <row r="8038" s="299" customFormat="1" ht="13.2"/>
    <row r="8039" s="299" customFormat="1" ht="13.2"/>
    <row r="8040" s="299" customFormat="1" ht="13.2"/>
    <row r="8041" s="299" customFormat="1" ht="13.2"/>
    <row r="8042" s="299" customFormat="1" ht="13.2"/>
    <row r="8043" s="299" customFormat="1" ht="13.2"/>
    <row r="8044" s="299" customFormat="1" ht="13.2"/>
    <row r="8045" s="299" customFormat="1" ht="13.2"/>
    <row r="8046" s="299" customFormat="1" ht="13.2"/>
    <row r="8047" s="299" customFormat="1" ht="13.2"/>
    <row r="8048" s="299" customFormat="1" ht="13.2"/>
    <row r="8049" s="299" customFormat="1" ht="13.2"/>
    <row r="8050" s="299" customFormat="1" ht="13.2"/>
    <row r="8051" s="299" customFormat="1" ht="13.2"/>
    <row r="8052" s="299" customFormat="1" ht="13.2"/>
    <row r="8053" s="299" customFormat="1" ht="13.2"/>
    <row r="8054" s="299" customFormat="1" ht="13.2"/>
    <row r="8055" s="299" customFormat="1" ht="13.2"/>
    <row r="8056" s="299" customFormat="1" ht="13.2"/>
    <row r="8057" s="299" customFormat="1" ht="13.2"/>
    <row r="8058" s="299" customFormat="1" ht="13.2"/>
    <row r="8059" s="299" customFormat="1" ht="13.2"/>
    <row r="8060" s="299" customFormat="1" ht="13.2"/>
    <row r="8061" s="299" customFormat="1" ht="13.2"/>
    <row r="8062" s="299" customFormat="1" ht="13.2"/>
    <row r="8063" s="299" customFormat="1" ht="13.2"/>
    <row r="8064" s="299" customFormat="1" ht="13.2"/>
    <row r="8065" s="299" customFormat="1" ht="13.2"/>
    <row r="8066" s="299" customFormat="1" ht="13.2"/>
    <row r="8067" s="299" customFormat="1" ht="13.2"/>
    <row r="8068" s="299" customFormat="1" ht="13.2"/>
    <row r="8069" s="299" customFormat="1" ht="13.2"/>
    <row r="8070" s="299" customFormat="1" ht="13.2"/>
    <row r="8071" s="299" customFormat="1" ht="13.2"/>
    <row r="8072" s="299" customFormat="1" ht="13.2"/>
    <row r="8073" s="299" customFormat="1" ht="13.2"/>
    <row r="8074" s="299" customFormat="1" ht="13.2"/>
    <row r="8075" s="299" customFormat="1" ht="13.2"/>
    <row r="8076" s="299" customFormat="1" ht="13.2"/>
    <row r="8077" s="299" customFormat="1" ht="13.2"/>
    <row r="8078" s="299" customFormat="1" ht="13.2"/>
    <row r="8079" s="299" customFormat="1" ht="13.2"/>
    <row r="8080" s="299" customFormat="1" ht="13.2"/>
    <row r="8081" s="299" customFormat="1" ht="13.2"/>
    <row r="8082" s="299" customFormat="1" ht="13.2"/>
    <row r="8083" s="299" customFormat="1" ht="13.2"/>
    <row r="8084" s="299" customFormat="1" ht="13.2"/>
    <row r="8085" s="299" customFormat="1" ht="13.2"/>
    <row r="8086" s="299" customFormat="1" ht="13.2"/>
    <row r="8087" s="299" customFormat="1" ht="13.2"/>
    <row r="8088" s="299" customFormat="1" ht="13.2"/>
    <row r="8089" s="299" customFormat="1" ht="13.2"/>
    <row r="8090" s="299" customFormat="1" ht="13.2"/>
    <row r="8091" s="299" customFormat="1" ht="13.2"/>
    <row r="8092" s="299" customFormat="1" ht="13.2"/>
    <row r="8093" s="299" customFormat="1" ht="13.2"/>
    <row r="8094" s="299" customFormat="1" ht="13.2"/>
    <row r="8095" s="299" customFormat="1" ht="13.2"/>
    <row r="8096" s="299" customFormat="1" ht="13.2"/>
    <row r="8097" s="299" customFormat="1" ht="13.2"/>
    <row r="8098" s="299" customFormat="1" ht="13.2"/>
    <row r="8099" s="299" customFormat="1" ht="13.2"/>
    <row r="8100" s="299" customFormat="1" ht="13.2"/>
    <row r="8101" s="299" customFormat="1" ht="13.2"/>
    <row r="8102" s="299" customFormat="1" ht="13.2"/>
    <row r="8103" s="299" customFormat="1" ht="13.2"/>
    <row r="8104" s="299" customFormat="1" ht="13.2"/>
    <row r="8105" s="299" customFormat="1" ht="13.2"/>
    <row r="8106" s="299" customFormat="1" ht="13.2"/>
    <row r="8107" s="299" customFormat="1" ht="13.2"/>
    <row r="8108" s="299" customFormat="1" ht="13.2"/>
    <row r="8109" s="299" customFormat="1" ht="13.2"/>
    <row r="8110" s="299" customFormat="1" ht="13.2"/>
    <row r="8111" s="299" customFormat="1" ht="13.2"/>
    <row r="8112" s="299" customFormat="1" ht="13.2"/>
    <row r="8113" s="299" customFormat="1" ht="13.2"/>
    <row r="8114" s="299" customFormat="1" ht="13.2"/>
    <row r="8115" s="299" customFormat="1" ht="13.2"/>
    <row r="8116" s="299" customFormat="1" ht="13.2"/>
    <row r="8117" s="299" customFormat="1" ht="13.2"/>
    <row r="8118" s="299" customFormat="1" ht="13.2"/>
    <row r="8119" s="299" customFormat="1" ht="13.2"/>
    <row r="8120" s="299" customFormat="1" ht="13.2"/>
    <row r="8121" s="299" customFormat="1" ht="13.2"/>
    <row r="8122" s="299" customFormat="1" ht="13.2"/>
    <row r="8123" s="299" customFormat="1" ht="13.2"/>
    <row r="8124" s="299" customFormat="1" ht="13.2"/>
    <row r="8125" s="299" customFormat="1" ht="13.2"/>
    <row r="8126" s="299" customFormat="1" ht="13.2"/>
    <row r="8127" s="299" customFormat="1" ht="13.2"/>
    <row r="8128" s="299" customFormat="1" ht="13.2"/>
    <row r="8129" s="299" customFormat="1" ht="13.2"/>
    <row r="8130" s="299" customFormat="1" ht="13.2"/>
    <row r="8131" s="299" customFormat="1" ht="13.2"/>
    <row r="8132" s="299" customFormat="1" ht="13.2"/>
    <row r="8133" s="299" customFormat="1" ht="13.2"/>
    <row r="8134" s="299" customFormat="1" ht="13.2"/>
    <row r="8135" s="299" customFormat="1" ht="13.2"/>
    <row r="8136" s="299" customFormat="1" ht="13.2"/>
    <row r="8137" s="299" customFormat="1" ht="13.2"/>
    <row r="8138" s="299" customFormat="1" ht="13.2"/>
    <row r="8139" s="299" customFormat="1" ht="13.2"/>
    <row r="8140" s="299" customFormat="1" ht="13.2"/>
    <row r="8141" s="299" customFormat="1" ht="13.2"/>
    <row r="8142" s="299" customFormat="1" ht="13.2"/>
    <row r="8143" s="299" customFormat="1" ht="13.2"/>
    <row r="8144" s="299" customFormat="1" ht="13.2"/>
    <row r="8145" s="299" customFormat="1" ht="13.2"/>
    <row r="8146" s="299" customFormat="1" ht="13.2"/>
    <row r="8147" s="299" customFormat="1" ht="13.2"/>
    <row r="8148" s="299" customFormat="1" ht="13.2"/>
    <row r="8149" s="299" customFormat="1" ht="13.2"/>
    <row r="8150" s="299" customFormat="1" ht="13.2"/>
    <row r="8151" s="299" customFormat="1" ht="13.2"/>
    <row r="8152" s="299" customFormat="1" ht="13.2"/>
    <row r="8153" s="299" customFormat="1" ht="13.2"/>
    <row r="8154" s="299" customFormat="1" ht="13.2"/>
    <row r="8155" s="299" customFormat="1" ht="13.2"/>
    <row r="8156" s="299" customFormat="1" ht="13.2"/>
    <row r="8157" s="299" customFormat="1" ht="13.2"/>
    <row r="8158" s="299" customFormat="1" ht="13.2"/>
    <row r="8159" s="299" customFormat="1" ht="13.2"/>
    <row r="8160" s="299" customFormat="1" ht="13.2"/>
    <row r="8161" s="299" customFormat="1" ht="13.2"/>
    <row r="8162" s="299" customFormat="1" ht="13.2"/>
    <row r="8163" s="299" customFormat="1" ht="13.2"/>
    <row r="8164" s="299" customFormat="1" ht="13.2"/>
    <row r="8165" s="299" customFormat="1" ht="13.2"/>
    <row r="8166" s="299" customFormat="1" ht="13.2"/>
    <row r="8167" s="299" customFormat="1" ht="13.2"/>
    <row r="8168" s="299" customFormat="1" ht="13.2"/>
    <row r="8169" s="299" customFormat="1" ht="13.2"/>
    <row r="8170" s="299" customFormat="1" ht="13.2"/>
    <row r="8171" s="299" customFormat="1" ht="13.2"/>
    <row r="8172" s="299" customFormat="1" ht="13.2"/>
    <row r="8173" s="299" customFormat="1" ht="13.2"/>
    <row r="8174" s="299" customFormat="1" ht="13.2"/>
    <row r="8175" s="299" customFormat="1" ht="13.2"/>
    <row r="8176" s="299" customFormat="1" ht="13.2"/>
    <row r="8177" s="299" customFormat="1" ht="13.2"/>
    <row r="8178" s="299" customFormat="1" ht="13.2"/>
    <row r="8179" s="299" customFormat="1" ht="13.2"/>
    <row r="8180" s="299" customFormat="1" ht="13.2"/>
    <row r="8181" s="299" customFormat="1" ht="13.2"/>
    <row r="8182" s="299" customFormat="1" ht="13.2"/>
    <row r="8183" s="299" customFormat="1" ht="13.2"/>
    <row r="8184" s="299" customFormat="1" ht="13.2"/>
    <row r="8185" s="299" customFormat="1" ht="13.2"/>
    <row r="8186" s="299" customFormat="1" ht="13.2"/>
    <row r="8187" s="299" customFormat="1" ht="13.2"/>
    <row r="8188" s="299" customFormat="1" ht="13.2"/>
    <row r="8189" s="299" customFormat="1" ht="13.2"/>
    <row r="8190" s="299" customFormat="1" ht="13.2"/>
    <row r="8191" s="299" customFormat="1" ht="13.2"/>
    <row r="8192" s="299" customFormat="1" ht="13.2"/>
    <row r="8193" s="299" customFormat="1" ht="13.2"/>
    <row r="8194" s="299" customFormat="1" ht="13.2"/>
    <row r="8195" s="299" customFormat="1" ht="13.2"/>
    <row r="8196" s="299" customFormat="1" ht="13.2"/>
    <row r="8197" s="299" customFormat="1" ht="13.2"/>
    <row r="8198" s="299" customFormat="1" ht="13.2"/>
    <row r="8199" s="299" customFormat="1" ht="13.2"/>
    <row r="8200" s="299" customFormat="1" ht="13.2"/>
    <row r="8201" s="299" customFormat="1" ht="13.2"/>
    <row r="8202" s="299" customFormat="1" ht="13.2"/>
    <row r="8203" s="299" customFormat="1" ht="13.2"/>
    <row r="8204" s="299" customFormat="1" ht="13.2"/>
    <row r="8205" s="299" customFormat="1" ht="13.2"/>
    <row r="8206" s="299" customFormat="1" ht="13.2"/>
    <row r="8207" s="299" customFormat="1" ht="13.2"/>
    <row r="8208" s="299" customFormat="1" ht="13.2"/>
    <row r="8209" s="299" customFormat="1" ht="13.2"/>
    <row r="8210" s="299" customFormat="1" ht="13.2"/>
    <row r="8211" s="299" customFormat="1" ht="13.2"/>
    <row r="8212" s="299" customFormat="1" ht="13.2"/>
    <row r="8213" s="299" customFormat="1" ht="13.2"/>
    <row r="8214" s="299" customFormat="1" ht="13.2"/>
    <row r="8215" s="299" customFormat="1" ht="13.2"/>
    <row r="8216" s="299" customFormat="1" ht="13.2"/>
    <row r="8217" s="299" customFormat="1" ht="13.2"/>
    <row r="8218" s="299" customFormat="1" ht="13.2"/>
    <row r="8219" s="299" customFormat="1" ht="13.2"/>
    <row r="8220" s="299" customFormat="1" ht="13.2"/>
    <row r="8221" s="299" customFormat="1" ht="13.2"/>
    <row r="8222" s="299" customFormat="1" ht="13.2"/>
    <row r="8223" s="299" customFormat="1" ht="13.2"/>
    <row r="8224" s="299" customFormat="1" ht="13.2"/>
    <row r="8225" s="299" customFormat="1" ht="13.2"/>
    <row r="8226" s="299" customFormat="1" ht="13.2"/>
    <row r="8227" s="299" customFormat="1" ht="13.2"/>
    <row r="8228" s="299" customFormat="1" ht="13.2"/>
    <row r="8229" s="299" customFormat="1" ht="13.2"/>
    <row r="8230" s="299" customFormat="1" ht="13.2"/>
    <row r="8231" s="299" customFormat="1" ht="13.2"/>
    <row r="8232" s="299" customFormat="1" ht="13.2"/>
    <row r="8233" s="299" customFormat="1" ht="13.2"/>
    <row r="8234" s="299" customFormat="1" ht="13.2"/>
    <row r="8235" s="299" customFormat="1" ht="13.2"/>
    <row r="8236" s="299" customFormat="1" ht="13.2"/>
    <row r="8237" s="299" customFormat="1" ht="13.2"/>
    <row r="8238" s="299" customFormat="1" ht="13.2"/>
    <row r="8239" s="299" customFormat="1" ht="13.2"/>
    <row r="8240" s="299" customFormat="1" ht="13.2"/>
    <row r="8241" s="299" customFormat="1" ht="13.2"/>
    <row r="8242" s="299" customFormat="1" ht="13.2"/>
    <row r="8243" s="299" customFormat="1" ht="13.2"/>
    <row r="8244" s="299" customFormat="1" ht="13.2"/>
    <row r="8245" s="299" customFormat="1" ht="13.2"/>
    <row r="8246" s="299" customFormat="1" ht="13.2"/>
    <row r="8247" s="299" customFormat="1" ht="13.2"/>
    <row r="8248" s="299" customFormat="1" ht="13.2"/>
    <row r="8249" s="299" customFormat="1" ht="13.2"/>
    <row r="8250" s="299" customFormat="1" ht="13.2"/>
    <row r="8251" s="299" customFormat="1" ht="13.2"/>
    <row r="8252" s="299" customFormat="1" ht="13.2"/>
    <row r="8253" s="299" customFormat="1" ht="13.2"/>
    <row r="8254" s="299" customFormat="1" ht="13.2"/>
    <row r="8255" s="299" customFormat="1" ht="13.2"/>
    <row r="8256" s="299" customFormat="1" ht="13.2"/>
    <row r="8257" s="299" customFormat="1" ht="13.2"/>
    <row r="8258" s="299" customFormat="1" ht="13.2"/>
    <row r="8259" s="299" customFormat="1" ht="13.2"/>
    <row r="8260" s="299" customFormat="1" ht="13.2"/>
    <row r="8261" s="299" customFormat="1" ht="13.2"/>
    <row r="8262" s="299" customFormat="1" ht="13.2"/>
    <row r="8263" s="299" customFormat="1" ht="13.2"/>
    <row r="8264" s="299" customFormat="1" ht="13.2"/>
    <row r="8265" s="299" customFormat="1" ht="13.2"/>
    <row r="8266" s="299" customFormat="1" ht="13.2"/>
    <row r="8267" s="299" customFormat="1" ht="13.2"/>
    <row r="8268" s="299" customFormat="1" ht="13.2"/>
    <row r="8269" s="299" customFormat="1" ht="13.2"/>
    <row r="8270" s="299" customFormat="1" ht="13.2"/>
    <row r="8271" s="299" customFormat="1" ht="13.2"/>
    <row r="8272" s="299" customFormat="1" ht="13.2"/>
    <row r="8273" s="299" customFormat="1" ht="13.2"/>
    <row r="8274" s="299" customFormat="1" ht="13.2"/>
    <row r="8275" s="299" customFormat="1" ht="13.2"/>
    <row r="8276" s="299" customFormat="1" ht="13.2"/>
    <row r="8277" s="299" customFormat="1" ht="13.2"/>
    <row r="8278" s="299" customFormat="1" ht="13.2"/>
    <row r="8279" s="299" customFormat="1" ht="13.2"/>
    <row r="8280" s="299" customFormat="1" ht="13.2"/>
    <row r="8281" s="299" customFormat="1" ht="13.2"/>
    <row r="8282" s="299" customFormat="1" ht="13.2"/>
    <row r="8283" s="299" customFormat="1" ht="13.2"/>
    <row r="8284" s="299" customFormat="1" ht="13.2"/>
    <row r="8285" s="299" customFormat="1" ht="13.2"/>
    <row r="8286" s="299" customFormat="1" ht="13.2"/>
    <row r="8287" s="299" customFormat="1" ht="13.2"/>
    <row r="8288" s="299" customFormat="1" ht="13.2"/>
    <row r="8289" s="299" customFormat="1" ht="13.2"/>
    <row r="8290" s="299" customFormat="1" ht="13.2"/>
    <row r="8291" s="299" customFormat="1" ht="13.2"/>
    <row r="8292" s="299" customFormat="1" ht="13.2"/>
    <row r="8293" s="299" customFormat="1" ht="13.2"/>
    <row r="8294" s="299" customFormat="1" ht="13.2"/>
    <row r="8295" s="299" customFormat="1" ht="13.2"/>
    <row r="8296" s="299" customFormat="1" ht="13.2"/>
    <row r="8297" s="299" customFormat="1" ht="13.2"/>
    <row r="8298" s="299" customFormat="1" ht="13.2"/>
    <row r="8299" s="299" customFormat="1" ht="13.2"/>
    <row r="8300" s="299" customFormat="1" ht="13.2"/>
    <row r="8301" s="299" customFormat="1" ht="13.2"/>
    <row r="8302" s="299" customFormat="1" ht="13.2"/>
    <row r="8303" s="299" customFormat="1" ht="13.2"/>
    <row r="8304" s="299" customFormat="1" ht="13.2"/>
    <row r="8305" s="299" customFormat="1" ht="13.2"/>
    <row r="8306" s="299" customFormat="1" ht="13.2"/>
    <row r="8307" s="299" customFormat="1" ht="13.2"/>
    <row r="8308" s="299" customFormat="1" ht="13.2"/>
    <row r="8309" s="299" customFormat="1" ht="13.2"/>
    <row r="8310" s="299" customFormat="1" ht="13.2"/>
    <row r="8311" s="299" customFormat="1" ht="13.2"/>
    <row r="8312" s="299" customFormat="1" ht="13.2"/>
    <row r="8313" s="299" customFormat="1" ht="13.2"/>
    <row r="8314" s="299" customFormat="1" ht="13.2"/>
    <row r="8315" s="299" customFormat="1" ht="13.2"/>
    <row r="8316" s="299" customFormat="1" ht="13.2"/>
    <row r="8317" s="299" customFormat="1" ht="13.2"/>
    <row r="8318" s="299" customFormat="1" ht="13.2"/>
    <row r="8319" s="299" customFormat="1" ht="13.2"/>
    <row r="8320" s="299" customFormat="1" ht="13.2"/>
    <row r="8321" s="299" customFormat="1" ht="13.2"/>
    <row r="8322" s="299" customFormat="1" ht="13.2"/>
    <row r="8323" s="299" customFormat="1" ht="13.2"/>
    <row r="8324" s="299" customFormat="1" ht="13.2"/>
    <row r="8325" s="299" customFormat="1" ht="13.2"/>
    <row r="8326" s="299" customFormat="1" ht="13.2"/>
    <row r="8327" s="299" customFormat="1" ht="13.2"/>
    <row r="8328" s="299" customFormat="1" ht="13.2"/>
    <row r="8329" s="299" customFormat="1" ht="13.2"/>
    <row r="8330" s="299" customFormat="1" ht="13.2"/>
    <row r="8331" s="299" customFormat="1" ht="13.2"/>
    <row r="8332" s="299" customFormat="1" ht="13.2"/>
    <row r="8333" s="299" customFormat="1" ht="13.2"/>
    <row r="8334" s="299" customFormat="1" ht="13.2"/>
    <row r="8335" s="299" customFormat="1" ht="13.2"/>
    <row r="8336" s="299" customFormat="1" ht="13.2"/>
    <row r="8337" s="299" customFormat="1" ht="13.2"/>
    <row r="8338" s="299" customFormat="1" ht="13.2"/>
    <row r="8339" s="299" customFormat="1" ht="13.2"/>
    <row r="8340" s="299" customFormat="1" ht="13.2"/>
    <row r="8341" s="299" customFormat="1" ht="13.2"/>
    <row r="8342" s="299" customFormat="1" ht="13.2"/>
    <row r="8343" s="299" customFormat="1" ht="13.2"/>
    <row r="8344" s="299" customFormat="1" ht="13.2"/>
    <row r="8345" s="299" customFormat="1" ht="13.2"/>
    <row r="8346" s="299" customFormat="1" ht="13.2"/>
    <row r="8347" s="299" customFormat="1" ht="13.2"/>
    <row r="8348" s="299" customFormat="1" ht="13.2"/>
    <row r="8349" s="299" customFormat="1" ht="13.2"/>
    <row r="8350" s="299" customFormat="1" ht="13.2"/>
    <row r="8351" s="299" customFormat="1" ht="13.2"/>
    <row r="8352" s="299" customFormat="1" ht="13.2"/>
    <row r="8353" s="299" customFormat="1" ht="13.2"/>
    <row r="8354" s="299" customFormat="1" ht="13.2"/>
    <row r="8355" s="299" customFormat="1" ht="13.2"/>
    <row r="8356" s="299" customFormat="1" ht="13.2"/>
    <row r="8357" s="299" customFormat="1" ht="13.2"/>
    <row r="8358" s="299" customFormat="1" ht="13.2"/>
    <row r="8359" s="299" customFormat="1" ht="13.2"/>
    <row r="8360" s="299" customFormat="1" ht="13.2"/>
    <row r="8361" s="299" customFormat="1" ht="13.2"/>
    <row r="8362" s="299" customFormat="1" ht="13.2"/>
    <row r="8363" s="299" customFormat="1" ht="13.2"/>
    <row r="8364" s="299" customFormat="1" ht="13.2"/>
    <row r="8365" s="299" customFormat="1" ht="13.2"/>
    <row r="8366" s="299" customFormat="1" ht="13.2"/>
    <row r="8367" s="299" customFormat="1" ht="13.2"/>
    <row r="8368" s="299" customFormat="1" ht="13.2"/>
    <row r="8369" s="299" customFormat="1" ht="13.2"/>
    <row r="8370" s="299" customFormat="1" ht="13.2"/>
    <row r="8371" s="299" customFormat="1" ht="13.2"/>
    <row r="8372" s="299" customFormat="1" ht="13.2"/>
    <row r="8373" s="299" customFormat="1" ht="13.2"/>
    <row r="8374" s="299" customFormat="1" ht="13.2"/>
    <row r="8375" s="299" customFormat="1" ht="13.2"/>
    <row r="8376" s="299" customFormat="1" ht="13.2"/>
    <row r="8377" s="299" customFormat="1" ht="13.2"/>
    <row r="8378" s="299" customFormat="1" ht="13.2"/>
    <row r="8379" s="299" customFormat="1" ht="13.2"/>
    <row r="8380" s="299" customFormat="1" ht="13.2"/>
    <row r="8381" s="299" customFormat="1" ht="13.2"/>
    <row r="8382" s="299" customFormat="1" ht="13.2"/>
    <row r="8383" s="299" customFormat="1" ht="13.2"/>
    <row r="8384" s="299" customFormat="1" ht="13.2"/>
    <row r="8385" s="299" customFormat="1" ht="13.2"/>
    <row r="8386" s="299" customFormat="1" ht="13.2"/>
    <row r="8387" s="299" customFormat="1" ht="13.2"/>
    <row r="8388" s="299" customFormat="1" ht="13.2"/>
    <row r="8389" s="299" customFormat="1" ht="13.2"/>
    <row r="8390" s="299" customFormat="1" ht="13.2"/>
    <row r="8391" s="299" customFormat="1" ht="13.2"/>
    <row r="8392" s="299" customFormat="1" ht="13.2"/>
    <row r="8393" s="299" customFormat="1" ht="13.2"/>
    <row r="8394" s="299" customFormat="1" ht="13.2"/>
    <row r="8395" s="299" customFormat="1" ht="13.2"/>
    <row r="8396" s="299" customFormat="1" ht="13.2"/>
    <row r="8397" s="299" customFormat="1" ht="13.2"/>
    <row r="8398" s="299" customFormat="1" ht="13.2"/>
    <row r="8399" s="299" customFormat="1" ht="13.2"/>
    <row r="8400" s="299" customFormat="1" ht="13.2"/>
    <row r="8401" s="299" customFormat="1" ht="13.2"/>
    <row r="8402" s="299" customFormat="1" ht="13.2"/>
    <row r="8403" s="299" customFormat="1" ht="13.2"/>
    <row r="8404" s="299" customFormat="1" ht="13.2"/>
    <row r="8405" s="299" customFormat="1" ht="13.2"/>
    <row r="8406" s="299" customFormat="1" ht="13.2"/>
    <row r="8407" s="299" customFormat="1" ht="13.2"/>
    <row r="8408" s="299" customFormat="1" ht="13.2"/>
    <row r="8409" s="299" customFormat="1" ht="13.2"/>
    <row r="8410" s="299" customFormat="1" ht="13.2"/>
    <row r="8411" s="299" customFormat="1" ht="13.2"/>
    <row r="8412" s="299" customFormat="1" ht="13.2"/>
    <row r="8413" s="299" customFormat="1" ht="13.2"/>
    <row r="8414" s="299" customFormat="1" ht="13.2"/>
    <row r="8415" s="299" customFormat="1" ht="13.2"/>
    <row r="8416" s="299" customFormat="1" ht="13.2"/>
    <row r="8417" s="299" customFormat="1" ht="13.2"/>
    <row r="8418" s="299" customFormat="1" ht="13.2"/>
    <row r="8419" s="299" customFormat="1" ht="13.2"/>
    <row r="8420" s="299" customFormat="1" ht="13.2"/>
    <row r="8421" s="299" customFormat="1" ht="13.2"/>
    <row r="8422" s="299" customFormat="1" ht="13.2"/>
    <row r="8423" s="299" customFormat="1" ht="13.2"/>
    <row r="8424" s="299" customFormat="1" ht="13.2"/>
    <row r="8425" s="299" customFormat="1" ht="13.2"/>
    <row r="8426" s="299" customFormat="1" ht="13.2"/>
    <row r="8427" s="299" customFormat="1" ht="13.2"/>
    <row r="8428" s="299" customFormat="1" ht="13.2"/>
    <row r="8429" s="299" customFormat="1" ht="13.2"/>
    <row r="8430" s="299" customFormat="1" ht="13.2"/>
    <row r="8431" s="299" customFormat="1" ht="13.2"/>
    <row r="8432" s="299" customFormat="1" ht="13.2"/>
    <row r="8433" s="299" customFormat="1" ht="13.2"/>
    <row r="8434" s="299" customFormat="1" ht="13.2"/>
    <row r="8435" s="299" customFormat="1" ht="13.2"/>
    <row r="8436" s="299" customFormat="1" ht="13.2"/>
    <row r="8437" s="299" customFormat="1" ht="13.2"/>
    <row r="8438" s="299" customFormat="1" ht="13.2"/>
    <row r="8439" s="299" customFormat="1" ht="13.2"/>
    <row r="8440" s="299" customFormat="1" ht="13.2"/>
    <row r="8441" s="299" customFormat="1" ht="13.2"/>
    <row r="8442" s="299" customFormat="1" ht="13.2"/>
    <row r="8443" s="299" customFormat="1" ht="13.2"/>
    <row r="8444" s="299" customFormat="1" ht="13.2"/>
    <row r="8445" s="299" customFormat="1" ht="13.2"/>
    <row r="8446" s="299" customFormat="1" ht="13.2"/>
    <row r="8447" s="299" customFormat="1" ht="13.2"/>
    <row r="8448" s="299" customFormat="1" ht="13.2"/>
    <row r="8449" s="299" customFormat="1" ht="13.2"/>
    <row r="8450" s="299" customFormat="1" ht="13.2"/>
    <row r="8451" s="299" customFormat="1" ht="13.2"/>
    <row r="8452" s="299" customFormat="1" ht="13.2"/>
    <row r="8453" s="299" customFormat="1" ht="13.2"/>
    <row r="8454" s="299" customFormat="1" ht="13.2"/>
    <row r="8455" s="299" customFormat="1" ht="13.2"/>
    <row r="8456" s="299" customFormat="1" ht="13.2"/>
    <row r="8457" s="299" customFormat="1" ht="13.2"/>
    <row r="8458" s="299" customFormat="1" ht="13.2"/>
    <row r="8459" s="299" customFormat="1" ht="13.2"/>
    <row r="8460" s="299" customFormat="1" ht="13.2"/>
    <row r="8461" s="299" customFormat="1" ht="13.2"/>
    <row r="8462" s="299" customFormat="1" ht="13.2"/>
    <row r="8463" s="299" customFormat="1" ht="13.2"/>
    <row r="8464" s="299" customFormat="1" ht="13.2"/>
    <row r="8465" s="299" customFormat="1" ht="13.2"/>
    <row r="8466" s="299" customFormat="1" ht="13.2"/>
    <row r="8467" s="299" customFormat="1" ht="13.2"/>
    <row r="8468" s="299" customFormat="1" ht="13.2"/>
    <row r="8469" s="299" customFormat="1" ht="13.2"/>
    <row r="8470" s="299" customFormat="1" ht="13.2"/>
    <row r="8471" s="299" customFormat="1" ht="13.2"/>
    <row r="8472" s="299" customFormat="1" ht="13.2"/>
    <row r="8473" s="299" customFormat="1" ht="13.2"/>
    <row r="8474" s="299" customFormat="1" ht="13.2"/>
    <row r="8475" s="299" customFormat="1" ht="13.2"/>
    <row r="8476" s="299" customFormat="1" ht="13.2"/>
    <row r="8477" s="299" customFormat="1" ht="13.2"/>
    <row r="8478" s="299" customFormat="1" ht="13.2"/>
    <row r="8479" s="299" customFormat="1" ht="13.2"/>
    <row r="8480" s="299" customFormat="1" ht="13.2"/>
    <row r="8481" s="299" customFormat="1" ht="13.2"/>
    <row r="8482" s="299" customFormat="1" ht="13.2"/>
    <row r="8483" s="299" customFormat="1" ht="13.2"/>
    <row r="8484" s="299" customFormat="1" ht="13.2"/>
    <row r="8485" s="299" customFormat="1" ht="13.2"/>
    <row r="8486" s="299" customFormat="1" ht="13.2"/>
    <row r="8487" s="299" customFormat="1" ht="13.2"/>
    <row r="8488" s="299" customFormat="1" ht="13.2"/>
    <row r="8489" s="299" customFormat="1" ht="13.2"/>
    <row r="8490" s="299" customFormat="1" ht="13.2"/>
    <row r="8491" s="299" customFormat="1" ht="13.2"/>
    <row r="8492" s="299" customFormat="1" ht="13.2"/>
    <row r="8493" s="299" customFormat="1" ht="13.2"/>
    <row r="8494" s="299" customFormat="1" ht="13.2"/>
    <row r="8495" s="299" customFormat="1" ht="13.2"/>
    <row r="8496" s="299" customFormat="1" ht="13.2"/>
    <row r="8497" s="299" customFormat="1" ht="13.2"/>
    <row r="8498" s="299" customFormat="1" ht="13.2"/>
    <row r="8499" s="299" customFormat="1" ht="13.2"/>
    <row r="8500" s="299" customFormat="1" ht="13.2"/>
    <row r="8501" s="299" customFormat="1" ht="13.2"/>
    <row r="8502" s="299" customFormat="1" ht="13.2"/>
    <row r="8503" s="299" customFormat="1" ht="13.2"/>
    <row r="8504" s="299" customFormat="1" ht="13.2"/>
    <row r="8505" s="299" customFormat="1" ht="13.2"/>
    <row r="8506" s="299" customFormat="1" ht="13.2"/>
    <row r="8507" s="299" customFormat="1" ht="13.2"/>
    <row r="8508" s="299" customFormat="1" ht="13.2"/>
    <row r="8509" s="299" customFormat="1" ht="13.2"/>
    <row r="8510" s="299" customFormat="1" ht="13.2"/>
    <row r="8511" s="299" customFormat="1" ht="13.2"/>
    <row r="8512" s="299" customFormat="1" ht="13.2"/>
    <row r="8513" s="299" customFormat="1" ht="13.2"/>
    <row r="8514" s="299" customFormat="1" ht="13.2"/>
    <row r="8515" s="299" customFormat="1" ht="13.2"/>
    <row r="8516" s="299" customFormat="1" ht="13.2"/>
    <row r="8517" s="299" customFormat="1" ht="13.2"/>
    <row r="8518" s="299" customFormat="1" ht="13.2"/>
    <row r="8519" s="299" customFormat="1" ht="13.2"/>
    <row r="8520" s="299" customFormat="1" ht="13.2"/>
    <row r="8521" s="299" customFormat="1" ht="13.2"/>
    <row r="8522" s="299" customFormat="1" ht="13.2"/>
    <row r="8523" s="299" customFormat="1" ht="13.2"/>
    <row r="8524" s="299" customFormat="1" ht="13.2"/>
    <row r="8525" s="299" customFormat="1" ht="13.2"/>
    <row r="8526" s="299" customFormat="1" ht="13.2"/>
    <row r="8527" s="299" customFormat="1" ht="13.2"/>
    <row r="8528" s="299" customFormat="1" ht="13.2"/>
    <row r="8529" s="299" customFormat="1" ht="13.2"/>
    <row r="8530" s="299" customFormat="1" ht="13.2"/>
    <row r="8531" s="299" customFormat="1" ht="13.2"/>
    <row r="8532" s="299" customFormat="1" ht="13.2"/>
    <row r="8533" s="299" customFormat="1" ht="13.2"/>
    <row r="8534" s="299" customFormat="1" ht="13.2"/>
    <row r="8535" s="299" customFormat="1" ht="13.2"/>
    <row r="8536" s="299" customFormat="1" ht="13.2"/>
    <row r="8537" s="299" customFormat="1" ht="13.2"/>
    <row r="8538" s="299" customFormat="1" ht="13.2"/>
    <row r="8539" s="299" customFormat="1" ht="13.2"/>
    <row r="8540" s="299" customFormat="1" ht="13.2"/>
    <row r="8541" s="299" customFormat="1" ht="13.2"/>
    <row r="8542" s="299" customFormat="1" ht="13.2"/>
    <row r="8543" s="299" customFormat="1" ht="13.2"/>
    <row r="8544" s="299" customFormat="1" ht="13.2"/>
    <row r="8545" s="299" customFormat="1" ht="13.2"/>
    <row r="8546" s="299" customFormat="1" ht="13.2"/>
    <row r="8547" s="299" customFormat="1" ht="13.2"/>
    <row r="8548" s="299" customFormat="1" ht="13.2"/>
    <row r="8549" s="299" customFormat="1" ht="13.2"/>
    <row r="8550" s="299" customFormat="1" ht="13.2"/>
    <row r="8551" s="299" customFormat="1" ht="13.2"/>
    <row r="8552" s="299" customFormat="1" ht="13.2"/>
    <row r="8553" s="299" customFormat="1" ht="13.2"/>
    <row r="8554" s="299" customFormat="1" ht="13.2"/>
    <row r="8555" s="299" customFormat="1" ht="13.2"/>
    <row r="8556" s="299" customFormat="1" ht="13.2"/>
    <row r="8557" s="299" customFormat="1" ht="13.2"/>
    <row r="8558" s="299" customFormat="1" ht="13.2"/>
    <row r="8559" s="299" customFormat="1" ht="13.2"/>
    <row r="8560" s="299" customFormat="1" ht="13.2"/>
    <row r="8561" s="299" customFormat="1" ht="13.2"/>
    <row r="8562" s="299" customFormat="1" ht="13.2"/>
    <row r="8563" s="299" customFormat="1" ht="13.2"/>
    <row r="8564" s="299" customFormat="1" ht="13.2"/>
    <row r="8565" s="299" customFormat="1" ht="13.2"/>
    <row r="8566" s="299" customFormat="1" ht="13.2"/>
    <row r="8567" s="299" customFormat="1" ht="13.2"/>
    <row r="8568" s="299" customFormat="1" ht="13.2"/>
    <row r="8569" s="299" customFormat="1" ht="13.2"/>
    <row r="8570" s="299" customFormat="1" ht="13.2"/>
    <row r="8571" s="299" customFormat="1" ht="13.2"/>
    <row r="8572" s="299" customFormat="1" ht="13.2"/>
    <row r="8573" s="299" customFormat="1" ht="13.2"/>
    <row r="8574" s="299" customFormat="1" ht="13.2"/>
    <row r="8575" s="299" customFormat="1" ht="13.2"/>
    <row r="8576" s="299" customFormat="1" ht="13.2"/>
    <row r="8577" s="299" customFormat="1" ht="13.2"/>
    <row r="8578" s="299" customFormat="1" ht="13.2"/>
    <row r="8579" s="299" customFormat="1" ht="13.2"/>
    <row r="8580" s="299" customFormat="1" ht="13.2"/>
    <row r="8581" s="299" customFormat="1" ht="13.2"/>
    <row r="8582" s="299" customFormat="1" ht="13.2"/>
    <row r="8583" s="299" customFormat="1" ht="13.2"/>
    <row r="8584" s="299" customFormat="1" ht="13.2"/>
    <row r="8585" s="299" customFormat="1" ht="13.2"/>
    <row r="8586" s="299" customFormat="1" ht="13.2"/>
    <row r="8587" s="299" customFormat="1" ht="13.2"/>
    <row r="8588" s="299" customFormat="1" ht="13.2"/>
    <row r="8589" s="299" customFormat="1" ht="13.2"/>
    <row r="8590" s="299" customFormat="1" ht="13.2"/>
    <row r="8591" s="299" customFormat="1" ht="13.2"/>
    <row r="8592" s="299" customFormat="1" ht="13.2"/>
    <row r="8593" s="299" customFormat="1" ht="13.2"/>
    <row r="8594" s="299" customFormat="1" ht="13.2"/>
    <row r="8595" s="299" customFormat="1" ht="13.2"/>
    <row r="8596" s="299" customFormat="1" ht="13.2"/>
    <row r="8597" s="299" customFormat="1" ht="13.2"/>
    <row r="8598" s="299" customFormat="1" ht="13.2"/>
    <row r="8599" s="299" customFormat="1" ht="13.2"/>
    <row r="8600" s="299" customFormat="1" ht="13.2"/>
    <row r="8601" s="299" customFormat="1" ht="13.2"/>
    <row r="8602" s="299" customFormat="1" ht="13.2"/>
    <row r="8603" s="299" customFormat="1" ht="13.2"/>
    <row r="8604" s="299" customFormat="1" ht="13.2"/>
    <row r="8605" s="299" customFormat="1" ht="13.2"/>
    <row r="8606" s="299" customFormat="1" ht="13.2"/>
    <row r="8607" s="299" customFormat="1" ht="13.2"/>
    <row r="8608" s="299" customFormat="1" ht="13.2"/>
    <row r="8609" s="299" customFormat="1" ht="13.2"/>
    <row r="8610" s="299" customFormat="1" ht="13.2"/>
    <row r="8611" s="299" customFormat="1" ht="13.2"/>
    <row r="8612" s="299" customFormat="1" ht="13.2"/>
    <row r="8613" s="299" customFormat="1" ht="13.2"/>
    <row r="8614" s="299" customFormat="1" ht="13.2"/>
    <row r="8615" s="299" customFormat="1" ht="13.2"/>
    <row r="8616" s="299" customFormat="1" ht="13.2"/>
    <row r="8617" s="299" customFormat="1" ht="13.2"/>
    <row r="8618" s="299" customFormat="1" ht="13.2"/>
    <row r="8619" s="299" customFormat="1" ht="13.2"/>
    <row r="8620" s="299" customFormat="1" ht="13.2"/>
    <row r="8621" s="299" customFormat="1" ht="13.2"/>
    <row r="8622" s="299" customFormat="1" ht="13.2"/>
    <row r="8623" s="299" customFormat="1" ht="13.2"/>
    <row r="8624" s="299" customFormat="1" ht="13.2"/>
    <row r="8625" s="299" customFormat="1" ht="13.2"/>
    <row r="8626" s="299" customFormat="1" ht="13.2"/>
    <row r="8627" s="299" customFormat="1" ht="13.2"/>
    <row r="8628" s="299" customFormat="1" ht="13.2"/>
    <row r="8629" s="299" customFormat="1" ht="13.2"/>
    <row r="8630" s="299" customFormat="1" ht="13.2"/>
    <row r="8631" s="299" customFormat="1" ht="13.2"/>
    <row r="8632" s="299" customFormat="1" ht="13.2"/>
    <row r="8633" s="299" customFormat="1" ht="13.2"/>
    <row r="8634" s="299" customFormat="1" ht="13.2"/>
    <row r="8635" s="299" customFormat="1" ht="13.2"/>
    <row r="8636" s="299" customFormat="1" ht="13.2"/>
    <row r="8637" s="299" customFormat="1" ht="13.2"/>
    <row r="8638" s="299" customFormat="1" ht="13.2"/>
    <row r="8639" s="299" customFormat="1" ht="13.2"/>
    <row r="8640" s="299" customFormat="1" ht="13.2"/>
    <row r="8641" s="299" customFormat="1" ht="13.2"/>
    <row r="8642" s="299" customFormat="1" ht="13.2"/>
    <row r="8643" s="299" customFormat="1" ht="13.2"/>
    <row r="8644" s="299" customFormat="1" ht="13.2"/>
    <row r="8645" s="299" customFormat="1" ht="13.2"/>
    <row r="8646" s="299" customFormat="1" ht="13.2"/>
    <row r="8647" s="299" customFormat="1" ht="13.2"/>
    <row r="8648" s="299" customFormat="1" ht="13.2"/>
    <row r="8649" s="299" customFormat="1" ht="13.2"/>
    <row r="8650" s="299" customFormat="1" ht="13.2"/>
    <row r="8651" s="299" customFormat="1" ht="13.2"/>
    <row r="8652" s="299" customFormat="1" ht="13.2"/>
    <row r="8653" s="299" customFormat="1" ht="13.2"/>
    <row r="8654" s="299" customFormat="1" ht="13.2"/>
    <row r="8655" s="299" customFormat="1" ht="13.2"/>
    <row r="8656" s="299" customFormat="1" ht="13.2"/>
    <row r="8657" s="299" customFormat="1" ht="13.2"/>
    <row r="8658" s="299" customFormat="1" ht="13.2"/>
    <row r="8659" s="299" customFormat="1" ht="13.2"/>
    <row r="8660" s="299" customFormat="1" ht="13.2"/>
    <row r="8661" s="299" customFormat="1" ht="13.2"/>
    <row r="8662" s="299" customFormat="1" ht="13.2"/>
    <row r="8663" s="299" customFormat="1" ht="13.2"/>
    <row r="8664" s="299" customFormat="1" ht="13.2"/>
    <row r="8665" s="299" customFormat="1" ht="13.2"/>
    <row r="8666" s="299" customFormat="1" ht="13.2"/>
    <row r="8667" s="299" customFormat="1" ht="13.2"/>
    <row r="8668" s="299" customFormat="1" ht="13.2"/>
    <row r="8669" s="299" customFormat="1" ht="13.2"/>
    <row r="8670" s="299" customFormat="1" ht="13.2"/>
    <row r="8671" s="299" customFormat="1" ht="13.2"/>
    <row r="8672" s="299" customFormat="1" ht="13.2"/>
    <row r="8673" s="299" customFormat="1" ht="13.2"/>
    <row r="8674" s="299" customFormat="1" ht="13.2"/>
    <row r="8675" s="299" customFormat="1" ht="13.2"/>
    <row r="8676" s="299" customFormat="1" ht="13.2"/>
    <row r="8677" s="299" customFormat="1" ht="13.2"/>
    <row r="8678" s="299" customFormat="1" ht="13.2"/>
    <row r="8679" s="299" customFormat="1" ht="13.2"/>
    <row r="8680" s="299" customFormat="1" ht="13.2"/>
    <row r="8681" s="299" customFormat="1" ht="13.2"/>
    <row r="8682" s="299" customFormat="1" ht="13.2"/>
    <row r="8683" s="299" customFormat="1" ht="13.2"/>
    <row r="8684" s="299" customFormat="1" ht="13.2"/>
    <row r="8685" s="299" customFormat="1" ht="13.2"/>
    <row r="8686" s="299" customFormat="1" ht="13.2"/>
    <row r="8687" s="299" customFormat="1" ht="13.2"/>
    <row r="8688" s="299" customFormat="1" ht="13.2"/>
    <row r="8689" s="299" customFormat="1" ht="13.2"/>
    <row r="8690" s="299" customFormat="1" ht="13.2"/>
    <row r="8691" s="299" customFormat="1" ht="13.2"/>
    <row r="8692" s="299" customFormat="1" ht="13.2"/>
    <row r="8693" s="299" customFormat="1" ht="13.2"/>
    <row r="8694" s="299" customFormat="1" ht="13.2"/>
    <row r="8695" s="299" customFormat="1" ht="13.2"/>
    <row r="8696" s="299" customFormat="1" ht="13.2"/>
    <row r="8697" s="299" customFormat="1" ht="13.2"/>
    <row r="8698" s="299" customFormat="1" ht="13.2"/>
    <row r="8699" s="299" customFormat="1" ht="13.2"/>
    <row r="8700" s="299" customFormat="1" ht="13.2"/>
    <row r="8701" s="299" customFormat="1" ht="13.2"/>
    <row r="8702" s="299" customFormat="1" ht="13.2"/>
    <row r="8703" s="299" customFormat="1" ht="13.2"/>
    <row r="8704" s="299" customFormat="1" ht="13.2"/>
    <row r="8705" s="299" customFormat="1" ht="13.2"/>
    <row r="8706" s="299" customFormat="1" ht="13.2"/>
    <row r="8707" s="299" customFormat="1" ht="13.2"/>
    <row r="8708" s="299" customFormat="1" ht="13.2"/>
    <row r="8709" s="299" customFormat="1" ht="13.2"/>
    <row r="8710" s="299" customFormat="1" ht="13.2"/>
    <row r="8711" s="299" customFormat="1" ht="13.2"/>
    <row r="8712" s="299" customFormat="1" ht="13.2"/>
    <row r="8713" s="299" customFormat="1" ht="13.2"/>
    <row r="8714" s="299" customFormat="1" ht="13.2"/>
    <row r="8715" s="299" customFormat="1" ht="13.2"/>
    <row r="8716" s="299" customFormat="1" ht="13.2"/>
    <row r="8717" s="299" customFormat="1" ht="13.2"/>
    <row r="8718" s="299" customFormat="1" ht="13.2"/>
    <row r="8719" s="299" customFormat="1" ht="13.2"/>
    <row r="8720" s="299" customFormat="1" ht="13.2"/>
    <row r="8721" s="299" customFormat="1" ht="13.2"/>
    <row r="8722" s="299" customFormat="1" ht="13.2"/>
    <row r="8723" s="299" customFormat="1" ht="13.2"/>
    <row r="8724" s="299" customFormat="1" ht="13.2"/>
    <row r="8725" s="299" customFormat="1" ht="13.2"/>
    <row r="8726" s="299" customFormat="1" ht="13.2"/>
    <row r="8727" s="299" customFormat="1" ht="13.2"/>
    <row r="8728" s="299" customFormat="1" ht="13.2"/>
    <row r="8729" s="299" customFormat="1" ht="13.2"/>
    <row r="8730" s="299" customFormat="1" ht="13.2"/>
    <row r="8731" s="299" customFormat="1" ht="13.2"/>
    <row r="8732" s="299" customFormat="1" ht="13.2"/>
    <row r="8733" s="299" customFormat="1" ht="13.2"/>
    <row r="8734" s="299" customFormat="1" ht="13.2"/>
    <row r="8735" s="299" customFormat="1" ht="13.2"/>
    <row r="8736" s="299" customFormat="1" ht="13.2"/>
    <row r="8737" s="299" customFormat="1" ht="13.2"/>
    <row r="8738" s="299" customFormat="1" ht="13.2"/>
    <row r="8739" s="299" customFormat="1" ht="13.2"/>
    <row r="8740" s="299" customFormat="1" ht="13.2"/>
    <row r="8741" s="299" customFormat="1" ht="13.2"/>
    <row r="8742" s="299" customFormat="1" ht="13.2"/>
    <row r="8743" s="299" customFormat="1" ht="13.2"/>
    <row r="8744" s="299" customFormat="1" ht="13.2"/>
    <row r="8745" s="299" customFormat="1" ht="13.2"/>
    <row r="8746" s="299" customFormat="1" ht="13.2"/>
    <row r="8747" s="299" customFormat="1" ht="13.2"/>
    <row r="8748" s="299" customFormat="1" ht="13.2"/>
    <row r="8749" s="299" customFormat="1" ht="13.2"/>
    <row r="8750" s="299" customFormat="1" ht="13.2"/>
    <row r="8751" s="299" customFormat="1" ht="13.2"/>
    <row r="8752" s="299" customFormat="1" ht="13.2"/>
    <row r="8753" s="299" customFormat="1" ht="13.2"/>
    <row r="8754" s="299" customFormat="1" ht="13.2"/>
    <row r="8755" s="299" customFormat="1" ht="13.2"/>
    <row r="8756" s="299" customFormat="1" ht="13.2"/>
    <row r="8757" s="299" customFormat="1" ht="13.2"/>
    <row r="8758" s="299" customFormat="1" ht="13.2"/>
    <row r="8759" s="299" customFormat="1" ht="13.2"/>
    <row r="8760" s="299" customFormat="1" ht="13.2"/>
    <row r="8761" s="299" customFormat="1" ht="13.2"/>
    <row r="8762" s="299" customFormat="1" ht="13.2"/>
    <row r="8763" s="299" customFormat="1" ht="13.2"/>
    <row r="8764" s="299" customFormat="1" ht="13.2"/>
    <row r="8765" s="299" customFormat="1" ht="13.2"/>
    <row r="8766" s="299" customFormat="1" ht="13.2"/>
    <row r="8767" s="299" customFormat="1" ht="13.2"/>
    <row r="8768" s="299" customFormat="1" ht="13.2"/>
    <row r="8769" s="299" customFormat="1" ht="13.2"/>
    <row r="8770" s="299" customFormat="1" ht="13.2"/>
    <row r="8771" s="299" customFormat="1" ht="13.2"/>
    <row r="8772" s="299" customFormat="1" ht="13.2"/>
    <row r="8773" s="299" customFormat="1" ht="13.2"/>
    <row r="8774" s="299" customFormat="1" ht="13.2"/>
    <row r="8775" s="299" customFormat="1" ht="13.2"/>
    <row r="8776" s="299" customFormat="1" ht="13.2"/>
    <row r="8777" s="299" customFormat="1" ht="13.2"/>
    <row r="8778" s="299" customFormat="1" ht="13.2"/>
    <row r="8779" s="299" customFormat="1" ht="13.2"/>
    <row r="8780" s="299" customFormat="1" ht="13.2"/>
    <row r="8781" s="299" customFormat="1" ht="13.2"/>
    <row r="8782" s="299" customFormat="1" ht="13.2"/>
    <row r="8783" s="299" customFormat="1" ht="13.2"/>
    <row r="8784" s="299" customFormat="1" ht="13.2"/>
    <row r="8785" s="299" customFormat="1" ht="13.2"/>
    <row r="8786" s="299" customFormat="1" ht="13.2"/>
    <row r="8787" s="299" customFormat="1" ht="13.2"/>
    <row r="8788" s="299" customFormat="1" ht="13.2"/>
    <row r="8789" s="299" customFormat="1" ht="13.2"/>
    <row r="8790" s="299" customFormat="1" ht="13.2"/>
    <row r="8791" s="299" customFormat="1" ht="13.2"/>
    <row r="8792" s="299" customFormat="1" ht="13.2"/>
    <row r="8793" s="299" customFormat="1" ht="13.2"/>
    <row r="8794" s="299" customFormat="1" ht="13.2"/>
    <row r="8795" s="299" customFormat="1" ht="13.2"/>
    <row r="8796" s="299" customFormat="1" ht="13.2"/>
    <row r="8797" s="299" customFormat="1" ht="13.2"/>
    <row r="8798" s="299" customFormat="1" ht="13.2"/>
    <row r="8799" s="299" customFormat="1" ht="13.2"/>
    <row r="8800" s="299" customFormat="1" ht="13.2"/>
    <row r="8801" s="299" customFormat="1" ht="13.2"/>
    <row r="8802" s="299" customFormat="1" ht="13.2"/>
    <row r="8803" s="299" customFormat="1" ht="13.2"/>
    <row r="8804" s="299" customFormat="1" ht="13.2"/>
    <row r="8805" s="299" customFormat="1" ht="13.2"/>
    <row r="8806" s="299" customFormat="1" ht="13.2"/>
    <row r="8807" s="299" customFormat="1" ht="13.2"/>
    <row r="8808" s="299" customFormat="1" ht="13.2"/>
    <row r="8809" s="299" customFormat="1" ht="13.2"/>
    <row r="8810" s="299" customFormat="1" ht="13.2"/>
    <row r="8811" s="299" customFormat="1" ht="13.2"/>
    <row r="8812" s="299" customFormat="1" ht="13.2"/>
    <row r="8813" s="299" customFormat="1" ht="13.2"/>
    <row r="8814" s="299" customFormat="1" ht="13.2"/>
    <row r="8815" s="299" customFormat="1" ht="13.2"/>
    <row r="8816" s="299" customFormat="1" ht="13.2"/>
    <row r="8817" s="299" customFormat="1" ht="13.2"/>
    <row r="8818" s="299" customFormat="1" ht="13.2"/>
    <row r="8819" s="299" customFormat="1" ht="13.2"/>
    <row r="8820" s="299" customFormat="1" ht="13.2"/>
    <row r="8821" s="299" customFormat="1" ht="13.2"/>
    <row r="8822" s="299" customFormat="1" ht="13.2"/>
    <row r="8823" s="299" customFormat="1" ht="13.2"/>
    <row r="8824" s="299" customFormat="1" ht="13.2"/>
    <row r="8825" s="299" customFormat="1" ht="13.2"/>
    <row r="8826" s="299" customFormat="1" ht="13.2"/>
    <row r="8827" s="299" customFormat="1" ht="13.2"/>
    <row r="8828" s="299" customFormat="1" ht="13.2"/>
    <row r="8829" s="299" customFormat="1" ht="13.2"/>
    <row r="8830" s="299" customFormat="1" ht="13.2"/>
    <row r="8831" s="299" customFormat="1" ht="13.2"/>
    <row r="8832" s="299" customFormat="1" ht="13.2"/>
    <row r="8833" s="299" customFormat="1" ht="13.2"/>
    <row r="8834" s="299" customFormat="1" ht="13.2"/>
    <row r="8835" s="299" customFormat="1" ht="13.2"/>
    <row r="8836" s="299" customFormat="1" ht="13.2"/>
    <row r="8837" s="299" customFormat="1" ht="13.2"/>
    <row r="8838" s="299" customFormat="1" ht="13.2"/>
    <row r="8839" s="299" customFormat="1" ht="13.2"/>
    <row r="8840" s="299" customFormat="1" ht="13.2"/>
    <row r="8841" s="299" customFormat="1" ht="13.2"/>
    <row r="8842" s="299" customFormat="1" ht="13.2"/>
    <row r="8843" s="299" customFormat="1" ht="13.2"/>
    <row r="8844" s="299" customFormat="1" ht="13.2"/>
    <row r="8845" s="299" customFormat="1" ht="13.2"/>
    <row r="8846" s="299" customFormat="1" ht="13.2"/>
    <row r="8847" s="299" customFormat="1" ht="13.2"/>
    <row r="8848" s="299" customFormat="1" ht="13.2"/>
    <row r="8849" s="299" customFormat="1" ht="13.2"/>
    <row r="8850" s="299" customFormat="1" ht="13.2"/>
    <row r="8851" s="299" customFormat="1" ht="13.2"/>
    <row r="8852" s="299" customFormat="1" ht="13.2"/>
    <row r="8853" s="299" customFormat="1" ht="13.2"/>
    <row r="8854" s="299" customFormat="1" ht="13.2"/>
    <row r="8855" s="299" customFormat="1" ht="13.2"/>
    <row r="8856" s="299" customFormat="1" ht="13.2"/>
    <row r="8857" s="299" customFormat="1" ht="13.2"/>
    <row r="8858" s="299" customFormat="1" ht="13.2"/>
    <row r="8859" s="299" customFormat="1" ht="13.2"/>
    <row r="8860" s="299" customFormat="1" ht="13.2"/>
    <row r="8861" s="299" customFormat="1" ht="13.2"/>
    <row r="8862" s="299" customFormat="1" ht="13.2"/>
    <row r="8863" s="299" customFormat="1" ht="13.2"/>
    <row r="8864" s="299" customFormat="1" ht="13.2"/>
    <row r="8865" s="299" customFormat="1" ht="13.2"/>
    <row r="8866" s="299" customFormat="1" ht="13.2"/>
    <row r="8867" s="299" customFormat="1" ht="13.2"/>
    <row r="8868" s="299" customFormat="1" ht="13.2"/>
    <row r="8869" s="299" customFormat="1" ht="13.2"/>
    <row r="8870" s="299" customFormat="1" ht="13.2"/>
    <row r="8871" s="299" customFormat="1" ht="13.2"/>
    <row r="8872" s="299" customFormat="1" ht="13.2"/>
    <row r="8873" s="299" customFormat="1" ht="13.2"/>
    <row r="8874" s="299" customFormat="1" ht="13.2"/>
    <row r="8875" s="299" customFormat="1" ht="13.2"/>
    <row r="8876" s="299" customFormat="1" ht="13.2"/>
    <row r="8877" s="299" customFormat="1" ht="13.2"/>
    <row r="8878" s="299" customFormat="1" ht="13.2"/>
    <row r="8879" s="299" customFormat="1" ht="13.2"/>
    <row r="8880" s="299" customFormat="1" ht="13.2"/>
    <row r="8881" s="299" customFormat="1" ht="13.2"/>
    <row r="8882" s="299" customFormat="1" ht="13.2"/>
    <row r="8883" s="299" customFormat="1" ht="13.2"/>
    <row r="8884" s="299" customFormat="1" ht="13.2"/>
    <row r="8885" s="299" customFormat="1" ht="13.2"/>
    <row r="8886" s="299" customFormat="1" ht="13.2"/>
    <row r="8887" s="299" customFormat="1" ht="13.2"/>
    <row r="8888" s="299" customFormat="1" ht="13.2"/>
    <row r="8889" s="299" customFormat="1" ht="13.2"/>
    <row r="8890" s="299" customFormat="1" ht="13.2"/>
    <row r="8891" s="299" customFormat="1" ht="13.2"/>
    <row r="8892" s="299" customFormat="1" ht="13.2"/>
    <row r="8893" s="299" customFormat="1" ht="13.2"/>
    <row r="8894" s="299" customFormat="1" ht="13.2"/>
    <row r="8895" s="299" customFormat="1" ht="13.2"/>
    <row r="8896" s="299" customFormat="1" ht="13.2"/>
    <row r="8897" s="299" customFormat="1" ht="13.2"/>
    <row r="8898" s="299" customFormat="1" ht="13.2"/>
    <row r="8899" s="299" customFormat="1" ht="13.2"/>
    <row r="8900" s="299" customFormat="1" ht="13.2"/>
    <row r="8901" s="299" customFormat="1" ht="13.2"/>
    <row r="8902" s="299" customFormat="1" ht="13.2"/>
    <row r="8903" s="299" customFormat="1" ht="13.2"/>
    <row r="8904" s="299" customFormat="1" ht="13.2"/>
    <row r="8905" s="299" customFormat="1" ht="13.2"/>
    <row r="8906" s="299" customFormat="1" ht="13.2"/>
    <row r="8907" s="299" customFormat="1" ht="13.2"/>
    <row r="8908" s="299" customFormat="1" ht="13.2"/>
    <row r="8909" s="299" customFormat="1" ht="13.2"/>
    <row r="8910" s="299" customFormat="1" ht="13.2"/>
    <row r="8911" s="299" customFormat="1" ht="13.2"/>
    <row r="8912" s="299" customFormat="1" ht="13.2"/>
    <row r="8913" s="299" customFormat="1" ht="13.2"/>
    <row r="8914" s="299" customFormat="1" ht="13.2"/>
    <row r="8915" s="299" customFormat="1" ht="13.2"/>
    <row r="8916" s="299" customFormat="1" ht="13.2"/>
    <row r="8917" s="299" customFormat="1" ht="13.2"/>
    <row r="8918" s="299" customFormat="1" ht="13.2"/>
    <row r="8919" s="299" customFormat="1" ht="13.2"/>
    <row r="8920" s="299" customFormat="1" ht="13.2"/>
    <row r="8921" s="299" customFormat="1" ht="13.2"/>
    <row r="8922" s="299" customFormat="1" ht="13.2"/>
    <row r="8923" s="299" customFormat="1" ht="13.2"/>
    <row r="8924" s="299" customFormat="1" ht="13.2"/>
    <row r="8925" s="299" customFormat="1" ht="13.2"/>
    <row r="8926" s="299" customFormat="1" ht="13.2"/>
    <row r="8927" s="299" customFormat="1" ht="13.2"/>
    <row r="8928" s="299" customFormat="1" ht="13.2"/>
    <row r="8929" s="299" customFormat="1" ht="13.2"/>
    <row r="8930" s="299" customFormat="1" ht="13.2"/>
    <row r="8931" s="299" customFormat="1" ht="13.2"/>
    <row r="8932" s="299" customFormat="1" ht="13.2"/>
    <row r="8933" s="299" customFormat="1" ht="13.2"/>
    <row r="8934" s="299" customFormat="1" ht="13.2"/>
    <row r="8935" s="299" customFormat="1" ht="13.2"/>
    <row r="8936" s="299" customFormat="1" ht="13.2"/>
    <row r="8937" s="299" customFormat="1" ht="13.2"/>
    <row r="8938" s="299" customFormat="1" ht="13.2"/>
    <row r="8939" s="299" customFormat="1" ht="13.2"/>
    <row r="8940" s="299" customFormat="1" ht="13.2"/>
    <row r="8941" s="299" customFormat="1" ht="13.2"/>
    <row r="8942" s="299" customFormat="1" ht="13.2"/>
    <row r="8943" s="299" customFormat="1" ht="13.2"/>
    <row r="8944" s="299" customFormat="1" ht="13.2"/>
    <row r="8945" s="299" customFormat="1" ht="13.2"/>
    <row r="8946" s="299" customFormat="1" ht="13.2"/>
    <row r="8947" s="299" customFormat="1" ht="13.2"/>
    <row r="8948" s="299" customFormat="1" ht="13.2"/>
    <row r="8949" s="299" customFormat="1" ht="13.2"/>
    <row r="8950" s="299" customFormat="1" ht="13.2"/>
    <row r="8951" s="299" customFormat="1" ht="13.2"/>
    <row r="8952" s="299" customFormat="1" ht="13.2"/>
    <row r="8953" s="299" customFormat="1" ht="13.2"/>
    <row r="8954" s="299" customFormat="1" ht="13.2"/>
    <row r="8955" s="299" customFormat="1" ht="13.2"/>
    <row r="8956" s="299" customFormat="1" ht="13.2"/>
    <row r="8957" s="299" customFormat="1" ht="13.2"/>
    <row r="8958" s="299" customFormat="1" ht="13.2"/>
    <row r="8959" s="299" customFormat="1" ht="13.2"/>
    <row r="8960" s="299" customFormat="1" ht="13.2"/>
    <row r="8961" s="299" customFormat="1" ht="13.2"/>
    <row r="8962" s="299" customFormat="1" ht="13.2"/>
    <row r="8963" s="299" customFormat="1" ht="13.2"/>
    <row r="8964" s="299" customFormat="1" ht="13.2"/>
    <row r="8965" s="299" customFormat="1" ht="13.2"/>
    <row r="8966" s="299" customFormat="1" ht="13.2"/>
    <row r="8967" s="299" customFormat="1" ht="13.2"/>
    <row r="8968" s="299" customFormat="1" ht="13.2"/>
    <row r="8969" s="299" customFormat="1" ht="13.2"/>
    <row r="8970" s="299" customFormat="1" ht="13.2"/>
    <row r="8971" s="299" customFormat="1" ht="13.2"/>
    <row r="8972" s="299" customFormat="1" ht="13.2"/>
    <row r="8973" s="299" customFormat="1" ht="13.2"/>
    <row r="8974" s="299" customFormat="1" ht="13.2"/>
    <row r="8975" s="299" customFormat="1" ht="13.2"/>
    <row r="8976" s="299" customFormat="1" ht="13.2"/>
    <row r="8977" s="299" customFormat="1" ht="13.2"/>
    <row r="8978" s="299" customFormat="1" ht="13.2"/>
    <row r="8979" s="299" customFormat="1" ht="13.2"/>
    <row r="8980" s="299" customFormat="1" ht="13.2"/>
    <row r="8981" s="299" customFormat="1" ht="13.2"/>
    <row r="8982" s="299" customFormat="1" ht="13.2"/>
    <row r="8983" s="299" customFormat="1" ht="13.2"/>
    <row r="8984" s="299" customFormat="1" ht="13.2"/>
    <row r="8985" s="299" customFormat="1" ht="13.2"/>
    <row r="8986" s="299" customFormat="1" ht="13.2"/>
    <row r="8987" s="299" customFormat="1" ht="13.2"/>
    <row r="8988" s="299" customFormat="1" ht="13.2"/>
    <row r="8989" s="299" customFormat="1" ht="13.2"/>
    <row r="8990" s="299" customFormat="1" ht="13.2"/>
    <row r="8991" s="299" customFormat="1" ht="13.2"/>
    <row r="8992" s="299" customFormat="1" ht="13.2"/>
    <row r="8993" s="299" customFormat="1" ht="13.2"/>
    <row r="8994" s="299" customFormat="1" ht="13.2"/>
    <row r="8995" s="299" customFormat="1" ht="13.2"/>
    <row r="8996" s="299" customFormat="1" ht="13.2"/>
    <row r="8997" s="299" customFormat="1" ht="13.2"/>
    <row r="8998" s="299" customFormat="1" ht="13.2"/>
    <row r="8999" s="299" customFormat="1" ht="13.2"/>
    <row r="9000" s="299" customFormat="1" ht="13.2"/>
    <row r="9001" s="299" customFormat="1" ht="13.2"/>
    <row r="9002" s="299" customFormat="1" ht="13.2"/>
    <row r="9003" s="299" customFormat="1" ht="13.2"/>
    <row r="9004" s="299" customFormat="1" ht="13.2"/>
    <row r="9005" s="299" customFormat="1" ht="13.2"/>
    <row r="9006" s="299" customFormat="1" ht="13.2"/>
    <row r="9007" s="299" customFormat="1" ht="13.2"/>
    <row r="9008" s="299" customFormat="1" ht="13.2"/>
    <row r="9009" s="299" customFormat="1" ht="13.2"/>
    <row r="9010" s="299" customFormat="1" ht="13.2"/>
    <row r="9011" s="299" customFormat="1" ht="13.2"/>
    <row r="9012" s="299" customFormat="1" ht="13.2"/>
    <row r="9013" s="299" customFormat="1" ht="13.2"/>
    <row r="9014" s="299" customFormat="1" ht="13.2"/>
    <row r="9015" s="299" customFormat="1" ht="13.2"/>
    <row r="9016" s="299" customFormat="1" ht="13.2"/>
    <row r="9017" s="299" customFormat="1" ht="13.2"/>
    <row r="9018" s="299" customFormat="1" ht="13.2"/>
    <row r="9019" s="299" customFormat="1" ht="13.2"/>
    <row r="9020" s="299" customFormat="1" ht="13.2"/>
    <row r="9021" s="299" customFormat="1" ht="13.2"/>
    <row r="9022" s="299" customFormat="1" ht="13.2"/>
    <row r="9023" s="299" customFormat="1" ht="13.2"/>
    <row r="9024" s="299" customFormat="1" ht="13.2"/>
    <row r="9025" s="299" customFormat="1" ht="13.2"/>
    <row r="9026" s="299" customFormat="1" ht="13.2"/>
    <row r="9027" s="299" customFormat="1" ht="13.2"/>
    <row r="9028" s="299" customFormat="1" ht="13.2"/>
    <row r="9029" s="299" customFormat="1" ht="13.2"/>
    <row r="9030" s="299" customFormat="1" ht="13.2"/>
    <row r="9031" s="299" customFormat="1" ht="13.2"/>
    <row r="9032" s="299" customFormat="1" ht="13.2"/>
    <row r="9033" s="299" customFormat="1" ht="13.2"/>
    <row r="9034" s="299" customFormat="1" ht="13.2"/>
    <row r="9035" s="299" customFormat="1" ht="13.2"/>
    <row r="9036" s="299" customFormat="1" ht="13.2"/>
    <row r="9037" s="299" customFormat="1" ht="13.2"/>
    <row r="9038" s="299" customFormat="1" ht="13.2"/>
    <row r="9039" s="299" customFormat="1" ht="13.2"/>
    <row r="9040" s="299" customFormat="1" ht="13.2"/>
    <row r="9041" s="299" customFormat="1" ht="13.2"/>
    <row r="9042" s="299" customFormat="1" ht="13.2"/>
    <row r="9043" s="299" customFormat="1" ht="13.2"/>
    <row r="9044" s="299" customFormat="1" ht="13.2"/>
    <row r="9045" s="299" customFormat="1" ht="13.2"/>
    <row r="9046" s="299" customFormat="1" ht="13.2"/>
    <row r="9047" s="299" customFormat="1" ht="13.2"/>
    <row r="9048" s="299" customFormat="1" ht="13.2"/>
    <row r="9049" s="299" customFormat="1" ht="13.2"/>
    <row r="9050" s="299" customFormat="1" ht="13.2"/>
    <row r="9051" s="299" customFormat="1" ht="13.2"/>
    <row r="9052" s="299" customFormat="1" ht="13.2"/>
    <row r="9053" s="299" customFormat="1" ht="13.2"/>
    <row r="9054" s="299" customFormat="1" ht="13.2"/>
    <row r="9055" s="299" customFormat="1" ht="13.2"/>
    <row r="9056" s="299" customFormat="1" ht="13.2"/>
    <row r="9057" s="299" customFormat="1" ht="13.2"/>
    <row r="9058" s="299" customFormat="1" ht="13.2"/>
    <row r="9059" s="299" customFormat="1" ht="13.2"/>
    <row r="9060" s="299" customFormat="1" ht="13.2"/>
    <row r="9061" s="299" customFormat="1" ht="13.2"/>
    <row r="9062" s="299" customFormat="1" ht="13.2"/>
    <row r="9063" s="299" customFormat="1" ht="13.2"/>
    <row r="9064" s="299" customFormat="1" ht="13.2"/>
    <row r="9065" s="299" customFormat="1" ht="13.2"/>
    <row r="9066" s="299" customFormat="1" ht="13.2"/>
    <row r="9067" s="299" customFormat="1" ht="13.2"/>
    <row r="9068" s="299" customFormat="1" ht="13.2"/>
    <row r="9069" s="299" customFormat="1" ht="13.2"/>
    <row r="9070" s="299" customFormat="1" ht="13.2"/>
    <row r="9071" s="299" customFormat="1" ht="13.2"/>
    <row r="9072" s="299" customFormat="1" ht="13.2"/>
    <row r="9073" s="299" customFormat="1" ht="13.2"/>
    <row r="9074" s="299" customFormat="1" ht="13.2"/>
    <row r="9075" s="299" customFormat="1" ht="13.2"/>
    <row r="9076" s="299" customFormat="1" ht="13.2"/>
    <row r="9077" s="299" customFormat="1" ht="13.2"/>
    <row r="9078" s="299" customFormat="1" ht="13.2"/>
    <row r="9079" s="299" customFormat="1" ht="13.2"/>
    <row r="9080" s="299" customFormat="1" ht="13.2"/>
    <row r="9081" s="299" customFormat="1" ht="13.2"/>
    <row r="9082" s="299" customFormat="1" ht="13.2"/>
    <row r="9083" s="299" customFormat="1" ht="13.2"/>
    <row r="9084" s="299" customFormat="1" ht="13.2"/>
    <row r="9085" s="299" customFormat="1" ht="13.2"/>
    <row r="9086" s="299" customFormat="1" ht="13.2"/>
    <row r="9087" s="299" customFormat="1" ht="13.2"/>
    <row r="9088" s="299" customFormat="1" ht="13.2"/>
    <row r="9089" s="299" customFormat="1" ht="13.2"/>
    <row r="9090" s="299" customFormat="1" ht="13.2"/>
    <row r="9091" s="299" customFormat="1" ht="13.2"/>
    <row r="9092" s="299" customFormat="1" ht="13.2"/>
    <row r="9093" s="299" customFormat="1" ht="13.2"/>
    <row r="9094" s="299" customFormat="1" ht="13.2"/>
    <row r="9095" s="299" customFormat="1" ht="13.2"/>
    <row r="9096" s="299" customFormat="1" ht="13.2"/>
    <row r="9097" s="299" customFormat="1" ht="13.2"/>
    <row r="9098" s="299" customFormat="1" ht="13.2"/>
    <row r="9099" s="299" customFormat="1" ht="13.2"/>
    <row r="9100" s="299" customFormat="1" ht="13.2"/>
    <row r="9101" s="299" customFormat="1" ht="13.2"/>
    <row r="9102" s="299" customFormat="1" ht="13.2"/>
    <row r="9103" s="299" customFormat="1" ht="13.2"/>
    <row r="9104" s="299" customFormat="1" ht="13.2"/>
    <row r="9105" s="299" customFormat="1" ht="13.2"/>
    <row r="9106" s="299" customFormat="1" ht="13.2"/>
    <row r="9107" s="299" customFormat="1" ht="13.2"/>
    <row r="9108" s="299" customFormat="1" ht="13.2"/>
    <row r="9109" s="299" customFormat="1" ht="13.2"/>
    <row r="9110" s="299" customFormat="1" ht="13.2"/>
    <row r="9111" s="299" customFormat="1" ht="13.2"/>
    <row r="9112" s="299" customFormat="1" ht="13.2"/>
    <row r="9113" s="299" customFormat="1" ht="13.2"/>
    <row r="9114" s="299" customFormat="1" ht="13.2"/>
    <row r="9115" s="299" customFormat="1" ht="13.2"/>
    <row r="9116" s="299" customFormat="1" ht="13.2"/>
    <row r="9117" s="299" customFormat="1" ht="13.2"/>
    <row r="9118" s="299" customFormat="1" ht="13.2"/>
    <row r="9119" s="299" customFormat="1" ht="13.2"/>
    <row r="9120" s="299" customFormat="1" ht="13.2"/>
    <row r="9121" s="299" customFormat="1" ht="13.2"/>
    <row r="9122" s="299" customFormat="1" ht="13.2"/>
    <row r="9123" s="299" customFormat="1" ht="13.2"/>
    <row r="9124" s="299" customFormat="1" ht="13.2"/>
    <row r="9125" s="299" customFormat="1" ht="13.2"/>
    <row r="9126" s="299" customFormat="1" ht="13.2"/>
    <row r="9127" s="299" customFormat="1" ht="13.2"/>
    <row r="9128" s="299" customFormat="1" ht="13.2"/>
    <row r="9129" s="299" customFormat="1" ht="13.2"/>
    <row r="9130" s="299" customFormat="1" ht="13.2"/>
    <row r="9131" s="299" customFormat="1" ht="13.2"/>
    <row r="9132" s="299" customFormat="1" ht="13.2"/>
    <row r="9133" s="299" customFormat="1" ht="13.2"/>
    <row r="9134" s="299" customFormat="1" ht="13.2"/>
    <row r="9135" s="299" customFormat="1" ht="13.2"/>
    <row r="9136" s="299" customFormat="1" ht="13.2"/>
    <row r="9137" s="299" customFormat="1" ht="13.2"/>
    <row r="9138" s="299" customFormat="1" ht="13.2"/>
    <row r="9139" s="299" customFormat="1" ht="13.2"/>
    <row r="9140" s="299" customFormat="1" ht="13.2"/>
    <row r="9141" s="299" customFormat="1" ht="13.2"/>
    <row r="9142" s="299" customFormat="1" ht="13.2"/>
    <row r="9143" s="299" customFormat="1" ht="13.2"/>
    <row r="9144" s="299" customFormat="1" ht="13.2"/>
    <row r="9145" s="299" customFormat="1" ht="13.2"/>
    <row r="9146" s="299" customFormat="1" ht="13.2"/>
    <row r="9147" s="299" customFormat="1" ht="13.2"/>
    <row r="9148" s="299" customFormat="1" ht="13.2"/>
    <row r="9149" s="299" customFormat="1" ht="13.2"/>
    <row r="9150" s="299" customFormat="1" ht="13.2"/>
    <row r="9151" s="299" customFormat="1" ht="13.2"/>
    <row r="9152" s="299" customFormat="1" ht="13.2"/>
    <row r="9153" s="299" customFormat="1" ht="13.2"/>
    <row r="9154" s="299" customFormat="1" ht="13.2"/>
    <row r="9155" s="299" customFormat="1" ht="13.2"/>
    <row r="9156" s="299" customFormat="1" ht="13.2"/>
    <row r="9157" s="299" customFormat="1" ht="13.2"/>
    <row r="9158" s="299" customFormat="1" ht="13.2"/>
    <row r="9159" s="299" customFormat="1" ht="13.2"/>
    <row r="9160" s="299" customFormat="1" ht="13.2"/>
    <row r="9161" s="299" customFormat="1" ht="13.2"/>
    <row r="9162" s="299" customFormat="1" ht="13.2"/>
    <row r="9163" s="299" customFormat="1" ht="13.2"/>
    <row r="9164" s="299" customFormat="1" ht="13.2"/>
    <row r="9165" s="299" customFormat="1" ht="13.2"/>
    <row r="9166" s="299" customFormat="1" ht="13.2"/>
    <row r="9167" s="299" customFormat="1" ht="13.2"/>
    <row r="9168" s="299" customFormat="1" ht="13.2"/>
    <row r="9169" s="299" customFormat="1" ht="13.2"/>
    <row r="9170" s="299" customFormat="1" ht="13.2"/>
    <row r="9171" s="299" customFormat="1" ht="13.2"/>
    <row r="9172" s="299" customFormat="1" ht="13.2"/>
    <row r="9173" s="299" customFormat="1" ht="13.2"/>
    <row r="9174" s="299" customFormat="1" ht="13.2"/>
    <row r="9175" s="299" customFormat="1" ht="13.2"/>
    <row r="9176" s="299" customFormat="1" ht="13.2"/>
    <row r="9177" s="299" customFormat="1" ht="13.2"/>
    <row r="9178" s="299" customFormat="1" ht="13.2"/>
    <row r="9179" s="299" customFormat="1" ht="13.2"/>
    <row r="9180" s="299" customFormat="1" ht="13.2"/>
    <row r="9181" s="299" customFormat="1" ht="13.2"/>
    <row r="9182" s="299" customFormat="1" ht="13.2"/>
    <row r="9183" s="299" customFormat="1" ht="13.2"/>
    <row r="9184" s="299" customFormat="1" ht="13.2"/>
    <row r="9185" s="299" customFormat="1" ht="13.2"/>
    <row r="9186" s="299" customFormat="1" ht="13.2"/>
    <row r="9187" s="299" customFormat="1" ht="13.2"/>
    <row r="9188" s="299" customFormat="1" ht="13.2"/>
    <row r="9189" s="299" customFormat="1" ht="13.2"/>
    <row r="9190" s="299" customFormat="1" ht="13.2"/>
    <row r="9191" s="299" customFormat="1" ht="13.2"/>
    <row r="9192" s="299" customFormat="1" ht="13.2"/>
    <row r="9193" s="299" customFormat="1" ht="13.2"/>
    <row r="9194" s="299" customFormat="1" ht="13.2"/>
    <row r="9195" s="299" customFormat="1" ht="13.2"/>
    <row r="9196" s="299" customFormat="1" ht="13.2"/>
    <row r="9197" s="299" customFormat="1" ht="13.2"/>
    <row r="9198" s="299" customFormat="1" ht="13.2"/>
    <row r="9199" s="299" customFormat="1" ht="13.2"/>
    <row r="9200" s="299" customFormat="1" ht="13.2"/>
    <row r="9201" s="299" customFormat="1" ht="13.2"/>
    <row r="9202" s="299" customFormat="1" ht="13.2"/>
    <row r="9203" s="299" customFormat="1" ht="13.2"/>
    <row r="9204" s="299" customFormat="1" ht="13.2"/>
    <row r="9205" s="299" customFormat="1" ht="13.2"/>
    <row r="9206" s="299" customFormat="1" ht="13.2"/>
    <row r="9207" s="299" customFormat="1" ht="13.2"/>
    <row r="9208" s="299" customFormat="1" ht="13.2"/>
    <row r="9209" s="299" customFormat="1" ht="13.2"/>
    <row r="9210" s="299" customFormat="1" ht="13.2"/>
    <row r="9211" s="299" customFormat="1" ht="13.2"/>
    <row r="9212" s="299" customFormat="1" ht="13.2"/>
    <row r="9213" s="299" customFormat="1" ht="13.2"/>
    <row r="9214" s="299" customFormat="1" ht="13.2"/>
    <row r="9215" s="299" customFormat="1" ht="13.2"/>
    <row r="9216" s="299" customFormat="1" ht="13.2"/>
    <row r="9217" s="299" customFormat="1" ht="13.2"/>
    <row r="9218" s="299" customFormat="1" ht="13.2"/>
    <row r="9219" s="299" customFormat="1" ht="13.2"/>
    <row r="9220" s="299" customFormat="1" ht="13.2"/>
    <row r="9221" s="299" customFormat="1" ht="13.2"/>
    <row r="9222" s="299" customFormat="1" ht="13.2"/>
    <row r="9223" s="299" customFormat="1" ht="13.2"/>
    <row r="9224" s="299" customFormat="1" ht="13.2"/>
    <row r="9225" s="299" customFormat="1" ht="13.2"/>
    <row r="9226" s="299" customFormat="1" ht="13.2"/>
    <row r="9227" s="299" customFormat="1" ht="13.2"/>
    <row r="9228" s="299" customFormat="1" ht="13.2"/>
    <row r="9229" s="299" customFormat="1" ht="13.2"/>
    <row r="9230" s="299" customFormat="1" ht="13.2"/>
    <row r="9231" s="299" customFormat="1" ht="13.2"/>
    <row r="9232" s="299" customFormat="1" ht="13.2"/>
    <row r="9233" s="299" customFormat="1" ht="13.2"/>
    <row r="9234" s="299" customFormat="1" ht="13.2"/>
    <row r="9235" s="299" customFormat="1" ht="13.2"/>
    <row r="9236" s="299" customFormat="1" ht="13.2"/>
    <row r="9237" s="299" customFormat="1" ht="13.2"/>
    <row r="9238" s="299" customFormat="1" ht="13.2"/>
    <row r="9239" s="299" customFormat="1" ht="13.2"/>
    <row r="9240" s="299" customFormat="1" ht="13.2"/>
    <row r="9241" s="299" customFormat="1" ht="13.2"/>
    <row r="9242" s="299" customFormat="1" ht="13.2"/>
    <row r="9243" s="299" customFormat="1" ht="13.2"/>
    <row r="9244" s="299" customFormat="1" ht="13.2"/>
    <row r="9245" s="299" customFormat="1" ht="13.2"/>
    <row r="9246" s="299" customFormat="1" ht="13.2"/>
    <row r="9247" s="299" customFormat="1" ht="13.2"/>
    <row r="9248" s="299" customFormat="1" ht="13.2"/>
    <row r="9249" s="299" customFormat="1" ht="13.2"/>
    <row r="9250" s="299" customFormat="1" ht="13.2"/>
    <row r="9251" s="299" customFormat="1" ht="13.2"/>
    <row r="9252" s="299" customFormat="1" ht="13.2"/>
    <row r="9253" s="299" customFormat="1" ht="13.2"/>
    <row r="9254" s="299" customFormat="1" ht="13.2"/>
    <row r="9255" s="299" customFormat="1" ht="13.2"/>
    <row r="9256" s="299" customFormat="1" ht="13.2"/>
    <row r="9257" s="299" customFormat="1" ht="13.2"/>
    <row r="9258" s="299" customFormat="1" ht="13.2"/>
    <row r="9259" s="299" customFormat="1" ht="13.2"/>
    <row r="9260" s="299" customFormat="1" ht="13.2"/>
    <row r="9261" s="299" customFormat="1" ht="13.2"/>
    <row r="9262" s="299" customFormat="1" ht="13.2"/>
    <row r="9263" s="299" customFormat="1" ht="13.2"/>
    <row r="9264" s="299" customFormat="1" ht="13.2"/>
    <row r="9265" s="299" customFormat="1" ht="13.2"/>
    <row r="9266" s="299" customFormat="1" ht="13.2"/>
    <row r="9267" s="299" customFormat="1" ht="13.2"/>
    <row r="9268" s="299" customFormat="1" ht="13.2"/>
    <row r="9269" s="299" customFormat="1" ht="13.2"/>
    <row r="9270" s="299" customFormat="1" ht="13.2"/>
    <row r="9271" s="299" customFormat="1" ht="13.2"/>
    <row r="9272" s="299" customFormat="1" ht="13.2"/>
    <row r="9273" s="299" customFormat="1" ht="13.2"/>
    <row r="9274" s="299" customFormat="1" ht="13.2"/>
    <row r="9275" s="299" customFormat="1" ht="13.2"/>
    <row r="9276" s="299" customFormat="1" ht="13.2"/>
    <row r="9277" s="299" customFormat="1" ht="13.2"/>
    <row r="9278" s="299" customFormat="1" ht="13.2"/>
    <row r="9279" s="299" customFormat="1" ht="13.2"/>
    <row r="9280" s="299" customFormat="1" ht="13.2"/>
    <row r="9281" s="299" customFormat="1" ht="13.2"/>
    <row r="9282" s="299" customFormat="1" ht="13.2"/>
    <row r="9283" s="299" customFormat="1" ht="13.2"/>
    <row r="9284" s="299" customFormat="1" ht="13.2"/>
    <row r="9285" s="299" customFormat="1" ht="13.2"/>
    <row r="9286" s="299" customFormat="1" ht="13.2"/>
    <row r="9287" s="299" customFormat="1" ht="13.2"/>
    <row r="9288" s="299" customFormat="1" ht="13.2"/>
    <row r="9289" s="299" customFormat="1" ht="13.2"/>
    <row r="9290" s="299" customFormat="1" ht="13.2"/>
    <row r="9291" s="299" customFormat="1" ht="13.2"/>
    <row r="9292" s="299" customFormat="1" ht="13.2"/>
    <row r="9293" s="299" customFormat="1" ht="13.2"/>
    <row r="9294" s="299" customFormat="1" ht="13.2"/>
    <row r="9295" s="299" customFormat="1" ht="13.2"/>
    <row r="9296" s="299" customFormat="1" ht="13.2"/>
    <row r="9297" s="299" customFormat="1" ht="13.2"/>
    <row r="9298" s="299" customFormat="1" ht="13.2"/>
    <row r="9299" s="299" customFormat="1" ht="13.2"/>
    <row r="9300" s="299" customFormat="1" ht="13.2"/>
    <row r="9301" s="299" customFormat="1" ht="13.2"/>
    <row r="9302" s="299" customFormat="1" ht="13.2"/>
    <row r="9303" s="299" customFormat="1" ht="13.2"/>
    <row r="9304" s="299" customFormat="1" ht="13.2"/>
    <row r="9305" s="299" customFormat="1" ht="13.2"/>
    <row r="9306" s="299" customFormat="1" ht="13.2"/>
    <row r="9307" s="299" customFormat="1" ht="13.2"/>
    <row r="9308" s="299" customFormat="1" ht="13.2"/>
    <row r="9309" s="299" customFormat="1" ht="13.2"/>
    <row r="9310" s="299" customFormat="1" ht="13.2"/>
    <row r="9311" s="299" customFormat="1" ht="13.2"/>
    <row r="9312" s="299" customFormat="1" ht="13.2"/>
    <row r="9313" s="299" customFormat="1" ht="13.2"/>
    <row r="9314" s="299" customFormat="1" ht="13.2"/>
    <row r="9315" s="299" customFormat="1" ht="13.2"/>
    <row r="9316" s="299" customFormat="1" ht="13.2"/>
    <row r="9317" s="299" customFormat="1" ht="13.2"/>
    <row r="9318" s="299" customFormat="1" ht="13.2"/>
    <row r="9319" s="299" customFormat="1" ht="13.2"/>
    <row r="9320" s="299" customFormat="1" ht="13.2"/>
    <row r="9321" s="299" customFormat="1" ht="13.2"/>
    <row r="9322" s="299" customFormat="1" ht="13.2"/>
    <row r="9323" s="299" customFormat="1" ht="13.2"/>
    <row r="9324" s="299" customFormat="1" ht="13.2"/>
    <row r="9325" s="299" customFormat="1" ht="13.2"/>
    <row r="9326" s="299" customFormat="1" ht="13.2"/>
    <row r="9327" s="299" customFormat="1" ht="13.2"/>
    <row r="9328" s="299" customFormat="1" ht="13.2"/>
    <row r="9329" s="299" customFormat="1" ht="13.2"/>
    <row r="9330" s="299" customFormat="1" ht="13.2"/>
    <row r="9331" s="299" customFormat="1" ht="13.2"/>
    <row r="9332" s="299" customFormat="1" ht="13.2"/>
    <row r="9333" s="299" customFormat="1" ht="13.2"/>
    <row r="9334" s="299" customFormat="1" ht="13.2"/>
    <row r="9335" s="299" customFormat="1" ht="13.2"/>
    <row r="9336" s="299" customFormat="1" ht="13.2"/>
    <row r="9337" s="299" customFormat="1" ht="13.2"/>
    <row r="9338" s="299" customFormat="1" ht="13.2"/>
    <row r="9339" s="299" customFormat="1" ht="13.2"/>
    <row r="9340" s="299" customFormat="1" ht="13.2"/>
    <row r="9341" s="299" customFormat="1" ht="13.2"/>
    <row r="9342" s="299" customFormat="1" ht="13.2"/>
    <row r="9343" s="299" customFormat="1" ht="13.2"/>
    <row r="9344" s="299" customFormat="1" ht="13.2"/>
    <row r="9345" s="299" customFormat="1" ht="13.2"/>
    <row r="9346" s="299" customFormat="1" ht="13.2"/>
    <row r="9347" s="299" customFormat="1" ht="13.2"/>
    <row r="9348" s="299" customFormat="1" ht="13.2"/>
    <row r="9349" s="299" customFormat="1" ht="13.2"/>
    <row r="9350" s="299" customFormat="1" ht="13.2"/>
    <row r="9351" s="299" customFormat="1" ht="13.2"/>
    <row r="9352" s="299" customFormat="1" ht="13.2"/>
    <row r="9353" s="299" customFormat="1" ht="13.2"/>
    <row r="9354" s="299" customFormat="1" ht="13.2"/>
    <row r="9355" s="299" customFormat="1" ht="13.2"/>
    <row r="9356" s="299" customFormat="1" ht="13.2"/>
    <row r="9357" s="299" customFormat="1" ht="13.2"/>
    <row r="9358" s="299" customFormat="1" ht="13.2"/>
    <row r="9359" s="299" customFormat="1" ht="13.2"/>
    <row r="9360" s="299" customFormat="1" ht="13.2"/>
    <row r="9361" s="299" customFormat="1" ht="13.2"/>
    <row r="9362" s="299" customFormat="1" ht="13.2"/>
    <row r="9363" s="299" customFormat="1" ht="13.2"/>
    <row r="9364" s="299" customFormat="1" ht="13.2"/>
    <row r="9365" s="299" customFormat="1" ht="13.2"/>
    <row r="9366" s="299" customFormat="1" ht="13.2"/>
    <row r="9367" s="299" customFormat="1" ht="13.2"/>
    <row r="9368" s="299" customFormat="1" ht="13.2"/>
    <row r="9369" s="299" customFormat="1" ht="13.2"/>
    <row r="9370" s="299" customFormat="1" ht="13.2"/>
    <row r="9371" s="299" customFormat="1" ht="13.2"/>
    <row r="9372" s="299" customFormat="1" ht="13.2"/>
    <row r="9373" s="299" customFormat="1" ht="13.2"/>
    <row r="9374" s="299" customFormat="1" ht="13.2"/>
    <row r="9375" s="299" customFormat="1" ht="13.2"/>
    <row r="9376" s="299" customFormat="1" ht="13.2"/>
    <row r="9377" s="299" customFormat="1" ht="13.2"/>
    <row r="9378" s="299" customFormat="1" ht="13.2"/>
    <row r="9379" s="299" customFormat="1" ht="13.2"/>
    <row r="9380" s="299" customFormat="1" ht="13.2"/>
    <row r="9381" s="299" customFormat="1" ht="13.2"/>
    <row r="9382" s="299" customFormat="1" ht="13.2"/>
    <row r="9383" s="299" customFormat="1" ht="13.2"/>
    <row r="9384" s="299" customFormat="1" ht="13.2"/>
    <row r="9385" s="299" customFormat="1" ht="13.2"/>
    <row r="9386" s="299" customFormat="1" ht="13.2"/>
    <row r="9387" s="299" customFormat="1" ht="13.2"/>
    <row r="9388" s="299" customFormat="1" ht="13.2"/>
    <row r="9389" s="299" customFormat="1" ht="13.2"/>
    <row r="9390" s="299" customFormat="1" ht="13.2"/>
    <row r="9391" s="299" customFormat="1" ht="13.2"/>
    <row r="9392" s="299" customFormat="1" ht="13.2"/>
    <row r="9393" s="299" customFormat="1" ht="13.2"/>
    <row r="9394" s="299" customFormat="1" ht="13.2"/>
    <row r="9395" s="299" customFormat="1" ht="13.2"/>
    <row r="9396" s="299" customFormat="1" ht="13.2"/>
    <row r="9397" s="299" customFormat="1" ht="13.2"/>
    <row r="9398" s="299" customFormat="1" ht="13.2"/>
    <row r="9399" s="299" customFormat="1" ht="13.2"/>
    <row r="9400" s="299" customFormat="1" ht="13.2"/>
    <row r="9401" s="299" customFormat="1" ht="13.2"/>
    <row r="9402" s="299" customFormat="1" ht="13.2"/>
    <row r="9403" s="299" customFormat="1" ht="13.2"/>
    <row r="9404" s="299" customFormat="1" ht="13.2"/>
    <row r="9405" s="299" customFormat="1" ht="13.2"/>
    <row r="9406" s="299" customFormat="1" ht="13.2"/>
    <row r="9407" s="299" customFormat="1" ht="13.2"/>
    <row r="9408" s="299" customFormat="1" ht="13.2"/>
    <row r="9409" s="299" customFormat="1" ht="13.2"/>
    <row r="9410" s="299" customFormat="1" ht="13.2"/>
    <row r="9411" s="299" customFormat="1" ht="13.2"/>
    <row r="9412" s="299" customFormat="1" ht="13.2"/>
    <row r="9413" s="299" customFormat="1" ht="13.2"/>
    <row r="9414" s="299" customFormat="1" ht="13.2"/>
    <row r="9415" s="299" customFormat="1" ht="13.2"/>
    <row r="9416" s="299" customFormat="1" ht="13.2"/>
    <row r="9417" s="299" customFormat="1" ht="13.2"/>
    <row r="9418" s="299" customFormat="1" ht="13.2"/>
    <row r="9419" s="299" customFormat="1" ht="13.2"/>
    <row r="9420" s="299" customFormat="1" ht="13.2"/>
    <row r="9421" s="299" customFormat="1" ht="13.2"/>
    <row r="9422" s="299" customFormat="1" ht="13.2"/>
    <row r="9423" s="299" customFormat="1" ht="13.2"/>
    <row r="9424" s="299" customFormat="1" ht="13.2"/>
    <row r="9425" s="299" customFormat="1" ht="13.2"/>
    <row r="9426" s="299" customFormat="1" ht="13.2"/>
    <row r="9427" s="299" customFormat="1" ht="13.2"/>
    <row r="9428" s="299" customFormat="1" ht="13.2"/>
    <row r="9429" s="299" customFormat="1" ht="13.2"/>
    <row r="9430" s="299" customFormat="1" ht="13.2"/>
    <row r="9431" s="299" customFormat="1" ht="13.2"/>
    <row r="9432" s="299" customFormat="1" ht="13.2"/>
    <row r="9433" s="299" customFormat="1" ht="13.2"/>
    <row r="9434" s="299" customFormat="1" ht="13.2"/>
    <row r="9435" s="299" customFormat="1" ht="13.2"/>
    <row r="9436" s="299" customFormat="1" ht="13.2"/>
    <row r="9437" s="299" customFormat="1" ht="13.2"/>
    <row r="9438" s="299" customFormat="1" ht="13.2"/>
    <row r="9439" s="299" customFormat="1" ht="13.2"/>
    <row r="9440" s="299" customFormat="1" ht="13.2"/>
    <row r="9441" s="299" customFormat="1" ht="13.2"/>
    <row r="9442" s="299" customFormat="1" ht="13.2"/>
    <row r="9443" s="299" customFormat="1" ht="13.2"/>
    <row r="9444" s="299" customFormat="1" ht="13.2"/>
    <row r="9445" s="299" customFormat="1" ht="13.2"/>
    <row r="9446" s="299" customFormat="1" ht="13.2"/>
    <row r="9447" s="299" customFormat="1" ht="13.2"/>
    <row r="9448" s="299" customFormat="1" ht="13.2"/>
    <row r="9449" s="299" customFormat="1" ht="13.2"/>
    <row r="9450" s="299" customFormat="1" ht="13.2"/>
    <row r="9451" s="299" customFormat="1" ht="13.2"/>
    <row r="9452" s="299" customFormat="1" ht="13.2"/>
    <row r="9453" s="299" customFormat="1" ht="13.2"/>
    <row r="9454" s="299" customFormat="1" ht="13.2"/>
    <row r="9455" s="299" customFormat="1" ht="13.2"/>
    <row r="9456" s="299" customFormat="1" ht="13.2"/>
    <row r="9457" s="299" customFormat="1" ht="13.2"/>
    <row r="9458" s="299" customFormat="1" ht="13.2"/>
    <row r="9459" s="299" customFormat="1" ht="13.2"/>
    <row r="9460" s="299" customFormat="1" ht="13.2"/>
    <row r="9461" s="299" customFormat="1" ht="13.2"/>
    <row r="9462" s="299" customFormat="1" ht="13.2"/>
    <row r="9463" s="299" customFormat="1" ht="13.2"/>
    <row r="9464" s="299" customFormat="1" ht="13.2"/>
    <row r="9465" s="299" customFormat="1" ht="13.2"/>
    <row r="9466" s="299" customFormat="1" ht="13.2"/>
    <row r="9467" s="299" customFormat="1" ht="13.2"/>
    <row r="9468" s="299" customFormat="1" ht="13.2"/>
    <row r="9469" s="299" customFormat="1" ht="13.2"/>
    <row r="9470" s="299" customFormat="1" ht="13.2"/>
    <row r="9471" s="299" customFormat="1" ht="13.2"/>
    <row r="9472" s="299" customFormat="1" ht="13.2"/>
    <row r="9473" s="299" customFormat="1" ht="13.2"/>
    <row r="9474" s="299" customFormat="1" ht="13.2"/>
    <row r="9475" s="299" customFormat="1" ht="13.2"/>
    <row r="9476" s="299" customFormat="1" ht="13.2"/>
    <row r="9477" s="299" customFormat="1" ht="13.2"/>
    <row r="9478" s="299" customFormat="1" ht="13.2"/>
    <row r="9479" s="299" customFormat="1" ht="13.2"/>
    <row r="9480" s="299" customFormat="1" ht="13.2"/>
    <row r="9481" s="299" customFormat="1" ht="13.2"/>
    <row r="9482" s="299" customFormat="1" ht="13.2"/>
    <row r="9483" s="299" customFormat="1" ht="13.2"/>
    <row r="9484" s="299" customFormat="1" ht="13.2"/>
    <row r="9485" s="299" customFormat="1" ht="13.2"/>
    <row r="9486" s="299" customFormat="1" ht="13.2"/>
    <row r="9487" s="299" customFormat="1" ht="13.2"/>
    <row r="9488" s="299" customFormat="1" ht="13.2"/>
    <row r="9489" s="299" customFormat="1" ht="13.2"/>
    <row r="9490" s="299" customFormat="1" ht="13.2"/>
    <row r="9491" s="299" customFormat="1" ht="13.2"/>
    <row r="9492" s="299" customFormat="1" ht="13.2"/>
    <row r="9493" s="299" customFormat="1" ht="13.2"/>
    <row r="9494" s="299" customFormat="1" ht="13.2"/>
    <row r="9495" s="299" customFormat="1" ht="13.2"/>
    <row r="9496" s="299" customFormat="1" ht="13.2"/>
    <row r="9497" s="299" customFormat="1" ht="13.2"/>
    <row r="9498" s="299" customFormat="1" ht="13.2"/>
    <row r="9499" s="299" customFormat="1" ht="13.2"/>
    <row r="9500" s="299" customFormat="1" ht="13.2"/>
    <row r="9501" s="299" customFormat="1" ht="13.2"/>
    <row r="9502" s="299" customFormat="1" ht="13.2"/>
    <row r="9503" s="299" customFormat="1" ht="13.2"/>
    <row r="9504" s="299" customFormat="1" ht="13.2"/>
    <row r="9505" s="299" customFormat="1" ht="13.2"/>
    <row r="9506" s="299" customFormat="1" ht="13.2"/>
    <row r="9507" s="299" customFormat="1" ht="13.2"/>
    <row r="9508" s="299" customFormat="1" ht="13.2"/>
    <row r="9509" s="299" customFormat="1" ht="13.2"/>
    <row r="9510" s="299" customFormat="1" ht="13.2"/>
    <row r="9511" s="299" customFormat="1" ht="13.2"/>
    <row r="9512" s="299" customFormat="1" ht="13.2"/>
    <row r="9513" s="299" customFormat="1" ht="13.2"/>
    <row r="9514" s="299" customFormat="1" ht="13.2"/>
    <row r="9515" s="299" customFormat="1" ht="13.2"/>
    <row r="9516" s="299" customFormat="1" ht="13.2"/>
    <row r="9517" s="299" customFormat="1" ht="13.2"/>
    <row r="9518" s="299" customFormat="1" ht="13.2"/>
    <row r="9519" s="299" customFormat="1" ht="13.2"/>
    <row r="9520" s="299" customFormat="1" ht="13.2"/>
    <row r="9521" s="299" customFormat="1" ht="13.2"/>
    <row r="9522" s="299" customFormat="1" ht="13.2"/>
    <row r="9523" s="299" customFormat="1" ht="13.2"/>
    <row r="9524" s="299" customFormat="1" ht="13.2"/>
    <row r="9525" s="299" customFormat="1" ht="13.2"/>
    <row r="9526" s="299" customFormat="1" ht="13.2"/>
    <row r="9527" s="299" customFormat="1" ht="13.2"/>
    <row r="9528" s="299" customFormat="1" ht="13.2"/>
    <row r="9529" s="299" customFormat="1" ht="13.2"/>
    <row r="9530" s="299" customFormat="1" ht="13.2"/>
    <row r="9531" s="299" customFormat="1" ht="13.2"/>
    <row r="9532" s="299" customFormat="1" ht="13.2"/>
    <row r="9533" s="299" customFormat="1" ht="13.2"/>
    <row r="9534" s="299" customFormat="1" ht="13.2"/>
    <row r="9535" s="299" customFormat="1" ht="13.2"/>
    <row r="9536" s="299" customFormat="1" ht="13.2"/>
    <row r="9537" s="299" customFormat="1" ht="13.2"/>
    <row r="9538" s="299" customFormat="1" ht="13.2"/>
    <row r="9539" s="299" customFormat="1" ht="13.2"/>
    <row r="9540" s="299" customFormat="1" ht="13.2"/>
    <row r="9541" s="299" customFormat="1" ht="13.2"/>
    <row r="9542" s="299" customFormat="1" ht="13.2"/>
    <row r="9543" s="299" customFormat="1" ht="13.2"/>
    <row r="9544" s="299" customFormat="1" ht="13.2"/>
    <row r="9545" s="299" customFormat="1" ht="13.2"/>
    <row r="9546" s="299" customFormat="1" ht="13.2"/>
    <row r="9547" s="299" customFormat="1" ht="13.2"/>
    <row r="9548" s="299" customFormat="1" ht="13.2"/>
    <row r="9549" s="299" customFormat="1" ht="13.2"/>
    <row r="9550" s="299" customFormat="1" ht="13.2"/>
    <row r="9551" s="299" customFormat="1" ht="13.2"/>
    <row r="9552" s="299" customFormat="1" ht="13.2"/>
    <row r="9553" s="299" customFormat="1" ht="13.2"/>
    <row r="9554" s="299" customFormat="1" ht="13.2"/>
    <row r="9555" s="299" customFormat="1" ht="13.2"/>
    <row r="9556" s="299" customFormat="1" ht="13.2"/>
    <row r="9557" s="299" customFormat="1" ht="13.2"/>
    <row r="9558" s="299" customFormat="1" ht="13.2"/>
    <row r="9559" s="299" customFormat="1" ht="13.2"/>
    <row r="9560" s="299" customFormat="1" ht="13.2"/>
    <row r="9561" s="299" customFormat="1" ht="13.2"/>
    <row r="9562" s="299" customFormat="1" ht="13.2"/>
    <row r="9563" s="299" customFormat="1" ht="13.2"/>
    <row r="9564" s="299" customFormat="1" ht="13.2"/>
    <row r="9565" s="299" customFormat="1" ht="13.2"/>
    <row r="9566" s="299" customFormat="1" ht="13.2"/>
    <row r="9567" s="299" customFormat="1" ht="13.2"/>
    <row r="9568" s="299" customFormat="1" ht="13.2"/>
    <row r="9569" s="299" customFormat="1" ht="13.2"/>
    <row r="9570" s="299" customFormat="1" ht="13.2"/>
    <row r="9571" s="299" customFormat="1" ht="13.2"/>
    <row r="9572" s="299" customFormat="1" ht="13.2"/>
    <row r="9573" s="299" customFormat="1" ht="13.2"/>
    <row r="9574" s="299" customFormat="1" ht="13.2"/>
    <row r="9575" s="299" customFormat="1" ht="13.2"/>
    <row r="9576" s="299" customFormat="1" ht="13.2"/>
    <row r="9577" s="299" customFormat="1" ht="13.2"/>
    <row r="9578" s="299" customFormat="1" ht="13.2"/>
    <row r="9579" s="299" customFormat="1" ht="13.2"/>
    <row r="9580" s="299" customFormat="1" ht="13.2"/>
    <row r="9581" s="299" customFormat="1" ht="13.2"/>
    <row r="9582" s="299" customFormat="1" ht="13.2"/>
    <row r="9583" s="299" customFormat="1" ht="13.2"/>
    <row r="9584" s="299" customFormat="1" ht="13.2"/>
    <row r="9585" s="299" customFormat="1" ht="13.2"/>
    <row r="9586" s="299" customFormat="1" ht="13.2"/>
    <row r="9587" s="299" customFormat="1" ht="13.2"/>
    <row r="9588" s="299" customFormat="1" ht="13.2"/>
    <row r="9589" s="299" customFormat="1" ht="13.2"/>
    <row r="9590" s="299" customFormat="1" ht="13.2"/>
    <row r="9591" s="299" customFormat="1" ht="13.2"/>
    <row r="9592" s="299" customFormat="1" ht="13.2"/>
    <row r="9593" s="299" customFormat="1" ht="13.2"/>
    <row r="9594" s="299" customFormat="1" ht="13.2"/>
    <row r="9595" s="299" customFormat="1" ht="13.2"/>
    <row r="9596" s="299" customFormat="1" ht="13.2"/>
    <row r="9597" s="299" customFormat="1" ht="13.2"/>
    <row r="9598" s="299" customFormat="1" ht="13.2"/>
    <row r="9599" s="299" customFormat="1" ht="13.2"/>
    <row r="9600" s="299" customFormat="1" ht="13.2"/>
    <row r="9601" s="299" customFormat="1" ht="13.2"/>
    <row r="9602" s="299" customFormat="1" ht="13.2"/>
    <row r="9603" s="299" customFormat="1" ht="13.2"/>
    <row r="9604" s="299" customFormat="1" ht="13.2"/>
    <row r="9605" s="299" customFormat="1" ht="13.2"/>
    <row r="9606" s="299" customFormat="1" ht="13.2"/>
    <row r="9607" s="299" customFormat="1" ht="13.2"/>
    <row r="9608" s="299" customFormat="1" ht="13.2"/>
    <row r="9609" s="299" customFormat="1" ht="13.2"/>
    <row r="9610" s="299" customFormat="1" ht="13.2"/>
    <row r="9611" s="299" customFormat="1" ht="13.2"/>
    <row r="9612" s="299" customFormat="1" ht="13.2"/>
    <row r="9613" s="299" customFormat="1" ht="13.2"/>
    <row r="9614" s="299" customFormat="1" ht="13.2"/>
    <row r="9615" s="299" customFormat="1" ht="13.2"/>
    <row r="9616" s="299" customFormat="1" ht="13.2"/>
    <row r="9617" s="299" customFormat="1" ht="13.2"/>
    <row r="9618" s="299" customFormat="1" ht="13.2"/>
    <row r="9619" s="299" customFormat="1" ht="13.2"/>
    <row r="9620" s="299" customFormat="1" ht="13.2"/>
    <row r="9621" s="299" customFormat="1" ht="13.2"/>
    <row r="9622" s="299" customFormat="1" ht="13.2"/>
    <row r="9623" s="299" customFormat="1" ht="13.2"/>
    <row r="9624" s="299" customFormat="1" ht="13.2"/>
    <row r="9625" s="299" customFormat="1" ht="13.2"/>
    <row r="9626" s="299" customFormat="1" ht="13.2"/>
    <row r="9627" s="299" customFormat="1" ht="13.2"/>
    <row r="9628" s="299" customFormat="1" ht="13.2"/>
    <row r="9629" s="299" customFormat="1" ht="13.2"/>
    <row r="9630" s="299" customFormat="1" ht="13.2"/>
    <row r="9631" s="299" customFormat="1" ht="13.2"/>
    <row r="9632" s="299" customFormat="1" ht="13.2"/>
    <row r="9633" s="299" customFormat="1" ht="13.2"/>
    <row r="9634" s="299" customFormat="1" ht="13.2"/>
    <row r="9635" s="299" customFormat="1" ht="13.2"/>
    <row r="9636" s="299" customFormat="1" ht="13.2"/>
    <row r="9637" s="299" customFormat="1" ht="13.2"/>
    <row r="9638" s="299" customFormat="1" ht="13.2"/>
    <row r="9639" s="299" customFormat="1" ht="13.2"/>
    <row r="9640" s="299" customFormat="1" ht="13.2"/>
    <row r="9641" s="299" customFormat="1" ht="13.2"/>
    <row r="9642" s="299" customFormat="1" ht="13.2"/>
    <row r="9643" s="299" customFormat="1" ht="13.2"/>
    <row r="9644" s="299" customFormat="1" ht="13.2"/>
    <row r="9645" s="299" customFormat="1" ht="13.2"/>
    <row r="9646" s="299" customFormat="1" ht="13.2"/>
    <row r="9647" s="299" customFormat="1" ht="13.2"/>
    <row r="9648" s="299" customFormat="1" ht="13.2"/>
    <row r="9649" s="299" customFormat="1" ht="13.2"/>
    <row r="9650" s="299" customFormat="1" ht="13.2"/>
    <row r="9651" s="299" customFormat="1" ht="13.2"/>
    <row r="9652" s="299" customFormat="1" ht="13.2"/>
    <row r="9653" s="299" customFormat="1" ht="13.2"/>
    <row r="9654" s="299" customFormat="1" ht="13.2"/>
    <row r="9655" s="299" customFormat="1" ht="13.2"/>
    <row r="9656" s="299" customFormat="1" ht="13.2"/>
    <row r="9657" s="299" customFormat="1" ht="13.2"/>
    <row r="9658" s="299" customFormat="1" ht="13.2"/>
    <row r="9659" s="299" customFormat="1" ht="13.2"/>
    <row r="9660" s="299" customFormat="1" ht="13.2"/>
    <row r="9661" s="299" customFormat="1" ht="13.2"/>
    <row r="9662" s="299" customFormat="1" ht="13.2"/>
    <row r="9663" s="299" customFormat="1" ht="13.2"/>
    <row r="9664" s="299" customFormat="1" ht="13.2"/>
    <row r="9665" s="299" customFormat="1" ht="13.2"/>
    <row r="9666" s="299" customFormat="1" ht="13.2"/>
    <row r="9667" s="299" customFormat="1" ht="13.2"/>
    <row r="9668" s="299" customFormat="1" ht="13.2"/>
    <row r="9669" s="299" customFormat="1" ht="13.2"/>
    <row r="9670" s="299" customFormat="1" ht="13.2"/>
    <row r="9671" s="299" customFormat="1" ht="13.2"/>
    <row r="9672" s="299" customFormat="1" ht="13.2"/>
    <row r="9673" s="299" customFormat="1" ht="13.2"/>
    <row r="9674" s="299" customFormat="1" ht="13.2"/>
    <row r="9675" s="299" customFormat="1" ht="13.2"/>
    <row r="9676" s="299" customFormat="1" ht="13.2"/>
    <row r="9677" s="299" customFormat="1" ht="13.2"/>
    <row r="9678" s="299" customFormat="1" ht="13.2"/>
    <row r="9679" s="299" customFormat="1" ht="13.2"/>
    <row r="9680" s="299" customFormat="1" ht="13.2"/>
    <row r="9681" s="299" customFormat="1" ht="13.2"/>
    <row r="9682" s="299" customFormat="1" ht="13.2"/>
    <row r="9683" s="299" customFormat="1" ht="13.2"/>
    <row r="9684" s="299" customFormat="1" ht="13.2"/>
    <row r="9685" s="299" customFormat="1" ht="13.2"/>
    <row r="9686" s="299" customFormat="1" ht="13.2"/>
    <row r="9687" s="299" customFormat="1" ht="13.2"/>
    <row r="9688" s="299" customFormat="1" ht="13.2"/>
    <row r="9689" s="299" customFormat="1" ht="13.2"/>
    <row r="9690" s="299" customFormat="1" ht="13.2"/>
    <row r="9691" s="299" customFormat="1" ht="13.2"/>
    <row r="9692" s="299" customFormat="1" ht="13.2"/>
    <row r="9693" s="299" customFormat="1" ht="13.2"/>
    <row r="9694" s="299" customFormat="1" ht="13.2"/>
    <row r="9695" s="299" customFormat="1" ht="13.2"/>
    <row r="9696" s="299" customFormat="1" ht="13.2"/>
    <row r="9697" s="299" customFormat="1" ht="13.2"/>
    <row r="9698" s="299" customFormat="1" ht="13.2"/>
    <row r="9699" s="299" customFormat="1" ht="13.2"/>
    <row r="9700" s="299" customFormat="1" ht="13.2"/>
    <row r="9701" s="299" customFormat="1" ht="13.2"/>
    <row r="9702" s="299" customFormat="1" ht="13.2"/>
    <row r="9703" s="299" customFormat="1" ht="13.2"/>
    <row r="9704" s="299" customFormat="1" ht="13.2"/>
    <row r="9705" s="299" customFormat="1" ht="13.2"/>
    <row r="9706" s="299" customFormat="1" ht="13.2"/>
    <row r="9707" s="299" customFormat="1" ht="13.2"/>
    <row r="9708" s="299" customFormat="1" ht="13.2"/>
    <row r="9709" s="299" customFormat="1" ht="13.2"/>
    <row r="9710" s="299" customFormat="1" ht="13.2"/>
    <row r="9711" s="299" customFormat="1" ht="13.2"/>
    <row r="9712" s="299" customFormat="1" ht="13.2"/>
    <row r="9713" s="299" customFormat="1" ht="13.2"/>
    <row r="9714" s="299" customFormat="1" ht="13.2"/>
    <row r="9715" s="299" customFormat="1" ht="13.2"/>
    <row r="9716" s="299" customFormat="1" ht="13.2"/>
    <row r="9717" s="299" customFormat="1" ht="13.2"/>
    <row r="9718" s="299" customFormat="1" ht="13.2"/>
    <row r="9719" s="299" customFormat="1" ht="13.2"/>
    <row r="9720" s="299" customFormat="1" ht="13.2"/>
    <row r="9721" s="299" customFormat="1" ht="13.2"/>
    <row r="9722" s="299" customFormat="1" ht="13.2"/>
    <row r="9723" s="299" customFormat="1" ht="13.2"/>
    <row r="9724" s="299" customFormat="1" ht="13.2"/>
    <row r="9725" s="299" customFormat="1" ht="13.2"/>
    <row r="9726" s="299" customFormat="1" ht="13.2"/>
    <row r="9727" s="299" customFormat="1" ht="13.2"/>
    <row r="9728" s="299" customFormat="1" ht="13.2"/>
    <row r="9729" s="299" customFormat="1" ht="13.2"/>
    <row r="9730" s="299" customFormat="1" ht="13.2"/>
    <row r="9731" s="299" customFormat="1" ht="13.2"/>
    <row r="9732" s="299" customFormat="1" ht="13.2"/>
    <row r="9733" s="299" customFormat="1" ht="13.2"/>
    <row r="9734" s="299" customFormat="1" ht="13.2"/>
    <row r="9735" s="299" customFormat="1" ht="13.2"/>
    <row r="9736" s="299" customFormat="1" ht="13.2"/>
    <row r="9737" s="299" customFormat="1" ht="13.2"/>
    <row r="9738" s="299" customFormat="1" ht="13.2"/>
    <row r="9739" s="299" customFormat="1" ht="13.2"/>
    <row r="9740" s="299" customFormat="1" ht="13.2"/>
    <row r="9741" s="299" customFormat="1" ht="13.2"/>
    <row r="9742" s="299" customFormat="1" ht="13.2"/>
    <row r="9743" s="299" customFormat="1" ht="13.2"/>
    <row r="9744" s="299" customFormat="1" ht="13.2"/>
    <row r="9745" s="299" customFormat="1" ht="13.2"/>
    <row r="9746" s="299" customFormat="1" ht="13.2"/>
    <row r="9747" s="299" customFormat="1" ht="13.2"/>
    <row r="9748" s="299" customFormat="1" ht="13.2"/>
    <row r="9749" s="299" customFormat="1" ht="13.2"/>
    <row r="9750" s="299" customFormat="1" ht="13.2"/>
    <row r="9751" s="299" customFormat="1" ht="13.2"/>
    <row r="9752" s="299" customFormat="1" ht="13.2"/>
    <row r="9753" s="299" customFormat="1" ht="13.2"/>
    <row r="9754" s="299" customFormat="1" ht="13.2"/>
    <row r="9755" s="299" customFormat="1" ht="13.2"/>
    <row r="9756" s="299" customFormat="1" ht="13.2"/>
    <row r="9757" s="299" customFormat="1" ht="13.2"/>
    <row r="9758" s="299" customFormat="1" ht="13.2"/>
    <row r="9759" s="299" customFormat="1" ht="13.2"/>
    <row r="9760" s="299" customFormat="1" ht="13.2"/>
    <row r="9761" s="299" customFormat="1" ht="13.2"/>
    <row r="9762" s="299" customFormat="1" ht="13.2"/>
    <row r="9763" s="299" customFormat="1" ht="13.2"/>
    <row r="9764" s="299" customFormat="1" ht="13.2"/>
    <row r="9765" s="299" customFormat="1" ht="13.2"/>
    <row r="9766" s="299" customFormat="1" ht="13.2"/>
    <row r="9767" s="299" customFormat="1" ht="13.2"/>
    <row r="9768" s="299" customFormat="1" ht="13.2"/>
    <row r="9769" s="299" customFormat="1" ht="13.2"/>
    <row r="9770" s="299" customFormat="1" ht="13.2"/>
    <row r="9771" s="299" customFormat="1" ht="13.2"/>
    <row r="9772" s="299" customFormat="1" ht="13.2"/>
    <row r="9773" s="299" customFormat="1" ht="13.2"/>
    <row r="9774" s="299" customFormat="1" ht="13.2"/>
    <row r="9775" s="299" customFormat="1" ht="13.2"/>
    <row r="9776" s="299" customFormat="1" ht="13.2"/>
    <row r="9777" s="299" customFormat="1" ht="13.2"/>
    <row r="9778" s="299" customFormat="1" ht="13.2"/>
    <row r="9779" s="299" customFormat="1" ht="13.2"/>
    <row r="9780" s="299" customFormat="1" ht="13.2"/>
    <row r="9781" s="299" customFormat="1" ht="13.2"/>
    <row r="9782" s="299" customFormat="1" ht="13.2"/>
    <row r="9783" s="299" customFormat="1" ht="13.2"/>
    <row r="9784" s="299" customFormat="1" ht="13.2"/>
    <row r="9785" s="299" customFormat="1" ht="13.2"/>
    <row r="9786" s="299" customFormat="1" ht="13.2"/>
    <row r="9787" s="299" customFormat="1" ht="13.2"/>
    <row r="9788" s="299" customFormat="1" ht="13.2"/>
    <row r="9789" s="299" customFormat="1" ht="13.2"/>
    <row r="9790" s="299" customFormat="1" ht="13.2"/>
    <row r="9791" s="299" customFormat="1" ht="13.2"/>
    <row r="9792" s="299" customFormat="1" ht="13.2"/>
    <row r="9793" s="299" customFormat="1" ht="13.2"/>
    <row r="9794" s="299" customFormat="1" ht="13.2"/>
    <row r="9795" s="299" customFormat="1" ht="13.2"/>
    <row r="9796" s="299" customFormat="1" ht="13.2"/>
    <row r="9797" s="299" customFormat="1" ht="13.2"/>
    <row r="9798" s="299" customFormat="1" ht="13.2"/>
    <row r="9799" s="299" customFormat="1" ht="13.2"/>
    <row r="9800" s="299" customFormat="1" ht="13.2"/>
    <row r="9801" s="299" customFormat="1" ht="13.2"/>
    <row r="9802" s="299" customFormat="1" ht="13.2"/>
    <row r="9803" s="299" customFormat="1" ht="13.2"/>
    <row r="9804" s="299" customFormat="1" ht="13.2"/>
    <row r="9805" s="299" customFormat="1" ht="13.2"/>
    <row r="9806" s="299" customFormat="1" ht="13.2"/>
    <row r="9807" s="299" customFormat="1" ht="13.2"/>
    <row r="9808" s="299" customFormat="1" ht="13.2"/>
    <row r="9809" s="299" customFormat="1" ht="13.2"/>
    <row r="9810" s="299" customFormat="1" ht="13.2"/>
    <row r="9811" s="299" customFormat="1" ht="13.2"/>
    <row r="9812" s="299" customFormat="1" ht="13.2"/>
    <row r="9813" s="299" customFormat="1" ht="13.2"/>
    <row r="9814" s="299" customFormat="1" ht="13.2"/>
    <row r="9815" s="299" customFormat="1" ht="13.2"/>
    <row r="9816" s="299" customFormat="1" ht="13.2"/>
    <row r="9817" s="299" customFormat="1" ht="13.2"/>
    <row r="9818" s="299" customFormat="1" ht="13.2"/>
    <row r="9819" s="299" customFormat="1" ht="13.2"/>
    <row r="9820" s="299" customFormat="1" ht="13.2"/>
    <row r="9821" s="299" customFormat="1" ht="13.2"/>
    <row r="9822" s="299" customFormat="1" ht="13.2"/>
    <row r="9823" s="299" customFormat="1" ht="13.2"/>
    <row r="9824" s="299" customFormat="1" ht="13.2"/>
    <row r="9825" s="299" customFormat="1" ht="13.2"/>
    <row r="9826" s="299" customFormat="1" ht="13.2"/>
    <row r="9827" s="299" customFormat="1" ht="13.2"/>
    <row r="9828" s="299" customFormat="1" ht="13.2"/>
    <row r="9829" s="299" customFormat="1" ht="13.2"/>
    <row r="9830" s="299" customFormat="1" ht="13.2"/>
    <row r="9831" s="299" customFormat="1" ht="13.2"/>
    <row r="9832" s="299" customFormat="1" ht="13.2"/>
    <row r="9833" s="299" customFormat="1" ht="13.2"/>
    <row r="9834" s="299" customFormat="1" ht="13.2"/>
    <row r="9835" s="299" customFormat="1" ht="13.2"/>
    <row r="9836" s="299" customFormat="1" ht="13.2"/>
    <row r="9837" s="299" customFormat="1" ht="13.2"/>
    <row r="9838" s="299" customFormat="1" ht="13.2"/>
    <row r="9839" s="299" customFormat="1" ht="13.2"/>
    <row r="9840" s="299" customFormat="1" ht="13.2"/>
    <row r="9841" s="299" customFormat="1" ht="13.2"/>
    <row r="9842" s="299" customFormat="1" ht="13.2"/>
    <row r="9843" s="299" customFormat="1" ht="13.2"/>
    <row r="9844" s="299" customFormat="1" ht="13.2"/>
    <row r="9845" s="299" customFormat="1" ht="13.2"/>
    <row r="9846" s="299" customFormat="1" ht="13.2"/>
    <row r="9847" s="299" customFormat="1" ht="13.2"/>
    <row r="9848" s="299" customFormat="1" ht="13.2"/>
    <row r="9849" s="299" customFormat="1" ht="13.2"/>
    <row r="9850" s="299" customFormat="1" ht="13.2"/>
    <row r="9851" s="299" customFormat="1" ht="13.2"/>
    <row r="9852" s="299" customFormat="1" ht="13.2"/>
    <row r="9853" s="299" customFormat="1" ht="13.2"/>
    <row r="9854" s="299" customFormat="1" ht="13.2"/>
    <row r="9855" s="299" customFormat="1" ht="13.2"/>
    <row r="9856" s="299" customFormat="1" ht="13.2"/>
    <row r="9857" s="299" customFormat="1" ht="13.2"/>
    <row r="9858" s="299" customFormat="1" ht="13.2"/>
    <row r="9859" s="299" customFormat="1" ht="13.2"/>
    <row r="9860" s="299" customFormat="1" ht="13.2"/>
    <row r="9861" s="299" customFormat="1" ht="13.2"/>
    <row r="9862" s="299" customFormat="1" ht="13.2"/>
    <row r="9863" s="299" customFormat="1" ht="13.2"/>
    <row r="9864" s="299" customFormat="1" ht="13.2"/>
    <row r="9865" s="299" customFormat="1" ht="13.2"/>
    <row r="9866" s="299" customFormat="1" ht="13.2"/>
    <row r="9867" s="299" customFormat="1" ht="13.2"/>
    <row r="9868" s="299" customFormat="1" ht="13.2"/>
    <row r="9869" s="299" customFormat="1" ht="13.2"/>
    <row r="9870" s="299" customFormat="1" ht="13.2"/>
    <row r="9871" s="299" customFormat="1" ht="13.2"/>
    <row r="9872" s="299" customFormat="1" ht="13.2"/>
    <row r="9873" s="299" customFormat="1" ht="13.2"/>
    <row r="9874" s="299" customFormat="1" ht="13.2"/>
    <row r="9875" s="299" customFormat="1" ht="13.2"/>
    <row r="9876" s="299" customFormat="1" ht="13.2"/>
    <row r="9877" s="299" customFormat="1" ht="13.2"/>
    <row r="9878" s="299" customFormat="1" ht="13.2"/>
    <row r="9879" s="299" customFormat="1" ht="13.2"/>
    <row r="9880" s="299" customFormat="1" ht="13.2"/>
    <row r="9881" s="299" customFormat="1" ht="13.2"/>
    <row r="9882" s="299" customFormat="1" ht="13.2"/>
    <row r="9883" s="299" customFormat="1" ht="13.2"/>
    <row r="9884" s="299" customFormat="1" ht="13.2"/>
    <row r="9885" s="299" customFormat="1" ht="13.2"/>
    <row r="9886" s="299" customFormat="1" ht="13.2"/>
    <row r="9887" s="299" customFormat="1" ht="13.2"/>
    <row r="9888" s="299" customFormat="1" ht="13.2"/>
    <row r="9889" s="299" customFormat="1" ht="13.2"/>
    <row r="9890" s="299" customFormat="1" ht="13.2"/>
    <row r="9891" s="299" customFormat="1" ht="13.2"/>
    <row r="9892" s="299" customFormat="1" ht="13.2"/>
  </sheetData>
  <mergeCells count="25">
    <mergeCell ref="C186:J186"/>
    <mergeCell ref="C142:J142"/>
    <mergeCell ref="B178:K178"/>
    <mergeCell ref="B179:K179"/>
    <mergeCell ref="B183:K183"/>
    <mergeCell ref="B184:K184"/>
    <mergeCell ref="B128:K128"/>
    <mergeCell ref="B129:K129"/>
    <mergeCell ref="B133:K133"/>
    <mergeCell ref="B134:K134"/>
    <mergeCell ref="C138:J138"/>
    <mergeCell ref="B91:K91"/>
    <mergeCell ref="B92:K92"/>
    <mergeCell ref="B95:J95"/>
    <mergeCell ref="C96:J96"/>
    <mergeCell ref="C99:J99"/>
    <mergeCell ref="B86:K86"/>
    <mergeCell ref="B87:K87"/>
    <mergeCell ref="C1:J1"/>
    <mergeCell ref="C3:J3"/>
    <mergeCell ref="B26:M26"/>
    <mergeCell ref="C31:J31"/>
    <mergeCell ref="C5:J5"/>
    <mergeCell ref="B22:J22"/>
    <mergeCell ref="G10:I10"/>
  </mergeCells>
  <printOptions horizontalCentered="1"/>
  <pageMargins left="0.5" right="0" top="1" bottom="0.5" header="0.5" footer="0.5"/>
  <pageSetup fitToHeight="0" orientation="landscape" paperSize="1" scale="36" r:id="rId1"/>
  <headerFooter alignWithMargins="0">
    <oddHeader>&amp;R&amp;14EXHIBIT NO. TRC-203
ATTACHMENT H-18A
Page &amp;P of &amp;N</oddHeader>
  </headerFooter>
  <rowBreaks count="3" manualBreakCount="3">
    <brk id="29" max="12" man="1"/>
    <brk id="87" max="12" man="1"/>
    <brk id="135" max="1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94B869D-555A-45EC-A606-2D268C6E6E99}">
  <dimension ref="A1:R191"/>
  <sheetViews>
    <sheetView view="pageBreakPreview" zoomScale="80" zoomScaleNormal="80" zoomScaleSheetLayoutView="80" workbookViewId="0" topLeftCell="A94">
      <selection pane="topLeft" activeCell="H97" sqref="H97"/>
    </sheetView>
  </sheetViews>
  <sheetFormatPr defaultColWidth="8.88555555555556" defaultRowHeight="14.4"/>
  <cols>
    <col min="1" max="1" width="5.44444444444444" style="1048" customWidth="1"/>
    <col min="2" max="2" width="13" style="1048" customWidth="1"/>
    <col min="3" max="3" width="52.4444444444444" style="1048" customWidth="1"/>
    <col min="4" max="4" width="2" style="1048" customWidth="1"/>
    <col min="5" max="5" width="27.1111111111111" style="1048" customWidth="1"/>
    <col min="6" max="6" width="23.4444444444444" style="1048" customWidth="1"/>
    <col min="7" max="10" width="19.4444444444444" style="1048" customWidth="1"/>
    <col min="11" max="11" width="23" style="1048" customWidth="1"/>
    <col min="12" max="12" width="22.4444444444444" style="1048" customWidth="1"/>
    <col min="13" max="13" width="18.4444444444444" style="1048" customWidth="1"/>
    <col min="14" max="14" width="17.4444444444444" style="1048" customWidth="1"/>
    <col min="15" max="16384" width="8.88888888888889" style="1048"/>
  </cols>
  <sheetData>
    <row r="1" spans="1:14" ht="17.4">
      <c r="A1" s="1726" t="s">
        <v>368</v>
      </c>
      <c r="B1" s="1726"/>
      <c r="C1" s="1726"/>
      <c r="D1" s="1726"/>
      <c r="E1" s="1726"/>
      <c r="F1" s="1726"/>
      <c r="G1" s="1726"/>
      <c r="H1" s="1726"/>
      <c r="I1" s="1726"/>
      <c r="J1" s="310"/>
      <c r="N1" s="996" t="s">
        <v>1150</v>
      </c>
    </row>
    <row r="2" spans="1:14" ht="15.6">
      <c r="A2" s="1004"/>
      <c r="B2" s="1004"/>
      <c r="C2" s="1004"/>
      <c r="D2" s="1002"/>
      <c r="E2" s="1002"/>
      <c r="F2" s="1002"/>
      <c r="G2" s="1002"/>
      <c r="H2" s="1005"/>
      <c r="I2" s="1049"/>
      <c r="J2" s="1050"/>
      <c r="K2" s="1051"/>
      <c r="N2" s="1052" t="s">
        <v>1151</v>
      </c>
    </row>
    <row r="3" spans="1:14" ht="15.6">
      <c r="A3" s="1732" t="s">
        <v>1102</v>
      </c>
      <c r="B3" s="1732"/>
      <c r="C3" s="1732"/>
      <c r="D3" s="1732"/>
      <c r="E3" s="1732"/>
      <c r="F3" s="1732"/>
      <c r="G3" s="1732"/>
      <c r="H3" s="1732"/>
      <c r="I3" s="1732"/>
      <c r="J3" s="1053"/>
      <c r="K3" s="1054"/>
      <c r="M3" s="1055"/>
      <c r="N3" s="1052" t="s">
        <v>1471</v>
      </c>
    </row>
    <row r="4" spans="1:11" ht="15.6">
      <c r="A4" s="1000"/>
      <c r="B4" s="1000"/>
      <c r="C4" s="997"/>
      <c r="D4" s="997"/>
      <c r="E4" s="997"/>
      <c r="F4" s="997"/>
      <c r="G4" s="995"/>
      <c r="H4" s="998"/>
      <c r="I4" s="999"/>
      <c r="J4" s="1056"/>
      <c r="K4" s="1057"/>
    </row>
    <row r="5" spans="1:11" ht="15.6">
      <c r="A5" s="995"/>
      <c r="B5" s="995"/>
      <c r="C5" s="1740"/>
      <c r="D5" s="1740"/>
      <c r="E5" s="1740"/>
      <c r="F5" s="1740"/>
      <c r="G5" s="1740"/>
      <c r="H5" s="1740"/>
      <c r="I5" s="1740"/>
      <c r="J5" s="1740"/>
      <c r="K5" s="1001"/>
    </row>
    <row r="6" spans="1:11" ht="15.6">
      <c r="A6" s="995"/>
      <c r="B6" s="995"/>
      <c r="C6" s="1741"/>
      <c r="D6" s="1741"/>
      <c r="E6" s="1741"/>
      <c r="F6" s="1741"/>
      <c r="G6" s="1741"/>
      <c r="H6" s="1741"/>
      <c r="I6" s="1741"/>
      <c r="J6" s="1741"/>
      <c r="K6" s="1002"/>
    </row>
    <row r="7" spans="3:4" ht="14.4">
      <c r="C7" s="1058"/>
      <c r="D7" s="1058"/>
    </row>
    <row r="8" spans="1:14" s="1061" customFormat="1" ht="14.4">
      <c r="A8" s="1059"/>
      <c r="B8" s="1020" t="s">
        <v>1062</v>
      </c>
      <c r="C8" s="1020" t="s">
        <v>1063</v>
      </c>
      <c r="D8" s="1060"/>
      <c r="E8" s="1020" t="s">
        <v>1064</v>
      </c>
      <c r="F8" s="1020" t="s">
        <v>1065</v>
      </c>
      <c r="G8" s="1020" t="s">
        <v>1066</v>
      </c>
      <c r="H8" s="1020" t="s">
        <v>1067</v>
      </c>
      <c r="I8" s="1020" t="s">
        <v>1068</v>
      </c>
      <c r="J8" s="1020" t="s">
        <v>1069</v>
      </c>
      <c r="K8" s="1020" t="s">
        <v>1106</v>
      </c>
      <c r="L8" s="1020" t="s">
        <v>1107</v>
      </c>
      <c r="M8" s="1020" t="s">
        <v>1108</v>
      </c>
      <c r="N8" s="1020" t="s">
        <v>1109</v>
      </c>
    </row>
    <row r="9" spans="1:14" s="0" customFormat="1" ht="57.6">
      <c r="A9" s="1062" t="s">
        <v>1070</v>
      </c>
      <c r="B9" s="1063" t="s">
        <v>1114</v>
      </c>
      <c r="C9" s="1063" t="s">
        <v>1071</v>
      </c>
      <c r="D9" s="1061"/>
      <c r="E9" s="1064" t="s">
        <v>1459</v>
      </c>
      <c r="F9" s="1063" t="s">
        <v>1153</v>
      </c>
      <c r="G9" s="1063" t="s">
        <v>1154</v>
      </c>
      <c r="H9" s="1063" t="s">
        <v>1155</v>
      </c>
      <c r="I9" s="1063" t="s">
        <v>1072</v>
      </c>
      <c r="J9" s="1063" t="s">
        <v>1156</v>
      </c>
      <c r="K9" s="1063" t="s">
        <v>1157</v>
      </c>
      <c r="L9" s="1063" t="s">
        <v>1120</v>
      </c>
      <c r="M9" s="1063" t="s">
        <v>1158</v>
      </c>
      <c r="N9" s="1063" t="s">
        <v>1159</v>
      </c>
    </row>
    <row r="10" spans="1:12" ht="15.6">
      <c r="A10" s="1065"/>
      <c r="B10" s="1065"/>
      <c r="C10" s="1066" t="s">
        <v>1160</v>
      </c>
      <c r="E10" s="1065"/>
      <c r="G10" s="1065"/>
      <c r="H10" s="1065"/>
      <c r="I10" s="1065"/>
      <c r="J10" s="1065"/>
      <c r="K10" s="1065"/>
      <c r="L10" s="1065"/>
    </row>
    <row r="11" spans="1:12" ht="15.6">
      <c r="A11" s="1027" t="s">
        <v>1122</v>
      </c>
      <c r="B11" s="1067"/>
      <c r="C11" s="1066" t="s">
        <v>1073</v>
      </c>
      <c r="E11" s="1065"/>
      <c r="G11" s="1065"/>
      <c r="H11" s="1065"/>
      <c r="I11" s="1065"/>
      <c r="J11" s="1065"/>
      <c r="L11" s="1065"/>
    </row>
    <row r="12" spans="1:14" ht="14.4">
      <c r="A12" s="1181" t="s">
        <v>1074</v>
      </c>
      <c r="B12" s="1182">
        <v>2017</v>
      </c>
      <c r="C12" s="1183" t="s">
        <v>1290</v>
      </c>
      <c r="D12" s="1184"/>
      <c r="E12" s="1185"/>
      <c r="F12" s="1185">
        <v>44981655</v>
      </c>
      <c r="G12" s="1185"/>
      <c r="H12" s="1185">
        <v>20</v>
      </c>
      <c r="I12" s="1185">
        <v>13</v>
      </c>
      <c r="J12" s="1185">
        <v>3212975</v>
      </c>
      <c r="K12" s="1186">
        <v>41768680</v>
      </c>
      <c r="L12" s="1187" t="s">
        <v>1162</v>
      </c>
      <c r="M12" s="1187" t="s">
        <v>1291</v>
      </c>
      <c r="N12" s="1187">
        <v>410.10</v>
      </c>
    </row>
    <row r="13" spans="1:14" ht="14.4">
      <c r="A13" s="1181" t="s">
        <v>1299</v>
      </c>
      <c r="B13" s="1182">
        <v>2017</v>
      </c>
      <c r="C13" s="1183" t="s">
        <v>1290</v>
      </c>
      <c r="D13" s="1184"/>
      <c r="E13" s="1185"/>
      <c r="F13" s="1185">
        <v>438158.42399999499</v>
      </c>
      <c r="G13" s="1185"/>
      <c r="H13" s="1185">
        <v>20</v>
      </c>
      <c r="I13" s="1185">
        <v>13</v>
      </c>
      <c r="J13" s="1185">
        <v>31297</v>
      </c>
      <c r="K13" s="1186">
        <v>406861.42399999499</v>
      </c>
      <c r="L13" s="1187" t="s">
        <v>1161</v>
      </c>
      <c r="M13" s="1187" t="s">
        <v>1291</v>
      </c>
      <c r="N13" s="1187">
        <v>410.10</v>
      </c>
    </row>
    <row r="14" spans="1:14" ht="14.4">
      <c r="A14" s="1181" t="s">
        <v>1300</v>
      </c>
      <c r="B14" s="1182">
        <v>2017</v>
      </c>
      <c r="C14" s="1183" t="s">
        <v>1219</v>
      </c>
      <c r="D14" s="1184"/>
      <c r="E14" s="1185"/>
      <c r="F14" s="1185">
        <v>-537205.82399999979</v>
      </c>
      <c r="G14" s="1185"/>
      <c r="H14" s="1185">
        <v>20</v>
      </c>
      <c r="I14" s="1185">
        <v>13</v>
      </c>
      <c r="J14" s="1185">
        <v>-38372</v>
      </c>
      <c r="K14" s="1186">
        <v>-498833.82399999979</v>
      </c>
      <c r="L14" s="1187" t="s">
        <v>1161</v>
      </c>
      <c r="M14" s="1187" t="s">
        <v>1293</v>
      </c>
      <c r="N14" s="1187">
        <v>410.10</v>
      </c>
    </row>
    <row r="15" spans="1:14" ht="14.4">
      <c r="A15" s="1181" t="s">
        <v>1289</v>
      </c>
      <c r="B15" s="1182">
        <v>2017</v>
      </c>
      <c r="C15" s="1183" t="s">
        <v>1221</v>
      </c>
      <c r="D15" s="1184"/>
      <c r="E15" s="1185"/>
      <c r="F15" s="1185">
        <v>-2673942.567999999</v>
      </c>
      <c r="G15" s="1185"/>
      <c r="H15" s="1185">
        <v>20</v>
      </c>
      <c r="I15" s="1185">
        <v>13</v>
      </c>
      <c r="J15" s="1185">
        <v>-190996</v>
      </c>
      <c r="K15" s="1186">
        <v>-2482946.567999999</v>
      </c>
      <c r="L15" s="1187" t="s">
        <v>1161</v>
      </c>
      <c r="M15" s="1187" t="s">
        <v>1293</v>
      </c>
      <c r="N15" s="1187">
        <v>410.10</v>
      </c>
    </row>
    <row r="16" spans="1:14" ht="14.4">
      <c r="A16" s="1181" t="s">
        <v>1302</v>
      </c>
      <c r="B16" s="1182">
        <v>2017</v>
      </c>
      <c r="C16" s="1183" t="s">
        <v>1295</v>
      </c>
      <c r="D16" s="1184"/>
      <c r="E16" s="1185"/>
      <c r="F16" s="1185">
        <v>601139.989512195</v>
      </c>
      <c r="G16" s="1185"/>
      <c r="H16" s="1185">
        <v>41</v>
      </c>
      <c r="I16" s="1185">
        <v>34</v>
      </c>
      <c r="J16" s="1185">
        <v>17175</v>
      </c>
      <c r="K16" s="1186">
        <v>583964.989512195</v>
      </c>
      <c r="L16" s="1187" t="s">
        <v>1161</v>
      </c>
      <c r="M16" s="1187" t="s">
        <v>1291</v>
      </c>
      <c r="N16" s="1187">
        <v>410.10</v>
      </c>
    </row>
    <row r="17" spans="1:14" ht="14.4" customHeight="1">
      <c r="A17" s="1181" t="s">
        <v>1303</v>
      </c>
      <c r="B17" s="1182">
        <v>2017</v>
      </c>
      <c r="C17" s="1183" t="s">
        <v>1296</v>
      </c>
      <c r="D17" s="1184"/>
      <c r="E17" s="1185"/>
      <c r="F17" s="1185">
        <v>158575.71200000006</v>
      </c>
      <c r="G17" s="1185"/>
      <c r="H17" s="1185">
        <v>10</v>
      </c>
      <c r="I17" s="1185">
        <v>3</v>
      </c>
      <c r="J17" s="1185">
        <v>39644</v>
      </c>
      <c r="K17" s="1186">
        <v>118931.71200000006</v>
      </c>
      <c r="L17" s="1187" t="s">
        <v>1161</v>
      </c>
      <c r="M17" s="1187" t="s">
        <v>1291</v>
      </c>
      <c r="N17" s="1187">
        <v>410.10</v>
      </c>
    </row>
    <row r="18" spans="1:12" ht="14.4" customHeight="1">
      <c r="A18" s="1070"/>
      <c r="B18" s="1070"/>
      <c r="C18" s="1188"/>
      <c r="F18" s="1054"/>
      <c r="G18" s="1188"/>
      <c r="H18" s="1188"/>
      <c r="I18" s="1188"/>
      <c r="J18" s="1188"/>
      <c r="K18" s="1054"/>
      <c r="L18" s="1070"/>
    </row>
    <row r="19" spans="1:12" ht="15.6">
      <c r="A19" s="1027">
        <v>2</v>
      </c>
      <c r="B19" s="1067"/>
      <c r="C19" s="1066" t="s">
        <v>1075</v>
      </c>
      <c r="E19" s="1065"/>
      <c r="F19" s="1065"/>
      <c r="G19" s="1065"/>
      <c r="H19" s="1065"/>
      <c r="I19" s="1065"/>
      <c r="J19" s="1065"/>
      <c r="L19" s="1065"/>
    </row>
    <row r="20" spans="1:14" ht="14.4" customHeight="1">
      <c r="A20" s="1027" t="s">
        <v>1076</v>
      </c>
      <c r="B20" s="1068"/>
      <c r="C20" s="1189"/>
      <c r="E20" s="1189"/>
      <c r="F20" s="1189"/>
      <c r="G20" s="1189"/>
      <c r="H20" s="1189"/>
      <c r="I20" s="1189"/>
      <c r="J20" s="1189"/>
      <c r="K20" s="1054"/>
      <c r="L20" s="1071"/>
      <c r="M20" s="1069"/>
      <c r="N20" s="1069"/>
    </row>
    <row r="21" spans="3:3" s="1190" customFormat="1" ht="14.4" customHeight="1">
      <c r="C21" s="1188"/>
    </row>
    <row r="22" spans="1:14" ht="14.4">
      <c r="A22" s="1181">
        <v>3</v>
      </c>
      <c r="B22" s="1191"/>
      <c r="C22" s="1192" t="s">
        <v>1077</v>
      </c>
      <c r="D22" s="1184"/>
      <c r="E22" s="1193"/>
      <c r="F22" s="1193"/>
      <c r="G22" s="1193"/>
      <c r="H22" s="1193"/>
      <c r="I22" s="1193"/>
      <c r="J22" s="1193"/>
      <c r="K22" s="1184"/>
      <c r="L22" s="1193"/>
      <c r="M22" s="1184"/>
      <c r="N22" s="1184"/>
    </row>
    <row r="23" spans="1:14" ht="14.4" customHeight="1">
      <c r="A23" s="1181" t="s">
        <v>1078</v>
      </c>
      <c r="B23" s="1182">
        <v>2017</v>
      </c>
      <c r="C23" s="1183" t="s">
        <v>1277</v>
      </c>
      <c r="D23" s="1184"/>
      <c r="E23" s="1185"/>
      <c r="F23" s="1185">
        <v>-158575.63399999996</v>
      </c>
      <c r="G23" s="1185"/>
      <c r="H23" s="1185">
        <v>10</v>
      </c>
      <c r="I23" s="1185">
        <v>3</v>
      </c>
      <c r="J23" s="1185">
        <v>-39644</v>
      </c>
      <c r="K23" s="1186">
        <v>-118931.63399999996</v>
      </c>
      <c r="L23" s="1187" t="s">
        <v>1161</v>
      </c>
      <c r="M23" s="1187" t="s">
        <v>1293</v>
      </c>
      <c r="N23" s="1187">
        <v>410.10</v>
      </c>
    </row>
    <row r="24" spans="1:14" ht="14.4" customHeight="1">
      <c r="A24" s="1181" t="s">
        <v>1297</v>
      </c>
      <c r="B24" s="1182">
        <v>2017</v>
      </c>
      <c r="C24" s="1183" t="s">
        <v>1287</v>
      </c>
      <c r="D24" s="1184"/>
      <c r="E24" s="1185"/>
      <c r="F24" s="1185">
        <v>2673942.567999999</v>
      </c>
      <c r="G24" s="1185"/>
      <c r="H24" s="1185">
        <v>20</v>
      </c>
      <c r="I24" s="1185">
        <v>13</v>
      </c>
      <c r="J24" s="1185">
        <v>190996</v>
      </c>
      <c r="K24" s="1186">
        <v>2482946.567999999</v>
      </c>
      <c r="L24" s="1187" t="s">
        <v>1161</v>
      </c>
      <c r="M24" s="1187" t="s">
        <v>1291</v>
      </c>
      <c r="N24" s="1187">
        <v>410.10</v>
      </c>
    </row>
    <row r="25" spans="1:14" ht="14.4" customHeight="1">
      <c r="A25" s="1027"/>
      <c r="B25" s="1068"/>
      <c r="C25" s="1189"/>
      <c r="E25" s="1189"/>
      <c r="F25" s="1189"/>
      <c r="G25" s="1189"/>
      <c r="H25" s="1189"/>
      <c r="I25" s="1189"/>
      <c r="J25" s="1189"/>
      <c r="K25" s="1054"/>
      <c r="L25" s="1028"/>
      <c r="M25" s="1069"/>
      <c r="N25" s="1069"/>
    </row>
    <row r="26" spans="1:12" ht="14.4" customHeight="1">
      <c r="A26" s="1070"/>
      <c r="B26" s="1070"/>
      <c r="E26" s="1188"/>
      <c r="F26" s="1188"/>
      <c r="G26" s="1188"/>
      <c r="H26" s="1188"/>
      <c r="I26" s="1188"/>
      <c r="J26" s="1188"/>
      <c r="K26" s="1054"/>
      <c r="L26" s="1070"/>
    </row>
    <row r="27" spans="1:14" ht="14.4" customHeight="1">
      <c r="A27" s="1181">
        <v>4</v>
      </c>
      <c r="B27" s="1182"/>
      <c r="C27" s="1194" t="s">
        <v>1079</v>
      </c>
      <c r="D27" s="1184"/>
      <c r="E27" s="1185"/>
      <c r="F27" s="1185">
        <v>16671263.675184617</v>
      </c>
      <c r="G27" s="1185">
        <v>-166625.04601357342</v>
      </c>
      <c r="H27" s="1185"/>
      <c r="I27" s="1185"/>
      <c r="J27" s="1185">
        <v>1169553.7610176241</v>
      </c>
      <c r="K27" s="1186">
        <v>15335084.868153419</v>
      </c>
      <c r="L27" s="1195"/>
      <c r="M27" s="1195"/>
      <c r="N27" s="1195"/>
    </row>
    <row r="28" spans="1:12" ht="14.4" customHeight="1">
      <c r="A28" s="1070"/>
      <c r="B28" s="1084"/>
      <c r="C28" s="1073"/>
      <c r="E28" s="1196"/>
      <c r="F28" s="1196"/>
      <c r="G28" s="1196"/>
      <c r="H28" s="1188"/>
      <c r="I28" s="1188"/>
      <c r="J28" s="1196"/>
      <c r="K28" s="1074"/>
      <c r="L28" s="1070"/>
    </row>
    <row r="29" spans="1:11" ht="15.6">
      <c r="A29" s="1027">
        <f>+A27+1</f>
        <v>5</v>
      </c>
      <c r="B29" s="1095"/>
      <c r="C29" s="1075" t="s">
        <v>1080</v>
      </c>
      <c r="E29" s="1197">
        <f>SUM(E17:E28)</f>
        <v>0</v>
      </c>
      <c r="F29" s="1197">
        <f>SUM(F12:F27)</f>
        <v>62155011.342696801</v>
      </c>
      <c r="G29" s="1197">
        <f>SUM(G17:G28)</f>
        <v>-166625.04601357342</v>
      </c>
      <c r="H29" s="1198"/>
      <c r="I29" s="1198"/>
      <c r="J29" s="1197">
        <f>SUM(J12:J27)</f>
        <v>4392628.7610176243</v>
      </c>
      <c r="K29" s="1197">
        <f>SUM(K12:K27)</f>
        <v>57595757.535665601</v>
      </c>
    </row>
    <row r="30" spans="3:10" ht="15.6">
      <c r="C30" s="1076"/>
      <c r="E30" s="1198"/>
      <c r="G30" s="1197"/>
      <c r="H30" s="1198"/>
      <c r="I30" s="1198"/>
      <c r="J30" s="1197"/>
    </row>
    <row r="31" spans="1:12" ht="15.6">
      <c r="A31" s="1065"/>
      <c r="B31" s="1065"/>
      <c r="C31" s="1066" t="s">
        <v>1164</v>
      </c>
      <c r="E31" s="1065"/>
      <c r="G31" s="1065"/>
      <c r="H31" s="1065"/>
      <c r="I31" s="1065"/>
      <c r="J31" s="1065"/>
      <c r="K31" s="1065"/>
      <c r="L31" s="1065"/>
    </row>
    <row r="32" spans="1:14" ht="14.4">
      <c r="A32" s="1027">
        <f>+A29+1</f>
        <v>6</v>
      </c>
      <c r="B32" s="1068">
        <v>2017</v>
      </c>
      <c r="C32" s="1083" t="s">
        <v>1081</v>
      </c>
      <c r="E32" s="1189"/>
      <c r="F32" s="1189">
        <v>0</v>
      </c>
      <c r="G32" s="1189"/>
      <c r="H32" s="1199" t="s">
        <v>1082</v>
      </c>
      <c r="I32" s="1199" t="s">
        <v>1082</v>
      </c>
      <c r="J32" s="1200"/>
      <c r="K32" s="1054">
        <v>0</v>
      </c>
      <c r="L32" s="1069" t="s">
        <v>1162</v>
      </c>
      <c r="M32" s="1069" t="s">
        <v>1165</v>
      </c>
      <c r="N32" s="1069">
        <v>411.10</v>
      </c>
    </row>
    <row r="33" spans="1:14" ht="14.4">
      <c r="A33" s="1027">
        <f>+A32+1</f>
        <v>7</v>
      </c>
      <c r="B33" s="1068">
        <v>2017</v>
      </c>
      <c r="C33" s="1083" t="s">
        <v>1081</v>
      </c>
      <c r="E33" s="1189"/>
      <c r="F33" s="1189">
        <v>-16306632.437755371</v>
      </c>
      <c r="G33" s="1189">
        <v>16306632.437755371</v>
      </c>
      <c r="H33" s="1199" t="s">
        <v>1082</v>
      </c>
      <c r="I33" s="1199" t="s">
        <v>1082</v>
      </c>
      <c r="J33" s="1200"/>
      <c r="K33" s="1054">
        <v>0</v>
      </c>
      <c r="L33" s="1069" t="s">
        <v>1161</v>
      </c>
      <c r="M33" s="1069" t="s">
        <v>1436</v>
      </c>
      <c r="N33" s="1069">
        <v>411.10</v>
      </c>
    </row>
    <row r="34" spans="1:14" ht="14.4">
      <c r="A34" s="1027">
        <f t="shared" si="0" ref="A34:A45">+A33+1</f>
        <v>8</v>
      </c>
      <c r="B34" s="1068">
        <v>2017</v>
      </c>
      <c r="C34" s="1083" t="s">
        <v>1081</v>
      </c>
      <c r="E34" s="1189"/>
      <c r="F34" s="1189">
        <v>0</v>
      </c>
      <c r="G34" s="1189"/>
      <c r="H34" s="1199" t="s">
        <v>1082</v>
      </c>
      <c r="I34" s="1199" t="s">
        <v>1082</v>
      </c>
      <c r="J34" s="1200"/>
      <c r="K34" s="1054">
        <v>0</v>
      </c>
      <c r="L34" s="1069" t="s">
        <v>1162</v>
      </c>
      <c r="M34" s="1069" t="s">
        <v>1166</v>
      </c>
      <c r="N34" s="1069">
        <v>410.10</v>
      </c>
    </row>
    <row r="35" spans="1:14" ht="14.4">
      <c r="A35" s="1027">
        <f t="shared" si="0"/>
        <v>9</v>
      </c>
      <c r="B35" s="1068">
        <v>2017</v>
      </c>
      <c r="C35" s="1083" t="s">
        <v>1081</v>
      </c>
      <c r="E35" s="1189"/>
      <c r="F35" s="1189">
        <v>26957920.150355373</v>
      </c>
      <c r="G35" s="1189">
        <v>-16672856.121755373</v>
      </c>
      <c r="H35" s="1199" t="s">
        <v>1082</v>
      </c>
      <c r="I35" s="1199" t="s">
        <v>1082</v>
      </c>
      <c r="J35" s="1200">
        <v>211281.07920000283</v>
      </c>
      <c r="K35" s="1054">
        <v>10073782.949399997</v>
      </c>
      <c r="L35" s="1069" t="s">
        <v>1161</v>
      </c>
      <c r="M35" s="1069" t="s">
        <v>1437</v>
      </c>
      <c r="N35" s="1069">
        <v>410.10</v>
      </c>
    </row>
    <row r="36" spans="1:14" ht="14.4">
      <c r="A36" s="1027">
        <f t="shared" si="0"/>
        <v>10</v>
      </c>
      <c r="B36" s="1068">
        <v>2017</v>
      </c>
      <c r="C36" s="1083" t="s">
        <v>1083</v>
      </c>
      <c r="E36" s="1189"/>
      <c r="F36" s="1189">
        <v>16234647.746722072</v>
      </c>
      <c r="G36" s="1189">
        <v>-16234647.746722072</v>
      </c>
      <c r="H36" s="1199" t="s">
        <v>1082</v>
      </c>
      <c r="I36" s="1199" t="s">
        <v>1082</v>
      </c>
      <c r="J36" s="1200"/>
      <c r="K36" s="1054">
        <v>0</v>
      </c>
      <c r="L36" s="1069" t="s">
        <v>1162</v>
      </c>
      <c r="M36" s="1069" t="s">
        <v>1437</v>
      </c>
      <c r="N36" s="1069">
        <v>411.10</v>
      </c>
    </row>
    <row r="37" spans="1:14" ht="14.4">
      <c r="A37" s="1027">
        <f t="shared" si="0"/>
        <v>11</v>
      </c>
      <c r="B37" s="1068">
        <v>2017</v>
      </c>
      <c r="C37" s="1083" t="s">
        <v>1083</v>
      </c>
      <c r="E37" s="1189"/>
      <c r="F37" s="1189">
        <v>-7927836.725330852</v>
      </c>
      <c r="G37" s="1189">
        <v>7927836.725330852</v>
      </c>
      <c r="H37" s="1199" t="s">
        <v>1082</v>
      </c>
      <c r="I37" s="1199" t="s">
        <v>1082</v>
      </c>
      <c r="J37" s="1200"/>
      <c r="K37" s="1054">
        <v>0</v>
      </c>
      <c r="L37" s="1069" t="s">
        <v>1161</v>
      </c>
      <c r="M37" s="1069" t="s">
        <v>1436</v>
      </c>
      <c r="N37" s="1069">
        <v>411.10</v>
      </c>
    </row>
    <row r="38" spans="1:14" ht="14.4">
      <c r="A38" s="1027">
        <f t="shared" si="0"/>
        <v>12</v>
      </c>
      <c r="B38" s="1068">
        <v>2017</v>
      </c>
      <c r="C38" s="1083" t="s">
        <v>1083</v>
      </c>
      <c r="E38" s="1189"/>
      <c r="F38" s="1189">
        <v>-204664847.84322208</v>
      </c>
      <c r="G38" s="1189">
        <v>16669314.304222135</v>
      </c>
      <c r="H38" s="1199" t="s">
        <v>1082</v>
      </c>
      <c r="I38" s="1199" t="s">
        <v>1082</v>
      </c>
      <c r="J38" s="1200">
        <v>-2128055.3252999503</v>
      </c>
      <c r="K38" s="1054">
        <v>-185867478.2137</v>
      </c>
      <c r="L38" s="1069" t="s">
        <v>1162</v>
      </c>
      <c r="M38" s="1069" t="s">
        <v>1436</v>
      </c>
      <c r="N38" s="1069">
        <v>410.10</v>
      </c>
    </row>
    <row r="39" spans="1:14" ht="14.4">
      <c r="A39" s="1027">
        <f t="shared" si="0"/>
        <v>13</v>
      </c>
      <c r="B39" s="1068">
        <v>2017</v>
      </c>
      <c r="C39" s="1083" t="s">
        <v>1083</v>
      </c>
      <c r="E39" s="1189"/>
      <c r="F39" s="1189">
        <v>23864311.502830811</v>
      </c>
      <c r="G39" s="1189">
        <v>-7059773.7442308143</v>
      </c>
      <c r="H39" s="1199" t="s">
        <v>1082</v>
      </c>
      <c r="I39" s="1199" t="s">
        <v>1082</v>
      </c>
      <c r="J39" s="1200">
        <v>131961.58469999605</v>
      </c>
      <c r="K39" s="1054">
        <v>16672576.173900001</v>
      </c>
      <c r="L39" s="1069" t="s">
        <v>1161</v>
      </c>
      <c r="M39" s="1069" t="s">
        <v>1437</v>
      </c>
      <c r="N39" s="1069">
        <v>410.10</v>
      </c>
    </row>
    <row r="40" spans="1:14" ht="14.4">
      <c r="A40" s="1027">
        <f t="shared" si="0"/>
        <v>14</v>
      </c>
      <c r="B40" s="1068">
        <v>2017</v>
      </c>
      <c r="C40" s="1083" t="s">
        <v>1084</v>
      </c>
      <c r="E40" s="1189"/>
      <c r="F40" s="1201">
        <v>0</v>
      </c>
      <c r="G40" s="1201"/>
      <c r="H40" s="1199" t="s">
        <v>1082</v>
      </c>
      <c r="I40" s="1199" t="s">
        <v>1082</v>
      </c>
      <c r="J40" s="1201"/>
      <c r="K40" s="1054">
        <v>0</v>
      </c>
      <c r="L40" s="1069" t="s">
        <v>1162</v>
      </c>
      <c r="M40" s="1069" t="s">
        <v>1165</v>
      </c>
      <c r="N40" s="1069">
        <v>411.10</v>
      </c>
    </row>
    <row r="41" spans="1:14" ht="14.4">
      <c r="A41" s="1027">
        <f t="shared" si="0"/>
        <v>15</v>
      </c>
      <c r="B41" s="1068">
        <v>2017</v>
      </c>
      <c r="C41" s="1083" t="s">
        <v>1084</v>
      </c>
      <c r="E41" s="1201"/>
      <c r="F41" s="1201">
        <v>0</v>
      </c>
      <c r="G41" s="1201"/>
      <c r="H41" s="1199" t="s">
        <v>1082</v>
      </c>
      <c r="I41" s="1199" t="s">
        <v>1082</v>
      </c>
      <c r="J41" s="1201"/>
      <c r="K41" s="1054">
        <v>0</v>
      </c>
      <c r="L41" s="1069" t="s">
        <v>1161</v>
      </c>
      <c r="M41" s="1069" t="s">
        <v>1166</v>
      </c>
      <c r="N41" s="1069">
        <v>411.10</v>
      </c>
    </row>
    <row r="42" spans="1:14" ht="14.4">
      <c r="A42" s="1027">
        <f t="shared" si="0"/>
        <v>16</v>
      </c>
      <c r="B42" s="1068">
        <v>2017</v>
      </c>
      <c r="C42" s="1083" t="s">
        <v>1084</v>
      </c>
      <c r="E42" s="1201"/>
      <c r="F42" s="1201">
        <v>0</v>
      </c>
      <c r="G42" s="1201"/>
      <c r="H42" s="1199" t="s">
        <v>1082</v>
      </c>
      <c r="I42" s="1199" t="s">
        <v>1082</v>
      </c>
      <c r="J42" s="1201"/>
      <c r="K42" s="1054">
        <v>0</v>
      </c>
      <c r="L42" s="1069" t="s">
        <v>1162</v>
      </c>
      <c r="M42" s="1069" t="s">
        <v>1166</v>
      </c>
      <c r="N42" s="1069">
        <v>410.10</v>
      </c>
    </row>
    <row r="43" spans="1:14" ht="14.4">
      <c r="A43" s="1027">
        <f t="shared" si="0"/>
        <v>17</v>
      </c>
      <c r="B43" s="1068">
        <v>2017</v>
      </c>
      <c r="C43" s="1083" t="s">
        <v>1084</v>
      </c>
      <c r="E43" s="1201"/>
      <c r="F43" s="1201">
        <v>0</v>
      </c>
      <c r="G43" s="1201"/>
      <c r="H43" s="1199" t="s">
        <v>1082</v>
      </c>
      <c r="I43" s="1199" t="s">
        <v>1082</v>
      </c>
      <c r="J43" s="1201"/>
      <c r="K43" s="1054">
        <v>0</v>
      </c>
      <c r="L43" s="1069" t="s">
        <v>1161</v>
      </c>
      <c r="M43" s="1069" t="s">
        <v>1165</v>
      </c>
      <c r="N43" s="1069"/>
    </row>
    <row r="44" spans="1:14" ht="14.4">
      <c r="A44" s="1027">
        <f t="shared" si="0"/>
        <v>18</v>
      </c>
      <c r="B44" s="1068">
        <v>2017</v>
      </c>
      <c r="C44" s="1633" t="s">
        <v>1085</v>
      </c>
      <c r="E44" s="1202"/>
      <c r="F44" s="1202">
        <v>-59320487.986296527</v>
      </c>
      <c r="G44" s="1202">
        <v>932725.47677914123</v>
      </c>
      <c r="H44" s="1199" t="s">
        <v>1082</v>
      </c>
      <c r="I44" s="1199" t="s">
        <v>1082</v>
      </c>
      <c r="J44" s="1202">
        <v>-647653.05208603223</v>
      </c>
      <c r="K44" s="1054">
        <v>-57740109.457431354</v>
      </c>
      <c r="L44" s="1069" t="s">
        <v>1163</v>
      </c>
      <c r="M44" s="1069" t="s">
        <v>1166</v>
      </c>
      <c r="N44" s="1069">
        <v>411.10</v>
      </c>
    </row>
    <row r="45" spans="1:12" ht="15.6">
      <c r="A45" s="1027">
        <f t="shared" si="0"/>
        <v>19</v>
      </c>
      <c r="B45" s="1068">
        <v>2017</v>
      </c>
      <c r="C45" s="1075" t="s">
        <v>1167</v>
      </c>
      <c r="E45" s="1078">
        <f>SUM(E32:E44)</f>
        <v>0</v>
      </c>
      <c r="F45" s="1078">
        <f>SUM(F32:F44)</f>
        <v>-221162925.59269661</v>
      </c>
      <c r="G45" s="1078">
        <f>SUM(G32:G44)</f>
        <v>1869231.3313792392</v>
      </c>
      <c r="H45" s="1203"/>
      <c r="I45" s="1203"/>
      <c r="J45" s="1078">
        <f>SUM(J32:J44)</f>
        <v>-2432465.7134859837</v>
      </c>
      <c r="K45" s="1078">
        <f>SUM(K32:K44)</f>
        <v>-216861228.54783133</v>
      </c>
      <c r="L45" s="1070"/>
    </row>
    <row r="46" spans="1:12" ht="15.6">
      <c r="A46" s="1070"/>
      <c r="B46" s="1070"/>
      <c r="C46" s="1076"/>
      <c r="E46" s="1204"/>
      <c r="G46" s="1204"/>
      <c r="H46" s="1198"/>
      <c r="I46" s="1198"/>
      <c r="J46" s="1205"/>
      <c r="K46" s="1078"/>
      <c r="L46" s="1070"/>
    </row>
    <row r="47" spans="1:14" ht="15.6">
      <c r="A47" s="1070"/>
      <c r="B47" s="1070"/>
      <c r="C47" s="1076"/>
      <c r="E47" s="1204"/>
      <c r="G47" s="1204"/>
      <c r="H47" s="1198"/>
      <c r="I47" s="1198"/>
      <c r="J47" s="1205"/>
      <c r="K47" s="1078"/>
      <c r="L47" s="1070"/>
      <c r="N47" s="996" t="s">
        <v>1150</v>
      </c>
    </row>
    <row r="48" spans="1:14" ht="15.6">
      <c r="A48" s="1070"/>
      <c r="B48" s="1070"/>
      <c r="C48" s="1076"/>
      <c r="E48" s="1204"/>
      <c r="G48" s="1204"/>
      <c r="H48" s="1198"/>
      <c r="I48" s="1198"/>
      <c r="J48" s="1205"/>
      <c r="K48" s="1078"/>
      <c r="L48" s="1070"/>
      <c r="N48" s="1052" t="s">
        <v>1168</v>
      </c>
    </row>
    <row r="49" spans="1:14" ht="15.6">
      <c r="A49" s="1070"/>
      <c r="B49" s="1070"/>
      <c r="C49" s="1076"/>
      <c r="E49" s="1204"/>
      <c r="G49" s="1204"/>
      <c r="H49" s="1198"/>
      <c r="I49" s="1198"/>
      <c r="J49" s="1205"/>
      <c r="K49" s="1078"/>
      <c r="L49" s="1070"/>
      <c r="M49" s="1055"/>
      <c r="N49" s="1052" t="s">
        <v>1471</v>
      </c>
    </row>
    <row r="50" spans="1:12" ht="15.6">
      <c r="A50" s="1070"/>
      <c r="B50" s="1070"/>
      <c r="C50" s="1076"/>
      <c r="E50" s="1204"/>
      <c r="G50" s="1204"/>
      <c r="H50" s="1198"/>
      <c r="I50" s="1198"/>
      <c r="J50" s="1205"/>
      <c r="K50" s="1078"/>
      <c r="L50" s="1070"/>
    </row>
    <row r="51" spans="1:14" s="1061" customFormat="1" ht="14.4">
      <c r="A51" s="1059"/>
      <c r="B51" s="1020" t="s">
        <v>1062</v>
      </c>
      <c r="C51" s="1020" t="s">
        <v>1063</v>
      </c>
      <c r="D51" s="1060"/>
      <c r="E51" s="1020" t="s">
        <v>1064</v>
      </c>
      <c r="F51" s="1020" t="s">
        <v>1065</v>
      </c>
      <c r="G51" s="1020" t="s">
        <v>1066</v>
      </c>
      <c r="H51" s="1020" t="s">
        <v>1067</v>
      </c>
      <c r="I51" s="1020" t="s">
        <v>1068</v>
      </c>
      <c r="J51" s="1020" t="s">
        <v>1069</v>
      </c>
      <c r="K51" s="1020" t="s">
        <v>1106</v>
      </c>
      <c r="L51" s="1020" t="s">
        <v>1107</v>
      </c>
      <c r="M51" s="1020" t="s">
        <v>1108</v>
      </c>
      <c r="N51" s="1020" t="s">
        <v>1109</v>
      </c>
    </row>
    <row r="52" spans="1:14" s="0" customFormat="1" ht="57.6">
      <c r="A52" s="1062" t="s">
        <v>1070</v>
      </c>
      <c r="B52" s="1063" t="s">
        <v>1114</v>
      </c>
      <c r="C52" s="1063" t="s">
        <v>1071</v>
      </c>
      <c r="D52" s="1061"/>
      <c r="E52" s="1064" t="s">
        <v>1459</v>
      </c>
      <c r="F52" s="1063" t="s">
        <v>1153</v>
      </c>
      <c r="G52" s="1063" t="s">
        <v>1154</v>
      </c>
      <c r="H52" s="1063" t="s">
        <v>1155</v>
      </c>
      <c r="I52" s="1063" t="s">
        <v>1072</v>
      </c>
      <c r="J52" s="1063" t="s">
        <v>1156</v>
      </c>
      <c r="K52" s="1063" t="s">
        <v>1157</v>
      </c>
      <c r="L52" s="1063" t="s">
        <v>1120</v>
      </c>
      <c r="M52" s="1063" t="s">
        <v>1158</v>
      </c>
      <c r="N52" s="1063" t="s">
        <v>1159</v>
      </c>
    </row>
    <row r="53" spans="1:12" ht="15.6">
      <c r="A53" s="1065"/>
      <c r="B53" s="1065"/>
      <c r="C53" s="1066" t="s">
        <v>1160</v>
      </c>
      <c r="E53" s="1065"/>
      <c r="G53" s="1065"/>
      <c r="H53" s="1065"/>
      <c r="I53" s="1065"/>
      <c r="J53" s="1065"/>
      <c r="K53" s="1065"/>
      <c r="L53" s="1065"/>
    </row>
    <row r="54" spans="1:12" ht="15.6">
      <c r="A54" s="1079">
        <f>+A45+1</f>
        <v>20</v>
      </c>
      <c r="B54" s="1067"/>
      <c r="C54" s="1066" t="s">
        <v>1073</v>
      </c>
      <c r="E54" s="1065"/>
      <c r="G54" s="1065"/>
      <c r="H54" s="1065"/>
      <c r="I54" s="1065"/>
      <c r="J54" s="1065"/>
      <c r="L54" s="1065"/>
    </row>
    <row r="55" spans="1:14" ht="14.4" customHeight="1">
      <c r="A55" s="1068" t="s">
        <v>1169</v>
      </c>
      <c r="B55" s="1189"/>
      <c r="C55" s="1189"/>
      <c r="E55" s="1189"/>
      <c r="F55" s="1189"/>
      <c r="G55" s="1189"/>
      <c r="H55" s="1189"/>
      <c r="I55" s="1189"/>
      <c r="J55" s="1189"/>
      <c r="K55" s="1054">
        <f>(F55+G55)-J55</f>
        <v>0</v>
      </c>
      <c r="L55" s="1189"/>
      <c r="M55" s="1189"/>
      <c r="N55" s="1189"/>
    </row>
    <row r="56" spans="1:12" ht="14.4" customHeight="1">
      <c r="A56" s="1059"/>
      <c r="B56" s="1188"/>
      <c r="C56" s="1188"/>
      <c r="G56" s="1188"/>
      <c r="H56" s="1188"/>
      <c r="I56" s="1188"/>
      <c r="J56" s="1188"/>
      <c r="K56" s="1054"/>
      <c r="L56" s="1070"/>
    </row>
    <row r="57" spans="1:12" ht="15.6">
      <c r="A57" s="1079">
        <f>+A54+1</f>
        <v>21</v>
      </c>
      <c r="B57" s="1067"/>
      <c r="C57" s="1066" t="s">
        <v>1075</v>
      </c>
      <c r="E57" s="1065"/>
      <c r="F57" s="1065"/>
      <c r="G57" s="1065"/>
      <c r="H57" s="1065"/>
      <c r="I57" s="1065"/>
      <c r="J57" s="1065"/>
      <c r="L57" s="1065"/>
    </row>
    <row r="58" spans="1:14" ht="14.4" customHeight="1">
      <c r="A58" s="1068" t="s">
        <v>1170</v>
      </c>
      <c r="B58" s="1189"/>
      <c r="C58" s="1189"/>
      <c r="E58" s="1189"/>
      <c r="F58" s="1189"/>
      <c r="G58" s="1189"/>
      <c r="H58" s="1189"/>
      <c r="I58" s="1189"/>
      <c r="J58" s="1189"/>
      <c r="K58" s="1054">
        <f>(F58+G58)-J58</f>
        <v>0</v>
      </c>
      <c r="L58" s="1189"/>
      <c r="M58" s="1189"/>
      <c r="N58" s="1189"/>
    </row>
    <row r="59" spans="1:14" ht="14.4" customHeight="1">
      <c r="A59" s="1059"/>
      <c r="B59" s="1188"/>
      <c r="C59" s="1188"/>
      <c r="E59" s="1188"/>
      <c r="F59" s="1188"/>
      <c r="G59" s="1188"/>
      <c r="H59" s="1188"/>
      <c r="I59" s="1188"/>
      <c r="J59" s="1188"/>
      <c r="K59" s="1054"/>
      <c r="L59" s="1188"/>
      <c r="M59" s="1188"/>
      <c r="N59" s="1188"/>
    </row>
    <row r="60" spans="1:12" ht="15.6">
      <c r="A60" s="1079">
        <f>+A57+1</f>
        <v>22</v>
      </c>
      <c r="B60" s="1067"/>
      <c r="C60" s="1066" t="s">
        <v>1077</v>
      </c>
      <c r="E60" s="1065"/>
      <c r="F60" s="1065"/>
      <c r="G60" s="1065"/>
      <c r="H60" s="1065"/>
      <c r="I60" s="1065"/>
      <c r="J60" s="1065"/>
      <c r="L60" s="1065"/>
    </row>
    <row r="61" spans="1:14" ht="14.4" customHeight="1">
      <c r="A61" s="1068" t="s">
        <v>1171</v>
      </c>
      <c r="B61" s="1580">
        <v>2023</v>
      </c>
      <c r="C61" s="1189" t="s">
        <v>1272</v>
      </c>
      <c r="E61" s="1189"/>
      <c r="F61" s="1189">
        <v>-61.605000000000473</v>
      </c>
      <c r="G61" s="1189"/>
      <c r="H61" s="1189">
        <v>2</v>
      </c>
      <c r="I61" s="1189">
        <v>0</v>
      </c>
      <c r="J61" s="1189">
        <v>-61.605000000000473</v>
      </c>
      <c r="K61" s="1054">
        <v>0</v>
      </c>
      <c r="L61" s="1189" t="s">
        <v>1161</v>
      </c>
      <c r="M61" s="1189" t="s">
        <v>1293</v>
      </c>
      <c r="N61" s="1189">
        <v>410.10</v>
      </c>
    </row>
    <row r="62" spans="1:14" ht="14.4" customHeight="1">
      <c r="A62" s="1068" t="s">
        <v>1298</v>
      </c>
      <c r="B62" s="1580">
        <v>2023</v>
      </c>
      <c r="C62" s="1189" t="s">
        <v>1281</v>
      </c>
      <c r="E62" s="1189"/>
      <c r="F62" s="1189">
        <v>-1105.4949999999953</v>
      </c>
      <c r="G62" s="1189"/>
      <c r="H62" s="1189">
        <v>2</v>
      </c>
      <c r="I62" s="1189">
        <v>0</v>
      </c>
      <c r="J62" s="1189">
        <v>-1105.4949999999953</v>
      </c>
      <c r="K62" s="1054">
        <v>0</v>
      </c>
      <c r="L62" s="1189" t="s">
        <v>1161</v>
      </c>
      <c r="M62" s="1189" t="s">
        <v>1293</v>
      </c>
      <c r="N62" s="1189">
        <v>410.10</v>
      </c>
    </row>
    <row r="63" spans="1:12" ht="14.4" customHeight="1">
      <c r="A63" s="1059"/>
      <c r="B63" s="1070"/>
      <c r="E63" s="1188">
        <v>0</v>
      </c>
      <c r="F63" s="1188">
        <v>0</v>
      </c>
      <c r="G63" s="1188"/>
      <c r="H63" s="1188"/>
      <c r="I63" s="1188"/>
      <c r="J63" s="1188"/>
      <c r="K63" s="1054"/>
      <c r="L63" s="1070"/>
    </row>
    <row r="64" spans="1:14" ht="14.4" customHeight="1">
      <c r="A64" s="1068">
        <v>23</v>
      </c>
      <c r="B64" s="1071"/>
      <c r="C64" s="1072" t="s">
        <v>1079</v>
      </c>
      <c r="E64" s="1189">
        <v>0</v>
      </c>
      <c r="F64" s="1189">
        <v>-427.77987375929291</v>
      </c>
      <c r="G64" s="1189">
        <v>4.2755511842166243</v>
      </c>
      <c r="H64" s="1189"/>
      <c r="I64" s="1189"/>
      <c r="J64" s="1189">
        <v>-423.50432257507629</v>
      </c>
      <c r="K64" s="1054">
        <v>0</v>
      </c>
      <c r="L64" s="1189"/>
      <c r="M64" s="1189"/>
      <c r="N64" s="1189"/>
    </row>
    <row r="65" spans="1:12" ht="14.4" customHeight="1">
      <c r="A65" s="1059"/>
      <c r="B65" s="1070"/>
      <c r="C65" s="1073"/>
      <c r="E65" s="1196"/>
      <c r="F65" s="1196"/>
      <c r="G65" s="1196"/>
      <c r="H65" s="1188"/>
      <c r="I65" s="1188"/>
      <c r="J65" s="1196"/>
      <c r="K65" s="1074"/>
      <c r="L65" s="1070"/>
    </row>
    <row r="66" spans="1:11" ht="15.6">
      <c r="A66" s="1068">
        <f>+A64+1</f>
        <v>24</v>
      </c>
      <c r="B66" s="1095">
        <v>2023</v>
      </c>
      <c r="C66" s="1075" t="s">
        <v>1080</v>
      </c>
      <c r="E66" s="1197">
        <f>SUM(E55:E65)</f>
        <v>0</v>
      </c>
      <c r="F66" s="1197">
        <f>SUM(F55:F65)</f>
        <v>-1594.8798737592888</v>
      </c>
      <c r="G66" s="1197">
        <f>SUM(G55:G65)</f>
        <v>4.2755511842166243</v>
      </c>
      <c r="H66" s="1198"/>
      <c r="I66" s="1198"/>
      <c r="J66" s="1197">
        <f>SUM(J55:J65)</f>
        <v>-1590.604322575072</v>
      </c>
      <c r="K66" s="1197">
        <f>SUM(K55:K65)</f>
        <v>0</v>
      </c>
    </row>
    <row r="67" spans="1:10" ht="15.6">
      <c r="A67"/>
      <c r="C67" s="1076"/>
      <c r="E67" s="1198"/>
      <c r="G67" s="1197"/>
      <c r="H67" s="1198"/>
      <c r="I67" s="1198"/>
      <c r="J67" s="1197"/>
    </row>
    <row r="68" spans="2:12" ht="15.6">
      <c r="B68" s="1065"/>
      <c r="C68" s="1066" t="s">
        <v>1164</v>
      </c>
      <c r="E68" s="1065"/>
      <c r="G68" s="1065"/>
      <c r="H68" s="1065"/>
      <c r="I68" s="1065"/>
      <c r="J68" s="1065"/>
      <c r="K68" s="1065"/>
      <c r="L68" s="1065"/>
    </row>
    <row r="69" spans="1:14" ht="14.4">
      <c r="A69" s="1068">
        <f>+A66+1</f>
        <v>25</v>
      </c>
      <c r="B69" s="1581">
        <v>2023</v>
      </c>
      <c r="C69" s="1083" t="s">
        <v>1081</v>
      </c>
      <c r="E69" s="1189"/>
      <c r="F69" s="1189">
        <v>0</v>
      </c>
      <c r="G69" s="1189"/>
      <c r="H69" s="1199" t="s">
        <v>1082</v>
      </c>
      <c r="I69" s="1199" t="s">
        <v>1082</v>
      </c>
      <c r="J69" s="1189"/>
      <c r="K69" s="1186">
        <v>0</v>
      </c>
      <c r="L69" s="1189" t="s">
        <v>1162</v>
      </c>
      <c r="M69" s="1189" t="s">
        <v>1165</v>
      </c>
      <c r="N69" s="1189">
        <v>411.10</v>
      </c>
    </row>
    <row r="70" spans="1:14" ht="14.4">
      <c r="A70" s="1068">
        <f>+A69+1</f>
        <v>26</v>
      </c>
      <c r="B70" s="1581">
        <v>2023</v>
      </c>
      <c r="C70" s="1083" t="s">
        <v>1081</v>
      </c>
      <c r="E70" s="1189"/>
      <c r="F70" s="1189">
        <v>-274739.92410489288</v>
      </c>
      <c r="G70" s="1189">
        <v>274739.92410489288</v>
      </c>
      <c r="H70" s="1199" t="s">
        <v>1082</v>
      </c>
      <c r="I70" s="1199" t="s">
        <v>1082</v>
      </c>
      <c r="J70" s="1189"/>
      <c r="K70" s="1186">
        <v>0</v>
      </c>
      <c r="L70" s="1189" t="s">
        <v>1161</v>
      </c>
      <c r="M70" s="1189" t="s">
        <v>1436</v>
      </c>
      <c r="N70" s="1189">
        <v>411.10</v>
      </c>
    </row>
    <row r="71" spans="1:14" ht="14.4">
      <c r="A71" s="1068">
        <f t="shared" si="1" ref="A71:A82">+A70+1</f>
        <v>27</v>
      </c>
      <c r="B71" s="1581">
        <v>2023</v>
      </c>
      <c r="C71" s="1083" t="s">
        <v>1081</v>
      </c>
      <c r="E71" s="1189"/>
      <c r="F71" s="1189">
        <v>0</v>
      </c>
      <c r="G71" s="1189"/>
      <c r="H71" s="1199" t="s">
        <v>1082</v>
      </c>
      <c r="I71" s="1199" t="s">
        <v>1082</v>
      </c>
      <c r="J71" s="1189"/>
      <c r="K71" s="1186">
        <v>0</v>
      </c>
      <c r="L71" s="1189" t="s">
        <v>1162</v>
      </c>
      <c r="M71" s="1189" t="s">
        <v>1166</v>
      </c>
      <c r="N71" s="1189">
        <v>410.10</v>
      </c>
    </row>
    <row r="72" spans="1:14" ht="14.4">
      <c r="A72" s="1068">
        <f t="shared" si="1"/>
        <v>28</v>
      </c>
      <c r="B72" s="1581">
        <v>2023</v>
      </c>
      <c r="C72" s="1083" t="s">
        <v>1081</v>
      </c>
      <c r="E72" s="1189"/>
      <c r="F72" s="1189">
        <v>508148.54410489299</v>
      </c>
      <c r="G72" s="1189">
        <v>-202221.13410489279</v>
      </c>
      <c r="H72" s="1199" t="s">
        <v>1082</v>
      </c>
      <c r="I72" s="1199" t="s">
        <v>1082</v>
      </c>
      <c r="J72" s="1189">
        <v>6757.9700000000303</v>
      </c>
      <c r="K72" s="1186">
        <v>299169.44000000018</v>
      </c>
      <c r="L72" s="1189" t="s">
        <v>1161</v>
      </c>
      <c r="M72" s="1189" t="s">
        <v>1437</v>
      </c>
      <c r="N72" s="1189">
        <v>410.10</v>
      </c>
    </row>
    <row r="73" spans="1:14" ht="14.4">
      <c r="A73" s="1068">
        <f t="shared" si="1"/>
        <v>29</v>
      </c>
      <c r="B73" s="1581">
        <v>2023</v>
      </c>
      <c r="C73" s="1083" t="s">
        <v>1083</v>
      </c>
      <c r="E73" s="1189"/>
      <c r="F73" s="1189">
        <v>0</v>
      </c>
      <c r="G73" s="1189"/>
      <c r="H73" s="1199" t="s">
        <v>1082</v>
      </c>
      <c r="I73" s="1199" t="s">
        <v>1082</v>
      </c>
      <c r="J73" s="1189"/>
      <c r="K73" s="1186">
        <v>0</v>
      </c>
      <c r="L73" s="1189" t="s">
        <v>1162</v>
      </c>
      <c r="M73" s="1189" t="s">
        <v>1165</v>
      </c>
      <c r="N73" s="1189">
        <v>411.10</v>
      </c>
    </row>
    <row r="74" spans="1:14" ht="14.4">
      <c r="A74" s="1068">
        <f t="shared" si="1"/>
        <v>30</v>
      </c>
      <c r="B74" s="1581">
        <v>2023</v>
      </c>
      <c r="C74" s="1083" t="s">
        <v>1083</v>
      </c>
      <c r="E74" s="1189"/>
      <c r="F74" s="1189">
        <v>-331577.05494770134</v>
      </c>
      <c r="G74" s="1189">
        <v>331577.05494770134</v>
      </c>
      <c r="H74" s="1199" t="s">
        <v>1082</v>
      </c>
      <c r="I74" s="1199" t="s">
        <v>1082</v>
      </c>
      <c r="J74" s="1189"/>
      <c r="K74" s="1186">
        <v>0</v>
      </c>
      <c r="L74" s="1189" t="s">
        <v>1161</v>
      </c>
      <c r="M74" s="1189" t="s">
        <v>1436</v>
      </c>
      <c r="N74" s="1189">
        <v>411.10</v>
      </c>
    </row>
    <row r="75" spans="1:14" ht="14.4">
      <c r="A75" s="1068">
        <f t="shared" si="1"/>
        <v>31</v>
      </c>
      <c r="B75" s="1581">
        <v>2023</v>
      </c>
      <c r="C75" s="1083" t="s">
        <v>1083</v>
      </c>
      <c r="E75" s="1189"/>
      <c r="F75" s="1189">
        <v>-4638393.4399999985</v>
      </c>
      <c r="G75" s="1189">
        <v>295074.31999999844</v>
      </c>
      <c r="H75" s="1199" t="s">
        <v>1082</v>
      </c>
      <c r="I75" s="1199" t="s">
        <v>1082</v>
      </c>
      <c r="J75" s="1189">
        <v>-60266.759999999776</v>
      </c>
      <c r="K75" s="1186">
        <v>-4283052.3600000003</v>
      </c>
      <c r="L75" s="1189" t="s">
        <v>1162</v>
      </c>
      <c r="M75" s="1189" t="s">
        <v>1436</v>
      </c>
      <c r="N75" s="1189">
        <v>410.10</v>
      </c>
    </row>
    <row r="76" spans="1:14" ht="14.4">
      <c r="A76" s="1068">
        <f t="shared" si="1"/>
        <v>32</v>
      </c>
      <c r="B76" s="1581">
        <v>2023</v>
      </c>
      <c r="C76" s="1083" t="s">
        <v>1083</v>
      </c>
      <c r="E76" s="1189"/>
      <c r="F76" s="1189">
        <v>924125.47494769923</v>
      </c>
      <c r="G76" s="1189">
        <v>-429698.35494769929</v>
      </c>
      <c r="H76" s="1199" t="s">
        <v>1082</v>
      </c>
      <c r="I76" s="1199" t="s">
        <v>1082</v>
      </c>
      <c r="J76" s="1189">
        <v>16098.129999999946</v>
      </c>
      <c r="K76" s="1186">
        <v>478328.99</v>
      </c>
      <c r="L76" s="1189" t="s">
        <v>1161</v>
      </c>
      <c r="M76" s="1189" t="s">
        <v>1437</v>
      </c>
      <c r="N76" s="1189">
        <v>410.10</v>
      </c>
    </row>
    <row r="77" spans="1:14" ht="14.4">
      <c r="A77" s="1068">
        <f t="shared" si="1"/>
        <v>33</v>
      </c>
      <c r="B77" s="1581">
        <v>2023</v>
      </c>
      <c r="C77" s="1083" t="s">
        <v>1084</v>
      </c>
      <c r="E77" s="1201"/>
      <c r="F77" s="1201">
        <v>0</v>
      </c>
      <c r="G77" s="1201"/>
      <c r="H77" s="1199" t="s">
        <v>1082</v>
      </c>
      <c r="I77" s="1199" t="s">
        <v>1082</v>
      </c>
      <c r="J77" s="1189"/>
      <c r="K77" s="1186">
        <v>0</v>
      </c>
      <c r="L77" s="1189" t="s">
        <v>1162</v>
      </c>
      <c r="M77" s="1189" t="s">
        <v>1165</v>
      </c>
      <c r="N77" s="1189">
        <v>411.10</v>
      </c>
    </row>
    <row r="78" spans="1:14" ht="14.4">
      <c r="A78" s="1068">
        <f t="shared" si="1"/>
        <v>34</v>
      </c>
      <c r="B78" s="1581">
        <v>2023</v>
      </c>
      <c r="C78" s="1083" t="s">
        <v>1084</v>
      </c>
      <c r="E78" s="1201"/>
      <c r="F78" s="1201">
        <v>0</v>
      </c>
      <c r="G78" s="1201"/>
      <c r="H78" s="1199" t="s">
        <v>1082</v>
      </c>
      <c r="I78" s="1199" t="s">
        <v>1082</v>
      </c>
      <c r="J78" s="1189"/>
      <c r="K78" s="1186">
        <v>0</v>
      </c>
      <c r="L78" s="1189" t="s">
        <v>1161</v>
      </c>
      <c r="M78" s="1189" t="s">
        <v>1166</v>
      </c>
      <c r="N78" s="1189">
        <v>411.10</v>
      </c>
    </row>
    <row r="79" spans="1:14" ht="14.4">
      <c r="A79" s="1068">
        <f t="shared" si="1"/>
        <v>35</v>
      </c>
      <c r="B79" s="1581">
        <v>2023</v>
      </c>
      <c r="C79" s="1083" t="s">
        <v>1084</v>
      </c>
      <c r="E79" s="1201"/>
      <c r="F79" s="1201">
        <v>0</v>
      </c>
      <c r="G79" s="1201"/>
      <c r="H79" s="1199" t="s">
        <v>1082</v>
      </c>
      <c r="I79" s="1199" t="s">
        <v>1082</v>
      </c>
      <c r="J79" s="1189"/>
      <c r="K79" s="1186">
        <v>0</v>
      </c>
      <c r="L79" s="1189" t="s">
        <v>1162</v>
      </c>
      <c r="M79" s="1189" t="s">
        <v>1166</v>
      </c>
      <c r="N79" s="1189">
        <v>410.10</v>
      </c>
    </row>
    <row r="80" spans="1:14" ht="14.4">
      <c r="A80" s="1068">
        <f t="shared" si="1"/>
        <v>36</v>
      </c>
      <c r="B80" s="1581">
        <v>2023</v>
      </c>
      <c r="C80" s="1083" t="s">
        <v>1084</v>
      </c>
      <c r="E80" s="1201"/>
      <c r="F80" s="1201">
        <v>0</v>
      </c>
      <c r="G80" s="1201"/>
      <c r="H80" s="1199" t="s">
        <v>1082</v>
      </c>
      <c r="I80" s="1199" t="s">
        <v>1082</v>
      </c>
      <c r="J80" s="1189"/>
      <c r="K80" s="1186">
        <v>0</v>
      </c>
      <c r="L80" s="1189" t="s">
        <v>1161</v>
      </c>
      <c r="M80" s="1189" t="s">
        <v>1165</v>
      </c>
      <c r="N80" s="1189"/>
    </row>
    <row r="81" spans="1:14" ht="14.4">
      <c r="A81" s="1068">
        <f t="shared" si="1"/>
        <v>37</v>
      </c>
      <c r="B81" s="1581">
        <v>2023</v>
      </c>
      <c r="C81" s="1633" t="s">
        <v>1085</v>
      </c>
      <c r="E81" s="1202"/>
      <c r="F81" s="1202">
        <v>-1397381.1686293713</v>
      </c>
      <c r="G81" s="1202">
        <v>111749.41591286176</v>
      </c>
      <c r="H81" s="1199" t="s">
        <v>1082</v>
      </c>
      <c r="I81" s="1199" t="s">
        <v>1082</v>
      </c>
      <c r="J81" s="1189">
        <v>-13575.165984394205</v>
      </c>
      <c r="K81" s="1206">
        <v>-1272056.5867321154</v>
      </c>
      <c r="L81" s="1189" t="s">
        <v>1163</v>
      </c>
      <c r="M81" s="1189" t="s">
        <v>1166</v>
      </c>
      <c r="N81" s="1189">
        <v>411.10</v>
      </c>
    </row>
    <row r="82" spans="1:12" ht="15.6">
      <c r="A82" s="1068">
        <f t="shared" si="1"/>
        <v>38</v>
      </c>
      <c r="B82" s="1581">
        <v>2023</v>
      </c>
      <c r="C82" s="1075" t="s">
        <v>1172</v>
      </c>
      <c r="E82" s="1080">
        <f>SUM(E69:E81)</f>
        <v>0</v>
      </c>
      <c r="F82" s="1080">
        <f>SUM(F69:F81)</f>
        <v>-5209817.5686293719</v>
      </c>
      <c r="G82" s="1080">
        <f>SUM(G69:G81)</f>
        <v>381221.22591286234</v>
      </c>
      <c r="H82" s="1203"/>
      <c r="I82" s="1203"/>
      <c r="J82" s="1078">
        <f>SUM(J69:J81)</f>
        <v>-50985.825984394003</v>
      </c>
      <c r="K82" s="1078">
        <f>SUM(K69:K81)</f>
        <v>-4777610.5167321153</v>
      </c>
      <c r="L82" s="1070"/>
    </row>
    <row r="83" spans="2:12" ht="15.6">
      <c r="B83" s="1070"/>
      <c r="C83" s="1076"/>
      <c r="E83" s="1204"/>
      <c r="G83" s="1204"/>
      <c r="H83" s="1198"/>
      <c r="I83" s="1198"/>
      <c r="J83" s="1205"/>
      <c r="K83" s="1078"/>
      <c r="L83" s="1070"/>
    </row>
    <row r="84" spans="2:12" ht="15.6">
      <c r="B84" s="1070"/>
      <c r="C84" s="1076"/>
      <c r="E84" s="1204"/>
      <c r="G84" s="1204"/>
      <c r="H84" s="1198"/>
      <c r="I84" s="1198"/>
      <c r="J84" s="1205"/>
      <c r="K84" s="1078"/>
      <c r="L84" s="1070"/>
    </row>
    <row r="85" spans="2:12" ht="15.6">
      <c r="B85" s="1070"/>
      <c r="C85" s="1076"/>
      <c r="E85" s="1204"/>
      <c r="G85" s="1204"/>
      <c r="H85" s="1198"/>
      <c r="I85" s="1198"/>
      <c r="J85" s="1205"/>
      <c r="K85" s="1078"/>
      <c r="L85" s="1070"/>
    </row>
    <row r="86" spans="2:14" ht="15.6">
      <c r="B86" s="1070"/>
      <c r="C86" s="1076"/>
      <c r="E86" s="1204"/>
      <c r="G86" s="1204"/>
      <c r="H86" s="1198"/>
      <c r="I86" s="1198"/>
      <c r="J86" s="1205"/>
      <c r="K86" s="1078"/>
      <c r="L86" s="1070"/>
      <c r="N86" s="996" t="s">
        <v>1150</v>
      </c>
    </row>
    <row r="87" spans="2:14" ht="15.6">
      <c r="B87" s="1070"/>
      <c r="C87" s="1076"/>
      <c r="E87" s="1204"/>
      <c r="G87" s="1204"/>
      <c r="H87" s="1198"/>
      <c r="I87" s="1198"/>
      <c r="J87" s="1205"/>
      <c r="K87" s="1078"/>
      <c r="L87" s="1070"/>
      <c r="N87" s="1052" t="s">
        <v>1173</v>
      </c>
    </row>
    <row r="88" spans="1:14" ht="15.6">
      <c r="A88" s="1070"/>
      <c r="B88" s="1070"/>
      <c r="C88" s="1076"/>
      <c r="E88" s="1204"/>
      <c r="G88" s="1204"/>
      <c r="H88" s="1198"/>
      <c r="I88" s="1198"/>
      <c r="J88" s="1205"/>
      <c r="K88" s="1078"/>
      <c r="L88" s="1070"/>
      <c r="M88" s="1055"/>
      <c r="N88" s="1052" t="s">
        <v>1471</v>
      </c>
    </row>
    <row r="89" spans="1:14" ht="15.6">
      <c r="A89" s="1070"/>
      <c r="B89" s="1070"/>
      <c r="C89" s="1076"/>
      <c r="E89" s="1204"/>
      <c r="G89" s="1204"/>
      <c r="H89" s="1213"/>
      <c r="I89" s="1213"/>
      <c r="J89" s="1205"/>
      <c r="K89" s="1078"/>
      <c r="L89" s="1070"/>
      <c r="M89" s="1634"/>
      <c r="N89" s="1635"/>
    </row>
    <row r="90" spans="1:14" ht="15.6">
      <c r="A90" s="1070"/>
      <c r="B90" s="1070"/>
      <c r="C90" s="1076"/>
      <c r="E90" s="1204"/>
      <c r="G90" s="1204"/>
      <c r="H90" s="1213"/>
      <c r="I90" s="1213"/>
      <c r="J90" s="1205"/>
      <c r="K90" s="1078"/>
      <c r="L90" s="1070"/>
      <c r="M90" s="1634"/>
      <c r="N90" s="1635"/>
    </row>
    <row r="91" spans="1:14" ht="15.6">
      <c r="A91" s="1070"/>
      <c r="B91" s="1070"/>
      <c r="C91" s="1076"/>
      <c r="E91" s="1204"/>
      <c r="G91" s="1204"/>
      <c r="H91" s="1213"/>
      <c r="I91" s="1213"/>
      <c r="J91" s="1205"/>
      <c r="K91" s="1078"/>
      <c r="L91" s="1070"/>
      <c r="M91" s="1634"/>
      <c r="N91" s="1635"/>
    </row>
    <row r="92" spans="1:14" ht="15.6">
      <c r="A92" s="1070"/>
      <c r="B92" s="1070"/>
      <c r="C92" s="1076"/>
      <c r="E92" s="1204"/>
      <c r="G92" s="1204"/>
      <c r="H92" s="1213"/>
      <c r="I92" s="1213"/>
      <c r="J92" s="1205"/>
      <c r="K92" s="1078"/>
      <c r="L92" s="1070"/>
      <c r="M92" s="1634"/>
      <c r="N92" s="1635"/>
    </row>
    <row r="93" spans="1:14" s="1184" customFormat="1" ht="14.4">
      <c r="A93" s="1636"/>
      <c r="B93" s="1637" t="s">
        <v>1062</v>
      </c>
      <c r="C93" s="1637" t="s">
        <v>1063</v>
      </c>
      <c r="D93" s="1638"/>
      <c r="E93" s="1637" t="s">
        <v>1064</v>
      </c>
      <c r="F93" s="1637" t="s">
        <v>1065</v>
      </c>
      <c r="G93" s="1637" t="s">
        <v>1066</v>
      </c>
      <c r="H93" s="1637" t="s">
        <v>1067</v>
      </c>
      <c r="I93" s="1637" t="s">
        <v>1068</v>
      </c>
      <c r="J93" s="1637" t="s">
        <v>1069</v>
      </c>
      <c r="K93" s="1637" t="s">
        <v>1106</v>
      </c>
      <c r="L93" s="1637" t="s">
        <v>1107</v>
      </c>
      <c r="M93" s="1637" t="s">
        <v>1108</v>
      </c>
      <c r="N93" s="1637" t="s">
        <v>1109</v>
      </c>
    </row>
    <row r="94" spans="1:14" s="1184" customFormat="1" ht="57.6">
      <c r="A94" s="1639" t="s">
        <v>1070</v>
      </c>
      <c r="B94" s="1640" t="s">
        <v>1114</v>
      </c>
      <c r="C94" s="1640" t="s">
        <v>1071</v>
      </c>
      <c r="D94" s="1641"/>
      <c r="E94" s="1642" t="s">
        <v>1459</v>
      </c>
      <c r="F94" s="1640" t="s">
        <v>1153</v>
      </c>
      <c r="G94" s="1640" t="s">
        <v>1154</v>
      </c>
      <c r="H94" s="1640" t="s">
        <v>1155</v>
      </c>
      <c r="I94" s="1640" t="s">
        <v>1072</v>
      </c>
      <c r="J94" s="1640" t="s">
        <v>1156</v>
      </c>
      <c r="K94" s="1640" t="s">
        <v>1157</v>
      </c>
      <c r="L94" s="1640" t="s">
        <v>1120</v>
      </c>
      <c r="M94" s="1640" t="s">
        <v>1158</v>
      </c>
      <c r="N94" s="1640" t="s">
        <v>1159</v>
      </c>
    </row>
    <row r="95" spans="1:14" ht="14.4">
      <c r="A95" s="1059"/>
      <c r="B95" s="1661"/>
      <c r="C95" s="1061"/>
      <c r="E95" s="1188"/>
      <c r="F95" s="1188"/>
      <c r="G95" s="1188"/>
      <c r="H95" s="1662"/>
      <c r="I95" s="1662"/>
      <c r="J95" s="1188"/>
      <c r="K95" s="1186"/>
      <c r="L95" s="1077"/>
      <c r="M95" s="1077"/>
      <c r="N95" s="1077"/>
    </row>
    <row r="96" spans="1:14" ht="14.4">
      <c r="A96" s="1059"/>
      <c r="B96" s="1661"/>
      <c r="C96" s="1061" t="s">
        <v>1160</v>
      </c>
      <c r="E96" s="1188"/>
      <c r="F96" s="1188"/>
      <c r="G96" s="1188"/>
      <c r="H96" s="1662"/>
      <c r="I96" s="1662"/>
      <c r="J96" s="1188"/>
      <c r="K96" s="1186"/>
      <c r="L96" s="1077"/>
      <c r="M96" s="1077"/>
      <c r="N96" s="1077"/>
    </row>
    <row r="97" spans="1:14" ht="14.4">
      <c r="A97" s="1068">
        <v>39</v>
      </c>
      <c r="B97" s="1581"/>
      <c r="C97" s="1083" t="s">
        <v>1073</v>
      </c>
      <c r="E97" s="1189"/>
      <c r="F97" s="1189"/>
      <c r="G97" s="1189"/>
      <c r="H97" s="1199">
        <v>13847278</v>
      </c>
      <c r="I97" s="1199"/>
      <c r="J97" s="1189"/>
      <c r="K97" s="1186">
        <v>0</v>
      </c>
      <c r="L97" s="1077"/>
      <c r="M97" s="1077"/>
      <c r="N97" s="1077"/>
    </row>
    <row r="98" spans="1:14" ht="14.4">
      <c r="A98" s="1068" t="s">
        <v>1438</v>
      </c>
      <c r="B98" s="1581"/>
      <c r="C98" s="1083"/>
      <c r="E98" s="1189"/>
      <c r="F98" s="1189"/>
      <c r="G98" s="1189"/>
      <c r="H98" s="1199"/>
      <c r="I98" s="1199"/>
      <c r="J98" s="1189"/>
      <c r="K98" s="1186">
        <v>0</v>
      </c>
      <c r="L98" s="1077"/>
      <c r="M98" s="1077"/>
      <c r="N98" s="1077"/>
    </row>
    <row r="99" spans="1:14" ht="14.4">
      <c r="A99" s="1059"/>
      <c r="B99" s="1661"/>
      <c r="C99" s="1061"/>
      <c r="E99" s="1188"/>
      <c r="F99" s="1188"/>
      <c r="G99" s="1188"/>
      <c r="H99" s="1662"/>
      <c r="I99" s="1662"/>
      <c r="J99" s="1188"/>
      <c r="K99" s="1186">
        <v>0</v>
      </c>
      <c r="L99" s="1077"/>
      <c r="M99" s="1077"/>
      <c r="N99" s="1077"/>
    </row>
    <row r="100" spans="1:14" ht="14.4">
      <c r="A100" s="1068">
        <v>40</v>
      </c>
      <c r="B100" s="1581"/>
      <c r="C100" s="1083" t="s">
        <v>1075</v>
      </c>
      <c r="E100" s="1189"/>
      <c r="F100" s="1189"/>
      <c r="G100" s="1189"/>
      <c r="H100" s="1199"/>
      <c r="I100" s="1199"/>
      <c r="J100" s="1189"/>
      <c r="K100" s="1186">
        <v>0</v>
      </c>
      <c r="L100" s="1077"/>
      <c r="M100" s="1077"/>
      <c r="N100" s="1077"/>
    </row>
    <row r="101" spans="1:14" ht="14.4">
      <c r="A101" s="1068" t="s">
        <v>1439</v>
      </c>
      <c r="B101" s="1581"/>
      <c r="C101" s="1083"/>
      <c r="E101" s="1189"/>
      <c r="F101" s="1189"/>
      <c r="G101" s="1189"/>
      <c r="H101" s="1199"/>
      <c r="I101" s="1199"/>
      <c r="J101" s="1189"/>
      <c r="K101" s="1186">
        <v>0</v>
      </c>
      <c r="L101" s="1077"/>
      <c r="M101" s="1077"/>
      <c r="N101" s="1077"/>
    </row>
    <row r="102" spans="1:14" ht="14.4">
      <c r="A102" s="1059"/>
      <c r="B102" s="1661"/>
      <c r="C102" s="1061"/>
      <c r="E102" s="1188"/>
      <c r="F102" s="1188"/>
      <c r="G102" s="1188"/>
      <c r="H102" s="1662"/>
      <c r="I102" s="1662"/>
      <c r="J102" s="1188"/>
      <c r="K102" s="1186">
        <v>0</v>
      </c>
      <c r="L102" s="1077"/>
      <c r="M102" s="1077"/>
      <c r="N102" s="1077"/>
    </row>
    <row r="103" spans="1:14" ht="14.4">
      <c r="A103" s="1068">
        <v>41</v>
      </c>
      <c r="B103" s="1581"/>
      <c r="C103" s="1083" t="s">
        <v>1077</v>
      </c>
      <c r="E103" s="1189"/>
      <c r="F103" s="1189"/>
      <c r="G103" s="1189"/>
      <c r="H103" s="1199"/>
      <c r="I103" s="1199"/>
      <c r="J103" s="1189"/>
      <c r="K103" s="1186">
        <v>0</v>
      </c>
      <c r="L103" s="1077"/>
      <c r="M103" s="1077"/>
      <c r="N103" s="1077"/>
    </row>
    <row r="104" spans="1:14" ht="14.4">
      <c r="A104" s="1068" t="s">
        <v>1440</v>
      </c>
      <c r="B104" s="1581">
        <v>2024</v>
      </c>
      <c r="C104" s="1083" t="s">
        <v>1272</v>
      </c>
      <c r="E104" s="1189"/>
      <c r="F104" s="1189">
        <v>-377.91000000000349</v>
      </c>
      <c r="G104" s="1189">
        <v>2</v>
      </c>
      <c r="H104" s="1189">
        <v>1</v>
      </c>
      <c r="I104" s="1189">
        <v>-188.95500000000175</v>
      </c>
      <c r="J104" s="1189">
        <v>-188.95500000000175</v>
      </c>
      <c r="K104" s="1186">
        <v>-188.95500000000175</v>
      </c>
      <c r="L104" s="1189" t="s">
        <v>1161</v>
      </c>
      <c r="M104" s="1189" t="s">
        <v>1293</v>
      </c>
      <c r="N104" s="1189"/>
    </row>
    <row r="105" spans="1:14" ht="14.4">
      <c r="A105" s="1068"/>
      <c r="B105" s="1581"/>
      <c r="C105" s="1083"/>
      <c r="E105" s="1189"/>
      <c r="F105" s="1189"/>
      <c r="G105" s="1189"/>
      <c r="H105" s="1199"/>
      <c r="I105" s="1199"/>
      <c r="J105" s="1189"/>
      <c r="K105" s="1186">
        <v>0</v>
      </c>
      <c r="L105" s="1077"/>
      <c r="M105" s="1077"/>
      <c r="N105" s="1077"/>
    </row>
    <row r="106" spans="1:14" ht="14.4">
      <c r="A106" s="1059"/>
      <c r="B106" s="1661"/>
      <c r="C106" s="1061"/>
      <c r="E106" s="1188"/>
      <c r="F106" s="1188"/>
      <c r="G106" s="1188"/>
      <c r="H106" s="1662"/>
      <c r="I106" s="1662"/>
      <c r="J106" s="1188"/>
      <c r="K106" s="1186">
        <v>0</v>
      </c>
      <c r="L106" s="1077"/>
      <c r="M106" s="1077"/>
      <c r="N106" s="1077"/>
    </row>
    <row r="107" spans="1:14" ht="14.4">
      <c r="A107" s="1068">
        <v>42</v>
      </c>
      <c r="B107" s="1581"/>
      <c r="C107" s="1083" t="s">
        <v>1079</v>
      </c>
      <c r="E107" s="1189"/>
      <c r="F107" s="1189">
        <v>-138.51623005087521</v>
      </c>
      <c r="G107" s="1189"/>
      <c r="H107" s="1199"/>
      <c r="I107" s="1199">
        <v>-69.258115025437604</v>
      </c>
      <c r="J107" s="1189">
        <v>-69.258115025437604</v>
      </c>
      <c r="K107" s="1186">
        <v>-69.258115025437604</v>
      </c>
      <c r="L107" s="1077"/>
      <c r="M107" s="1077"/>
      <c r="N107" s="1077"/>
    </row>
    <row r="108" spans="1:14" ht="14.4">
      <c r="A108" s="1068"/>
      <c r="B108" s="1581"/>
      <c r="C108" s="1083"/>
      <c r="E108" s="1189"/>
      <c r="F108" s="1189"/>
      <c r="G108" s="1189"/>
      <c r="H108" s="1199"/>
      <c r="I108" s="1199"/>
      <c r="J108" s="1189"/>
      <c r="K108" s="1186"/>
      <c r="L108" s="1077"/>
      <c r="M108" s="1077"/>
      <c r="N108" s="1077"/>
    </row>
    <row r="109" spans="1:14" ht="14.4">
      <c r="A109" s="1068">
        <v>43</v>
      </c>
      <c r="B109" s="1581"/>
      <c r="C109" s="1082" t="s">
        <v>1080</v>
      </c>
      <c r="E109" s="1663"/>
      <c r="F109" s="1663">
        <v>-516.42623005087876</v>
      </c>
      <c r="G109" s="1663">
        <v>0</v>
      </c>
      <c r="H109" s="1645"/>
      <c r="I109" s="1645"/>
      <c r="J109" s="1663">
        <f>SUM(J104:J108)</f>
        <v>-258.21311502543938</v>
      </c>
      <c r="K109" s="1664">
        <f>SUM(K97:K108)</f>
        <v>-258.21311502543938</v>
      </c>
      <c r="L109" s="1077"/>
      <c r="M109" s="1077"/>
      <c r="N109" s="1077"/>
    </row>
    <row r="110" spans="1:14" ht="14.4">
      <c r="A110" s="1059"/>
      <c r="B110" s="1661"/>
      <c r="C110" s="1061"/>
      <c r="E110" s="1188"/>
      <c r="F110" s="1188"/>
      <c r="G110" s="1188"/>
      <c r="H110" s="1662"/>
      <c r="I110" s="1662"/>
      <c r="J110" s="1188"/>
      <c r="K110" s="1186"/>
      <c r="L110" s="1077"/>
      <c r="M110" s="1077"/>
      <c r="N110" s="1077"/>
    </row>
    <row r="111" spans="1:14" ht="14.4">
      <c r="A111" s="1059"/>
      <c r="B111" s="1661"/>
      <c r="C111" s="1061"/>
      <c r="E111" s="1188"/>
      <c r="F111" s="1188"/>
      <c r="G111" s="1188"/>
      <c r="H111" s="1662"/>
      <c r="I111" s="1662"/>
      <c r="J111" s="1188"/>
      <c r="K111" s="1186"/>
      <c r="L111" s="1077"/>
      <c r="M111" s="1077"/>
      <c r="N111" s="1077"/>
    </row>
    <row r="112" spans="1:14" ht="14.4">
      <c r="A112" s="1068"/>
      <c r="B112" s="1581"/>
      <c r="C112" s="1083" t="s">
        <v>1164</v>
      </c>
      <c r="E112" s="1189"/>
      <c r="F112" s="1189"/>
      <c r="G112" s="1189"/>
      <c r="H112" s="1199"/>
      <c r="I112" s="1199"/>
      <c r="J112" s="1189"/>
      <c r="K112" s="1186"/>
      <c r="L112" s="1077"/>
      <c r="M112" s="1077"/>
      <c r="N112" s="1077"/>
    </row>
    <row r="113" spans="1:14" ht="14.4">
      <c r="A113" s="1068">
        <v>44</v>
      </c>
      <c r="B113" s="1581">
        <v>2024</v>
      </c>
      <c r="C113" s="1083" t="s">
        <v>1081</v>
      </c>
      <c r="E113" s="1189"/>
      <c r="F113" s="1189"/>
      <c r="G113" s="1189"/>
      <c r="H113" s="1199" t="s">
        <v>1082</v>
      </c>
      <c r="I113" s="1199" t="s">
        <v>1082</v>
      </c>
      <c r="J113" s="1189"/>
      <c r="K113" s="1186">
        <v>0</v>
      </c>
      <c r="L113" s="1077" t="s">
        <v>1162</v>
      </c>
      <c r="M113" s="1077" t="s">
        <v>1165</v>
      </c>
      <c r="N113" s="1077"/>
    </row>
    <row r="114" spans="1:14" ht="14.4">
      <c r="A114" s="1068">
        <v>45</v>
      </c>
      <c r="B114" s="1581">
        <v>2024</v>
      </c>
      <c r="C114" s="1083" t="s">
        <v>1081</v>
      </c>
      <c r="E114" s="1189"/>
      <c r="F114" s="1189">
        <v>-114728.63999999996</v>
      </c>
      <c r="G114" s="1189">
        <v>114728.63999999996</v>
      </c>
      <c r="H114" s="1199" t="s">
        <v>1082</v>
      </c>
      <c r="I114" s="1199" t="s">
        <v>1082</v>
      </c>
      <c r="J114" s="1189"/>
      <c r="K114" s="1186">
        <v>0</v>
      </c>
      <c r="L114" s="1077" t="s">
        <v>1161</v>
      </c>
      <c r="M114" s="1077" t="s">
        <v>1436</v>
      </c>
      <c r="N114" s="1077"/>
    </row>
    <row r="115" spans="1:14" ht="14.4">
      <c r="A115" s="1068">
        <v>46</v>
      </c>
      <c r="B115" s="1581">
        <v>2024</v>
      </c>
      <c r="C115" s="1083" t="s">
        <v>1081</v>
      </c>
      <c r="E115" s="1189"/>
      <c r="F115" s="1189"/>
      <c r="G115" s="1189">
        <v>0</v>
      </c>
      <c r="H115" s="1199" t="s">
        <v>1082</v>
      </c>
      <c r="I115" s="1199" t="s">
        <v>1082</v>
      </c>
      <c r="J115" s="1189"/>
      <c r="K115" s="1186">
        <v>0</v>
      </c>
      <c r="L115" s="1077" t="s">
        <v>1162</v>
      </c>
      <c r="M115" s="1077" t="s">
        <v>1166</v>
      </c>
      <c r="N115" s="1077"/>
    </row>
    <row r="116" spans="1:14" ht="14.4">
      <c r="A116" s="1068">
        <v>47</v>
      </c>
      <c r="B116" s="1581">
        <v>2024</v>
      </c>
      <c r="C116" s="1083" t="s">
        <v>1081</v>
      </c>
      <c r="E116" s="1189"/>
      <c r="F116" s="1189">
        <v>210737.16999999975</v>
      </c>
      <c r="G116" s="1189">
        <v>45578.76999999999</v>
      </c>
      <c r="H116" s="1199" t="s">
        <v>1082</v>
      </c>
      <c r="I116" s="1199" t="s">
        <v>1082</v>
      </c>
      <c r="J116" s="1189">
        <v>5821.2799999999988</v>
      </c>
      <c r="K116" s="1186">
        <v>250494.65999999974</v>
      </c>
      <c r="L116" s="1077" t="s">
        <v>1161</v>
      </c>
      <c r="M116" s="1077" t="s">
        <v>1437</v>
      </c>
      <c r="N116" s="1077"/>
    </row>
    <row r="117" spans="1:14" ht="14.4">
      <c r="A117" s="1068">
        <v>48</v>
      </c>
      <c r="B117" s="1581">
        <v>2024</v>
      </c>
      <c r="C117" s="1083" t="s">
        <v>1083</v>
      </c>
      <c r="E117" s="1189"/>
      <c r="F117" s="1189"/>
      <c r="G117" s="1189">
        <v>0</v>
      </c>
      <c r="H117" s="1199" t="s">
        <v>1082</v>
      </c>
      <c r="I117" s="1199" t="s">
        <v>1082</v>
      </c>
      <c r="J117" s="1189"/>
      <c r="K117" s="1186">
        <v>0</v>
      </c>
      <c r="L117" s="1077" t="s">
        <v>1162</v>
      </c>
      <c r="M117" s="1077" t="s">
        <v>1165</v>
      </c>
      <c r="N117" s="1077"/>
    </row>
    <row r="118" spans="1:14" ht="14.4">
      <c r="A118" s="1068">
        <v>49</v>
      </c>
      <c r="B118" s="1581">
        <v>2024</v>
      </c>
      <c r="C118" s="1083" t="s">
        <v>1083</v>
      </c>
      <c r="E118" s="1189"/>
      <c r="F118" s="1189">
        <v>-102268.2200000002</v>
      </c>
      <c r="G118" s="1189">
        <v>102268.2200000002</v>
      </c>
      <c r="H118" s="1199" t="s">
        <v>1082</v>
      </c>
      <c r="I118" s="1199" t="s">
        <v>1082</v>
      </c>
      <c r="J118" s="1189"/>
      <c r="K118" s="1186">
        <v>0</v>
      </c>
      <c r="L118" s="1077" t="s">
        <v>1161</v>
      </c>
      <c r="M118" s="1077" t="s">
        <v>1436</v>
      </c>
      <c r="N118" s="1077"/>
    </row>
    <row r="119" spans="1:14" ht="14.4">
      <c r="A119" s="1068">
        <v>50</v>
      </c>
      <c r="B119" s="1581">
        <v>2024</v>
      </c>
      <c r="C119" s="1083" t="s">
        <v>1083</v>
      </c>
      <c r="E119" s="1189"/>
      <c r="F119" s="1189">
        <v>-1398499.0199999958</v>
      </c>
      <c r="G119" s="1189">
        <v>-2360433.7500000037</v>
      </c>
      <c r="H119" s="1199" t="s">
        <v>1082</v>
      </c>
      <c r="I119" s="1199" t="s">
        <v>1082</v>
      </c>
      <c r="J119" s="1189">
        <v>-50660.879999999423</v>
      </c>
      <c r="K119" s="1186">
        <v>-3708271.89</v>
      </c>
      <c r="L119" s="1077" t="s">
        <v>1162</v>
      </c>
      <c r="M119" s="1077" t="s">
        <v>1436</v>
      </c>
      <c r="N119" s="1077"/>
    </row>
    <row r="120" spans="1:14" ht="14.4">
      <c r="A120" s="1068">
        <v>51</v>
      </c>
      <c r="B120" s="1581">
        <v>2024</v>
      </c>
      <c r="C120" s="1083" t="s">
        <v>1083</v>
      </c>
      <c r="E120" s="1189"/>
      <c r="F120" s="1189">
        <v>261392.09999999998</v>
      </c>
      <c r="G120" s="1189">
        <v>167274.25000000012</v>
      </c>
      <c r="H120" s="1199" t="s">
        <v>1082</v>
      </c>
      <c r="I120" s="1199" t="s">
        <v>1082</v>
      </c>
      <c r="J120" s="1189">
        <v>12545.77999999997</v>
      </c>
      <c r="K120" s="1186">
        <v>416120.57000000012</v>
      </c>
      <c r="L120" s="1077" t="s">
        <v>1161</v>
      </c>
      <c r="M120" s="1077" t="s">
        <v>1437</v>
      </c>
      <c r="N120" s="1077"/>
    </row>
    <row r="121" spans="1:14" ht="14.4">
      <c r="A121" s="1068">
        <v>52</v>
      </c>
      <c r="B121" s="1581">
        <v>2024</v>
      </c>
      <c r="C121" s="1083" t="s">
        <v>1084</v>
      </c>
      <c r="E121" s="1189"/>
      <c r="F121" s="1189"/>
      <c r="G121" s="1189"/>
      <c r="H121" s="1199" t="s">
        <v>1082</v>
      </c>
      <c r="I121" s="1199" t="s">
        <v>1082</v>
      </c>
      <c r="J121" s="1189"/>
      <c r="K121" s="1186">
        <v>0</v>
      </c>
      <c r="L121" s="1077" t="s">
        <v>1162</v>
      </c>
      <c r="M121" s="1077" t="s">
        <v>1165</v>
      </c>
      <c r="N121" s="1077"/>
    </row>
    <row r="122" spans="1:14" ht="14.4">
      <c r="A122" s="1068">
        <v>53</v>
      </c>
      <c r="B122" s="1581">
        <v>2024</v>
      </c>
      <c r="C122" s="1083" t="s">
        <v>1084</v>
      </c>
      <c r="E122" s="1189"/>
      <c r="F122" s="1189"/>
      <c r="G122" s="1189"/>
      <c r="H122" s="1199" t="s">
        <v>1082</v>
      </c>
      <c r="I122" s="1199" t="s">
        <v>1082</v>
      </c>
      <c r="J122" s="1189"/>
      <c r="K122" s="1186">
        <v>0</v>
      </c>
      <c r="L122" s="1077" t="s">
        <v>1161</v>
      </c>
      <c r="M122" s="1077" t="s">
        <v>1166</v>
      </c>
      <c r="N122" s="1077"/>
    </row>
    <row r="123" spans="1:14" ht="14.4">
      <c r="A123" s="1068">
        <v>54</v>
      </c>
      <c r="B123" s="1581">
        <v>2024</v>
      </c>
      <c r="C123" s="1083" t="s">
        <v>1084</v>
      </c>
      <c r="E123" s="1189"/>
      <c r="F123" s="1189"/>
      <c r="G123" s="1189"/>
      <c r="H123" s="1199" t="s">
        <v>1082</v>
      </c>
      <c r="I123" s="1199" t="s">
        <v>1082</v>
      </c>
      <c r="J123" s="1189"/>
      <c r="K123" s="1186">
        <v>0</v>
      </c>
      <c r="L123" s="1077" t="s">
        <v>1162</v>
      </c>
      <c r="M123" s="1077" t="s">
        <v>1166</v>
      </c>
      <c r="N123" s="1077"/>
    </row>
    <row r="124" spans="1:14" ht="14.4">
      <c r="A124" s="1068">
        <v>55</v>
      </c>
      <c r="B124" s="1581">
        <v>2024</v>
      </c>
      <c r="C124" s="1083" t="s">
        <v>1084</v>
      </c>
      <c r="E124" s="1189"/>
      <c r="F124" s="1189"/>
      <c r="G124" s="1189"/>
      <c r="H124" s="1199" t="s">
        <v>1082</v>
      </c>
      <c r="I124" s="1199" t="s">
        <v>1082</v>
      </c>
      <c r="J124" s="1189"/>
      <c r="K124" s="1186">
        <v>0</v>
      </c>
      <c r="L124" s="1077" t="s">
        <v>1161</v>
      </c>
      <c r="M124" s="1077" t="s">
        <v>1165</v>
      </c>
      <c r="N124" s="1077"/>
    </row>
    <row r="125" spans="1:14" ht="14.4">
      <c r="A125" s="1068">
        <v>56</v>
      </c>
      <c r="B125" s="1581">
        <v>2024</v>
      </c>
      <c r="C125" s="1083" t="s">
        <v>1085</v>
      </c>
      <c r="E125" s="1189"/>
      <c r="F125" s="1189">
        <v>-419080.81919834705</v>
      </c>
      <c r="G125" s="1189">
        <v>-696360.28752921312</v>
      </c>
      <c r="H125" s="1199" t="s">
        <v>1082</v>
      </c>
      <c r="I125" s="1199" t="s">
        <v>1082</v>
      </c>
      <c r="J125" s="1189">
        <v>-11718.42375328701</v>
      </c>
      <c r="K125" s="1186">
        <v>-1103722.6829742731</v>
      </c>
      <c r="L125" s="1077"/>
      <c r="M125" s="1077"/>
      <c r="N125" s="1077"/>
    </row>
    <row r="126" spans="1:14" ht="14.4">
      <c r="A126" s="1059">
        <v>57</v>
      </c>
      <c r="B126" s="1661"/>
      <c r="C126" s="1081" t="s">
        <v>1172</v>
      </c>
      <c r="D126" s="1643"/>
      <c r="E126" s="1665"/>
      <c r="F126" s="1666">
        <f>SUM(F113:F125)</f>
        <v>-1562447.4291983433</v>
      </c>
      <c r="G126" s="1666">
        <f>SUM(G113:G125)</f>
        <v>-2626944.1575292172</v>
      </c>
      <c r="H126" s="1667"/>
      <c r="I126" s="1667"/>
      <c r="J126" s="1666">
        <f>SUM(J113:J125)</f>
        <v>-44012.243753286464</v>
      </c>
      <c r="K126" s="1664">
        <f>SUM(K113:K125)</f>
        <v>-4145379.3429742735</v>
      </c>
      <c r="L126" s="1077"/>
      <c r="M126" s="1077"/>
      <c r="N126" s="1077"/>
    </row>
    <row r="127" spans="1:14" ht="14.4">
      <c r="A127" s="1059"/>
      <c r="B127" s="1661"/>
      <c r="C127" s="1081"/>
      <c r="D127" s="1643"/>
      <c r="E127" s="1665"/>
      <c r="F127" s="1665"/>
      <c r="G127" s="1665"/>
      <c r="H127" s="1667"/>
      <c r="I127" s="1667"/>
      <c r="J127" s="1665"/>
      <c r="K127" s="1646"/>
      <c r="L127" s="1077"/>
      <c r="M127" s="1077"/>
      <c r="N127" s="1077"/>
    </row>
    <row r="128" spans="1:14" ht="14.4">
      <c r="A128" s="1059"/>
      <c r="B128" s="1661"/>
      <c r="C128" s="1081"/>
      <c r="D128" s="1643"/>
      <c r="E128" s="1665"/>
      <c r="F128" s="1665"/>
      <c r="G128" s="1665"/>
      <c r="H128" s="1667"/>
      <c r="I128" s="1667"/>
      <c r="J128" s="1665"/>
      <c r="K128" s="1646"/>
      <c r="L128" s="1077"/>
      <c r="M128" s="1077"/>
      <c r="N128" s="1077"/>
    </row>
    <row r="129" spans="1:14" ht="14.4">
      <c r="A129" s="1059"/>
      <c r="B129" s="1661"/>
      <c r="C129" s="1081"/>
      <c r="D129" s="1643"/>
      <c r="E129" s="1665"/>
      <c r="F129" s="1665"/>
      <c r="G129" s="1665"/>
      <c r="H129" s="1667"/>
      <c r="I129" s="1667"/>
      <c r="J129" s="1665"/>
      <c r="K129" s="1646"/>
      <c r="L129" s="1077"/>
      <c r="M129" s="1077"/>
      <c r="N129" s="1077"/>
    </row>
    <row r="130" spans="1:15" s="1184" customFormat="1" ht="57.6">
      <c r="A130" s="1639" t="s">
        <v>1070</v>
      </c>
      <c r="B130" s="1640" t="s">
        <v>1114</v>
      </c>
      <c r="C130" s="1640" t="s">
        <v>1071</v>
      </c>
      <c r="D130" s="1641"/>
      <c r="E130" s="1642" t="s">
        <v>1459</v>
      </c>
      <c r="F130" s="1640" t="s">
        <v>1153</v>
      </c>
      <c r="G130" s="1640" t="s">
        <v>1154</v>
      </c>
      <c r="H130" s="1640" t="s">
        <v>1155</v>
      </c>
      <c r="I130" s="1640" t="s">
        <v>1072</v>
      </c>
      <c r="J130" s="1640" t="s">
        <v>1156</v>
      </c>
      <c r="K130" s="1640" t="s">
        <v>1157</v>
      </c>
      <c r="L130" s="1640" t="s">
        <v>1120</v>
      </c>
      <c r="M130" s="1640" t="s">
        <v>1158</v>
      </c>
      <c r="N130" s="1640" t="s">
        <v>1159</v>
      </c>
      <c r="O130" s="1668"/>
    </row>
    <row r="131" spans="1:15" s="1184" customFormat="1" ht="14.4">
      <c r="A131" s="1193"/>
      <c r="B131" s="1193"/>
      <c r="C131" s="1192" t="s">
        <v>1160</v>
      </c>
      <c r="E131" s="1193"/>
      <c r="G131" s="1193"/>
      <c r="H131" s="1193"/>
      <c r="I131" s="1193"/>
      <c r="J131" s="1193"/>
      <c r="K131" s="1193"/>
      <c r="L131" s="1193"/>
      <c r="O131" s="1668"/>
    </row>
    <row r="132" spans="1:15" s="1184" customFormat="1" ht="14.4">
      <c r="A132" s="1669">
        <v>58</v>
      </c>
      <c r="B132" s="1191"/>
      <c r="C132" s="1192" t="s">
        <v>1073</v>
      </c>
      <c r="E132" s="1193"/>
      <c r="G132" s="1193"/>
      <c r="H132" s="1193"/>
      <c r="I132" s="1193"/>
      <c r="J132" s="1193"/>
      <c r="L132" s="1193"/>
      <c r="O132" s="1668"/>
    </row>
    <row r="133" spans="1:15" s="1184" customFormat="1" ht="14.4">
      <c r="A133" s="1182" t="s">
        <v>1460</v>
      </c>
      <c r="B133" s="1185"/>
      <c r="C133" s="1185"/>
      <c r="E133" s="1185"/>
      <c r="F133" s="1185"/>
      <c r="G133" s="1185"/>
      <c r="H133" s="1185"/>
      <c r="I133" s="1185"/>
      <c r="J133" s="1185"/>
      <c r="K133" s="1186"/>
      <c r="L133" s="1185"/>
      <c r="M133" s="1185"/>
      <c r="N133" s="1185"/>
      <c r="O133" s="1668"/>
    </row>
    <row r="134" spans="1:15" s="1184" customFormat="1" ht="14.4">
      <c r="A134" s="1636"/>
      <c r="B134" s="1670"/>
      <c r="C134" s="1670"/>
      <c r="G134" s="1670"/>
      <c r="H134" s="1670"/>
      <c r="I134" s="1670"/>
      <c r="J134" s="1670"/>
      <c r="K134" s="1186"/>
      <c r="L134" s="1671"/>
      <c r="O134" s="1668"/>
    </row>
    <row r="135" spans="1:15" s="1184" customFormat="1" ht="14.4">
      <c r="A135" s="1669">
        <v>59</v>
      </c>
      <c r="B135" s="1191"/>
      <c r="C135" s="1192" t="s">
        <v>1075</v>
      </c>
      <c r="E135" s="1193"/>
      <c r="F135" s="1193"/>
      <c r="G135" s="1193"/>
      <c r="H135" s="1193"/>
      <c r="I135" s="1193"/>
      <c r="J135" s="1193"/>
      <c r="L135" s="1193"/>
      <c r="O135" s="1668"/>
    </row>
    <row r="136" spans="1:15" s="1184" customFormat="1" ht="14.4">
      <c r="A136" s="1182" t="s">
        <v>1461</v>
      </c>
      <c r="B136" s="1185"/>
      <c r="C136" s="1185"/>
      <c r="E136" s="1185"/>
      <c r="F136" s="1185"/>
      <c r="G136" s="1185"/>
      <c r="H136" s="1185"/>
      <c r="I136" s="1185"/>
      <c r="J136" s="1185"/>
      <c r="K136" s="1186"/>
      <c r="L136" s="1185"/>
      <c r="M136" s="1185"/>
      <c r="N136" s="1185"/>
      <c r="O136" s="1668"/>
    </row>
    <row r="137" spans="1:15" s="1184" customFormat="1" ht="14.4">
      <c r="A137" s="1636"/>
      <c r="B137" s="1670"/>
      <c r="C137" s="1670"/>
      <c r="E137" s="1670"/>
      <c r="F137" s="1670"/>
      <c r="G137" s="1670"/>
      <c r="H137" s="1670"/>
      <c r="I137" s="1670"/>
      <c r="J137" s="1670"/>
      <c r="K137" s="1186"/>
      <c r="L137" s="1670"/>
      <c r="M137" s="1670"/>
      <c r="N137" s="1670"/>
      <c r="O137" s="1668"/>
    </row>
    <row r="138" spans="1:15" s="1184" customFormat="1" ht="14.4">
      <c r="A138" s="1669">
        <v>60</v>
      </c>
      <c r="B138" s="1191"/>
      <c r="C138" s="1192" t="s">
        <v>1077</v>
      </c>
      <c r="E138" s="1193"/>
      <c r="F138" s="1193"/>
      <c r="G138" s="1193"/>
      <c r="H138" s="1193"/>
      <c r="I138" s="1193"/>
      <c r="J138" s="1193"/>
      <c r="L138" s="1193"/>
      <c r="O138" s="1668"/>
    </row>
    <row r="139" spans="1:15" s="1184" customFormat="1" ht="14.4">
      <c r="A139" s="1182" t="s">
        <v>1462</v>
      </c>
      <c r="B139" s="1182">
        <v>2025</v>
      </c>
      <c r="C139" s="1672" t="s">
        <v>1272</v>
      </c>
      <c r="E139" s="1185">
        <v>-772.80000000001746</v>
      </c>
      <c r="F139" s="1185"/>
      <c r="G139" s="1185"/>
      <c r="H139" s="1185">
        <v>2</v>
      </c>
      <c r="I139" s="1185">
        <v>2</v>
      </c>
      <c r="J139" s="1185">
        <v>0</v>
      </c>
      <c r="K139" s="1673">
        <v>-772.80000000001746</v>
      </c>
      <c r="L139" s="1195" t="s">
        <v>1161</v>
      </c>
      <c r="M139" s="1187" t="s">
        <v>1293</v>
      </c>
      <c r="N139" s="1185"/>
      <c r="O139" s="1668"/>
    </row>
    <row r="140" spans="1:15" s="1184" customFormat="1" ht="14.4">
      <c r="A140" s="1636"/>
      <c r="B140" s="1671"/>
      <c r="E140" s="1670"/>
      <c r="F140" s="1670"/>
      <c r="G140" s="1670"/>
      <c r="H140" s="1670"/>
      <c r="I140" s="1670"/>
      <c r="J140" s="1670"/>
      <c r="K140" s="1186"/>
      <c r="L140" s="1671"/>
      <c r="O140" s="1668"/>
    </row>
    <row r="141" spans="1:15" s="1184" customFormat="1" ht="14.4">
      <c r="A141" s="1182">
        <v>61</v>
      </c>
      <c r="B141" s="1674"/>
      <c r="C141" s="1194" t="s">
        <v>1079</v>
      </c>
      <c r="E141" s="1185">
        <v>-280.42510537745483</v>
      </c>
      <c r="F141" s="1185"/>
      <c r="G141" s="1185"/>
      <c r="H141" s="1185"/>
      <c r="I141" s="1185"/>
      <c r="J141" s="1185">
        <v>0</v>
      </c>
      <c r="K141" s="1673">
        <v>-280.42510537745483</v>
      </c>
      <c r="L141" s="1185"/>
      <c r="M141" s="1185"/>
      <c r="N141" s="1185"/>
      <c r="O141" s="1668"/>
    </row>
    <row r="142" spans="1:15" s="1184" customFormat="1" ht="14.4">
      <c r="A142" s="1636"/>
      <c r="B142" s="1671"/>
      <c r="C142" s="1675"/>
      <c r="E142" s="1676"/>
      <c r="F142" s="1676"/>
      <c r="G142" s="1676"/>
      <c r="H142" s="1670"/>
      <c r="I142" s="1670"/>
      <c r="J142" s="1676"/>
      <c r="K142" s="1206"/>
      <c r="L142" s="1671"/>
      <c r="O142" s="1668"/>
    </row>
    <row r="143" spans="1:15" s="1184" customFormat="1" ht="14.4">
      <c r="A143" s="1182">
        <v>62</v>
      </c>
      <c r="B143" s="1674"/>
      <c r="C143" s="1677" t="s">
        <v>1080</v>
      </c>
      <c r="E143" s="1678">
        <v>-1053.2251053774723</v>
      </c>
      <c r="F143" s="1678">
        <v>0</v>
      </c>
      <c r="G143" s="1678">
        <v>0</v>
      </c>
      <c r="H143" s="1679"/>
      <c r="I143" s="1679"/>
      <c r="J143" s="1678">
        <v>0</v>
      </c>
      <c r="K143" s="1678">
        <v>-1053.2251053774723</v>
      </c>
      <c r="L143" s="1690"/>
      <c r="O143" s="1668"/>
    </row>
    <row r="144" spans="1:15" s="1184" customFormat="1" ht="14.4">
      <c r="A144" s="1680"/>
      <c r="C144" s="1681"/>
      <c r="E144" s="1682"/>
      <c r="G144" s="1678"/>
      <c r="H144" s="1682"/>
      <c r="I144" s="1682"/>
      <c r="J144" s="1682"/>
      <c r="K144" s="1682"/>
      <c r="O144" s="1668"/>
    </row>
    <row r="145" spans="2:15" s="1184" customFormat="1" ht="14.4">
      <c r="B145" s="1193"/>
      <c r="C145" s="1192" t="s">
        <v>1164</v>
      </c>
      <c r="E145" s="1193"/>
      <c r="G145" s="1193"/>
      <c r="H145" s="1193"/>
      <c r="I145" s="1193"/>
      <c r="J145" s="1193"/>
      <c r="K145" s="1193"/>
      <c r="L145" s="1193"/>
      <c r="O145" s="1668"/>
    </row>
    <row r="146" spans="1:15" s="1184" customFormat="1" ht="14.4">
      <c r="A146" s="1182">
        <v>63</v>
      </c>
      <c r="B146" s="1182">
        <v>2025</v>
      </c>
      <c r="C146" s="1641" t="s">
        <v>1081</v>
      </c>
      <c r="E146" s="1185"/>
      <c r="F146" s="1185"/>
      <c r="G146" s="1185"/>
      <c r="H146" s="1683" t="s">
        <v>1082</v>
      </c>
      <c r="I146" s="1683" t="s">
        <v>1082</v>
      </c>
      <c r="J146" s="1185"/>
      <c r="K146" s="1673">
        <v>0</v>
      </c>
      <c r="L146" s="1684" t="s">
        <v>1162</v>
      </c>
      <c r="M146" s="1684" t="s">
        <v>1165</v>
      </c>
      <c r="N146" s="1684"/>
      <c r="O146" s="1668"/>
    </row>
    <row r="147" spans="1:15" s="1184" customFormat="1" ht="14.4">
      <c r="A147" s="1182">
        <v>64</v>
      </c>
      <c r="B147" s="1182">
        <v>2025</v>
      </c>
      <c r="C147" s="1641" t="s">
        <v>1081</v>
      </c>
      <c r="E147" s="1185"/>
      <c r="F147" s="1185"/>
      <c r="G147" s="1185"/>
      <c r="H147" s="1683" t="s">
        <v>1082</v>
      </c>
      <c r="I147" s="1683" t="s">
        <v>1082</v>
      </c>
      <c r="J147" s="1185"/>
      <c r="K147" s="1673">
        <v>0</v>
      </c>
      <c r="L147" s="1684" t="s">
        <v>1161</v>
      </c>
      <c r="M147" s="1684" t="s">
        <v>1436</v>
      </c>
      <c r="N147" s="1684"/>
      <c r="O147" s="1668"/>
    </row>
    <row r="148" spans="1:15" s="1184" customFormat="1" ht="14.4">
      <c r="A148" s="1182">
        <v>65</v>
      </c>
      <c r="B148" s="1182">
        <v>2025</v>
      </c>
      <c r="C148" s="1641" t="s">
        <v>1081</v>
      </c>
      <c r="E148" s="1185"/>
      <c r="F148" s="1185"/>
      <c r="G148" s="1185"/>
      <c r="H148" s="1683" t="s">
        <v>1082</v>
      </c>
      <c r="I148" s="1683" t="s">
        <v>1082</v>
      </c>
      <c r="J148" s="1185"/>
      <c r="K148" s="1673">
        <v>0</v>
      </c>
      <c r="L148" s="1684" t="s">
        <v>1162</v>
      </c>
      <c r="M148" s="1684" t="s">
        <v>1166</v>
      </c>
      <c r="N148" s="1684"/>
      <c r="O148" s="1668"/>
    </row>
    <row r="149" spans="1:15" s="1184" customFormat="1" ht="14.4">
      <c r="A149" s="1182">
        <v>66</v>
      </c>
      <c r="B149" s="1182">
        <v>2025</v>
      </c>
      <c r="C149" s="1641" t="s">
        <v>1081</v>
      </c>
      <c r="E149" s="1185">
        <v>85601.560000000027</v>
      </c>
      <c r="F149" s="1185"/>
      <c r="G149" s="1185"/>
      <c r="H149" s="1683" t="s">
        <v>1082</v>
      </c>
      <c r="I149" s="1683" t="s">
        <v>1082</v>
      </c>
      <c r="J149" s="1185"/>
      <c r="K149" s="1673">
        <v>85601.560000000027</v>
      </c>
      <c r="L149" s="1684" t="s">
        <v>1161</v>
      </c>
      <c r="M149" s="1684" t="s">
        <v>1437</v>
      </c>
      <c r="N149" s="1684"/>
      <c r="O149" s="1668"/>
    </row>
    <row r="150" spans="1:15" s="1184" customFormat="1" ht="14.4">
      <c r="A150" s="1182">
        <v>67</v>
      </c>
      <c r="B150" s="1182">
        <v>2025</v>
      </c>
      <c r="C150" s="1641" t="s">
        <v>1083</v>
      </c>
      <c r="E150" s="1185"/>
      <c r="F150" s="1185"/>
      <c r="G150" s="1185"/>
      <c r="H150" s="1683" t="s">
        <v>1082</v>
      </c>
      <c r="I150" s="1683" t="s">
        <v>1082</v>
      </c>
      <c r="J150" s="1185"/>
      <c r="K150" s="1673">
        <v>0</v>
      </c>
      <c r="L150" s="1684" t="s">
        <v>1162</v>
      </c>
      <c r="M150" s="1684" t="s">
        <v>1165</v>
      </c>
      <c r="N150" s="1684"/>
      <c r="O150" s="1668"/>
    </row>
    <row r="151" spans="1:15" s="1184" customFormat="1" ht="14.4">
      <c r="A151" s="1182">
        <v>68</v>
      </c>
      <c r="B151" s="1182">
        <v>2025</v>
      </c>
      <c r="C151" s="1641" t="s">
        <v>1083</v>
      </c>
      <c r="E151" s="1185"/>
      <c r="F151" s="1185"/>
      <c r="G151" s="1185"/>
      <c r="H151" s="1683" t="s">
        <v>1082</v>
      </c>
      <c r="I151" s="1683" t="s">
        <v>1082</v>
      </c>
      <c r="J151" s="1185"/>
      <c r="K151" s="1673">
        <v>0</v>
      </c>
      <c r="L151" s="1684" t="s">
        <v>1161</v>
      </c>
      <c r="M151" s="1684" t="s">
        <v>1436</v>
      </c>
      <c r="N151" s="1684"/>
      <c r="O151" s="1668"/>
    </row>
    <row r="152" spans="1:15" s="1184" customFormat="1" ht="14.4">
      <c r="A152" s="1182">
        <v>69</v>
      </c>
      <c r="B152" s="1182">
        <v>2025</v>
      </c>
      <c r="C152" s="1641" t="s">
        <v>1083</v>
      </c>
      <c r="E152" s="1185">
        <v>-1300977.120000001</v>
      </c>
      <c r="F152" s="1185"/>
      <c r="G152" s="1185"/>
      <c r="H152" s="1683" t="s">
        <v>1082</v>
      </c>
      <c r="I152" s="1683" t="s">
        <v>1082</v>
      </c>
      <c r="J152" s="1185"/>
      <c r="K152" s="1673">
        <v>-1300977.120000001</v>
      </c>
      <c r="L152" s="1684" t="s">
        <v>1162</v>
      </c>
      <c r="M152" s="1684" t="s">
        <v>1436</v>
      </c>
      <c r="N152" s="1684"/>
      <c r="O152" s="1668"/>
    </row>
    <row r="153" spans="1:15" s="1184" customFormat="1" ht="14.4">
      <c r="A153" s="1182">
        <v>70</v>
      </c>
      <c r="B153" s="1182">
        <v>2025</v>
      </c>
      <c r="C153" s="1641" t="s">
        <v>1083</v>
      </c>
      <c r="E153" s="1185">
        <v>142408.10000000021</v>
      </c>
      <c r="F153" s="1185"/>
      <c r="G153" s="1185"/>
      <c r="H153" s="1683" t="s">
        <v>1082</v>
      </c>
      <c r="I153" s="1683" t="s">
        <v>1082</v>
      </c>
      <c r="J153" s="1185"/>
      <c r="K153" s="1673">
        <v>142408.10000000021</v>
      </c>
      <c r="L153" s="1684" t="s">
        <v>1161</v>
      </c>
      <c r="M153" s="1684" t="s">
        <v>1437</v>
      </c>
      <c r="N153" s="1684"/>
      <c r="O153" s="1668"/>
    </row>
    <row r="154" spans="1:15" s="1184" customFormat="1" ht="14.4">
      <c r="A154" s="1182">
        <v>71</v>
      </c>
      <c r="B154" s="1182">
        <v>2025</v>
      </c>
      <c r="C154" s="1641" t="s">
        <v>1084</v>
      </c>
      <c r="E154" s="1685"/>
      <c r="F154" s="1685"/>
      <c r="G154" s="1685"/>
      <c r="H154" s="1683" t="s">
        <v>1082</v>
      </c>
      <c r="I154" s="1683" t="s">
        <v>1082</v>
      </c>
      <c r="J154" s="1185"/>
      <c r="K154" s="1673">
        <v>0</v>
      </c>
      <c r="L154" s="1684" t="s">
        <v>1162</v>
      </c>
      <c r="M154" s="1684" t="s">
        <v>1165</v>
      </c>
      <c r="N154" s="1684"/>
      <c r="O154" s="1668"/>
    </row>
    <row r="155" spans="1:15" s="1184" customFormat="1" ht="14.4">
      <c r="A155" s="1182">
        <v>72</v>
      </c>
      <c r="B155" s="1182">
        <v>2025</v>
      </c>
      <c r="C155" s="1641" t="s">
        <v>1084</v>
      </c>
      <c r="E155" s="1685"/>
      <c r="F155" s="1685"/>
      <c r="G155" s="1685"/>
      <c r="H155" s="1683" t="s">
        <v>1082</v>
      </c>
      <c r="I155" s="1683" t="s">
        <v>1082</v>
      </c>
      <c r="J155" s="1185"/>
      <c r="K155" s="1673">
        <v>0</v>
      </c>
      <c r="L155" s="1684" t="s">
        <v>1161</v>
      </c>
      <c r="M155" s="1684" t="s">
        <v>1166</v>
      </c>
      <c r="N155" s="1684"/>
      <c r="O155" s="1668"/>
    </row>
    <row r="156" spans="1:15" s="1184" customFormat="1" ht="27" customHeight="1">
      <c r="A156" s="1182">
        <v>73</v>
      </c>
      <c r="B156" s="1182">
        <v>2025</v>
      </c>
      <c r="C156" s="1641" t="s">
        <v>1084</v>
      </c>
      <c r="E156" s="1685"/>
      <c r="F156" s="1685"/>
      <c r="G156" s="1685"/>
      <c r="H156" s="1683" t="s">
        <v>1082</v>
      </c>
      <c r="I156" s="1683" t="s">
        <v>1082</v>
      </c>
      <c r="J156" s="1185"/>
      <c r="K156" s="1673">
        <v>0</v>
      </c>
      <c r="L156" s="1684" t="s">
        <v>1162</v>
      </c>
      <c r="M156" s="1684" t="s">
        <v>1166</v>
      </c>
      <c r="N156" s="1684"/>
      <c r="O156" s="1686"/>
    </row>
    <row r="157" spans="1:15" s="1184" customFormat="1" ht="27" customHeight="1">
      <c r="A157" s="1182">
        <v>74</v>
      </c>
      <c r="B157" s="1182">
        <v>2025</v>
      </c>
      <c r="C157" s="1641" t="s">
        <v>1084</v>
      </c>
      <c r="E157" s="1685"/>
      <c r="F157" s="1685"/>
      <c r="G157" s="1685"/>
      <c r="H157" s="1683" t="s">
        <v>1082</v>
      </c>
      <c r="I157" s="1683" t="s">
        <v>1082</v>
      </c>
      <c r="J157" s="1185"/>
      <c r="K157" s="1673">
        <v>0</v>
      </c>
      <c r="L157" s="1684" t="s">
        <v>1161</v>
      </c>
      <c r="M157" s="1684" t="s">
        <v>1165</v>
      </c>
      <c r="N157" s="1684"/>
      <c r="O157" s="1686"/>
    </row>
    <row r="158" spans="1:15" s="1184" customFormat="1" ht="27" customHeight="1">
      <c r="A158" s="1182">
        <v>75</v>
      </c>
      <c r="B158" s="1182">
        <v>2025</v>
      </c>
      <c r="C158" s="1184" t="s">
        <v>1085</v>
      </c>
      <c r="E158" s="1687">
        <v>-389346.54896101647</v>
      </c>
      <c r="F158" s="1687"/>
      <c r="G158" s="1687"/>
      <c r="H158" s="1683" t="s">
        <v>1082</v>
      </c>
      <c r="I158" s="1683" t="s">
        <v>1082</v>
      </c>
      <c r="J158" s="1687"/>
      <c r="K158" s="1673">
        <v>-389346.54896101647</v>
      </c>
      <c r="L158" s="1185"/>
      <c r="M158" s="1185"/>
      <c r="N158" s="1185"/>
      <c r="O158" s="1686"/>
    </row>
    <row r="159" spans="1:15" s="1184" customFormat="1" ht="14.4">
      <c r="A159" s="1182">
        <v>76</v>
      </c>
      <c r="B159" s="1674"/>
      <c r="C159" s="1677" t="s">
        <v>1172</v>
      </c>
      <c r="E159" s="1688">
        <v>-1462314.0089610172</v>
      </c>
      <c r="F159" s="1688">
        <v>0</v>
      </c>
      <c r="G159" s="1688">
        <v>0</v>
      </c>
      <c r="H159" s="1679"/>
      <c r="I159" s="1679"/>
      <c r="J159" s="1688">
        <v>0</v>
      </c>
      <c r="K159" s="1689">
        <v>-1462314.0089610172</v>
      </c>
      <c r="L159" s="1690"/>
      <c r="O159" s="1686"/>
    </row>
    <row r="160" spans="1:14" ht="14.4">
      <c r="A160" s="1068"/>
      <c r="B160" s="1581"/>
      <c r="C160" s="1082"/>
      <c r="D160" s="1643"/>
      <c r="E160" s="1644"/>
      <c r="F160" s="1644"/>
      <c r="G160" s="1644"/>
      <c r="H160" s="1645"/>
      <c r="I160" s="1645"/>
      <c r="J160" s="1644"/>
      <c r="K160" s="1646"/>
      <c r="L160" s="1077"/>
      <c r="M160" s="1077"/>
      <c r="N160" s="1077"/>
    </row>
    <row r="161" spans="2:12" ht="15.6">
      <c r="B161" s="1070"/>
      <c r="C161" s="1076"/>
      <c r="E161" s="1204"/>
      <c r="G161" s="1204"/>
      <c r="H161" s="1198"/>
      <c r="I161" s="1198"/>
      <c r="J161" s="1205"/>
      <c r="K161" s="1078"/>
      <c r="L161" s="1070"/>
    </row>
    <row r="162" spans="2:12" ht="15.6">
      <c r="B162" s="1070"/>
      <c r="C162" s="1076"/>
      <c r="E162" s="1204"/>
      <c r="G162" s="1204"/>
      <c r="H162" s="1198"/>
      <c r="I162" s="1198"/>
      <c r="J162" s="1205"/>
      <c r="K162" s="1078"/>
      <c r="L162" s="1070"/>
    </row>
    <row r="163" spans="1:13" s="1061" customFormat="1" ht="14.4">
      <c r="A163" s="1068">
        <f>+A82+1</f>
        <v>39</v>
      </c>
      <c r="B163" s="1059"/>
      <c r="C163" s="1081" t="s">
        <v>1174</v>
      </c>
      <c r="F163" s="1207"/>
      <c r="G163" s="1207"/>
      <c r="H163" s="1208"/>
      <c r="I163" s="1208"/>
      <c r="J163" s="1209"/>
      <c r="K163" s="1080"/>
      <c r="L163" s="1077"/>
      <c r="M163" s="1077"/>
    </row>
    <row r="164" spans="1:10" s="1061" customFormat="1" ht="14.4">
      <c r="A164" s="1059"/>
      <c r="B164" s="1059"/>
      <c r="C164" s="1081"/>
      <c r="F164" s="1208"/>
      <c r="G164" s="1208"/>
      <c r="H164" s="1208"/>
      <c r="I164" s="1208"/>
      <c r="J164" s="1210"/>
    </row>
    <row r="165" spans="1:14" s="1061" customFormat="1" ht="14.4">
      <c r="A165" s="1068">
        <f>+A163+1</f>
        <v>40</v>
      </c>
      <c r="B165" s="1059"/>
      <c r="C165" s="1082" t="s">
        <v>1441</v>
      </c>
      <c r="D165" s="1083"/>
      <c r="E165" s="1083"/>
      <c r="F165" s="1211"/>
      <c r="G165" s="1211"/>
      <c r="H165" s="1208"/>
      <c r="I165" s="1208"/>
      <c r="J165" s="1212">
        <f>+J82+J66+J45+J29+J163+J109+J126</f>
        <v>1863316.1603563593</v>
      </c>
      <c r="L165" s="1069"/>
      <c r="M165" s="1069"/>
      <c r="N165" s="1069"/>
    </row>
    <row r="166" spans="1:12" s="1061" customFormat="1" ht="14.4">
      <c r="A166" s="1059"/>
      <c r="B166" s="1059"/>
      <c r="C166" s="1081"/>
      <c r="F166" s="1208"/>
      <c r="G166" s="1208"/>
      <c r="H166" s="1208"/>
      <c r="I166" s="1208"/>
      <c r="J166" s="1210"/>
      <c r="L166" s="1077"/>
    </row>
    <row r="167" spans="1:12" s="1061" customFormat="1" ht="14.4">
      <c r="A167" s="1068">
        <f>+A165+1</f>
        <v>41</v>
      </c>
      <c r="B167" s="1059"/>
      <c r="C167" s="1082" t="s">
        <v>1175</v>
      </c>
      <c r="F167" s="1208"/>
      <c r="G167" s="1208"/>
      <c r="H167" s="1208"/>
      <c r="I167" s="1208"/>
      <c r="J167" s="1210"/>
      <c r="K167" s="1212">
        <f>+K82+K66+K45+K29+K126+K109+K143+K159</f>
        <v>-169652086.31905356</v>
      </c>
      <c r="L167" s="1077"/>
    </row>
    <row r="168" spans="1:12" s="1061" customFormat="1" ht="14.4">
      <c r="A168" s="1059"/>
      <c r="B168" s="1059"/>
      <c r="C168" s="1081"/>
      <c r="F168" s="1208"/>
      <c r="G168" s="1208"/>
      <c r="H168" s="1208"/>
      <c r="I168" s="1208"/>
      <c r="J168" s="1210"/>
      <c r="L168" s="1077"/>
    </row>
    <row r="169" spans="1:12" s="1061" customFormat="1" ht="14.4">
      <c r="A169" s="1068">
        <f>+A167+1</f>
        <v>42</v>
      </c>
      <c r="B169" s="1059"/>
      <c r="C169" s="1082" t="s">
        <v>1176</v>
      </c>
      <c r="F169" s="1208"/>
      <c r="G169" s="1208"/>
      <c r="H169" s="1208"/>
      <c r="I169" s="1208"/>
      <c r="J169" s="1210"/>
      <c r="K169" s="1212">
        <f>'ATT 1-ADIT'!D173+'ATT 1-ADIT'!D123-'ATT 1-ADIT'!D81</f>
        <v>-169652086.31905353</v>
      </c>
      <c r="L169" s="1077"/>
    </row>
    <row r="170" spans="1:12" s="1061" customFormat="1" ht="14.4">
      <c r="A170" s="1059"/>
      <c r="B170" s="1059"/>
      <c r="C170" s="1081"/>
      <c r="F170" s="1208"/>
      <c r="G170" s="1208"/>
      <c r="H170" s="1208"/>
      <c r="I170" s="1208"/>
      <c r="J170" s="1210"/>
      <c r="L170" s="1077"/>
    </row>
    <row r="171" spans="1:12" ht="15.6">
      <c r="A171" s="1070"/>
      <c r="B171" s="1070"/>
      <c r="C171" s="1076"/>
      <c r="E171" s="1204"/>
      <c r="G171" s="1204"/>
      <c r="H171" s="1198"/>
      <c r="I171" s="1198"/>
      <c r="J171" s="1205"/>
      <c r="K171" s="1078"/>
      <c r="L171" s="1070"/>
    </row>
    <row r="172" spans="1:9" ht="15.6">
      <c r="A172" s="1084" t="s">
        <v>1086</v>
      </c>
      <c r="B172" s="1084"/>
      <c r="E172" s="1198"/>
      <c r="F172" s="1198"/>
      <c r="G172" s="1198"/>
      <c r="H172" s="1198"/>
      <c r="I172" s="1197"/>
    </row>
    <row r="173" spans="1:18" s="0" customFormat="1" ht="31.5" customHeight="1">
      <c r="A173" s="1044" t="s">
        <v>449</v>
      </c>
      <c r="B173" s="1044"/>
      <c r="C173" s="1742" t="s">
        <v>1144</v>
      </c>
      <c r="D173" s="1742"/>
      <c r="E173" s="1742"/>
      <c r="F173" s="1742"/>
      <c r="G173" s="1742"/>
      <c r="H173" s="1742"/>
      <c r="I173" s="1742"/>
      <c r="J173" s="1742"/>
      <c r="K173" s="1742"/>
      <c r="L173" s="1742"/>
      <c r="M173" s="1742"/>
      <c r="N173" s="1742"/>
      <c r="O173" s="1042"/>
      <c r="P173" s="1041"/>
      <c r="Q173" s="1043"/>
      <c r="R173" s="1041"/>
    </row>
    <row r="174" spans="1:14" ht="78.6" customHeight="1">
      <c r="A174" s="1085" t="s">
        <v>525</v>
      </c>
      <c r="B174" s="1085"/>
      <c r="C174" s="1739" t="s">
        <v>1177</v>
      </c>
      <c r="D174" s="1739"/>
      <c r="E174" s="1739"/>
      <c r="F174" s="1739"/>
      <c r="G174" s="1739"/>
      <c r="H174" s="1739"/>
      <c r="I174" s="1739"/>
      <c r="J174" s="1739"/>
      <c r="K174" s="1739"/>
      <c r="L174" s="1739"/>
      <c r="M174" s="1739"/>
      <c r="N174" s="1739"/>
    </row>
    <row r="175" spans="1:11" ht="17.1" customHeight="1">
      <c r="A175" s="1085" t="s">
        <v>432</v>
      </c>
      <c r="B175" s="1085"/>
      <c r="C175" s="1006" t="s">
        <v>1095</v>
      </c>
      <c r="D175" s="1006"/>
      <c r="E175" s="1007"/>
      <c r="F175" s="1007"/>
      <c r="G175" s="1007"/>
      <c r="H175" s="1008"/>
      <c r="I175" s="1003"/>
      <c r="J175" s="1006"/>
      <c r="K175" s="1006"/>
    </row>
    <row r="176" spans="1:11" ht="15.6">
      <c r="A176" s="1085" t="s">
        <v>450</v>
      </c>
      <c r="B176" s="1085"/>
      <c r="C176" s="1006" t="s">
        <v>1087</v>
      </c>
      <c r="D176" s="1006"/>
      <c r="E176" s="1007"/>
      <c r="F176" s="1007"/>
      <c r="G176" s="1007"/>
      <c r="H176" s="1008"/>
      <c r="I176" s="1003"/>
      <c r="J176" s="1006"/>
      <c r="K176" s="1006"/>
    </row>
    <row r="177" spans="1:11" ht="15.6">
      <c r="A177" s="1045" t="s">
        <v>448</v>
      </c>
      <c r="B177" s="1085"/>
      <c r="C177" s="1006" t="s">
        <v>1088</v>
      </c>
      <c r="D177" s="1006"/>
      <c r="E177" s="1008"/>
      <c r="F177" s="1008"/>
      <c r="G177" s="1008"/>
      <c r="H177" s="1008"/>
      <c r="I177" s="1003"/>
      <c r="J177" s="1006"/>
      <c r="K177" s="1006"/>
    </row>
    <row r="178" spans="1:11" ht="15.6">
      <c r="A178" s="1085"/>
      <c r="B178" s="1085"/>
      <c r="C178" s="1006" t="s">
        <v>1089</v>
      </c>
      <c r="D178" s="1006" t="s">
        <v>1090</v>
      </c>
      <c r="E178" s="1007"/>
      <c r="F178" s="1007"/>
      <c r="G178" s="1007"/>
      <c r="H178" s="1007"/>
      <c r="I178" s="1003"/>
      <c r="J178" s="1006"/>
      <c r="K178" s="1006"/>
    </row>
    <row r="179" spans="1:11" ht="15.6">
      <c r="A179" s="1085"/>
      <c r="B179" s="1085"/>
      <c r="C179" s="1006" t="s">
        <v>1091</v>
      </c>
      <c r="D179" s="1006"/>
      <c r="E179" s="1008"/>
      <c r="F179" s="1008"/>
      <c r="G179" s="1008"/>
      <c r="H179" s="1008"/>
      <c r="I179" s="1003"/>
      <c r="J179" s="1006"/>
      <c r="K179" s="1006"/>
    </row>
    <row r="180" spans="1:11" ht="15.6">
      <c r="A180" s="1085" t="s">
        <v>867</v>
      </c>
      <c r="B180" s="1085"/>
      <c r="C180" s="1006" t="s">
        <v>1092</v>
      </c>
      <c r="D180" s="1006"/>
      <c r="E180" s="1008"/>
      <c r="F180" s="1008"/>
      <c r="G180" s="1008"/>
      <c r="H180" s="1008"/>
      <c r="I180" s="1003"/>
      <c r="J180" s="1006"/>
      <c r="K180" s="1006"/>
    </row>
    <row r="181" spans="1:11" ht="15.6">
      <c r="A181" s="1085" t="s">
        <v>451</v>
      </c>
      <c r="B181" s="1085"/>
      <c r="C181" s="1006" t="s">
        <v>1093</v>
      </c>
      <c r="D181" s="1006"/>
      <c r="E181" s="1008"/>
      <c r="F181" s="1008"/>
      <c r="G181" s="1008"/>
      <c r="H181" s="1008"/>
      <c r="I181" s="1003"/>
      <c r="J181" s="1006"/>
      <c r="K181" s="1006"/>
    </row>
    <row r="182" spans="1:14" ht="30" customHeight="1">
      <c r="A182" s="1085" t="s">
        <v>767</v>
      </c>
      <c r="B182" s="1085"/>
      <c r="C182" s="1738" t="s">
        <v>1094</v>
      </c>
      <c r="D182" s="1738"/>
      <c r="E182" s="1738"/>
      <c r="F182" s="1738"/>
      <c r="G182" s="1738"/>
      <c r="H182" s="1738"/>
      <c r="I182" s="1738"/>
      <c r="J182" s="1738"/>
      <c r="K182" s="1738"/>
      <c r="L182" s="1738"/>
      <c r="M182" s="1738"/>
      <c r="N182" s="1738"/>
    </row>
    <row r="183" spans="1:9" ht="15.6">
      <c r="A183" s="1085" t="s">
        <v>848</v>
      </c>
      <c r="C183" s="1061" t="s">
        <v>1178</v>
      </c>
      <c r="E183" s="1213"/>
      <c r="F183" s="1213"/>
      <c r="G183" s="1213"/>
      <c r="H183" s="1198"/>
      <c r="I183" s="1197"/>
    </row>
    <row r="184" spans="1:9" ht="15.6">
      <c r="A184" s="1085"/>
      <c r="C184" s="1061"/>
      <c r="E184" s="1213"/>
      <c r="F184" s="1213"/>
      <c r="G184" s="1213"/>
      <c r="H184" s="1198"/>
      <c r="I184" s="1197"/>
    </row>
    <row r="185" spans="1:9" ht="15.6">
      <c r="A185" s="1070"/>
      <c r="B185" s="1070"/>
      <c r="E185" s="1213"/>
      <c r="F185" s="1213"/>
      <c r="G185" s="1213"/>
      <c r="H185" s="1198"/>
      <c r="I185" s="1197"/>
    </row>
    <row r="186" spans="1:9" ht="15.6">
      <c r="A186" s="1086"/>
      <c r="B186" s="1086"/>
      <c r="E186" s="1198"/>
      <c r="F186" s="1198"/>
      <c r="G186" s="1198"/>
      <c r="H186" s="1198"/>
      <c r="I186" s="1197"/>
    </row>
    <row r="187" spans="1:9" ht="15.6">
      <c r="A187" s="1086"/>
      <c r="B187" s="1086"/>
      <c r="E187" s="1198"/>
      <c r="F187" s="1198"/>
      <c r="G187" s="1198"/>
      <c r="H187" s="1198"/>
      <c r="I187" s="1197"/>
    </row>
    <row r="188" spans="1:9" ht="15.6">
      <c r="A188" s="1086"/>
      <c r="B188" s="1086"/>
      <c r="E188" s="1198"/>
      <c r="F188" s="1198"/>
      <c r="G188" s="1198"/>
      <c r="H188" s="1198"/>
      <c r="I188" s="1197"/>
    </row>
    <row r="189" spans="1:9" ht="15.6">
      <c r="A189" s="1086"/>
      <c r="B189" s="1086"/>
      <c r="E189" s="1198"/>
      <c r="F189" s="1198"/>
      <c r="G189" s="1198"/>
      <c r="H189" s="1198"/>
      <c r="I189" s="1197"/>
    </row>
    <row r="190" spans="5:9" ht="15.6">
      <c r="E190" s="1198"/>
      <c r="F190" s="1198"/>
      <c r="G190" s="1198"/>
      <c r="H190" s="1198"/>
      <c r="I190" s="1197"/>
    </row>
    <row r="191" spans="1:7" ht="14.4">
      <c r="A191" s="1086"/>
      <c r="B191" s="1086"/>
      <c r="E191" s="1198"/>
      <c r="F191" s="1198"/>
      <c r="G191" s="1198"/>
    </row>
  </sheetData>
  <mergeCells count="7">
    <mergeCell ref="C182:N182"/>
    <mergeCell ref="C174:N174"/>
    <mergeCell ref="A1:I1"/>
    <mergeCell ref="A3:I3"/>
    <mergeCell ref="C5:J5"/>
    <mergeCell ref="C6:J6"/>
    <mergeCell ref="C173:N173"/>
  </mergeCells>
  <pageMargins left="0.7" right="0.7" top="0.75" bottom="0.75" header="0.3" footer="0.3"/>
  <pageSetup orientation="portrait" paperSize="1" scale="32" r:id="rId1"/>
  <headerFooter>
    <oddHeader>&amp;REXHIBIT NO. TRC-203
ATTACHMENT H-18A
Page &amp;P of &amp;N</oddHeader>
  </headerFooter>
  <rowBreaks count="2" manualBreakCount="2">
    <brk id="46" max="16383" man="1"/>
    <brk id="8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2BCA872-4A2D-414D-8057-A417FEBBC5F1}">
  <dimension ref="A1:AJ127"/>
  <sheetViews>
    <sheetView view="pageBreakPreview" zoomScale="80" zoomScaleNormal="80" zoomScaleSheetLayoutView="80" workbookViewId="0" topLeftCell="A76">
      <selection pane="topLeft" activeCell="H97" sqref="H97"/>
    </sheetView>
  </sheetViews>
  <sheetFormatPr defaultColWidth="9.10555555555556" defaultRowHeight="13.2"/>
  <cols>
    <col min="1" max="1" width="9.55555555555556" style="230" customWidth="1"/>
    <col min="2" max="2" width="12.4444444444444" customWidth="1"/>
    <col min="3" max="4" width="2.55555555555556" customWidth="1"/>
    <col min="5" max="5" width="61.1111111111111" customWidth="1"/>
    <col min="6" max="8" width="18.5555555555556" customWidth="1"/>
    <col min="9" max="9" width="19.4444444444444" customWidth="1"/>
    <col min="10" max="10" width="20.4444444444444" customWidth="1"/>
    <col min="11" max="12" width="19.5555555555556" customWidth="1"/>
    <col min="13" max="13" width="24.5555555555556" customWidth="1"/>
    <col min="14" max="14" width="18.5555555555556" customWidth="1"/>
    <col min="15" max="15" width="21" customWidth="1"/>
    <col min="16" max="16" width="18.5555555555556" customWidth="1"/>
    <col min="17" max="17" width="18.5555555555556" style="108" customWidth="1"/>
    <col min="19" max="19" width="11.1111111111111" bestFit="1" customWidth="1"/>
  </cols>
  <sheetData>
    <row r="1" spans="14:15" ht="15.6">
      <c r="N1" s="1048"/>
      <c r="O1" s="996" t="s">
        <v>1179</v>
      </c>
    </row>
    <row r="2" spans="14:15" ht="14.4">
      <c r="N2" s="1048"/>
      <c r="O2" s="1052" t="s">
        <v>1151</v>
      </c>
    </row>
    <row r="3" spans="14:15" ht="14.4">
      <c r="N3" s="1055"/>
      <c r="O3" s="1052" t="s">
        <v>1471</v>
      </c>
    </row>
    <row r="4" spans="15:15" ht="15.6">
      <c r="O4" s="996"/>
    </row>
    <row r="5" spans="1:17" ht="14.4">
      <c r="A5" s="1019"/>
      <c r="B5" s="1020" t="s">
        <v>1062</v>
      </c>
      <c r="C5" s="1021"/>
      <c r="D5" s="1021"/>
      <c r="E5" s="1020" t="s">
        <v>1063</v>
      </c>
      <c r="F5" s="1020" t="s">
        <v>1064</v>
      </c>
      <c r="G5" s="1020" t="s">
        <v>1065</v>
      </c>
      <c r="H5" s="1020" t="s">
        <v>1066</v>
      </c>
      <c r="I5" s="1020" t="s">
        <v>1067</v>
      </c>
      <c r="J5" s="1020" t="s">
        <v>1068</v>
      </c>
      <c r="K5" s="1020" t="s">
        <v>1069</v>
      </c>
      <c r="L5" s="1020" t="s">
        <v>1106</v>
      </c>
      <c r="M5" s="1020" t="s">
        <v>1107</v>
      </c>
      <c r="N5" s="1020" t="s">
        <v>1108</v>
      </c>
      <c r="O5" s="1020" t="s">
        <v>1109</v>
      </c>
      <c r="Q5"/>
    </row>
    <row r="6" spans="6:16" ht="49.5" customHeight="1">
      <c r="F6" s="1097" t="s">
        <v>1110</v>
      </c>
      <c r="G6" s="1098"/>
      <c r="H6" s="1099"/>
      <c r="I6" s="1022" t="s">
        <v>1111</v>
      </c>
      <c r="J6" s="1022" t="s">
        <v>1112</v>
      </c>
      <c r="K6" s="1023" t="s">
        <v>1113</v>
      </c>
      <c r="L6" s="1100"/>
      <c r="M6" s="1100"/>
      <c r="N6" s="1023"/>
      <c r="O6" s="1022"/>
      <c r="P6" s="1024"/>
    </row>
    <row r="7" spans="1:17" ht="78.75" customHeight="1">
      <c r="A7" s="109" t="s">
        <v>1070</v>
      </c>
      <c r="B7" s="348" t="s">
        <v>1114</v>
      </c>
      <c r="C7" s="1025"/>
      <c r="D7" s="1025"/>
      <c r="E7" s="230" t="s">
        <v>1115</v>
      </c>
      <c r="F7" s="1214" t="s">
        <v>1463</v>
      </c>
      <c r="G7" s="1214" t="s">
        <v>1464</v>
      </c>
      <c r="H7" s="1214" t="s">
        <v>1465</v>
      </c>
      <c r="I7" s="1215" t="s">
        <v>1116</v>
      </c>
      <c r="J7" s="1216" t="s">
        <v>1117</v>
      </c>
      <c r="K7" s="1217" t="s">
        <v>1118</v>
      </c>
      <c r="L7" s="1214" t="s">
        <v>1466</v>
      </c>
      <c r="M7" s="1216" t="s">
        <v>1119</v>
      </c>
      <c r="N7" s="1218" t="s">
        <v>1120</v>
      </c>
      <c r="O7" s="1219" t="s">
        <v>1467</v>
      </c>
      <c r="P7" s="1024"/>
      <c r="Q7" s="1024"/>
    </row>
    <row r="8" spans="3:12" ht="14.4">
      <c r="C8" s="1026" t="s">
        <v>1121</v>
      </c>
      <c r="F8" s="1024"/>
      <c r="G8" s="1024"/>
      <c r="H8" s="1024"/>
      <c r="I8" s="1024"/>
      <c r="J8" s="1024"/>
      <c r="L8" s="1024"/>
    </row>
    <row r="9" spans="1:3" ht="14.4">
      <c r="A9" s="1220">
        <v>1</v>
      </c>
      <c r="C9" t="s">
        <v>1123</v>
      </c>
    </row>
    <row r="10" spans="1:36" ht="14.4">
      <c r="A10" s="1220" t="s">
        <v>1074</v>
      </c>
      <c r="B10" s="1221">
        <v>2025</v>
      </c>
      <c r="E10" s="1221" t="s">
        <v>1200</v>
      </c>
      <c r="F10" s="1691">
        <v>6181.21</v>
      </c>
      <c r="G10" s="1691">
        <v>6158.46</v>
      </c>
      <c r="H10" s="1691">
        <v>-22.75</v>
      </c>
      <c r="I10" s="1691">
        <v>22.75</v>
      </c>
      <c r="J10">
        <v>0</v>
      </c>
      <c r="M10">
        <v>0</v>
      </c>
      <c r="N10" s="1221" t="s">
        <v>663</v>
      </c>
      <c r="O10" s="1221"/>
      <c r="P10" s="268"/>
      <c r="S10" s="1029"/>
      <c r="T10" s="1029"/>
      <c r="U10" s="1029"/>
      <c r="V10" s="1029"/>
      <c r="W10" s="1029"/>
      <c r="X10" s="1029"/>
      <c r="Y10" s="1029"/>
      <c r="Z10" s="1029"/>
      <c r="AA10" s="1029"/>
      <c r="AB10" s="1029"/>
      <c r="AC10" s="1029"/>
      <c r="AD10" s="1029"/>
      <c r="AE10" s="1029"/>
      <c r="AF10" s="1029"/>
      <c r="AG10" s="1029"/>
      <c r="AH10" s="1029"/>
      <c r="AI10" s="1029"/>
      <c r="AJ10" s="1029"/>
    </row>
    <row r="11" spans="1:16" ht="14.4">
      <c r="A11" s="1220" t="s">
        <v>1299</v>
      </c>
      <c r="B11" s="1221">
        <v>2025</v>
      </c>
      <c r="E11" s="1221" t="s">
        <v>1265</v>
      </c>
      <c r="F11" s="1691">
        <v>-2459.62</v>
      </c>
      <c r="G11" s="1691">
        <v>-2417.34</v>
      </c>
      <c r="H11" s="1691">
        <v>42.279999999999745</v>
      </c>
      <c r="I11" s="1691">
        <v>-42.279999999999745</v>
      </c>
      <c r="J11">
        <v>0</v>
      </c>
      <c r="M11">
        <v>0</v>
      </c>
      <c r="N11" s="1221" t="s">
        <v>663</v>
      </c>
      <c r="O11" s="1221"/>
      <c r="P11" s="268"/>
    </row>
    <row r="12" spans="1:16" ht="14.4">
      <c r="A12" s="1220" t="s">
        <v>1300</v>
      </c>
      <c r="B12" s="1221">
        <v>2025</v>
      </c>
      <c r="E12" s="1221" t="s">
        <v>1301</v>
      </c>
      <c r="F12" s="1691">
        <v>-0.11</v>
      </c>
      <c r="G12" s="1691">
        <v>-0.11</v>
      </c>
      <c r="H12" s="1691">
        <v>0</v>
      </c>
      <c r="I12" s="1691">
        <v>0</v>
      </c>
      <c r="J12">
        <v>0</v>
      </c>
      <c r="M12">
        <v>0</v>
      </c>
      <c r="N12" s="1221" t="s">
        <v>663</v>
      </c>
      <c r="O12" s="1221"/>
      <c r="P12" s="268"/>
    </row>
    <row r="13" spans="1:16" ht="14.4">
      <c r="A13" s="1220" t="s">
        <v>1289</v>
      </c>
      <c r="B13" s="1221">
        <v>2025</v>
      </c>
      <c r="E13" s="1221" t="s">
        <v>1468</v>
      </c>
      <c r="F13" s="1691">
        <v>332412.33</v>
      </c>
      <c r="G13" s="1691">
        <v>331188.51</v>
      </c>
      <c r="H13" s="1691">
        <v>-1223.820000000007</v>
      </c>
      <c r="I13" s="1691">
        <v>1223.820000000007</v>
      </c>
      <c r="J13">
        <v>0</v>
      </c>
      <c r="M13">
        <v>0</v>
      </c>
      <c r="N13" s="1221" t="s">
        <v>663</v>
      </c>
      <c r="O13" s="1221"/>
      <c r="P13" s="268"/>
    </row>
    <row r="14" spans="1:16" ht="14.4">
      <c r="A14" s="1220" t="s">
        <v>1302</v>
      </c>
      <c r="B14" s="1221">
        <v>2025</v>
      </c>
      <c r="E14" s="1221" t="s">
        <v>1217</v>
      </c>
      <c r="F14" s="1691">
        <v>126.92</v>
      </c>
      <c r="G14" s="1691">
        <v>126.46</v>
      </c>
      <c r="H14" s="1691">
        <v>-0.46000000000000796</v>
      </c>
      <c r="I14" s="1691">
        <v>0.46000000000000796</v>
      </c>
      <c r="J14">
        <v>0</v>
      </c>
      <c r="M14">
        <v>0</v>
      </c>
      <c r="N14" s="1221" t="s">
        <v>663</v>
      </c>
      <c r="O14" s="1221"/>
      <c r="P14" s="268"/>
    </row>
    <row r="15" spans="1:16" ht="14.4">
      <c r="A15" s="1220" t="s">
        <v>1303</v>
      </c>
      <c r="B15" s="1221">
        <v>2025</v>
      </c>
      <c r="E15" s="1221" t="s">
        <v>1218</v>
      </c>
      <c r="F15" s="1691">
        <v>5855.72</v>
      </c>
      <c r="G15" s="1691">
        <v>5834.16</v>
      </c>
      <c r="H15" s="1691">
        <v>-21.5600000000004</v>
      </c>
      <c r="I15" s="1691">
        <v>21.5600000000004</v>
      </c>
      <c r="J15">
        <v>0</v>
      </c>
      <c r="M15">
        <v>0</v>
      </c>
      <c r="N15" s="1221" t="s">
        <v>663</v>
      </c>
      <c r="O15" s="1221"/>
      <c r="P15" s="268"/>
    </row>
    <row r="16" spans="1:35" ht="14.4">
      <c r="A16" s="1220" t="s">
        <v>1292</v>
      </c>
      <c r="B16" s="1221">
        <v>2025</v>
      </c>
      <c r="E16" s="1221" t="s">
        <v>1222</v>
      </c>
      <c r="F16" s="1691">
        <v>0.070000000000000007</v>
      </c>
      <c r="G16" s="1691">
        <v>0.06</v>
      </c>
      <c r="H16" s="1691">
        <v>-0.010000000000000009</v>
      </c>
      <c r="I16" s="1691">
        <v>0.010000000000000009</v>
      </c>
      <c r="J16">
        <v>0</v>
      </c>
      <c r="M16">
        <v>0</v>
      </c>
      <c r="N16" s="1221" t="s">
        <v>663</v>
      </c>
      <c r="O16" s="1221"/>
      <c r="P16" s="268"/>
      <c r="S16" s="1029"/>
      <c r="T16" s="1029"/>
      <c r="U16" s="1029"/>
      <c r="V16" s="1029"/>
      <c r="W16" s="1029"/>
      <c r="X16" s="1029"/>
      <c r="Y16" s="1029"/>
      <c r="Z16" s="1029"/>
      <c r="AA16" s="1029"/>
      <c r="AB16" s="1029"/>
      <c r="AC16" s="1029"/>
      <c r="AD16" s="1029"/>
      <c r="AE16" s="1029"/>
      <c r="AF16" s="1029"/>
      <c r="AG16" s="1029"/>
      <c r="AH16" s="1029"/>
      <c r="AI16" s="1029"/>
    </row>
    <row r="17" spans="1:35" ht="14.4">
      <c r="A17" s="1220"/>
      <c r="B17" s="1221">
        <v>2025</v>
      </c>
      <c r="E17" s="1221" t="s">
        <v>1296</v>
      </c>
      <c r="F17" s="1691">
        <v>820931.72</v>
      </c>
      <c r="G17" s="1691">
        <v>817909.32</v>
      </c>
      <c r="H17" s="1691">
        <v>-3022.4000000000233</v>
      </c>
      <c r="I17" s="1691">
        <v>3022.4000000000233</v>
      </c>
      <c r="N17" s="1221"/>
      <c r="O17" s="1221"/>
      <c r="P17" s="268"/>
      <c r="S17" s="1029"/>
      <c r="T17" s="1029"/>
      <c r="U17" s="1029"/>
      <c r="V17" s="1029"/>
      <c r="W17" s="1029"/>
      <c r="X17" s="1029"/>
      <c r="Y17" s="1029"/>
      <c r="Z17" s="1029"/>
      <c r="AA17" s="1029"/>
      <c r="AB17" s="1029"/>
      <c r="AC17" s="1029"/>
      <c r="AD17" s="1029"/>
      <c r="AE17" s="1029"/>
      <c r="AF17" s="1029"/>
      <c r="AG17" s="1029"/>
      <c r="AH17" s="1029"/>
      <c r="AI17" s="1029"/>
    </row>
    <row r="18" spans="1:16" ht="14.4">
      <c r="A18" s="1220" t="s">
        <v>1294</v>
      </c>
      <c r="B18" s="1221"/>
      <c r="E18" s="1221" t="s">
        <v>1424</v>
      </c>
      <c r="F18" s="1691">
        <v>0</v>
      </c>
      <c r="G18" s="1691">
        <v>0</v>
      </c>
      <c r="H18" s="1691">
        <v>0</v>
      </c>
      <c r="I18" s="1691">
        <v>0</v>
      </c>
      <c r="J18">
        <v>0</v>
      </c>
      <c r="M18">
        <v>0</v>
      </c>
      <c r="N18" s="1221" t="s">
        <v>663</v>
      </c>
      <c r="O18" s="1221"/>
      <c r="P18" s="268"/>
    </row>
    <row r="19" spans="1:16" ht="14.4">
      <c r="A19" s="1220">
        <f>+A9+1</f>
        <v>2</v>
      </c>
      <c r="D19" t="s">
        <v>1124</v>
      </c>
      <c r="F19" s="1692">
        <f>SUM(F10:F18)</f>
        <v>1163048.24</v>
      </c>
      <c r="G19" s="1692">
        <f t="shared" si="0" ref="G19:I19">SUM(G10:G18)</f>
        <v>1158799.52</v>
      </c>
      <c r="H19" s="1692">
        <f t="shared" si="0"/>
        <v>-4248.7200000000312</v>
      </c>
      <c r="I19" s="1692">
        <f t="shared" si="0"/>
        <v>4248.7200000000312</v>
      </c>
      <c r="J19" s="1030"/>
      <c r="K19" s="1030"/>
      <c r="L19" s="1030"/>
      <c r="M19" s="1030"/>
      <c r="N19" s="1223"/>
      <c r="O19" s="1223"/>
      <c r="P19" s="268"/>
    </row>
    <row r="20" spans="1:16" ht="14.4">
      <c r="A20" s="1220">
        <f>+A19+1</f>
        <v>3</v>
      </c>
      <c r="C20" t="s">
        <v>1125</v>
      </c>
      <c r="F20" s="330"/>
      <c r="G20" s="330"/>
      <c r="H20" s="330"/>
      <c r="I20" s="330"/>
      <c r="J20" s="330"/>
      <c r="K20" s="330"/>
      <c r="L20" s="330"/>
      <c r="M20" s="330"/>
      <c r="N20" s="1223"/>
      <c r="O20" s="1223"/>
      <c r="P20" s="268"/>
    </row>
    <row r="21" spans="1:35" ht="14.4">
      <c r="A21" s="1220" t="s">
        <v>1078</v>
      </c>
      <c r="E21" s="1225"/>
      <c r="F21" s="1226"/>
      <c r="G21" s="1226"/>
      <c r="H21" s="1226"/>
      <c r="I21" s="1226"/>
      <c r="J21" s="330">
        <f>-(+H21+I21)</f>
        <v>0</v>
      </c>
      <c r="K21" s="1226"/>
      <c r="L21" s="1226"/>
      <c r="M21" s="330">
        <f>+J21+K21+L21</f>
        <v>0</v>
      </c>
      <c r="N21" s="1226"/>
      <c r="O21" s="1226"/>
      <c r="P21" s="268"/>
      <c r="S21" s="1029"/>
      <c r="T21" s="1029"/>
      <c r="U21" s="1029"/>
      <c r="V21" s="1029"/>
      <c r="W21" s="1029"/>
      <c r="X21" s="1029"/>
      <c r="Y21" s="1029"/>
      <c r="Z21" s="1029"/>
      <c r="AA21" s="1029"/>
      <c r="AB21" s="1029"/>
      <c r="AC21" s="1029"/>
      <c r="AD21" s="1029"/>
      <c r="AE21" s="1029"/>
      <c r="AF21" s="1029"/>
      <c r="AG21" s="1029"/>
      <c r="AH21" s="1029"/>
      <c r="AI21" s="1029"/>
    </row>
    <row r="22" spans="1:17" s="1032" customFormat="1" ht="14.4">
      <c r="A22" s="1220">
        <f>+A20+1</f>
        <v>4</v>
      </c>
      <c r="B22"/>
      <c r="C22"/>
      <c r="D22" t="s">
        <v>1126</v>
      </c>
      <c r="E22"/>
      <c r="F22" s="1030">
        <f t="shared" si="1" ref="F22:M22">SUM(F21:F21)</f>
        <v>0</v>
      </c>
      <c r="G22" s="1030">
        <f t="shared" si="1"/>
        <v>0</v>
      </c>
      <c r="H22" s="1030">
        <f t="shared" si="1"/>
        <v>0</v>
      </c>
      <c r="I22" s="1030">
        <f t="shared" si="1"/>
        <v>0</v>
      </c>
      <c r="J22" s="1030">
        <f t="shared" si="1"/>
        <v>0</v>
      </c>
      <c r="K22" s="1030">
        <f t="shared" si="1"/>
        <v>0</v>
      </c>
      <c r="L22" s="1030">
        <f t="shared" si="1"/>
        <v>0</v>
      </c>
      <c r="M22" s="1030">
        <f t="shared" si="1"/>
        <v>0</v>
      </c>
      <c r="N22" s="1223"/>
      <c r="O22" s="1223"/>
      <c r="P22" s="1033"/>
      <c r="Q22" s="1035"/>
    </row>
    <row r="23" spans="1:16" ht="14.4">
      <c r="A23" s="1220">
        <v>5</v>
      </c>
      <c r="C23" t="s">
        <v>1127</v>
      </c>
      <c r="F23" s="330"/>
      <c r="G23" s="330"/>
      <c r="H23" s="330"/>
      <c r="I23" s="330"/>
      <c r="J23" s="330"/>
      <c r="K23" s="330"/>
      <c r="L23" s="330"/>
      <c r="M23" s="330"/>
      <c r="N23" s="1223"/>
      <c r="O23" s="1223"/>
      <c r="P23" s="268"/>
    </row>
    <row r="24" spans="1:16" ht="14.4">
      <c r="A24" s="1220" t="s">
        <v>1128</v>
      </c>
      <c r="B24" s="1221">
        <v>2025</v>
      </c>
      <c r="E24" s="1221" t="s">
        <v>1198</v>
      </c>
      <c r="F24" s="1227">
        <v>0</v>
      </c>
      <c r="G24" s="1227">
        <v>0</v>
      </c>
      <c r="H24" s="1227">
        <v>0</v>
      </c>
      <c r="I24" s="1227">
        <v>0</v>
      </c>
      <c r="J24" s="330">
        <v>0</v>
      </c>
      <c r="K24" s="330"/>
      <c r="L24" s="330"/>
      <c r="M24" s="330">
        <v>0</v>
      </c>
      <c r="N24" s="1223" t="s">
        <v>663</v>
      </c>
      <c r="O24" s="1223"/>
      <c r="P24" s="268"/>
    </row>
    <row r="25" spans="1:16" ht="14.4">
      <c r="A25" s="1220" t="s">
        <v>1304</v>
      </c>
      <c r="B25" s="1221">
        <v>2025</v>
      </c>
      <c r="E25" s="1221" t="s">
        <v>1272</v>
      </c>
      <c r="F25" s="1227">
        <v>-209903.92</v>
      </c>
      <c r="G25" s="1227">
        <v>-209131.12</v>
      </c>
      <c r="H25" s="1227">
        <v>772.80000000001746</v>
      </c>
      <c r="I25" s="1227">
        <v>0</v>
      </c>
      <c r="J25" s="330">
        <v>-772.80000000001746</v>
      </c>
      <c r="K25" s="330"/>
      <c r="L25" s="330"/>
      <c r="M25" s="330">
        <v>-772.80000000001746</v>
      </c>
      <c r="N25" s="1223" t="s">
        <v>1161</v>
      </c>
      <c r="O25" s="1223">
        <v>182.30</v>
      </c>
      <c r="P25" s="268"/>
    </row>
    <row r="26" spans="1:35" ht="14.4">
      <c r="A26" s="1220" t="s">
        <v>1305</v>
      </c>
      <c r="B26" s="1221">
        <v>2025</v>
      </c>
      <c r="E26" s="1221" t="s">
        <v>1277</v>
      </c>
      <c r="F26" s="1227">
        <v>-820931.46</v>
      </c>
      <c r="G26" s="1227">
        <v>-817909.06</v>
      </c>
      <c r="H26" s="1227">
        <v>3022.3999999999069</v>
      </c>
      <c r="I26" s="1227">
        <v>-3022.3999999999069</v>
      </c>
      <c r="J26" s="330">
        <v>0</v>
      </c>
      <c r="K26" s="330"/>
      <c r="L26" s="330"/>
      <c r="M26" s="330">
        <v>0</v>
      </c>
      <c r="N26" s="1223" t="s">
        <v>663</v>
      </c>
      <c r="O26" s="1223"/>
      <c r="P26" s="268"/>
      <c r="S26" s="1029"/>
      <c r="T26" s="1029"/>
      <c r="U26" s="1029"/>
      <c r="V26" s="1029"/>
      <c r="W26" s="1029"/>
      <c r="X26" s="1029"/>
      <c r="Y26" s="1029"/>
      <c r="Z26" s="1029"/>
      <c r="AA26" s="1029"/>
      <c r="AB26" s="1029"/>
      <c r="AC26" s="1029"/>
      <c r="AD26" s="1029"/>
      <c r="AE26" s="1029"/>
      <c r="AF26" s="1029"/>
      <c r="AG26" s="1029"/>
      <c r="AH26" s="1029"/>
      <c r="AI26" s="1029"/>
    </row>
    <row r="27" spans="1:16" ht="14.4">
      <c r="A27" s="1220" t="s">
        <v>1306</v>
      </c>
      <c r="B27" s="1221">
        <v>2025</v>
      </c>
      <c r="E27" s="1221" t="s">
        <v>1279</v>
      </c>
      <c r="F27" s="1227">
        <v>-30148994.739999998</v>
      </c>
      <c r="G27" s="1227">
        <v>-30037996.16</v>
      </c>
      <c r="H27" s="1227">
        <v>110998.57999999821</v>
      </c>
      <c r="I27" s="1227">
        <v>-110998.57999999821</v>
      </c>
      <c r="J27" s="330">
        <v>0</v>
      </c>
      <c r="K27" s="330"/>
      <c r="L27" s="330"/>
      <c r="M27" s="330">
        <v>0</v>
      </c>
      <c r="N27" s="1223" t="s">
        <v>663</v>
      </c>
      <c r="O27" s="1223"/>
      <c r="P27" s="268"/>
    </row>
    <row r="28" spans="1:16" ht="14.4">
      <c r="A28" s="1220">
        <f>+A23+1</f>
        <v>6</v>
      </c>
      <c r="D28" t="s">
        <v>1129</v>
      </c>
      <c r="F28" s="1222">
        <f t="shared" si="2" ref="F28:M28">SUM(F24:F27)</f>
        <v>-31179830.119999997</v>
      </c>
      <c r="G28" s="1222">
        <f t="shared" si="2"/>
        <v>-31065036.34</v>
      </c>
      <c r="H28" s="1222">
        <f t="shared" si="2"/>
        <v>114793.77999999814</v>
      </c>
      <c r="I28" s="1222">
        <f t="shared" si="2"/>
        <v>-114020.97999999812</v>
      </c>
      <c r="J28" s="1222">
        <f t="shared" si="2"/>
        <v>-772.80000000001746</v>
      </c>
      <c r="K28" s="1222">
        <f t="shared" si="2"/>
        <v>0</v>
      </c>
      <c r="L28" s="1222">
        <f t="shared" si="2"/>
        <v>0</v>
      </c>
      <c r="M28" s="1222">
        <f t="shared" si="2"/>
        <v>-772.80000000001746</v>
      </c>
      <c r="N28" s="268"/>
      <c r="O28" s="268"/>
      <c r="P28" s="268"/>
    </row>
    <row r="29" spans="6:16" ht="18" customHeight="1">
      <c r="F29" s="268"/>
      <c r="G29" s="268"/>
      <c r="H29" s="268"/>
      <c r="I29" s="1031"/>
      <c r="J29" s="1031"/>
      <c r="K29" s="1031"/>
      <c r="L29" s="1031"/>
      <c r="M29" s="1031"/>
      <c r="N29" s="268"/>
      <c r="O29" s="268"/>
      <c r="P29" s="268"/>
    </row>
    <row r="30" spans="3:16" ht="18" customHeight="1">
      <c r="C30" s="1032" t="s">
        <v>1130</v>
      </c>
      <c r="D30" s="1032"/>
      <c r="E30" s="1032"/>
      <c r="F30" s="268"/>
      <c r="G30" s="268"/>
      <c r="H30" s="268"/>
      <c r="I30" s="268"/>
      <c r="J30" s="268"/>
      <c r="K30" s="268"/>
      <c r="L30" s="268"/>
      <c r="M30" s="268"/>
      <c r="N30" s="268"/>
      <c r="O30" s="268"/>
      <c r="P30" s="268"/>
    </row>
    <row r="31" spans="1:16" ht="14.4">
      <c r="A31" s="1220">
        <f>+A28+1</f>
        <v>7</v>
      </c>
      <c r="E31" t="s">
        <v>1131</v>
      </c>
      <c r="F31" s="268"/>
      <c r="G31" s="268"/>
      <c r="H31" s="268"/>
      <c r="I31" s="268"/>
      <c r="J31" s="268">
        <v>-772.80000000001746</v>
      </c>
      <c r="K31" s="268">
        <f>+K19+K22+K28</f>
        <v>0</v>
      </c>
      <c r="L31" s="268">
        <f>+L19+L22+L28</f>
        <v>0</v>
      </c>
      <c r="M31" s="268">
        <v>-772.80000000001746</v>
      </c>
      <c r="N31" s="268"/>
      <c r="O31" s="268"/>
      <c r="P31" s="1228"/>
    </row>
    <row r="32" spans="1:16" ht="14.4">
      <c r="A32" s="1220">
        <f>+A31+1</f>
        <v>8</v>
      </c>
      <c r="E32" t="s">
        <v>1132</v>
      </c>
      <c r="F32" s="268"/>
      <c r="G32" s="268"/>
      <c r="H32" s="268"/>
      <c r="I32" s="268"/>
      <c r="J32" s="1226">
        <v>-280.42510537745483</v>
      </c>
      <c r="K32" s="1226"/>
      <c r="L32" s="1226"/>
      <c r="M32" s="268">
        <v>-280.42510537745483</v>
      </c>
      <c r="N32" s="1223"/>
      <c r="O32" s="1223"/>
      <c r="P32" s="1228"/>
    </row>
    <row r="33" spans="1:17" s="1032" customFormat="1" ht="15" thickBot="1">
      <c r="A33" s="1220">
        <f>+A32+1</f>
        <v>9</v>
      </c>
      <c r="E33" s="1032" t="s">
        <v>1133</v>
      </c>
      <c r="F33" s="1033"/>
      <c r="G33" s="1033"/>
      <c r="H33" s="1033"/>
      <c r="I33" s="1033"/>
      <c r="J33" s="1034">
        <f>+J31+J32</f>
        <v>-1053.2251053774723</v>
      </c>
      <c r="K33" s="1034">
        <f>+K31+K32</f>
        <v>0</v>
      </c>
      <c r="L33" s="1034">
        <f>+L31+L32</f>
        <v>0</v>
      </c>
      <c r="M33" s="1034">
        <f>+M31+M32</f>
        <v>-1053.2251053774723</v>
      </c>
      <c r="N33" s="1033"/>
      <c r="O33" s="1033"/>
      <c r="P33" s="1033"/>
      <c r="Q33" s="1035"/>
    </row>
    <row r="34" spans="1:17" s="1032" customFormat="1" ht="15" thickTop="1">
      <c r="A34" s="230"/>
      <c r="B34"/>
      <c r="C34"/>
      <c r="D34"/>
      <c r="E34"/>
      <c r="F34" s="330"/>
      <c r="G34" s="330"/>
      <c r="H34" s="330"/>
      <c r="I34" s="330"/>
      <c r="J34" s="330"/>
      <c r="K34" s="330"/>
      <c r="L34" s="330"/>
      <c r="M34" s="330"/>
      <c r="N34" s="268"/>
      <c r="O34" s="268"/>
      <c r="P34" s="1033"/>
      <c r="Q34" s="1035"/>
    </row>
    <row r="35" spans="1:17" s="1032" customFormat="1" ht="14.4">
      <c r="A35" s="230"/>
      <c r="B35"/>
      <c r="C35" s="1026" t="s">
        <v>1134</v>
      </c>
      <c r="D35"/>
      <c r="E35"/>
      <c r="F35" s="330"/>
      <c r="G35" s="330"/>
      <c r="H35" s="330"/>
      <c r="I35" s="330"/>
      <c r="J35" s="330"/>
      <c r="K35" s="330"/>
      <c r="L35" s="330"/>
      <c r="M35" s="330"/>
      <c r="N35" s="268"/>
      <c r="O35" s="268"/>
      <c r="P35" s="1033"/>
      <c r="Q35" s="1035"/>
    </row>
    <row r="36" spans="1:17" s="1032" customFormat="1" ht="14.4">
      <c r="A36" s="1220">
        <v>10</v>
      </c>
      <c r="B36"/>
      <c r="C36" t="s">
        <v>1123</v>
      </c>
      <c r="D36"/>
      <c r="E36"/>
      <c r="F36" s="330"/>
      <c r="G36" s="330"/>
      <c r="H36" s="330"/>
      <c r="I36" s="330"/>
      <c r="J36" s="330"/>
      <c r="K36" s="330"/>
      <c r="L36" s="330"/>
      <c r="M36" s="330"/>
      <c r="N36" s="268"/>
      <c r="O36" s="268"/>
      <c r="P36" s="1228"/>
      <c r="Q36" s="1035"/>
    </row>
    <row r="37" spans="1:17" s="1032" customFormat="1" ht="14.4">
      <c r="A37" s="1220" t="s">
        <v>1135</v>
      </c>
      <c r="B37" s="1221">
        <v>2025</v>
      </c>
      <c r="C37"/>
      <c r="D37"/>
      <c r="E37" s="1221" t="s">
        <v>1205</v>
      </c>
      <c r="F37" s="1227">
        <v>57056.70</v>
      </c>
      <c r="G37" s="1227">
        <v>53696.46</v>
      </c>
      <c r="H37" s="1227">
        <v>-3360.239999999998</v>
      </c>
      <c r="I37" s="1227">
        <v>0</v>
      </c>
      <c r="J37" s="330">
        <v>3360.239999999998</v>
      </c>
      <c r="K37" s="330"/>
      <c r="L37" s="330"/>
      <c r="M37" s="330">
        <v>3360.239999999998</v>
      </c>
      <c r="N37" s="1223" t="s">
        <v>1161</v>
      </c>
      <c r="O37" s="1223">
        <v>254</v>
      </c>
      <c r="P37" s="1228"/>
      <c r="Q37" s="1035"/>
    </row>
    <row r="38" spans="1:16" ht="14.4">
      <c r="A38" s="1220" t="s">
        <v>1307</v>
      </c>
      <c r="B38" s="1221">
        <v>2025</v>
      </c>
      <c r="E38" s="1221" t="s">
        <v>1206</v>
      </c>
      <c r="F38" s="1227">
        <v>91531.62</v>
      </c>
      <c r="G38" s="1227">
        <v>86141.06</v>
      </c>
      <c r="H38" s="1227">
        <v>-5390.5599999999977</v>
      </c>
      <c r="I38" s="1227">
        <v>0</v>
      </c>
      <c r="J38" s="330">
        <v>5390.5599999999977</v>
      </c>
      <c r="K38" s="330"/>
      <c r="L38" s="330"/>
      <c r="M38" s="330">
        <v>5390.5599999999977</v>
      </c>
      <c r="N38" s="1223" t="s">
        <v>1161</v>
      </c>
      <c r="O38" s="1223">
        <v>254</v>
      </c>
      <c r="P38" s="1033"/>
    </row>
    <row r="39" spans="1:15" ht="14.4">
      <c r="A39" s="1220" t="s">
        <v>1308</v>
      </c>
      <c r="B39" s="1221">
        <v>2025</v>
      </c>
      <c r="E39" s="1221" t="s">
        <v>1269</v>
      </c>
      <c r="F39" s="1227">
        <v>-90337.95</v>
      </c>
      <c r="G39" s="1227">
        <v>-85017.69</v>
      </c>
      <c r="H39" s="1227">
        <v>5320.2599999999948</v>
      </c>
      <c r="I39" s="1227">
        <v>0</v>
      </c>
      <c r="J39" s="330">
        <v>-5320.2599999999948</v>
      </c>
      <c r="K39" s="330"/>
      <c r="L39" s="330"/>
      <c r="M39" s="330">
        <v>-5320.2599999999948</v>
      </c>
      <c r="N39" s="1223" t="s">
        <v>1161</v>
      </c>
      <c r="O39" s="1223">
        <v>254</v>
      </c>
    </row>
    <row r="40" spans="1:15" ht="14.4">
      <c r="A40" s="1220" t="s">
        <v>1309</v>
      </c>
      <c r="B40" s="1221">
        <v>2025</v>
      </c>
      <c r="E40" s="1221" t="s">
        <v>1235</v>
      </c>
      <c r="F40" s="1227">
        <v>1368499.9100000001</v>
      </c>
      <c r="G40" s="1227">
        <v>1287904.9300000002</v>
      </c>
      <c r="H40" s="1227">
        <v>-80594.979999999981</v>
      </c>
      <c r="I40" s="1227">
        <v>0</v>
      </c>
      <c r="J40" s="330">
        <v>80594.979999999981</v>
      </c>
      <c r="K40" s="330"/>
      <c r="L40" s="330"/>
      <c r="M40" s="330">
        <v>80594.979999999981</v>
      </c>
      <c r="N40" s="1223" t="s">
        <v>1161</v>
      </c>
      <c r="O40" s="1223">
        <v>254</v>
      </c>
    </row>
    <row r="41" spans="1:15" ht="14.4">
      <c r="A41" s="1220" t="s">
        <v>1310</v>
      </c>
      <c r="B41" s="1221">
        <v>2025</v>
      </c>
      <c r="E41" s="1221" t="s">
        <v>1236</v>
      </c>
      <c r="F41" s="1227">
        <v>1703649.15</v>
      </c>
      <c r="G41" s="1227">
        <v>1603316.26</v>
      </c>
      <c r="H41" s="1227">
        <v>-100332.8899999999</v>
      </c>
      <c r="I41" s="1227">
        <v>0</v>
      </c>
      <c r="J41" s="330">
        <v>100332.8899999999</v>
      </c>
      <c r="K41" s="330"/>
      <c r="L41" s="330"/>
      <c r="M41" s="330">
        <v>100332.8899999999</v>
      </c>
      <c r="N41" s="1223" t="s">
        <v>1161</v>
      </c>
      <c r="O41" s="1223">
        <v>254</v>
      </c>
    </row>
    <row r="42" spans="1:15" ht="14.4">
      <c r="A42" s="1220" t="s">
        <v>1311</v>
      </c>
      <c r="B42" s="1221">
        <v>2025</v>
      </c>
      <c r="E42" s="1221" t="s">
        <v>1284</v>
      </c>
      <c r="F42" s="1227">
        <v>-1676887.95</v>
      </c>
      <c r="G42" s="1227">
        <v>-1578131.10</v>
      </c>
      <c r="H42" s="1227">
        <v>98756.84999999986</v>
      </c>
      <c r="I42" s="1227">
        <v>0</v>
      </c>
      <c r="J42" s="330">
        <v>-98756.84999999986</v>
      </c>
      <c r="K42" s="330"/>
      <c r="L42" s="330"/>
      <c r="M42" s="330">
        <v>-98756.84999999986</v>
      </c>
      <c r="N42" s="1223" t="s">
        <v>1161</v>
      </c>
      <c r="O42" s="1223">
        <v>254</v>
      </c>
    </row>
    <row r="43" spans="1:15" ht="14.4">
      <c r="A43" s="1220">
        <f>+A36+1</f>
        <v>11</v>
      </c>
      <c r="D43" t="s">
        <v>1124</v>
      </c>
      <c r="F43" s="1222">
        <f>SUM(F37:F42)</f>
        <v>1453511.4800000002</v>
      </c>
      <c r="G43" s="1222">
        <f t="shared" si="3" ref="G43:M43">SUM(G37:G42)</f>
        <v>1367909.9200000004</v>
      </c>
      <c r="H43" s="1222">
        <f t="shared" si="3"/>
        <v>-85601.560000000027</v>
      </c>
      <c r="I43" s="1222">
        <f t="shared" si="3"/>
        <v>0</v>
      </c>
      <c r="J43" s="1222">
        <f t="shared" si="3"/>
        <v>85601.560000000027</v>
      </c>
      <c r="K43" s="1222">
        <f t="shared" si="3"/>
        <v>0</v>
      </c>
      <c r="L43" s="1222">
        <f t="shared" si="3"/>
        <v>0</v>
      </c>
      <c r="M43" s="1222">
        <f t="shared" si="3"/>
        <v>85601.560000000027</v>
      </c>
      <c r="N43" s="268"/>
      <c r="O43" s="268"/>
    </row>
    <row r="44" spans="1:17" ht="14.4">
      <c r="A44" s="1220">
        <v>12</v>
      </c>
      <c r="C44" t="s">
        <v>1125</v>
      </c>
      <c r="F44" s="330"/>
      <c r="G44" s="330"/>
      <c r="H44" s="330"/>
      <c r="I44" s="330"/>
      <c r="J44" s="330"/>
      <c r="K44" s="330"/>
      <c r="L44" s="330"/>
      <c r="M44" s="330"/>
      <c r="N44" s="268"/>
      <c r="O44" s="268"/>
      <c r="Q44"/>
    </row>
    <row r="45" spans="1:16" ht="31.5" customHeight="1">
      <c r="A45" s="1220" t="s">
        <v>1136</v>
      </c>
      <c r="B45" s="1221">
        <v>2025</v>
      </c>
      <c r="E45" s="1221" t="s">
        <v>1469</v>
      </c>
      <c r="F45" s="1227">
        <v>-4718.26</v>
      </c>
      <c r="G45" s="1227">
        <v>-4700.8900000000003</v>
      </c>
      <c r="H45" s="1227">
        <v>17.369999999999891</v>
      </c>
      <c r="I45" s="1227"/>
      <c r="J45" s="330">
        <v>-17.369999999999891</v>
      </c>
      <c r="K45" s="330"/>
      <c r="L45" s="330"/>
      <c r="M45" s="330">
        <v>-17.369999999999891</v>
      </c>
      <c r="N45" s="1223" t="s">
        <v>1161</v>
      </c>
      <c r="O45" s="1223">
        <v>254</v>
      </c>
      <c r="P45" s="1024"/>
    </row>
    <row r="46" spans="1:17" ht="15" customHeight="1">
      <c r="A46" s="1220" t="s">
        <v>1312</v>
      </c>
      <c r="B46" s="1221">
        <v>2025</v>
      </c>
      <c r="E46" s="1221" t="s">
        <v>1264</v>
      </c>
      <c r="F46" s="1227">
        <v>-984363.27</v>
      </c>
      <c r="G46" s="1227">
        <v>-926391.2300000001</v>
      </c>
      <c r="H46" s="1227">
        <v>57972.039999999921</v>
      </c>
      <c r="I46" s="1227"/>
      <c r="J46" s="330">
        <v>-57972.039999999921</v>
      </c>
      <c r="K46" s="330"/>
      <c r="L46" s="330"/>
      <c r="M46" s="330">
        <v>-57972.039999999921</v>
      </c>
      <c r="N46" s="1223" t="s">
        <v>1162</v>
      </c>
      <c r="O46" s="1223">
        <v>254</v>
      </c>
      <c r="P46" s="1024"/>
      <c r="Q46" s="1024"/>
    </row>
    <row r="47" spans="1:15" ht="14.4">
      <c r="A47" s="1220" t="s">
        <v>1314</v>
      </c>
      <c r="B47" s="1221">
        <v>2025</v>
      </c>
      <c r="E47" s="1221" t="s">
        <v>1313</v>
      </c>
      <c r="F47" s="1227">
        <v>-22090548.510000002</v>
      </c>
      <c r="G47" s="1227">
        <v>-20789571.390000001</v>
      </c>
      <c r="H47" s="1227">
        <v>1300977.120000001</v>
      </c>
      <c r="I47" s="1227"/>
      <c r="J47" s="330">
        <v>-1300977.120000001</v>
      </c>
      <c r="K47" s="330"/>
      <c r="L47" s="330"/>
      <c r="M47" s="330">
        <v>-1300977.120000001</v>
      </c>
      <c r="N47" s="1223" t="s">
        <v>1161</v>
      </c>
      <c r="O47" s="1223">
        <v>254</v>
      </c>
    </row>
    <row r="48" spans="1:15" ht="14.4">
      <c r="A48" s="1220" t="s">
        <v>1316</v>
      </c>
      <c r="B48" s="1221">
        <v>2025</v>
      </c>
      <c r="E48" s="1221" t="s">
        <v>1315</v>
      </c>
      <c r="F48" s="1227">
        <v>-197902.84000000003</v>
      </c>
      <c r="G48" s="1227">
        <v>-186247.76</v>
      </c>
      <c r="H48" s="1227">
        <v>11655.080000000016</v>
      </c>
      <c r="I48" s="1227"/>
      <c r="J48" s="330">
        <v>-11655.080000000016</v>
      </c>
      <c r="K48" s="330"/>
      <c r="L48" s="330"/>
      <c r="M48" s="330">
        <v>-11655.080000000016</v>
      </c>
      <c r="N48" s="1223" t="s">
        <v>1161</v>
      </c>
      <c r="O48" s="1223">
        <v>254</v>
      </c>
    </row>
    <row r="49" spans="1:15" ht="14.4">
      <c r="A49" s="1220" t="s">
        <v>1318</v>
      </c>
      <c r="B49" s="1221">
        <v>2025</v>
      </c>
      <c r="E49" s="1221" t="s">
        <v>1317</v>
      </c>
      <c r="F49" s="1227">
        <v>-256872.54</v>
      </c>
      <c r="G49" s="1227">
        <v>-241744.57</v>
      </c>
      <c r="H49" s="1227">
        <v>15127.970000000001</v>
      </c>
      <c r="I49" s="1227"/>
      <c r="J49" s="330">
        <v>-15127.970000000001</v>
      </c>
      <c r="K49" s="330"/>
      <c r="L49" s="330"/>
      <c r="M49" s="330">
        <v>-15127.970000000001</v>
      </c>
      <c r="N49" s="1223" t="s">
        <v>1161</v>
      </c>
      <c r="O49" s="1223">
        <v>254</v>
      </c>
    </row>
    <row r="50" spans="1:15" ht="14.4">
      <c r="A50" s="1220" t="s">
        <v>1320</v>
      </c>
      <c r="B50" s="1221">
        <v>2025</v>
      </c>
      <c r="E50" s="1221" t="s">
        <v>1319</v>
      </c>
      <c r="F50" s="1227">
        <v>245911.37</v>
      </c>
      <c r="G50" s="1227">
        <v>231428.94</v>
      </c>
      <c r="H50" s="1227">
        <v>-14482.429999999993</v>
      </c>
      <c r="I50" s="1227"/>
      <c r="J50" s="330">
        <v>14482.429999999993</v>
      </c>
      <c r="K50" s="330"/>
      <c r="L50" s="330"/>
      <c r="M50" s="330">
        <v>14482.429999999993</v>
      </c>
      <c r="N50" s="1223" t="s">
        <v>663</v>
      </c>
      <c r="O50" s="1223"/>
    </row>
    <row r="51" spans="1:15" ht="14.4">
      <c r="A51" s="1220" t="s">
        <v>1322</v>
      </c>
      <c r="B51" s="1221">
        <v>2025</v>
      </c>
      <c r="E51" s="1221" t="s">
        <v>1321</v>
      </c>
      <c r="F51" s="1227">
        <v>-641243.56999999995</v>
      </c>
      <c r="G51" s="1227">
        <v>-603478.86</v>
      </c>
      <c r="H51" s="1227">
        <v>37764.709999999963</v>
      </c>
      <c r="I51" s="1227"/>
      <c r="J51" s="330">
        <v>-37764.709999999963</v>
      </c>
      <c r="K51" s="330">
        <v>37764.709999999963</v>
      </c>
      <c r="L51" s="330"/>
      <c r="M51" s="330">
        <v>0</v>
      </c>
      <c r="N51" s="1223" t="s">
        <v>663</v>
      </c>
      <c r="O51" s="1223"/>
    </row>
    <row r="52" spans="1:15" ht="14.4">
      <c r="A52" s="1220" t="s">
        <v>1324</v>
      </c>
      <c r="B52" s="1221">
        <v>2025</v>
      </c>
      <c r="E52" s="1221" t="s">
        <v>1323</v>
      </c>
      <c r="F52" s="1227">
        <v>-856054.65</v>
      </c>
      <c r="G52" s="1227">
        <v>-805639.08</v>
      </c>
      <c r="H52" s="1227">
        <v>50415.570000000065</v>
      </c>
      <c r="I52" s="1227"/>
      <c r="J52" s="330">
        <v>-50415.570000000065</v>
      </c>
      <c r="K52" s="330">
        <v>50415.570000000065</v>
      </c>
      <c r="L52" s="330"/>
      <c r="M52" s="330">
        <v>0</v>
      </c>
      <c r="N52" s="1223" t="s">
        <v>663</v>
      </c>
      <c r="O52" s="1223"/>
    </row>
    <row r="53" spans="1:15" ht="14.4">
      <c r="A53" s="1220" t="s">
        <v>1326</v>
      </c>
      <c r="B53" s="1221">
        <v>2025</v>
      </c>
      <c r="E53" s="1221" t="s">
        <v>1325</v>
      </c>
      <c r="F53" s="1227">
        <v>807716.26</v>
      </c>
      <c r="G53" s="1227">
        <v>760147.48</v>
      </c>
      <c r="H53" s="1227">
        <v>-47568.780000000028</v>
      </c>
      <c r="I53" s="1227"/>
      <c r="J53" s="330">
        <v>47568.780000000028</v>
      </c>
      <c r="K53" s="330">
        <v>-47568.780000000028</v>
      </c>
      <c r="L53" s="330"/>
      <c r="M53" s="330">
        <v>0</v>
      </c>
      <c r="N53" s="1223" t="s">
        <v>1161</v>
      </c>
      <c r="O53" s="1223">
        <v>254</v>
      </c>
    </row>
    <row r="54" spans="1:15" ht="14.4">
      <c r="A54" s="1220" t="s">
        <v>1328</v>
      </c>
      <c r="B54" s="1221">
        <v>2025</v>
      </c>
      <c r="E54" s="1221" t="s">
        <v>1327</v>
      </c>
      <c r="F54" s="1227">
        <v>-6387.49</v>
      </c>
      <c r="G54" s="1227">
        <v>-6011.3099999999995</v>
      </c>
      <c r="H54" s="1227">
        <v>376.18000000000029</v>
      </c>
      <c r="I54" s="1227"/>
      <c r="J54" s="330">
        <v>-376.18000000000029</v>
      </c>
      <c r="K54" s="330"/>
      <c r="L54" s="330"/>
      <c r="M54" s="330">
        <v>-376.18000000000029</v>
      </c>
      <c r="N54" s="1223" t="s">
        <v>1161</v>
      </c>
      <c r="O54" s="1223">
        <v>254</v>
      </c>
    </row>
    <row r="55" spans="1:15" ht="14.4">
      <c r="A55" s="1220" t="s">
        <v>1330</v>
      </c>
      <c r="B55" s="1221">
        <v>2025</v>
      </c>
      <c r="E55" s="1221" t="s">
        <v>1329</v>
      </c>
      <c r="F55" s="1227">
        <v>2063094.3199999998</v>
      </c>
      <c r="G55" s="1227">
        <v>1941592.65</v>
      </c>
      <c r="H55" s="1227">
        <v>-121501.66999999993</v>
      </c>
      <c r="I55" s="1227"/>
      <c r="J55" s="330">
        <v>121501.66999999993</v>
      </c>
      <c r="K55" s="330"/>
      <c r="L55" s="330"/>
      <c r="M55" s="330">
        <v>121501.66999999993</v>
      </c>
      <c r="N55" s="1223" t="s">
        <v>1161</v>
      </c>
      <c r="O55" s="1223">
        <v>254</v>
      </c>
    </row>
    <row r="56" spans="1:15" ht="14.4">
      <c r="A56" s="1220" t="s">
        <v>1332</v>
      </c>
      <c r="B56" s="1221">
        <v>2025</v>
      </c>
      <c r="E56" s="1221" t="s">
        <v>1331</v>
      </c>
      <c r="F56" s="1227">
        <v>1712683.9900000002</v>
      </c>
      <c r="G56" s="1227">
        <v>1611819.01</v>
      </c>
      <c r="H56" s="1227">
        <v>-100864.98000000021</v>
      </c>
      <c r="I56" s="1227"/>
      <c r="J56" s="330">
        <v>100864.98000000021</v>
      </c>
      <c r="K56" s="330"/>
      <c r="L56" s="330"/>
      <c r="M56" s="330">
        <v>100864.98000000021</v>
      </c>
      <c r="N56" s="1223" t="s">
        <v>1161</v>
      </c>
      <c r="O56" s="1223">
        <v>254</v>
      </c>
    </row>
    <row r="57" spans="1:15" ht="14.4">
      <c r="A57" s="1220" t="s">
        <v>1334</v>
      </c>
      <c r="B57" s="1221">
        <v>2025</v>
      </c>
      <c r="E57" s="1221" t="s">
        <v>1333</v>
      </c>
      <c r="F57" s="1227">
        <v>-4088.08</v>
      </c>
      <c r="G57" s="1227">
        <v>-3847.3199999999997</v>
      </c>
      <c r="H57" s="1227">
        <v>240.76000000000022</v>
      </c>
      <c r="I57" s="1227"/>
      <c r="J57" s="330">
        <v>-240.76000000000022</v>
      </c>
      <c r="K57" s="330"/>
      <c r="L57" s="330"/>
      <c r="M57" s="330">
        <v>-240.76000000000022</v>
      </c>
      <c r="N57" s="1223" t="s">
        <v>1161</v>
      </c>
      <c r="O57" s="1223">
        <v>254</v>
      </c>
    </row>
    <row r="58" spans="1:16" ht="14.4">
      <c r="A58" s="1220" t="s">
        <v>1336</v>
      </c>
      <c r="B58" s="1221">
        <v>2025</v>
      </c>
      <c r="E58" s="1221" t="s">
        <v>1335</v>
      </c>
      <c r="F58" s="1227">
        <v>30345.739999999998</v>
      </c>
      <c r="G58" s="1227">
        <v>28558.589999999997</v>
      </c>
      <c r="H58" s="1227">
        <v>-1787.1500000000015</v>
      </c>
      <c r="I58" s="1227"/>
      <c r="J58" s="330">
        <v>1787.1500000000015</v>
      </c>
      <c r="K58" s="330"/>
      <c r="L58" s="330"/>
      <c r="M58" s="330">
        <v>1787.1500000000015</v>
      </c>
      <c r="N58" s="1223" t="s">
        <v>1161</v>
      </c>
      <c r="O58" s="1223">
        <v>254</v>
      </c>
      <c r="P58" s="268"/>
    </row>
    <row r="59" spans="1:16" ht="14.4">
      <c r="A59" s="1220" t="s">
        <v>1338</v>
      </c>
      <c r="B59" s="1221">
        <v>2025</v>
      </c>
      <c r="E59" s="1221" t="s">
        <v>1337</v>
      </c>
      <c r="F59" s="1227">
        <v>-497</v>
      </c>
      <c r="G59" s="1227">
        <v>-497</v>
      </c>
      <c r="H59" s="1227">
        <v>0</v>
      </c>
      <c r="I59" s="1227"/>
      <c r="J59" s="330">
        <v>0</v>
      </c>
      <c r="K59" s="330"/>
      <c r="L59" s="330"/>
      <c r="M59" s="330">
        <v>0</v>
      </c>
      <c r="N59" s="1223" t="s">
        <v>1161</v>
      </c>
      <c r="O59" s="1223">
        <v>254</v>
      </c>
      <c r="P59" s="268"/>
    </row>
    <row r="60" spans="1:16" ht="14.4">
      <c r="A60" s="1220" t="s">
        <v>1340</v>
      </c>
      <c r="B60" s="1221">
        <v>2025</v>
      </c>
      <c r="E60" s="1221" t="s">
        <v>1339</v>
      </c>
      <c r="F60" s="1227">
        <v>-179609.68</v>
      </c>
      <c r="G60" s="1227">
        <v>-169031.94</v>
      </c>
      <c r="H60" s="1227">
        <v>10577.739999999991</v>
      </c>
      <c r="I60" s="1227"/>
      <c r="J60" s="330">
        <v>-10577.739999999991</v>
      </c>
      <c r="K60" s="330"/>
      <c r="L60" s="330"/>
      <c r="M60" s="330">
        <v>-10577.739999999991</v>
      </c>
      <c r="N60" s="1223" t="s">
        <v>1161</v>
      </c>
      <c r="O60" s="1223">
        <v>254</v>
      </c>
      <c r="P60" s="268"/>
    </row>
    <row r="61" spans="1:16" ht="14.4">
      <c r="A61" s="1220" t="s">
        <v>1342</v>
      </c>
      <c r="B61" s="1221">
        <v>2025</v>
      </c>
      <c r="E61" s="1221" t="s">
        <v>1341</v>
      </c>
      <c r="F61" s="1227">
        <v>-86056.87</v>
      </c>
      <c r="G61" s="1227">
        <v>-80988.72</v>
      </c>
      <c r="H61" s="1227">
        <v>5068.1499999999942</v>
      </c>
      <c r="I61" s="1227"/>
      <c r="J61" s="330">
        <v>-5068.1499999999942</v>
      </c>
      <c r="K61" s="330"/>
      <c r="L61" s="330"/>
      <c r="M61" s="330">
        <v>-5068.1499999999942</v>
      </c>
      <c r="N61" s="1223" t="s">
        <v>1161</v>
      </c>
      <c r="O61" s="1223">
        <v>254</v>
      </c>
      <c r="P61" s="268"/>
    </row>
    <row r="62" spans="1:16" ht="14.4">
      <c r="A62" s="1220" t="s">
        <v>1470</v>
      </c>
      <c r="B62" s="1221">
        <v>2025</v>
      </c>
      <c r="E62" s="1221" t="s">
        <v>1343</v>
      </c>
      <c r="F62" s="1227">
        <v>81625.399999999994</v>
      </c>
      <c r="G62" s="1227">
        <v>76818.239999999991</v>
      </c>
      <c r="H62" s="1227">
        <v>-4807.1600000000035</v>
      </c>
      <c r="I62" s="1227"/>
      <c r="J62" s="330">
        <v>4807.1600000000035</v>
      </c>
      <c r="K62" s="330"/>
      <c r="L62" s="330"/>
      <c r="M62" s="330">
        <v>4807.1600000000035</v>
      </c>
      <c r="N62" s="1223"/>
      <c r="O62" s="1223"/>
      <c r="P62" s="268"/>
    </row>
    <row r="63" spans="1:16" ht="14.4">
      <c r="A63" s="1220">
        <f>+A44+1</f>
        <v>13</v>
      </c>
      <c r="D63" t="s">
        <v>1126</v>
      </c>
      <c r="F63" s="1222">
        <f t="shared" si="4" ref="F63:G63">SUM(F45:F62)</f>
        <v>-20366965.68</v>
      </c>
      <c r="G63" s="1222">
        <f t="shared" si="4"/>
        <v>-19167785.16</v>
      </c>
      <c r="H63" s="1222">
        <f>SUM(H45:H62)</f>
        <v>1199180.5200000009</v>
      </c>
      <c r="I63" s="1222">
        <f t="shared" si="5" ref="I63">SUM(I45:I61)</f>
        <v>0</v>
      </c>
      <c r="J63" s="1222">
        <f>SUM(J45:J62)</f>
        <v>-1199180.5200000009</v>
      </c>
      <c r="K63" s="1222">
        <f t="shared" si="6" ref="K63:M63">SUM(K45:K62)</f>
        <v>40611.50</v>
      </c>
      <c r="L63" s="1222">
        <f t="shared" si="6"/>
        <v>0</v>
      </c>
      <c r="M63" s="1222">
        <f t="shared" si="6"/>
        <v>-1158569.0200000009</v>
      </c>
      <c r="N63" s="268"/>
      <c r="O63" s="268"/>
      <c r="P63" s="268"/>
    </row>
    <row r="64" spans="1:16" ht="14.4">
      <c r="A64" s="1229"/>
      <c r="F64" s="268"/>
      <c r="G64" s="268"/>
      <c r="H64" s="268"/>
      <c r="I64" s="268"/>
      <c r="J64" s="268"/>
      <c r="K64" s="268"/>
      <c r="L64" s="268"/>
      <c r="M64" s="268"/>
      <c r="N64" s="268"/>
      <c r="O64" s="268"/>
      <c r="P64" s="268"/>
    </row>
    <row r="65" spans="3:16" ht="14.4">
      <c r="C65" s="1032" t="s">
        <v>1137</v>
      </c>
      <c r="F65" s="268"/>
      <c r="G65" s="268"/>
      <c r="H65" s="268"/>
      <c r="I65" s="268"/>
      <c r="J65" s="268"/>
      <c r="K65" s="268"/>
      <c r="L65" s="268"/>
      <c r="M65" s="268"/>
      <c r="N65" s="268"/>
      <c r="O65" s="268"/>
      <c r="P65" s="268"/>
    </row>
    <row r="66" spans="1:16" ht="14.4">
      <c r="A66" s="1220">
        <f>+A63+1</f>
        <v>14</v>
      </c>
      <c r="B66" s="1224"/>
      <c r="E66" t="s">
        <v>1131</v>
      </c>
      <c r="F66" s="330"/>
      <c r="G66" s="330"/>
      <c r="H66" s="330"/>
      <c r="I66" s="330"/>
      <c r="J66" s="1647">
        <v>-1113578.9600000009</v>
      </c>
      <c r="K66" s="1647">
        <v>40611.50</v>
      </c>
      <c r="L66" s="1647">
        <v>0</v>
      </c>
      <c r="M66" s="1647">
        <v>-1072967.4600000009</v>
      </c>
      <c r="N66" s="1228"/>
      <c r="O66" s="1228"/>
      <c r="P66" s="268"/>
    </row>
    <row r="67" spans="1:16" ht="14.4">
      <c r="A67" s="1220">
        <f>+A66+1</f>
        <v>15</v>
      </c>
      <c r="B67" s="1224"/>
      <c r="E67" t="s">
        <v>1132</v>
      </c>
      <c r="F67" s="330"/>
      <c r="G67" s="330"/>
      <c r="H67" s="330"/>
      <c r="I67" s="330"/>
      <c r="J67" s="1226">
        <v>-404083.20031587704</v>
      </c>
      <c r="K67" s="1226">
        <v>14736.651354860573</v>
      </c>
      <c r="L67" s="1226"/>
      <c r="M67" s="1647">
        <v>-389346.54896101647</v>
      </c>
      <c r="N67" s="1228"/>
      <c r="O67" s="1228"/>
      <c r="P67" s="268"/>
    </row>
    <row r="68" spans="1:16" ht="15" thickBot="1">
      <c r="A68" s="1220">
        <f>+A67+1</f>
        <v>16</v>
      </c>
      <c r="B68" s="1224"/>
      <c r="C68" s="1032"/>
      <c r="D68" s="1032"/>
      <c r="E68" s="1032" t="s">
        <v>1133</v>
      </c>
      <c r="F68" s="1036"/>
      <c r="G68" s="1036"/>
      <c r="H68" s="1036"/>
      <c r="I68" s="1036"/>
      <c r="J68" s="1034">
        <f>+J66+J67</f>
        <v>-1517662.160315878</v>
      </c>
      <c r="K68" s="1034">
        <f>+K66+K67</f>
        <v>55348.151354860573</v>
      </c>
      <c r="L68" s="1034">
        <f>+L66+L67</f>
        <v>0</v>
      </c>
      <c r="M68" s="1034">
        <f>+M66+M67</f>
        <v>-1462314.0089610172</v>
      </c>
      <c r="N68" s="1033"/>
      <c r="O68" s="1033"/>
      <c r="P68" s="268"/>
    </row>
    <row r="69" spans="1:16" ht="15" thickTop="1">
      <c r="A69" s="1229"/>
      <c r="B69" s="1032"/>
      <c r="C69" s="1032"/>
      <c r="D69" s="1032"/>
      <c r="E69" s="1032"/>
      <c r="F69" s="1036"/>
      <c r="G69" s="1036"/>
      <c r="H69" s="1036"/>
      <c r="I69" s="1036"/>
      <c r="J69" s="1033"/>
      <c r="K69" s="1033"/>
      <c r="L69" s="1033"/>
      <c r="M69" s="1033"/>
      <c r="N69" s="1033"/>
      <c r="O69" s="1033"/>
      <c r="P69" s="268"/>
    </row>
    <row r="70" spans="1:16" ht="14.4">
      <c r="A70" s="1220">
        <f>+A68+1</f>
        <v>17</v>
      </c>
      <c r="B70" s="1224"/>
      <c r="C70" s="1032" t="s">
        <v>1138</v>
      </c>
      <c r="D70" s="1032"/>
      <c r="E70" s="1032"/>
      <c r="F70" s="1036"/>
      <c r="G70" s="1036"/>
      <c r="H70" s="1036"/>
      <c r="I70" s="1036"/>
      <c r="J70" s="1033"/>
      <c r="K70" s="1033"/>
      <c r="L70" s="1033"/>
      <c r="M70" s="1033"/>
      <c r="N70" s="1033"/>
      <c r="O70" s="1033"/>
      <c r="P70" s="268"/>
    </row>
    <row r="71" spans="1:16" ht="14.4">
      <c r="A71" s="1220">
        <f>+A70+1</f>
        <v>18</v>
      </c>
      <c r="B71" s="1224"/>
      <c r="C71" s="1032"/>
      <c r="D71" s="1032"/>
      <c r="E71" t="s">
        <v>1131</v>
      </c>
      <c r="F71" s="1036"/>
      <c r="G71" s="1036"/>
      <c r="H71" s="1036"/>
      <c r="I71" s="1036"/>
      <c r="J71" s="1226">
        <v>-1114351.7600000009</v>
      </c>
      <c r="K71" s="1226">
        <v>40611.50</v>
      </c>
      <c r="L71" s="1226">
        <v>0</v>
      </c>
      <c r="M71" s="1226">
        <v>-1073740.2600000009</v>
      </c>
      <c r="N71" s="1228"/>
      <c r="O71" s="1228"/>
      <c r="P71" s="268"/>
    </row>
    <row r="72" spans="1:16" ht="14.4">
      <c r="A72" s="1220">
        <f>+A71+1</f>
        <v>19</v>
      </c>
      <c r="B72" s="1224"/>
      <c r="C72" s="1032"/>
      <c r="D72" s="1032"/>
      <c r="E72" t="s">
        <v>1132</v>
      </c>
      <c r="F72" s="1036"/>
      <c r="G72" s="1036"/>
      <c r="H72" s="1036"/>
      <c r="I72" s="1036"/>
      <c r="J72" s="1226">
        <v>-404363.62542125449</v>
      </c>
      <c r="K72" s="1226">
        <v>14736.651354860573</v>
      </c>
      <c r="L72" s="1226">
        <v>0</v>
      </c>
      <c r="M72" s="1226">
        <v>-389626.97406639392</v>
      </c>
      <c r="N72" s="1228"/>
      <c r="O72" s="1228"/>
      <c r="P72" s="268"/>
    </row>
    <row r="73" spans="3:16" ht="15" thickBot="1">
      <c r="C73" s="1032"/>
      <c r="E73" s="1032" t="s">
        <v>1133</v>
      </c>
      <c r="J73" s="1034">
        <f t="shared" si="7" ref="J73:M73">J68+J33</f>
        <v>-1518715.3854212554</v>
      </c>
      <c r="K73" s="1034">
        <f t="shared" si="7"/>
        <v>55348.151354860573</v>
      </c>
      <c r="L73" s="1034">
        <f t="shared" si="7"/>
        <v>0</v>
      </c>
      <c r="M73" s="1034">
        <f t="shared" si="7"/>
        <v>-1463367.2340663946</v>
      </c>
      <c r="N73" s="1033"/>
      <c r="O73" s="1033"/>
      <c r="P73" s="268"/>
    </row>
    <row r="74" spans="3:35" ht="15" thickTop="1">
      <c r="C74" s="1032"/>
      <c r="E74" s="1032"/>
      <c r="P74" s="268"/>
      <c r="S74" s="1029"/>
      <c r="T74" s="1029"/>
      <c r="U74" s="1029"/>
      <c r="V74" s="1029"/>
      <c r="W74" s="1029"/>
      <c r="X74" s="1029"/>
      <c r="Y74" s="1029"/>
      <c r="Z74" s="1029"/>
      <c r="AA74" s="1029"/>
      <c r="AB74" s="1029"/>
      <c r="AC74" s="1029"/>
      <c r="AD74" s="1029"/>
      <c r="AE74" s="1029"/>
      <c r="AF74" s="1029"/>
      <c r="AG74" s="1029"/>
      <c r="AH74" s="1029"/>
      <c r="AI74" s="1029"/>
    </row>
    <row r="75" spans="1:17" s="1032" customFormat="1" ht="15.6">
      <c r="A75" s="230"/>
      <c r="B75"/>
      <c r="C75"/>
      <c r="D75"/>
      <c r="E75"/>
      <c r="F75"/>
      <c r="G75"/>
      <c r="H75"/>
      <c r="I75"/>
      <c r="J75"/>
      <c r="K75"/>
      <c r="L75"/>
      <c r="M75"/>
      <c r="N75" s="1048"/>
      <c r="O75" s="996" t="s">
        <v>1179</v>
      </c>
      <c r="P75" s="1033"/>
      <c r="Q75" s="1035"/>
    </row>
    <row r="76" spans="14:16" ht="14.4">
      <c r="N76" s="1048"/>
      <c r="O76" s="1052" t="s">
        <v>1168</v>
      </c>
      <c r="P76" s="268"/>
    </row>
    <row r="77" spans="14:16" ht="14.4">
      <c r="N77" s="1055"/>
      <c r="O77" s="1052" t="s">
        <v>1152</v>
      </c>
      <c r="P77" s="268"/>
    </row>
    <row r="78" spans="11:16" ht="14.4">
      <c r="K78" s="1231"/>
      <c r="L78" s="1042"/>
      <c r="M78" s="1232"/>
      <c r="P78" s="268"/>
    </row>
    <row r="79" spans="11:16" ht="14.4">
      <c r="K79" s="1231"/>
      <c r="L79" s="1042"/>
      <c r="M79" s="1232"/>
      <c r="P79" s="268"/>
    </row>
    <row r="80" spans="16:16" ht="13.2">
      <c r="P80" s="268"/>
    </row>
    <row r="81" spans="16:16" ht="13.2">
      <c r="P81" s="268"/>
    </row>
    <row r="82" spans="16:16" ht="13.2">
      <c r="P82" s="268"/>
    </row>
    <row r="83" spans="16:16" ht="13.2">
      <c r="P83" s="268"/>
    </row>
    <row r="84" spans="1:16" ht="14.4">
      <c r="A84" s="1019"/>
      <c r="B84" s="1020" t="s">
        <v>1062</v>
      </c>
      <c r="C84" s="1021"/>
      <c r="D84" s="1021"/>
      <c r="E84" s="1020" t="s">
        <v>1063</v>
      </c>
      <c r="F84" s="1020" t="s">
        <v>1064</v>
      </c>
      <c r="G84" s="1020" t="s">
        <v>1065</v>
      </c>
      <c r="H84" s="1020" t="s">
        <v>1066</v>
      </c>
      <c r="I84" s="1020" t="s">
        <v>1067</v>
      </c>
      <c r="J84" s="1020" t="s">
        <v>1068</v>
      </c>
      <c r="K84" s="1020" t="s">
        <v>1069</v>
      </c>
      <c r="L84" s="1020" t="s">
        <v>1106</v>
      </c>
      <c r="M84" s="1020" t="s">
        <v>1107</v>
      </c>
      <c r="N84" s="1020" t="s">
        <v>1108</v>
      </c>
      <c r="O84" s="1020" t="s">
        <v>1109</v>
      </c>
      <c r="P84" s="268"/>
    </row>
    <row r="85" spans="6:16" ht="39.6">
      <c r="F85" s="1743" t="s">
        <v>1110</v>
      </c>
      <c r="G85" s="1744"/>
      <c r="H85" s="1745"/>
      <c r="I85" s="1022" t="s">
        <v>1111</v>
      </c>
      <c r="J85" s="1022" t="s">
        <v>1112</v>
      </c>
      <c r="K85" s="1746" t="s">
        <v>1113</v>
      </c>
      <c r="L85" s="1747"/>
      <c r="M85" s="1747"/>
      <c r="N85" s="1023"/>
      <c r="O85" s="1022"/>
      <c r="P85" s="268"/>
    </row>
    <row r="86" spans="1:16" ht="72">
      <c r="A86" s="109" t="s">
        <v>1070</v>
      </c>
      <c r="B86" s="348" t="s">
        <v>1114</v>
      </c>
      <c r="C86" s="1025"/>
      <c r="D86" s="1025"/>
      <c r="E86" s="230" t="s">
        <v>1115</v>
      </c>
      <c r="F86" s="1214" t="s">
        <v>1139</v>
      </c>
      <c r="G86" s="1214" t="s">
        <v>1140</v>
      </c>
      <c r="H86" s="1214" t="s">
        <v>1141</v>
      </c>
      <c r="I86" s="1216" t="s">
        <v>1116</v>
      </c>
      <c r="J86" s="1216" t="s">
        <v>1117</v>
      </c>
      <c r="K86" s="1217" t="s">
        <v>1118</v>
      </c>
      <c r="L86" s="1214" t="s">
        <v>1142</v>
      </c>
      <c r="M86" s="1216" t="s">
        <v>1119</v>
      </c>
      <c r="N86" s="1218" t="s">
        <v>1120</v>
      </c>
      <c r="O86" s="1215" t="s">
        <v>1143</v>
      </c>
      <c r="P86" s="268"/>
    </row>
    <row r="87" spans="3:16" ht="14.4">
      <c r="C87" s="1026" t="s">
        <v>1121</v>
      </c>
      <c r="F87" s="1024"/>
      <c r="G87" s="1024"/>
      <c r="H87" s="1024"/>
      <c r="I87" s="1024"/>
      <c r="J87" s="1024"/>
      <c r="L87" s="1024"/>
      <c r="P87" s="268"/>
    </row>
    <row r="88" spans="1:16" ht="14.4">
      <c r="A88" s="1220">
        <v>20</v>
      </c>
      <c r="C88" t="s">
        <v>1123</v>
      </c>
      <c r="P88" s="268"/>
    </row>
    <row r="89" spans="1:16" ht="14.4">
      <c r="A89" s="1220" t="s">
        <v>1169</v>
      </c>
      <c r="B89" s="1226"/>
      <c r="E89" s="1225"/>
      <c r="F89" s="1226"/>
      <c r="G89" s="1226"/>
      <c r="H89" s="1226"/>
      <c r="I89" s="1226"/>
      <c r="J89" s="330"/>
      <c r="K89" s="1226"/>
      <c r="L89" s="1226"/>
      <c r="M89" s="330"/>
      <c r="N89" s="1226"/>
      <c r="O89" s="1226"/>
      <c r="P89" s="268"/>
    </row>
    <row r="90" spans="1:16" ht="14.4">
      <c r="A90" s="1220">
        <f>+A88+1</f>
        <v>21</v>
      </c>
      <c r="D90" t="s">
        <v>1124</v>
      </c>
      <c r="F90" s="1030">
        <f t="shared" si="8" ref="F90:M90">SUM(F89:F89)</f>
        <v>0</v>
      </c>
      <c r="G90" s="1030">
        <f t="shared" si="8"/>
        <v>0</v>
      </c>
      <c r="H90" s="1030">
        <f t="shared" si="8"/>
        <v>0</v>
      </c>
      <c r="I90" s="1030">
        <f t="shared" si="8"/>
        <v>0</v>
      </c>
      <c r="J90" s="1030">
        <f t="shared" si="8"/>
        <v>0</v>
      </c>
      <c r="K90" s="1030">
        <f t="shared" si="8"/>
        <v>0</v>
      </c>
      <c r="L90" s="1030">
        <f t="shared" si="8"/>
        <v>0</v>
      </c>
      <c r="M90" s="1030">
        <f t="shared" si="8"/>
        <v>0</v>
      </c>
      <c r="N90" s="268"/>
      <c r="O90" s="268"/>
      <c r="P90" s="268"/>
    </row>
    <row r="91" spans="1:16" ht="14.4">
      <c r="A91" s="1220">
        <f>+A90+1</f>
        <v>22</v>
      </c>
      <c r="C91" t="s">
        <v>1125</v>
      </c>
      <c r="F91" s="330"/>
      <c r="G91" s="330"/>
      <c r="H91" s="330"/>
      <c r="I91" s="330"/>
      <c r="J91" s="330"/>
      <c r="K91" s="330"/>
      <c r="L91" s="330"/>
      <c r="M91" s="330"/>
      <c r="N91" s="268"/>
      <c r="O91" s="268"/>
      <c r="P91" s="268"/>
    </row>
    <row r="92" spans="1:16" ht="14.4">
      <c r="A92" s="1220" t="s">
        <v>1171</v>
      </c>
      <c r="B92" s="1226"/>
      <c r="E92" s="1225"/>
      <c r="F92" s="1226"/>
      <c r="G92" s="1226"/>
      <c r="H92" s="1226"/>
      <c r="I92" s="1226"/>
      <c r="J92" s="330"/>
      <c r="K92" s="1226"/>
      <c r="L92" s="1226"/>
      <c r="M92" s="330"/>
      <c r="N92" s="1226"/>
      <c r="O92" s="1226"/>
      <c r="P92" s="268"/>
    </row>
    <row r="93" spans="1:16" ht="14.4">
      <c r="A93" s="1220">
        <v>23</v>
      </c>
      <c r="D93" t="s">
        <v>1126</v>
      </c>
      <c r="F93" s="1030">
        <f t="shared" si="9" ref="F93:M93">SUM(F92:F92)</f>
        <v>0</v>
      </c>
      <c r="G93" s="1030">
        <f t="shared" si="9"/>
        <v>0</v>
      </c>
      <c r="H93" s="1030">
        <f t="shared" si="9"/>
        <v>0</v>
      </c>
      <c r="I93" s="1030">
        <f t="shared" si="9"/>
        <v>0</v>
      </c>
      <c r="J93" s="1030">
        <f t="shared" si="9"/>
        <v>0</v>
      </c>
      <c r="K93" s="1030">
        <f t="shared" si="9"/>
        <v>0</v>
      </c>
      <c r="L93" s="1030">
        <f t="shared" si="9"/>
        <v>0</v>
      </c>
      <c r="M93" s="1030">
        <f t="shared" si="9"/>
        <v>0</v>
      </c>
      <c r="N93" s="268"/>
      <c r="O93" s="268"/>
      <c r="P93" s="268"/>
    </row>
    <row r="94" spans="1:16" ht="14.4">
      <c r="A94" s="1220">
        <v>24</v>
      </c>
      <c r="C94" t="s">
        <v>1127</v>
      </c>
      <c r="F94" s="330"/>
      <c r="G94" s="330"/>
      <c r="H94" s="330"/>
      <c r="I94" s="330"/>
      <c r="J94" s="330"/>
      <c r="K94" s="330"/>
      <c r="L94" s="330"/>
      <c r="M94" s="330"/>
      <c r="N94" s="268"/>
      <c r="O94" s="268"/>
      <c r="P94" s="268"/>
    </row>
    <row r="95" spans="1:16" ht="14.4">
      <c r="A95" s="1220" t="s">
        <v>1180</v>
      </c>
      <c r="B95" s="1226"/>
      <c r="E95" s="1225"/>
      <c r="F95" s="1226"/>
      <c r="G95" s="1226"/>
      <c r="H95" s="1226"/>
      <c r="I95" s="1226"/>
      <c r="J95" s="330"/>
      <c r="K95" s="1226"/>
      <c r="L95" s="1226"/>
      <c r="M95" s="330"/>
      <c r="N95" s="1226"/>
      <c r="O95" s="1226"/>
      <c r="P95" s="268"/>
    </row>
    <row r="96" spans="1:16" ht="14.4">
      <c r="A96" s="1220">
        <v>25</v>
      </c>
      <c r="D96" t="s">
        <v>1129</v>
      </c>
      <c r="F96" s="1030">
        <f t="shared" si="10" ref="F96:M96">SUM(F95:F95)</f>
        <v>0</v>
      </c>
      <c r="G96" s="1030">
        <f t="shared" si="10"/>
        <v>0</v>
      </c>
      <c r="H96" s="1030">
        <f t="shared" si="10"/>
        <v>0</v>
      </c>
      <c r="I96" s="1030">
        <f t="shared" si="10"/>
        <v>0</v>
      </c>
      <c r="J96" s="1030">
        <f t="shared" si="10"/>
        <v>0</v>
      </c>
      <c r="K96" s="1030">
        <f t="shared" si="10"/>
        <v>0</v>
      </c>
      <c r="L96" s="1030">
        <f t="shared" si="10"/>
        <v>0</v>
      </c>
      <c r="M96" s="1030">
        <f t="shared" si="10"/>
        <v>0</v>
      </c>
      <c r="N96" s="268"/>
      <c r="O96" s="268"/>
      <c r="P96" s="268"/>
    </row>
    <row r="97" spans="6:16" ht="13.2">
      <c r="F97" s="268"/>
      <c r="G97" s="268"/>
      <c r="H97" s="268">
        <v>13847278</v>
      </c>
      <c r="I97" s="1031"/>
      <c r="J97" s="1031"/>
      <c r="K97" s="1031"/>
      <c r="L97" s="1031"/>
      <c r="M97" s="1031"/>
      <c r="N97" s="268"/>
      <c r="O97" s="268"/>
      <c r="P97" s="268"/>
    </row>
    <row r="98" spans="3:16" ht="14.4">
      <c r="C98" s="1032" t="s">
        <v>1130</v>
      </c>
      <c r="D98" s="1032"/>
      <c r="E98" s="1032"/>
      <c r="F98" s="268"/>
      <c r="G98" s="268"/>
      <c r="H98" s="268"/>
      <c r="I98" s="268"/>
      <c r="J98" s="268"/>
      <c r="K98" s="268"/>
      <c r="L98" s="268"/>
      <c r="M98" s="268"/>
      <c r="N98" s="268"/>
      <c r="O98" s="268"/>
      <c r="P98" s="268"/>
    </row>
    <row r="99" spans="1:16" ht="14.4">
      <c r="A99" s="1220">
        <f>+A96+1</f>
        <v>26</v>
      </c>
      <c r="E99" t="s">
        <v>1131</v>
      </c>
      <c r="F99" s="268"/>
      <c r="G99" s="268"/>
      <c r="H99" s="268"/>
      <c r="I99" s="268"/>
      <c r="J99" s="268">
        <f>+J90+J93+J96</f>
        <v>0</v>
      </c>
      <c r="K99" s="268">
        <f>+K90+K93+K96</f>
        <v>0</v>
      </c>
      <c r="L99" s="268">
        <f>+L90+L93+L96</f>
        <v>0</v>
      </c>
      <c r="M99" s="268">
        <f>+J99+K99+L99</f>
        <v>0</v>
      </c>
      <c r="N99" s="268"/>
      <c r="O99" s="268"/>
      <c r="P99" s="268"/>
    </row>
    <row r="100" spans="1:16" ht="14.4">
      <c r="A100" s="1220">
        <f>+A99+1</f>
        <v>27</v>
      </c>
      <c r="E100" t="s">
        <v>1132</v>
      </c>
      <c r="F100" s="268"/>
      <c r="G100" s="268"/>
      <c r="H100" s="268"/>
      <c r="I100" s="268"/>
      <c r="J100" s="1226"/>
      <c r="K100" s="1226"/>
      <c r="L100" s="1226"/>
      <c r="M100" s="268">
        <f>+J100+K100+L100</f>
        <v>0</v>
      </c>
      <c r="N100" s="268"/>
      <c r="O100" s="268"/>
      <c r="P100" s="268"/>
    </row>
    <row r="101" spans="1:16" ht="14.25" customHeight="1" thickBot="1">
      <c r="A101" s="1220">
        <f>+A100+1</f>
        <v>28</v>
      </c>
      <c r="B101" s="1032"/>
      <c r="C101" s="1032"/>
      <c r="D101" s="1032"/>
      <c r="E101" s="1032" t="s">
        <v>1133</v>
      </c>
      <c r="F101" s="1033"/>
      <c r="G101" s="1033"/>
      <c r="H101" s="1033"/>
      <c r="I101" s="1033"/>
      <c r="J101" s="1034">
        <f>+J99+J100</f>
        <v>0</v>
      </c>
      <c r="K101" s="1034">
        <f>+K99+K100</f>
        <v>0</v>
      </c>
      <c r="L101" s="1034">
        <f>+L99+L100</f>
        <v>0</v>
      </c>
      <c r="M101" s="1034">
        <f>+M99+M100</f>
        <v>0</v>
      </c>
      <c r="N101" s="1033"/>
      <c r="O101" s="1033"/>
      <c r="P101" s="268"/>
    </row>
    <row r="102" spans="6:16" ht="13.8" thickTop="1">
      <c r="F102" s="330"/>
      <c r="G102" s="330"/>
      <c r="H102" s="330"/>
      <c r="I102" s="330"/>
      <c r="J102" s="330"/>
      <c r="K102" s="330"/>
      <c r="L102" s="330"/>
      <c r="M102" s="330"/>
      <c r="N102" s="268"/>
      <c r="O102" s="268"/>
      <c r="P102" s="268"/>
    </row>
    <row r="103" spans="3:16" ht="15" customHeight="1">
      <c r="C103" s="1026" t="s">
        <v>1134</v>
      </c>
      <c r="F103" s="330"/>
      <c r="G103" s="330"/>
      <c r="H103" s="330"/>
      <c r="I103" s="330"/>
      <c r="J103" s="330"/>
      <c r="K103" s="330"/>
      <c r="L103" s="330"/>
      <c r="M103" s="330"/>
      <c r="N103" s="268"/>
      <c r="O103" s="268"/>
      <c r="P103" s="268"/>
    </row>
    <row r="104" spans="1:16" ht="14.4">
      <c r="A104" s="1220">
        <f>+A101+1</f>
        <v>29</v>
      </c>
      <c r="C104" t="s">
        <v>1123</v>
      </c>
      <c r="F104" s="330"/>
      <c r="G104" s="330"/>
      <c r="H104" s="330"/>
      <c r="I104" s="330"/>
      <c r="J104" s="330"/>
      <c r="K104" s="330"/>
      <c r="L104" s="330"/>
      <c r="M104" s="330"/>
      <c r="N104" s="268"/>
      <c r="O104" s="268"/>
      <c r="P104" s="268"/>
    </row>
    <row r="105" spans="1:16" ht="18" customHeight="1">
      <c r="A105" s="1220" t="s">
        <v>1181</v>
      </c>
      <c r="B105" s="1226"/>
      <c r="E105" s="1225"/>
      <c r="F105" s="1226"/>
      <c r="G105" s="1226"/>
      <c r="H105" s="1226"/>
      <c r="I105" s="1226"/>
      <c r="J105" s="330"/>
      <c r="K105" s="1226"/>
      <c r="L105" s="1226"/>
      <c r="M105" s="330"/>
      <c r="N105" s="1226"/>
      <c r="O105" s="1226"/>
      <c r="P105" s="268"/>
    </row>
    <row r="106" spans="1:16" ht="18" customHeight="1">
      <c r="A106" s="1220">
        <v>30</v>
      </c>
      <c r="D106" t="s">
        <v>1124</v>
      </c>
      <c r="F106" s="1030">
        <f t="shared" si="11" ref="F106:M106">SUM(F105:F105)</f>
        <v>0</v>
      </c>
      <c r="G106" s="1030">
        <f t="shared" si="11"/>
        <v>0</v>
      </c>
      <c r="H106" s="1030">
        <f t="shared" si="11"/>
        <v>0</v>
      </c>
      <c r="I106" s="1030">
        <f t="shared" si="11"/>
        <v>0</v>
      </c>
      <c r="J106" s="1030">
        <f t="shared" si="11"/>
        <v>0</v>
      </c>
      <c r="K106" s="1030">
        <f t="shared" si="11"/>
        <v>0</v>
      </c>
      <c r="L106" s="1030">
        <f t="shared" si="11"/>
        <v>0</v>
      </c>
      <c r="M106" s="1030">
        <f t="shared" si="11"/>
        <v>0</v>
      </c>
      <c r="N106" s="268"/>
      <c r="O106" s="268"/>
      <c r="P106" s="268"/>
    </row>
    <row r="107" spans="1:16" ht="14.4">
      <c r="A107" s="1220">
        <f>+A106+1</f>
        <v>31</v>
      </c>
      <c r="C107" t="s">
        <v>1125</v>
      </c>
      <c r="F107" s="330"/>
      <c r="G107" s="330"/>
      <c r="H107" s="330"/>
      <c r="I107" s="330"/>
      <c r="J107" s="330"/>
      <c r="K107" s="330"/>
      <c r="L107" s="330"/>
      <c r="M107" s="330"/>
      <c r="N107" s="268"/>
      <c r="O107" s="268"/>
      <c r="P107" s="1228"/>
    </row>
    <row r="108" spans="1:16" ht="14.4">
      <c r="A108" s="1220" t="s">
        <v>1182</v>
      </c>
      <c r="B108" s="1226"/>
      <c r="E108" s="1225"/>
      <c r="F108" s="1226"/>
      <c r="G108" s="1226"/>
      <c r="H108" s="1226"/>
      <c r="I108" s="1226"/>
      <c r="J108" s="330"/>
      <c r="K108" s="1226"/>
      <c r="L108" s="1226"/>
      <c r="M108" s="330"/>
      <c r="N108" s="1226"/>
      <c r="O108" s="1226"/>
      <c r="P108" s="1228"/>
    </row>
    <row r="109" spans="1:17" s="1032" customFormat="1" ht="14.4">
      <c r="A109" s="1220">
        <f>+A107+1</f>
        <v>32</v>
      </c>
      <c r="B109"/>
      <c r="C109"/>
      <c r="D109" t="s">
        <v>1126</v>
      </c>
      <c r="E109"/>
      <c r="F109" s="1030">
        <f t="shared" si="12" ref="F109:M109">SUM(F108:F108)</f>
        <v>0</v>
      </c>
      <c r="G109" s="1030">
        <f t="shared" si="12"/>
        <v>0</v>
      </c>
      <c r="H109" s="1030">
        <f t="shared" si="12"/>
        <v>0</v>
      </c>
      <c r="I109" s="1030">
        <f t="shared" si="12"/>
        <v>0</v>
      </c>
      <c r="J109" s="1030">
        <f t="shared" si="12"/>
        <v>0</v>
      </c>
      <c r="K109" s="1030">
        <f t="shared" si="12"/>
        <v>0</v>
      </c>
      <c r="L109" s="1030">
        <f t="shared" si="12"/>
        <v>0</v>
      </c>
      <c r="M109" s="1030">
        <f t="shared" si="12"/>
        <v>0</v>
      </c>
      <c r="N109" s="268"/>
      <c r="O109" s="268"/>
      <c r="P109" s="1033"/>
      <c r="Q109" s="1035"/>
    </row>
    <row r="110" spans="1:17" s="1032" customFormat="1" ht="14.4">
      <c r="A110" s="1229"/>
      <c r="B110"/>
      <c r="C110"/>
      <c r="D110"/>
      <c r="E110"/>
      <c r="F110" s="268"/>
      <c r="G110" s="268"/>
      <c r="H110" s="268"/>
      <c r="I110" s="268"/>
      <c r="J110" s="268"/>
      <c r="K110" s="268"/>
      <c r="L110" s="268"/>
      <c r="M110" s="268"/>
      <c r="N110" s="268"/>
      <c r="O110" s="268"/>
      <c r="P110" s="1033"/>
      <c r="Q110" s="1035"/>
    </row>
    <row r="111" spans="1:17" s="1032" customFormat="1" ht="14.4">
      <c r="A111" s="230"/>
      <c r="B111"/>
      <c r="C111" s="1032" t="s">
        <v>1137</v>
      </c>
      <c r="D111"/>
      <c r="E111"/>
      <c r="F111" s="268"/>
      <c r="G111" s="268"/>
      <c r="H111" s="268"/>
      <c r="I111" s="268"/>
      <c r="J111" s="268"/>
      <c r="K111" s="268"/>
      <c r="L111" s="268"/>
      <c r="M111" s="268"/>
      <c r="N111" s="268"/>
      <c r="O111" s="268"/>
      <c r="P111" s="1033"/>
      <c r="Q111" s="1035"/>
    </row>
    <row r="112" spans="1:17" s="1032" customFormat="1" ht="14.4">
      <c r="A112" s="1220">
        <f>+A109+1</f>
        <v>33</v>
      </c>
      <c r="B112" s="1226"/>
      <c r="C112"/>
      <c r="D112"/>
      <c r="E112" t="s">
        <v>1131</v>
      </c>
      <c r="F112" s="330"/>
      <c r="G112" s="330"/>
      <c r="H112" s="330"/>
      <c r="I112" s="330"/>
      <c r="J112" s="1230">
        <f>+J106+J109</f>
        <v>0</v>
      </c>
      <c r="K112" s="1230">
        <f>+K106+K109</f>
        <v>0</v>
      </c>
      <c r="L112" s="1230">
        <f>+L106+L109</f>
        <v>0</v>
      </c>
      <c r="M112" s="1230">
        <f>+M106+M109</f>
        <v>0</v>
      </c>
      <c r="N112" s="1228"/>
      <c r="O112" s="1228"/>
      <c r="P112" s="1228"/>
      <c r="Q112" s="1035"/>
    </row>
    <row r="113" spans="1:17" s="1032" customFormat="1" ht="14.4">
      <c r="A113" s="1220">
        <f>+A112+1</f>
        <v>34</v>
      </c>
      <c r="B113" s="1226"/>
      <c r="C113"/>
      <c r="D113"/>
      <c r="E113" t="s">
        <v>1132</v>
      </c>
      <c r="F113" s="330"/>
      <c r="G113" s="330"/>
      <c r="H113" s="330"/>
      <c r="I113" s="330"/>
      <c r="J113" s="1226"/>
      <c r="K113" s="1226"/>
      <c r="L113" s="1226"/>
      <c r="M113" s="1230">
        <f>+J113+K113+L113</f>
        <v>0</v>
      </c>
      <c r="N113" s="1228"/>
      <c r="O113" s="1228"/>
      <c r="P113" s="1228"/>
      <c r="Q113" s="1035"/>
    </row>
    <row r="114" spans="1:16" ht="15" thickBot="1">
      <c r="A114" s="1220">
        <f>+A113+1</f>
        <v>35</v>
      </c>
      <c r="B114" s="1226"/>
      <c r="C114" s="1032"/>
      <c r="D114" s="1032"/>
      <c r="E114" s="1032" t="s">
        <v>1133</v>
      </c>
      <c r="F114" s="1036"/>
      <c r="G114" s="1036"/>
      <c r="H114" s="1036"/>
      <c r="I114" s="1036"/>
      <c r="J114" s="1034">
        <f>+J112+J113</f>
        <v>0</v>
      </c>
      <c r="K114" s="1034">
        <f>+K112+K113</f>
        <v>0</v>
      </c>
      <c r="L114" s="1034">
        <f>+L112+L113</f>
        <v>0</v>
      </c>
      <c r="M114" s="1034">
        <f>+M112+M113</f>
        <v>0</v>
      </c>
      <c r="N114" s="1033"/>
      <c r="O114" s="1033"/>
      <c r="P114" s="1033"/>
    </row>
    <row r="115" spans="1:15" ht="15" thickTop="1">
      <c r="A115" s="1229"/>
      <c r="B115" s="1032"/>
      <c r="C115" s="1032"/>
      <c r="D115" s="1032"/>
      <c r="E115" s="1032"/>
      <c r="F115" s="1036"/>
      <c r="G115" s="1036"/>
      <c r="H115" s="1036"/>
      <c r="I115" s="1036"/>
      <c r="J115" s="1033"/>
      <c r="K115" s="1033"/>
      <c r="L115" s="1033"/>
      <c r="M115" s="1033"/>
      <c r="N115" s="1033"/>
      <c r="O115" s="1033"/>
    </row>
    <row r="116" spans="1:15" ht="14.4">
      <c r="A116" s="1220">
        <f>+A114+1</f>
        <v>36</v>
      </c>
      <c r="B116" s="1226"/>
      <c r="C116" s="1032" t="s">
        <v>1138</v>
      </c>
      <c r="D116" s="1032"/>
      <c r="E116" s="1032"/>
      <c r="F116" s="1036"/>
      <c r="G116" s="1036"/>
      <c r="H116" s="1036"/>
      <c r="I116" s="1036"/>
      <c r="J116" s="1033"/>
      <c r="K116" s="1033"/>
      <c r="L116" s="1033"/>
      <c r="M116" s="1033"/>
      <c r="N116" s="1033"/>
      <c r="O116" s="1033"/>
    </row>
    <row r="117" spans="1:15" ht="14.4">
      <c r="A117" s="1220">
        <f>+A116+1</f>
        <v>37</v>
      </c>
      <c r="B117" s="1226"/>
      <c r="C117" s="1032"/>
      <c r="D117" s="1032"/>
      <c r="E117" t="s">
        <v>1131</v>
      </c>
      <c r="F117" s="1036"/>
      <c r="G117" s="1036"/>
      <c r="H117" s="1036"/>
      <c r="I117" s="1036"/>
      <c r="J117" s="1226">
        <f t="shared" si="13" ref="J117:M119">J112+J99</f>
        <v>0</v>
      </c>
      <c r="K117" s="1226">
        <f t="shared" si="13"/>
        <v>0</v>
      </c>
      <c r="L117" s="1226">
        <f t="shared" si="13"/>
        <v>0</v>
      </c>
      <c r="M117" s="1226">
        <f t="shared" si="13"/>
        <v>0</v>
      </c>
      <c r="N117" s="1228"/>
      <c r="O117" s="1228"/>
    </row>
    <row r="118" spans="1:15" ht="14.4">
      <c r="A118" s="1220">
        <f>+A117+1</f>
        <v>38</v>
      </c>
      <c r="B118" s="1226"/>
      <c r="C118" s="1032"/>
      <c r="D118" s="1032"/>
      <c r="E118" t="s">
        <v>1132</v>
      </c>
      <c r="F118" s="1036"/>
      <c r="G118" s="1036"/>
      <c r="H118" s="1036"/>
      <c r="I118" s="1036"/>
      <c r="J118" s="1226">
        <f t="shared" si="13"/>
        <v>0</v>
      </c>
      <c r="K118" s="1226">
        <f t="shared" si="13"/>
        <v>0</v>
      </c>
      <c r="L118" s="1226">
        <f t="shared" si="13"/>
        <v>0</v>
      </c>
      <c r="M118" s="1226">
        <f t="shared" si="13"/>
        <v>0</v>
      </c>
      <c r="N118" s="1228"/>
      <c r="O118" s="1228"/>
    </row>
    <row r="119" spans="3:17" ht="15" thickBot="1">
      <c r="C119" s="1032"/>
      <c r="E119" s="1032" t="s">
        <v>1133</v>
      </c>
      <c r="J119" s="1034">
        <f t="shared" si="13"/>
        <v>0</v>
      </c>
      <c r="K119" s="1034">
        <f t="shared" si="13"/>
        <v>0</v>
      </c>
      <c r="L119" s="1034">
        <f t="shared" si="13"/>
        <v>0</v>
      </c>
      <c r="M119" s="1034">
        <f t="shared" si="13"/>
        <v>0</v>
      </c>
      <c r="N119" s="1033"/>
      <c r="O119" s="1033"/>
      <c r="Q119"/>
    </row>
    <row r="120" spans="3:17" ht="34.5" customHeight="1" thickTop="1">
      <c r="C120" s="1032"/>
      <c r="E120" s="1032"/>
      <c r="Q120"/>
    </row>
    <row r="121" spans="14:15" ht="18.75" customHeight="1">
      <c r="N121" s="1048"/>
      <c r="O121" s="996" t="s">
        <v>1179</v>
      </c>
    </row>
    <row r="122" spans="14:15" ht="15.75" customHeight="1">
      <c r="N122" s="1048"/>
      <c r="O122" s="1052" t="s">
        <v>1173</v>
      </c>
    </row>
    <row r="123" spans="14:15" ht="14.4">
      <c r="N123" s="1055"/>
      <c r="O123" s="1052" t="s">
        <v>1152</v>
      </c>
    </row>
    <row r="124" spans="1:8" ht="15" customHeight="1">
      <c r="A124" s="1037" t="s">
        <v>1086</v>
      </c>
      <c r="B124" s="1037"/>
      <c r="C124" s="1038"/>
      <c r="D124" s="1038"/>
      <c r="E124" s="1039"/>
      <c r="F124" s="1039"/>
      <c r="G124" s="1039"/>
      <c r="H124" s="1040"/>
    </row>
    <row r="125" spans="1:8" ht="15" customHeight="1">
      <c r="A125" s="1044" t="s">
        <v>449</v>
      </c>
      <c r="B125" s="1233" t="s">
        <v>1144</v>
      </c>
      <c r="C125" s="1101"/>
      <c r="D125" s="1101"/>
      <c r="E125" s="1101"/>
      <c r="F125" s="1101"/>
      <c r="G125" s="1101"/>
      <c r="H125" s="1101"/>
    </row>
    <row r="126" spans="1:15" ht="75" customHeight="1">
      <c r="A126" s="1045" t="s">
        <v>1145</v>
      </c>
      <c r="B126" s="1739" t="s">
        <v>1146</v>
      </c>
      <c r="C126" s="1739"/>
      <c r="D126" s="1739"/>
      <c r="E126" s="1739"/>
      <c r="F126" s="1739"/>
      <c r="G126" s="1739"/>
      <c r="H126" s="1739"/>
      <c r="I126" s="1739"/>
      <c r="J126" s="1739"/>
      <c r="K126" s="1739"/>
      <c r="L126" s="1739"/>
      <c r="M126" s="1739"/>
      <c r="N126" s="1739"/>
      <c r="O126" s="1739"/>
    </row>
    <row r="127" spans="1:8" ht="14.4">
      <c r="A127" s="1045" t="s">
        <v>432</v>
      </c>
      <c r="B127" s="1046" t="s">
        <v>1147</v>
      </c>
      <c r="C127" s="1046"/>
      <c r="D127" s="1046"/>
      <c r="E127" s="1046"/>
      <c r="F127" s="1046"/>
      <c r="G127" s="1046"/>
      <c r="H127" s="1046"/>
    </row>
  </sheetData>
  <mergeCells count="3">
    <mergeCell ref="B126:O126"/>
    <mergeCell ref="F85:H85"/>
    <mergeCell ref="K85:M85"/>
  </mergeCells>
  <pageMargins left="0.7" right="0.7" top="0.75" bottom="0.75" header="0.3" footer="0.3"/>
  <pageSetup orientation="portrait" paperSize="1" scale="31" r:id="rId1"/>
  <rowBreaks count="2" manualBreakCount="2">
    <brk id="73" max="16383" man="1"/>
    <brk id="11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6"/>
  <sheetViews>
    <sheetView view="pageBreakPreview" zoomScale="85" zoomScaleNormal="115" zoomScaleSheetLayoutView="85" workbookViewId="0" topLeftCell="A27">
      <selection pane="topLeft" activeCell="H97" sqref="H97"/>
    </sheetView>
  </sheetViews>
  <sheetFormatPr defaultRowHeight="13.2"/>
  <cols>
    <col min="1" max="2" width="4.55555555555556" customWidth="1"/>
    <col min="3" max="3" width="59.8888888888889" customWidth="1"/>
    <col min="4" max="4" width="20.1111111111111" bestFit="1" customWidth="1"/>
    <col min="5" max="5" width="12.4444444444444" style="118" customWidth="1"/>
    <col min="6" max="6" width="15.4444444444444" customWidth="1"/>
    <col min="7" max="7" width="13.5555555555556" customWidth="1"/>
    <col min="8" max="8" width="31.5555555555556" customWidth="1"/>
    <col min="9" max="9" width="42.8888888888889" customWidth="1"/>
    <col min="10" max="10" width="30.5555555555556" customWidth="1"/>
  </cols>
  <sheetData>
    <row r="1" spans="1:8" ht="17.4">
      <c r="A1" s="1726" t="str">
        <f>'Appendix A'!A3</f>
        <v>Trans-Allegheny Interstate Line Company</v>
      </c>
      <c r="B1" s="1726"/>
      <c r="C1" s="1726"/>
      <c r="D1" s="1726"/>
      <c r="E1" s="1726"/>
      <c r="F1" s="1726"/>
      <c r="G1" s="1726"/>
      <c r="H1" s="1748"/>
    </row>
    <row r="2" spans="1:1" ht="13.2">
      <c r="A2" s="120"/>
    </row>
    <row r="3" spans="1:8" ht="15.6">
      <c r="A3" s="1732" t="s">
        <v>334</v>
      </c>
      <c r="B3" s="1749"/>
      <c r="C3" s="1749"/>
      <c r="D3" s="1749"/>
      <c r="E3" s="1749"/>
      <c r="F3" s="1750"/>
      <c r="G3" s="1750"/>
      <c r="H3" s="1750"/>
    </row>
    <row r="4" spans="1:8" ht="13.2">
      <c r="A4" s="111"/>
      <c r="B4" s="111"/>
      <c r="C4" s="111"/>
      <c r="D4" s="111"/>
      <c r="E4" s="320"/>
      <c r="F4" s="111"/>
      <c r="G4" s="111"/>
      <c r="H4" s="111"/>
    </row>
    <row r="5" spans="1:8" ht="13.2">
      <c r="A5" s="111"/>
      <c r="B5" s="111"/>
      <c r="C5" s="111"/>
      <c r="D5" s="121"/>
      <c r="E5" s="320"/>
      <c r="F5" s="111"/>
      <c r="G5" s="111"/>
      <c r="H5" s="111"/>
    </row>
    <row r="6" spans="1:13" ht="13.2">
      <c r="A6" s="111"/>
      <c r="B6" s="111"/>
      <c r="C6" s="111"/>
      <c r="D6" s="111"/>
      <c r="E6" s="320"/>
      <c r="F6" s="111"/>
      <c r="G6" s="111"/>
      <c r="H6" s="111"/>
      <c r="K6" s="120"/>
      <c r="L6" s="120"/>
      <c r="M6" s="120"/>
    </row>
    <row r="7" spans="1:8" ht="13.2">
      <c r="A7" s="111"/>
      <c r="B7" s="111"/>
      <c r="C7" s="111"/>
      <c r="D7" s="257" t="s">
        <v>236</v>
      </c>
      <c r="F7" s="257"/>
      <c r="G7" s="257" t="s">
        <v>801</v>
      </c>
      <c r="H7" s="257"/>
    </row>
    <row r="8" spans="1:8" ht="13.2">
      <c r="A8" s="229" t="s">
        <v>455</v>
      </c>
      <c r="B8" s="229"/>
      <c r="C8" s="111"/>
      <c r="D8" s="257" t="s">
        <v>237</v>
      </c>
      <c r="E8" s="257" t="s">
        <v>802</v>
      </c>
      <c r="F8" s="257" t="s">
        <v>548</v>
      </c>
      <c r="G8" s="257" t="s">
        <v>802</v>
      </c>
      <c r="H8" s="257"/>
    </row>
    <row r="9" spans="1:8" ht="13.2">
      <c r="A9" s="229"/>
      <c r="B9" s="229"/>
      <c r="C9" s="111"/>
      <c r="D9" s="257"/>
      <c r="E9" s="269"/>
      <c r="F9" s="257"/>
      <c r="G9" s="257"/>
      <c r="H9" s="257"/>
    </row>
    <row r="10" spans="1:8" ht="13.2">
      <c r="A10" s="111"/>
      <c r="B10" s="111"/>
      <c r="C10" s="111"/>
      <c r="D10" s="257"/>
      <c r="E10" s="269"/>
      <c r="F10" s="111"/>
      <c r="G10" s="257"/>
      <c r="H10" s="257"/>
    </row>
    <row r="11" spans="1:8" ht="13.2">
      <c r="A11" s="297"/>
      <c r="B11" s="229" t="s">
        <v>795</v>
      </c>
      <c r="C11" s="111"/>
      <c r="D11" s="257"/>
      <c r="E11" s="321"/>
      <c r="F11" s="257" t="s">
        <v>433</v>
      </c>
      <c r="G11" s="257"/>
      <c r="H11" s="257"/>
    </row>
    <row r="12" spans="1:10" ht="13.2">
      <c r="A12" s="297"/>
      <c r="B12" s="111"/>
      <c r="C12" s="111"/>
      <c r="D12" s="257"/>
      <c r="E12" s="321"/>
      <c r="F12" s="257"/>
      <c r="G12" s="257"/>
      <c r="H12" s="257"/>
      <c r="J12" s="111"/>
    </row>
    <row r="13" spans="1:10" ht="12.75" customHeight="1">
      <c r="A13" s="297">
        <v>1.1000000000000001</v>
      </c>
      <c r="B13" s="111"/>
      <c r="C13" s="1594" t="s">
        <v>1344</v>
      </c>
      <c r="D13" s="322" t="s">
        <v>1426</v>
      </c>
      <c r="E13" s="989">
        <v>5542770</v>
      </c>
      <c r="F13" s="324">
        <v>1</v>
      </c>
      <c r="G13" s="291">
        <f t="shared" si="0" ref="G13:G18">F13*E13</f>
        <v>5542770</v>
      </c>
      <c r="H13" s="323"/>
      <c r="I13" s="322"/>
      <c r="J13" s="322"/>
    </row>
    <row r="14" spans="1:10" ht="12.75" customHeight="1">
      <c r="A14" s="297">
        <f>A13+0.1</f>
        <v>1.2000000000000002</v>
      </c>
      <c r="B14" s="111"/>
      <c r="C14" s="1594" t="s">
        <v>1413</v>
      </c>
      <c r="D14" s="322" t="s">
        <v>1427</v>
      </c>
      <c r="E14" s="989">
        <v>6609658</v>
      </c>
      <c r="F14" s="324">
        <v>1</v>
      </c>
      <c r="G14" s="489">
        <f t="shared" si="0"/>
        <v>6609658</v>
      </c>
      <c r="H14" s="323"/>
      <c r="I14" s="322"/>
      <c r="J14" s="322"/>
    </row>
    <row r="15" spans="1:10" ht="12.75" customHeight="1">
      <c r="A15" s="297">
        <f t="shared" si="1" ref="A15:A18">A14+0.1</f>
        <v>1.3000000000000003</v>
      </c>
      <c r="B15" s="111"/>
      <c r="C15" s="1594" t="s">
        <v>1430</v>
      </c>
      <c r="D15" s="1594" t="s">
        <v>1431</v>
      </c>
      <c r="E15" s="989">
        <v>44330</v>
      </c>
      <c r="F15" s="324">
        <v>1</v>
      </c>
      <c r="G15" s="741">
        <f t="shared" si="0"/>
        <v>44330</v>
      </c>
      <c r="H15" s="323"/>
      <c r="I15" s="322"/>
      <c r="J15" s="322"/>
    </row>
    <row r="16" spans="1:10" ht="12.75" customHeight="1">
      <c r="A16" s="297">
        <f t="shared" si="1"/>
        <v>1.4000000000000004</v>
      </c>
      <c r="B16" s="111"/>
      <c r="C16" s="1594" t="s">
        <v>1433</v>
      </c>
      <c r="D16" s="1594" t="s">
        <v>1432</v>
      </c>
      <c r="E16" s="989">
        <v>51876</v>
      </c>
      <c r="F16" s="324">
        <v>1</v>
      </c>
      <c r="G16" s="741">
        <f t="shared" si="0"/>
        <v>51876</v>
      </c>
      <c r="H16" s="323"/>
      <c r="I16" s="322"/>
      <c r="J16" s="322"/>
    </row>
    <row r="17" spans="1:10" ht="12.75" customHeight="1">
      <c r="A17" s="297">
        <f t="shared" si="1"/>
        <v>1.5000000000000004</v>
      </c>
      <c r="B17" s="111"/>
      <c r="C17" s="1594" t="s">
        <v>1345</v>
      </c>
      <c r="D17" s="322" t="s">
        <v>1428</v>
      </c>
      <c r="E17" s="989">
        <v>727781</v>
      </c>
      <c r="F17" s="324">
        <v>1</v>
      </c>
      <c r="G17" s="489">
        <f t="shared" si="0"/>
        <v>727781</v>
      </c>
      <c r="H17" s="323"/>
      <c r="I17" s="322"/>
      <c r="J17" s="322"/>
    </row>
    <row r="18" spans="1:10" ht="12.75" customHeight="1">
      <c r="A18" s="297">
        <f t="shared" si="1"/>
        <v>1.6000000000000005</v>
      </c>
      <c r="B18" s="111"/>
      <c r="C18" s="1594" t="s">
        <v>1414</v>
      </c>
      <c r="D18" s="322" t="s">
        <v>1347</v>
      </c>
      <c r="E18" s="989">
        <v>720188</v>
      </c>
      <c r="F18" s="324">
        <v>1</v>
      </c>
      <c r="G18" s="489">
        <f t="shared" si="0"/>
        <v>720188</v>
      </c>
      <c r="H18" s="323"/>
      <c r="I18" s="322"/>
      <c r="J18" s="322"/>
    </row>
    <row r="19" spans="1:10" ht="12.75" customHeight="1">
      <c r="A19" s="297" t="e">
        <f>#REF!+0.1</f>
        <v>#REF!</v>
      </c>
      <c r="B19" s="320"/>
      <c r="C19" s="1594" t="s">
        <v>1415</v>
      </c>
      <c r="D19" s="322" t="s">
        <v>1346</v>
      </c>
      <c r="E19" s="913">
        <v>1218636</v>
      </c>
      <c r="F19" s="324">
        <v>1</v>
      </c>
      <c r="G19" s="508">
        <f t="shared" si="2" ref="G19">E19</f>
        <v>1218636</v>
      </c>
      <c r="H19" s="1600"/>
      <c r="I19" s="322"/>
      <c r="J19" s="322"/>
    </row>
    <row r="20" spans="1:10" ht="12.75" customHeight="1">
      <c r="A20" s="966"/>
      <c r="B20" s="320"/>
      <c r="C20" s="322"/>
      <c r="D20" s="322"/>
      <c r="E20" s="913"/>
      <c r="F20" s="324"/>
      <c r="G20" s="508"/>
      <c r="H20" s="1600"/>
      <c r="I20" s="322"/>
      <c r="J20" s="322"/>
    </row>
    <row r="21" spans="1:10" ht="12.75" customHeight="1">
      <c r="A21" s="297"/>
      <c r="B21" s="320"/>
      <c r="C21" s="322"/>
      <c r="D21" s="322"/>
      <c r="E21" s="913"/>
      <c r="F21" s="324"/>
      <c r="G21" s="508"/>
      <c r="H21" s="1600"/>
      <c r="I21" s="322"/>
      <c r="J21" s="322"/>
    </row>
    <row r="22" spans="1:10" ht="12.75" customHeight="1">
      <c r="A22" s="297"/>
      <c r="B22" s="320"/>
      <c r="C22" s="322"/>
      <c r="D22" s="322"/>
      <c r="E22" s="913"/>
      <c r="F22" s="324"/>
      <c r="G22" s="508"/>
      <c r="H22" s="1600"/>
      <c r="I22" s="107"/>
      <c r="J22" s="107"/>
    </row>
    <row r="23" spans="1:10" ht="12.75" customHeight="1">
      <c r="A23" s="297"/>
      <c r="B23" s="111"/>
      <c r="C23" s="119"/>
      <c r="D23" s="322"/>
      <c r="E23" s="914"/>
      <c r="F23" s="324"/>
      <c r="G23" s="508"/>
      <c r="H23" s="323"/>
      <c r="I23" s="119"/>
      <c r="J23" s="322"/>
    </row>
    <row r="24" spans="1:10" ht="12.75" customHeight="1">
      <c r="A24" s="297"/>
      <c r="B24" s="111"/>
      <c r="C24" s="119"/>
      <c r="D24" s="322"/>
      <c r="E24" s="914"/>
      <c r="F24" s="324"/>
      <c r="G24" s="508"/>
      <c r="H24" s="323"/>
      <c r="I24" s="119"/>
      <c r="J24" s="322"/>
    </row>
    <row r="25" spans="1:10" ht="12.75" customHeight="1">
      <c r="A25" s="297"/>
      <c r="B25" s="111"/>
      <c r="C25" s="119"/>
      <c r="D25" s="322"/>
      <c r="E25" s="914"/>
      <c r="F25" s="324"/>
      <c r="G25" s="508"/>
      <c r="H25" s="323"/>
      <c r="I25" s="119"/>
      <c r="J25" s="322"/>
    </row>
    <row r="26" spans="1:10" ht="12.75" customHeight="1">
      <c r="A26" s="297"/>
      <c r="B26" s="111"/>
      <c r="C26" s="119"/>
      <c r="D26" s="322"/>
      <c r="E26" s="914"/>
      <c r="F26" s="324"/>
      <c r="G26" s="508"/>
      <c r="H26" s="323"/>
      <c r="I26" s="119"/>
      <c r="J26" s="322"/>
    </row>
    <row r="27" spans="1:10" ht="12.75" customHeight="1">
      <c r="A27" s="297">
        <v>2.10</v>
      </c>
      <c r="B27" s="111"/>
      <c r="C27" s="119"/>
      <c r="D27" s="322"/>
      <c r="E27" s="914"/>
      <c r="F27" s="324"/>
      <c r="G27" s="508">
        <v>0</v>
      </c>
      <c r="H27" s="323"/>
      <c r="I27" s="119"/>
      <c r="J27" s="322"/>
    </row>
    <row r="28" spans="1:10" ht="12.75" customHeight="1">
      <c r="A28" s="297"/>
      <c r="B28" s="111"/>
      <c r="C28" s="119"/>
      <c r="D28" s="322"/>
      <c r="E28" s="915"/>
      <c r="F28" s="675"/>
      <c r="G28" s="676"/>
      <c r="H28" s="323"/>
      <c r="I28" s="119"/>
      <c r="J28" s="322"/>
    </row>
    <row r="29" spans="1:10" ht="12.75" customHeight="1">
      <c r="A29" s="966"/>
      <c r="B29" s="111"/>
      <c r="C29" s="119"/>
      <c r="D29" s="322"/>
      <c r="E29" s="915"/>
      <c r="F29" s="675"/>
      <c r="G29" s="676"/>
      <c r="H29" s="323"/>
      <c r="I29" s="119"/>
      <c r="J29" s="322"/>
    </row>
    <row r="30" spans="1:8" ht="12.75" customHeight="1">
      <c r="A30" s="297"/>
      <c r="B30" s="111"/>
      <c r="C30" s="119"/>
      <c r="D30" s="322"/>
      <c r="E30" s="674"/>
      <c r="F30" s="675"/>
      <c r="G30" s="676"/>
      <c r="H30" s="323"/>
    </row>
    <row r="31" spans="1:8" ht="12.75" customHeight="1">
      <c r="A31" s="297"/>
      <c r="B31" s="111"/>
      <c r="C31" s="119"/>
      <c r="D31" s="322"/>
      <c r="E31" s="674"/>
      <c r="F31" s="675"/>
      <c r="G31" s="676"/>
      <c r="H31" s="323"/>
    </row>
    <row r="32" spans="1:8" ht="12.75" customHeight="1">
      <c r="A32" s="297"/>
      <c r="B32" s="111"/>
      <c r="C32" s="119"/>
      <c r="D32" s="322"/>
      <c r="E32" s="672"/>
      <c r="F32" s="324"/>
      <c r="G32" s="673"/>
      <c r="H32" s="323"/>
    </row>
    <row r="33" spans="1:8" ht="12.75" customHeight="1">
      <c r="A33" s="297">
        <v>3</v>
      </c>
      <c r="B33" s="229" t="s">
        <v>798</v>
      </c>
      <c r="C33" s="111"/>
      <c r="D33" s="323"/>
      <c r="E33" s="509">
        <f>SUM(E13:E32)</f>
        <v>14915239</v>
      </c>
      <c r="F33" s="324"/>
      <c r="G33" s="509">
        <f>SUM(G13:G32)</f>
        <v>14915239</v>
      </c>
      <c r="H33" s="323"/>
    </row>
    <row r="34" spans="1:8" ht="12.75" customHeight="1">
      <c r="A34" s="297"/>
      <c r="B34" s="111"/>
      <c r="C34" s="111"/>
      <c r="D34" s="323"/>
      <c r="E34" s="509"/>
      <c r="F34" s="323"/>
      <c r="G34" s="490"/>
      <c r="H34" s="323"/>
    </row>
    <row r="35" spans="1:8" ht="12.75" customHeight="1">
      <c r="A35" s="297"/>
      <c r="B35" s="229" t="s">
        <v>796</v>
      </c>
      <c r="C35" s="111"/>
      <c r="D35" s="323"/>
      <c r="E35" s="509"/>
      <c r="F35" s="257" t="s">
        <v>533</v>
      </c>
      <c r="G35" s="490"/>
      <c r="H35" s="323"/>
    </row>
    <row r="36" spans="1:8" ht="12.75" customHeight="1">
      <c r="A36" s="297"/>
      <c r="B36" s="111"/>
      <c r="C36" s="111"/>
      <c r="D36" s="323"/>
      <c r="E36" s="509"/>
      <c r="F36" s="323"/>
      <c r="G36" s="490"/>
      <c r="H36" s="323"/>
    </row>
    <row r="37" spans="1:8" ht="12.75" customHeight="1">
      <c r="A37" s="297">
        <f>A33+1</f>
        <v>4</v>
      </c>
      <c r="B37" s="111"/>
      <c r="C37" s="119" t="s">
        <v>1348</v>
      </c>
      <c r="D37" s="322" t="s">
        <v>1349</v>
      </c>
      <c r="E37" s="914">
        <v>58418</v>
      </c>
      <c r="F37" s="326"/>
      <c r="G37" s="491"/>
      <c r="H37" s="326"/>
    </row>
    <row r="38" spans="1:8" ht="13.2">
      <c r="A38" s="297"/>
      <c r="B38" s="111"/>
      <c r="C38" s="119"/>
      <c r="D38" s="322"/>
      <c r="E38" s="914"/>
      <c r="F38" s="111"/>
      <c r="G38" s="489"/>
      <c r="H38" s="326"/>
    </row>
    <row r="39" spans="1:8" ht="13.2">
      <c r="A39" s="297">
        <f>A38+1</f>
        <v>1</v>
      </c>
      <c r="B39" s="111"/>
      <c r="C39" s="119" t="s">
        <v>1350</v>
      </c>
      <c r="D39" s="322" t="s">
        <v>1351</v>
      </c>
      <c r="E39" s="914">
        <v>2517</v>
      </c>
      <c r="F39" s="111"/>
      <c r="G39" s="489"/>
      <c r="H39" s="326"/>
    </row>
    <row r="40" spans="1:8" ht="13.2">
      <c r="A40" s="297"/>
      <c r="B40" s="111"/>
      <c r="C40" s="119"/>
      <c r="D40" s="322"/>
      <c r="E40" s="914"/>
      <c r="F40" s="111"/>
      <c r="G40" s="489"/>
      <c r="H40" s="111"/>
    </row>
    <row r="41" spans="1:8" ht="13.2">
      <c r="A41" s="297"/>
      <c r="B41" s="111"/>
      <c r="C41" s="119"/>
      <c r="D41" s="119"/>
      <c r="E41" s="518"/>
      <c r="F41" s="111"/>
      <c r="G41" s="492"/>
      <c r="H41" s="111"/>
    </row>
    <row r="42" spans="1:8" ht="13.2">
      <c r="A42" s="297">
        <f>A40+1</f>
        <v>1</v>
      </c>
      <c r="B42" s="229" t="s">
        <v>799</v>
      </c>
      <c r="C42" s="111"/>
      <c r="D42" s="111"/>
      <c r="E42" s="509">
        <f>SUM(E37:E41)</f>
        <v>60935</v>
      </c>
      <c r="F42" s="327">
        <v>1</v>
      </c>
      <c r="G42" s="475">
        <f>+F42*E42</f>
        <v>60935</v>
      </c>
      <c r="H42" s="111"/>
    </row>
    <row r="43" spans="1:8" ht="13.2">
      <c r="A43" s="297"/>
      <c r="B43" s="229"/>
      <c r="C43" s="325"/>
      <c r="D43" s="111"/>
      <c r="E43" s="514"/>
      <c r="F43" s="111"/>
      <c r="G43" s="489"/>
      <c r="H43" s="111"/>
    </row>
    <row r="44" spans="1:8" ht="13.2">
      <c r="A44" s="297"/>
      <c r="B44" s="111"/>
      <c r="C44" s="111"/>
      <c r="D44" s="111"/>
      <c r="E44" s="514"/>
      <c r="F44" s="111"/>
      <c r="G44" s="489"/>
      <c r="H44" s="111"/>
    </row>
    <row r="45" spans="1:8" ht="13.2">
      <c r="A45" s="297"/>
      <c r="B45" s="229" t="s">
        <v>797</v>
      </c>
      <c r="C45" s="111"/>
      <c r="D45" s="111"/>
      <c r="E45" s="514"/>
      <c r="F45" s="257" t="s">
        <v>433</v>
      </c>
      <c r="G45" s="489"/>
      <c r="H45" s="111"/>
    </row>
    <row r="46" spans="1:8" ht="13.2">
      <c r="A46" s="297"/>
      <c r="B46" s="111"/>
      <c r="C46" s="111"/>
      <c r="D46" s="111"/>
      <c r="E46" s="514"/>
      <c r="F46" s="111"/>
      <c r="G46" s="489"/>
      <c r="H46" s="111"/>
    </row>
    <row r="47" spans="1:8" ht="13.2">
      <c r="A47" s="297">
        <f>A42+1</f>
        <v>2</v>
      </c>
      <c r="B47" s="111"/>
      <c r="C47" s="322" t="s">
        <v>1352</v>
      </c>
      <c r="D47" s="322" t="s">
        <v>1353</v>
      </c>
      <c r="E47" s="515"/>
      <c r="F47" s="324"/>
      <c r="G47" s="508">
        <f>E47</f>
        <v>0</v>
      </c>
      <c r="H47" s="111"/>
    </row>
    <row r="48" spans="1:8" ht="12.75" customHeight="1">
      <c r="A48" s="297">
        <f>A47+1</f>
        <v>3</v>
      </c>
      <c r="B48" s="111"/>
      <c r="C48" s="322"/>
      <c r="D48" s="322"/>
      <c r="E48" s="515"/>
      <c r="F48" s="324"/>
      <c r="G48" s="508">
        <f>E48</f>
        <v>0</v>
      </c>
      <c r="H48" s="111"/>
    </row>
    <row r="49" spans="1:8" ht="13.2">
      <c r="A49" s="297">
        <f>A48+1</f>
        <v>4</v>
      </c>
      <c r="B49" s="111"/>
      <c r="C49" s="119"/>
      <c r="D49" s="322"/>
      <c r="E49" s="515"/>
      <c r="F49" s="119"/>
      <c r="G49" s="508">
        <f>E49</f>
        <v>0</v>
      </c>
      <c r="H49" s="111"/>
    </row>
    <row r="50" spans="1:8" ht="13.2">
      <c r="A50" s="297"/>
      <c r="B50" s="111"/>
      <c r="C50" s="119"/>
      <c r="D50" s="119"/>
      <c r="E50" s="518"/>
      <c r="F50" s="119"/>
      <c r="G50" s="492"/>
      <c r="H50" s="111"/>
    </row>
    <row r="51" spans="1:8" ht="13.2">
      <c r="A51" s="297">
        <f>A49+1</f>
        <v>5</v>
      </c>
      <c r="B51" s="229" t="s">
        <v>800</v>
      </c>
      <c r="C51" s="111"/>
      <c r="D51" s="111"/>
      <c r="E51" s="509">
        <f>SUM(E47:E50)</f>
        <v>0</v>
      </c>
      <c r="F51" s="327"/>
      <c r="G51" s="624">
        <f>F51*E51</f>
        <v>0</v>
      </c>
      <c r="H51" s="111"/>
    </row>
    <row r="52" spans="1:8" ht="13.2">
      <c r="A52" s="297"/>
      <c r="B52" s="111"/>
      <c r="C52" s="111"/>
      <c r="D52" s="111"/>
      <c r="E52" s="669"/>
      <c r="F52" s="111"/>
      <c r="G52" s="489"/>
      <c r="H52" s="111"/>
    </row>
    <row r="53" spans="1:8" ht="17.25" customHeight="1" thickBot="1">
      <c r="A53" s="297">
        <f>A51+1</f>
        <v>6</v>
      </c>
      <c r="B53" s="229" t="s">
        <v>1057</v>
      </c>
      <c r="C53" s="111"/>
      <c r="D53" s="111"/>
      <c r="E53" s="514">
        <f>E33+E42+E51</f>
        <v>14976174</v>
      </c>
      <c r="F53" s="111"/>
      <c r="G53" s="493">
        <f>+G51+G42+G33</f>
        <v>14976174</v>
      </c>
      <c r="H53" s="111" t="str">
        <f>"Input to Appendix A, Line "&amp;'Appendix A'!A150&amp;""</f>
        <v>Input to Appendix A, Line 82</v>
      </c>
    </row>
    <row r="54" spans="1:8" ht="13.8" thickTop="1">
      <c r="A54" s="297"/>
      <c r="B54" s="111"/>
      <c r="C54" s="134"/>
      <c r="D54" s="111"/>
      <c r="E54" s="514"/>
      <c r="F54" s="111"/>
      <c r="G54" s="111"/>
      <c r="H54" s="111"/>
    </row>
    <row r="55" spans="1:8" ht="13.2">
      <c r="A55" s="297"/>
      <c r="B55" s="111"/>
      <c r="C55" s="134"/>
      <c r="D55" s="111"/>
      <c r="E55" s="514"/>
      <c r="F55" s="328"/>
      <c r="G55" s="111"/>
      <c r="H55" s="111"/>
    </row>
    <row r="56" spans="1:8" ht="13.2">
      <c r="A56" s="297"/>
      <c r="B56" s="229" t="s">
        <v>823</v>
      </c>
      <c r="C56" s="111"/>
      <c r="D56" s="111"/>
      <c r="E56" s="514"/>
      <c r="F56" s="111"/>
      <c r="G56" s="296"/>
      <c r="H56" s="111"/>
    </row>
    <row r="57" spans="1:10" ht="13.2">
      <c r="A57" s="297"/>
      <c r="B57" s="111"/>
      <c r="C57" s="111"/>
      <c r="D57" s="111"/>
      <c r="E57" s="514"/>
      <c r="F57" s="111"/>
      <c r="G57" s="229"/>
      <c r="H57" s="111"/>
      <c r="J57" s="118"/>
    </row>
    <row r="58" spans="1:10" ht="13.2">
      <c r="A58" s="297">
        <f>A53+1</f>
        <v>7</v>
      </c>
      <c r="B58" s="111"/>
      <c r="C58" s="119" t="s">
        <v>1354</v>
      </c>
      <c r="D58" s="322" t="s">
        <v>1355</v>
      </c>
      <c r="E58" s="988">
        <v>-18360880</v>
      </c>
      <c r="F58" s="111"/>
      <c r="G58" s="111"/>
      <c r="H58" s="134"/>
      <c r="J58" s="118"/>
    </row>
    <row r="59" spans="1:10" ht="13.2">
      <c r="A59" s="297">
        <f>A58+1</f>
        <v>8</v>
      </c>
      <c r="B59" s="111"/>
      <c r="C59" s="119" t="s">
        <v>1356</v>
      </c>
      <c r="D59" s="322" t="s">
        <v>1357</v>
      </c>
      <c r="E59" s="988">
        <v>247303</v>
      </c>
      <c r="F59" s="111"/>
      <c r="G59" s="111"/>
      <c r="H59" s="134"/>
      <c r="J59" s="118"/>
    </row>
    <row r="60" spans="1:10" ht="13.2">
      <c r="A60" s="297">
        <f>A59+1</f>
        <v>9</v>
      </c>
      <c r="B60" s="111"/>
      <c r="C60" s="119" t="s">
        <v>1358</v>
      </c>
      <c r="D60" s="322" t="s">
        <v>1359</v>
      </c>
      <c r="E60" s="988">
        <v>2310722</v>
      </c>
      <c r="F60" s="111"/>
      <c r="G60" s="111"/>
      <c r="H60" s="134"/>
      <c r="J60" s="118"/>
    </row>
    <row r="61" spans="1:10" ht="13.2">
      <c r="A61" s="297">
        <f>A60+1</f>
        <v>10</v>
      </c>
      <c r="B61" s="111"/>
      <c r="C61" s="119" t="s">
        <v>1360</v>
      </c>
      <c r="D61" s="322" t="s">
        <v>1361</v>
      </c>
      <c r="E61" s="988">
        <v>270567</v>
      </c>
      <c r="F61" s="704"/>
      <c r="G61" s="111"/>
      <c r="H61" s="134"/>
      <c r="J61" s="118"/>
    </row>
    <row r="62" spans="1:10" ht="13.2">
      <c r="A62" s="297">
        <f>A61+1</f>
        <v>11</v>
      </c>
      <c r="B62" s="111"/>
      <c r="C62" s="119" t="s">
        <v>1362</v>
      </c>
      <c r="D62" s="322" t="s">
        <v>1363</v>
      </c>
      <c r="E62" s="988">
        <v>6735293</v>
      </c>
      <c r="F62" s="111"/>
      <c r="G62" s="111"/>
      <c r="H62" s="134"/>
      <c r="J62" s="118"/>
    </row>
    <row r="63" spans="1:10" ht="13.2">
      <c r="A63" s="297"/>
      <c r="B63" s="111"/>
      <c r="C63" s="984"/>
      <c r="D63" s="984"/>
      <c r="E63" s="985"/>
      <c r="F63" s="111"/>
      <c r="G63" s="111"/>
      <c r="H63" s="134"/>
      <c r="J63" s="118"/>
    </row>
    <row r="64" spans="1:10" ht="13.2">
      <c r="A64" s="297"/>
      <c r="B64" s="111"/>
      <c r="C64" s="119"/>
      <c r="D64" s="322"/>
      <c r="E64" s="515"/>
      <c r="F64" s="111"/>
      <c r="G64" s="111"/>
      <c r="H64" s="134"/>
      <c r="J64" s="118"/>
    </row>
    <row r="65" spans="1:8" ht="13.2">
      <c r="A65" s="297"/>
      <c r="B65" s="111"/>
      <c r="C65" s="119"/>
      <c r="D65" s="119"/>
      <c r="E65" s="515"/>
      <c r="F65" s="111"/>
      <c r="G65" s="111"/>
      <c r="H65" s="111"/>
    </row>
    <row r="66" spans="1:8" ht="13.2">
      <c r="A66" s="297"/>
      <c r="B66" s="111"/>
      <c r="C66" s="119"/>
      <c r="D66" s="119"/>
      <c r="E66" s="515"/>
      <c r="F66" s="111"/>
      <c r="G66" s="111"/>
      <c r="H66" s="111"/>
    </row>
    <row r="67" spans="1:8" ht="13.2">
      <c r="A67" s="297"/>
      <c r="B67" s="111"/>
      <c r="C67" s="119"/>
      <c r="D67" s="322"/>
      <c r="E67" s="670"/>
      <c r="F67" s="111"/>
      <c r="G67" s="111"/>
      <c r="H67" s="111"/>
    </row>
    <row r="68" spans="1:8" ht="13.2">
      <c r="A68" s="297">
        <f>A62+1</f>
        <v>12</v>
      </c>
      <c r="B68" s="111"/>
      <c r="C68" s="229" t="s">
        <v>487</v>
      </c>
      <c r="D68" s="111"/>
      <c r="E68" s="516">
        <f>SUM(E58:E67)</f>
        <v>-8796995</v>
      </c>
      <c r="F68" s="111"/>
      <c r="G68" s="111"/>
      <c r="H68" s="111"/>
    </row>
    <row r="69" spans="1:8" ht="13.2">
      <c r="A69" s="297"/>
      <c r="B69" s="111"/>
      <c r="C69" s="111"/>
      <c r="D69" s="111"/>
      <c r="E69" s="516"/>
      <c r="F69" s="111"/>
      <c r="G69" s="111"/>
      <c r="H69" s="111"/>
    </row>
    <row r="70" spans="1:8" ht="13.2">
      <c r="A70" s="297">
        <f>A68+1</f>
        <v>13</v>
      </c>
      <c r="B70" s="229" t="s">
        <v>1056</v>
      </c>
      <c r="C70" s="229"/>
      <c r="D70" s="111"/>
      <c r="E70" s="517">
        <f>E68+E53</f>
        <v>6179179</v>
      </c>
      <c r="F70" s="111"/>
      <c r="G70" s="111"/>
      <c r="H70" s="704"/>
    </row>
    <row r="71" spans="1:8" ht="13.2">
      <c r="A71" s="297"/>
      <c r="B71" s="111"/>
      <c r="C71" s="111"/>
      <c r="D71" s="111"/>
      <c r="E71" s="516"/>
      <c r="F71" s="111"/>
      <c r="G71" s="111"/>
      <c r="H71" s="111"/>
    </row>
    <row r="72" spans="1:8" ht="13.2">
      <c r="A72" s="297">
        <f>A70+1</f>
        <v>14</v>
      </c>
      <c r="B72" s="229" t="s">
        <v>492</v>
      </c>
      <c r="C72" s="229"/>
      <c r="D72" s="671"/>
      <c r="E72" s="994">
        <v>14976173</v>
      </c>
      <c r="F72" s="329"/>
      <c r="G72" s="329"/>
      <c r="H72" s="70"/>
    </row>
    <row r="73" spans="1:8" ht="13.2">
      <c r="A73" s="111"/>
      <c r="B73" s="111"/>
      <c r="C73" s="264"/>
      <c r="D73" s="264"/>
      <c r="E73" s="516"/>
      <c r="F73" s="329"/>
      <c r="G73" s="329"/>
      <c r="H73" s="70"/>
    </row>
    <row r="74" spans="1:8" ht="13.2">
      <c r="A74" s="297">
        <f>A72+1</f>
        <v>15</v>
      </c>
      <c r="B74" s="111"/>
      <c r="C74" s="671" t="str">
        <f>"Difference  (Line "&amp;A70&amp;" - Line "&amp;A72&amp;")"</f>
        <v>Difference  (Line 13 - Line 14)</v>
      </c>
      <c r="D74" s="264"/>
      <c r="E74" s="516">
        <f>+E70-E72</f>
        <v>-8796994</v>
      </c>
      <c r="F74" s="329"/>
      <c r="G74" s="329"/>
      <c r="H74" s="70"/>
    </row>
    <row r="75" spans="1:8" ht="13.2">
      <c r="A75" s="297"/>
      <c r="B75" s="111"/>
      <c r="C75" s="264"/>
      <c r="D75" s="264"/>
      <c r="E75" s="516"/>
      <c r="F75" s="329"/>
      <c r="G75" s="329"/>
      <c r="H75" s="70"/>
    </row>
    <row r="76" spans="3:8" ht="13.2">
      <c r="C76" s="226"/>
      <c r="D76" s="264"/>
      <c r="E76" s="520"/>
      <c r="F76" s="248"/>
      <c r="G76" s="248"/>
      <c r="H76" s="70"/>
    </row>
    <row r="77" spans="2:8" ht="13.2">
      <c r="B77" t="s">
        <v>532</v>
      </c>
      <c r="C77" s="111"/>
      <c r="E77" s="521"/>
      <c r="F77" s="70"/>
      <c r="G77" s="70"/>
      <c r="H77" s="70"/>
    </row>
    <row r="78" spans="2:8" ht="13.2">
      <c r="B78" t="s">
        <v>449</v>
      </c>
      <c r="C78" s="111" t="s">
        <v>404</v>
      </c>
      <c r="E78" s="521"/>
      <c r="F78" s="70"/>
      <c r="G78" s="70"/>
      <c r="H78" s="70"/>
    </row>
    <row r="79" spans="3:8" ht="13.2">
      <c r="C79" s="230" t="s">
        <v>770</v>
      </c>
      <c r="E79" s="521"/>
      <c r="G79" s="70"/>
      <c r="H79" s="70"/>
    </row>
    <row r="80" spans="2:8" ht="13.2">
      <c r="B80" t="s">
        <v>525</v>
      </c>
      <c r="C80" s="111" t="s">
        <v>405</v>
      </c>
      <c r="E80" s="521"/>
      <c r="G80" s="70"/>
      <c r="H80" s="70"/>
    </row>
    <row r="81" spans="3:8" ht="13.2">
      <c r="C81" s="230" t="s">
        <v>770</v>
      </c>
      <c r="E81" s="521"/>
      <c r="G81" s="70"/>
      <c r="H81" s="70"/>
    </row>
    <row r="82" spans="2:8" ht="13.2">
      <c r="B82" t="s">
        <v>432</v>
      </c>
      <c r="C82" s="111" t="s">
        <v>769</v>
      </c>
      <c r="E82" s="521"/>
      <c r="G82" s="70"/>
      <c r="H82" s="70"/>
    </row>
    <row r="83" spans="2:8" ht="13.2">
      <c r="B83" t="s">
        <v>450</v>
      </c>
      <c r="C83" s="230" t="s">
        <v>572</v>
      </c>
      <c r="E83" s="227"/>
      <c r="G83" s="70"/>
      <c r="H83" s="111"/>
    </row>
    <row r="84" spans="3:5" ht="13.2">
      <c r="C84" s="111" t="s">
        <v>573</v>
      </c>
      <c r="E84" s="227"/>
    </row>
    <row r="85" spans="3:3" ht="13.2">
      <c r="C85" t="s">
        <v>603</v>
      </c>
    </row>
    <row r="86" spans="2:3" ht="13.2">
      <c r="B86" t="s">
        <v>448</v>
      </c>
      <c r="C86" s="111" t="s">
        <v>606</v>
      </c>
    </row>
  </sheetData>
  <customSheetViews>
    <customSheetView guid="{dc91def3-837b-4bb9-a81e-3b78c5914e6c}" fitToPage="1" scale="75" showPageBreaks="1" topLeftCell="A37">
      <selection pane="topLeft" activeCell="B71" sqref="B71:C74"/>
      <pageMargins left="0.75" right="0.75" top="1" bottom="1" header="0.5" footer="0.5"/>
      <pageSetup orientation="portrait" paperSize="1" scale="71" r:id="rId2"/>
      <headerFooter alignWithMargins="0">
        <oddHeader>&amp;R&amp;12Page &amp;P of &amp;N</oddHeader>
      </headerFooter>
    </customSheetView>
    <customSheetView guid="{28948e05-8f34-4f1e-96fb-a80a6a844600}" fitToPage="1" scale="75" showPageBreaks="1" topLeftCell="A1">
      <selection pane="topLeft" activeCell="C59" sqref="C59"/>
      <pageMargins left="0.75" right="0.75" top="1" bottom="1" header="0.5" footer="0.5"/>
      <pageSetup orientation="portrait" paperSize="1" scale="71" r:id="rId3"/>
      <headerFooter alignWithMargins="0">
        <oddHeader>&amp;R&amp;12Page &amp;P of &amp;N</oddHeader>
      </headerFooter>
    </customSheetView>
    <customSheetView guid="{71b42b22-a376-44b5-b0c1-23fc1aa3dba2}" fitToPage="1" scale="75" topLeftCell="A1">
      <selection pane="topLeft" activeCell="C59" sqref="C59"/>
      <pageMargins left="0.75" right="0.75" top="1" bottom="1" header="0.5" footer="0.5"/>
      <pageSetup orientation="portrait" paperSize="1" scale="72" r:id="rId4"/>
      <headerFooter alignWithMargins="0">
        <oddHeader>&amp;R&amp;14Page &amp;P of &amp;N</oddHeader>
      </headerFooter>
    </customSheetView>
    <customSheetView guid="{faad9aac-1337-43ab-bf1f-ccf9dfcf5b78}" fitToPage="1" scale="75" topLeftCell="A60">
      <selection pane="topLeft" activeCell="B97" sqref="B97"/>
      <pageMargins left="0.75" right="0.75" top="1" bottom="1" header="0.5" footer="0.5"/>
      <pageSetup orientation="portrait" paperSize="1" scale="71" r:id="rId5"/>
      <headerFooter alignWithMargins="0">
        <oddHeader>&amp;R&amp;12Page &amp;P of &amp;N</oddHeader>
      </headerFooter>
    </customSheetView>
    <customSheetView guid="{4c7c2344-134c-465a-adeb-a5e96aae2308}" fitToPage="1" scale="75" showPageBreaks="1" topLeftCell="A14">
      <selection pane="topLeft" activeCell="G21" sqref="G21"/>
      <pageMargins left="0.75" right="0.75" top="1" bottom="1" header="0.5" footer="0.5"/>
      <pageSetup orientation="portrait" paperSize="1" scale="70" r:id="rId6"/>
      <headerFooter alignWithMargins="0">
        <oddHeader>&amp;R&amp;12Page &amp;P of &amp;N</oddHeader>
      </headerFooter>
    </customSheetView>
    <customSheetView guid="{da967730-b71f-4038-b1b7-9d4790729c5d}" fitToPage="1" scale="75" showPageBreaks="1" topLeftCell="A14">
      <selection pane="topLeft" activeCell="G21" sqref="G21"/>
      <pageMargins left="0.75" right="0.75" top="1" bottom="1" header="0.5" footer="0.5"/>
      <pageSetup orientation="portrait" paperSize="1" scale="68" r:id="rId7"/>
      <headerFooter alignWithMargins="0">
        <oddHeader>&amp;R&amp;12Page &amp;P of &amp;N</oddHeader>
      </headerFooter>
    </customSheetView>
    <customSheetView guid="{f96d6087-3330-4a81-95ec-26ba83722a49}" fitToPage="1" scale="75" showPageBreaks="1" topLeftCell="A14">
      <selection pane="topLeft" activeCell="G21" sqref="G21"/>
      <pageMargins left="0.75" right="0.75" top="1" bottom="1" header="0.5" footer="0.5"/>
      <pageSetup orientation="portrait" paperSize="1" scale="70" r:id="rId8"/>
      <headerFooter alignWithMargins="0">
        <oddHeader>&amp;R&amp;12Page &amp;P of &amp;N</oddHeader>
      </headerFooter>
    </customSheetView>
    <customSheetView guid="{3a38df7a-c35e-4dd3-9893-26310a3ef836}" fitToPage="1" scale="75" showPageBreaks="1" topLeftCell="A19">
      <selection pane="topLeft" activeCell="G41" sqref="G41"/>
      <pageMargins left="0.75" right="0.75" top="1" bottom="1" header="0.5" footer="0.5"/>
      <pageSetup orientation="portrait" paperSize="1" scale="74" r:id="rId9"/>
      <headerFooter alignWithMargins="0">
        <oddHeader>&amp;R&amp;12Page &amp;P of &amp;N</oddHeader>
      </headerFooter>
    </customSheetView>
  </customSheetViews>
  <mergeCells count="2">
    <mergeCell ref="A1:H1"/>
    <mergeCell ref="A3:H3"/>
  </mergeCells>
  <pageMargins left="0.53" right="0.08" top="0.88" bottom="0.56" header="0.29" footer="0.5"/>
  <pageSetup orientation="portrait" paperSize="1" scale="61" r:id="rId1"/>
  <headerFooter alignWithMargins="0">
    <oddHeader>&amp;R&amp;12EXHIBIT NO. TRC-203
ATTACHMENT H-18A
Page &amp;P of &amp;N</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85" zoomScaleNormal="115" zoomScaleSheetLayoutView="85" workbookViewId="0" topLeftCell="A1">
      <selection pane="topLeft" activeCell="H97" sqref="H97"/>
    </sheetView>
  </sheetViews>
  <sheetFormatPr defaultRowHeight="13.2"/>
  <cols>
    <col min="1" max="1" width="4.11111111111111" style="108" customWidth="1"/>
    <col min="2" max="2" width="76.8888888888889" customWidth="1"/>
    <col min="3" max="3" width="18.8888888888889" bestFit="1" customWidth="1"/>
    <col min="4" max="4" width="14" style="233" bestFit="1" customWidth="1"/>
    <col min="5" max="5" width="25.4444444444444" customWidth="1"/>
    <col min="6" max="6" width="30.1111111111111" customWidth="1"/>
  </cols>
  <sheetData>
    <row r="1" spans="1:4" ht="17.4">
      <c r="A1" s="1726" t="str">
        <f>+'Appendix A'!A3</f>
        <v>Trans-Allegheny Interstate Line Company</v>
      </c>
      <c r="B1" s="1726"/>
      <c r="C1" s="1726"/>
      <c r="D1" s="1726"/>
    </row>
    <row r="2" spans="1:1" ht="13.2">
      <c r="A2" s="269"/>
    </row>
    <row r="3" spans="1:5" ht="15.6">
      <c r="A3" s="1751" t="s">
        <v>335</v>
      </c>
      <c r="B3" s="1752"/>
      <c r="C3" s="1752"/>
      <c r="D3" s="1752"/>
      <c r="E3" s="257" t="s">
        <v>236</v>
      </c>
    </row>
    <row r="4" spans="2:13" ht="13.2">
      <c r="B4" s="70"/>
      <c r="C4" s="108"/>
      <c r="D4" s="377" t="s">
        <v>802</v>
      </c>
      <c r="E4" s="257" t="s">
        <v>237</v>
      </c>
      <c r="H4" s="120"/>
      <c r="I4" s="120"/>
      <c r="J4" s="120"/>
      <c r="K4" s="120"/>
      <c r="L4" s="120"/>
      <c r="M4" s="120"/>
    </row>
    <row r="5" spans="2:13" ht="13.2">
      <c r="B5" s="228"/>
      <c r="C5" s="108"/>
      <c r="E5" s="108"/>
      <c r="H5" s="120"/>
      <c r="I5" s="120"/>
      <c r="J5" s="120"/>
      <c r="K5" s="120"/>
      <c r="L5" s="120"/>
      <c r="M5" s="120"/>
    </row>
    <row r="6" spans="2:13" ht="13.2">
      <c r="B6" s="229" t="s">
        <v>329</v>
      </c>
      <c r="H6" s="120"/>
      <c r="I6" s="120"/>
      <c r="J6" s="120"/>
      <c r="K6" s="120"/>
      <c r="L6" s="120"/>
      <c r="M6" s="120"/>
    </row>
    <row r="7" spans="1:7" ht="13.2">
      <c r="A7" s="108">
        <v>1</v>
      </c>
      <c r="B7" s="230" t="s">
        <v>877</v>
      </c>
      <c r="C7" s="111"/>
      <c r="D7" s="916">
        <v>0</v>
      </c>
      <c r="E7" s="917"/>
      <c r="F7" s="255"/>
      <c r="G7" s="109"/>
    </row>
    <row r="8" spans="1:5" s="231" customFormat="1" ht="13.2">
      <c r="A8" s="297">
        <v>2</v>
      </c>
      <c r="B8" s="111" t="s">
        <v>330</v>
      </c>
      <c r="C8" s="111" t="s">
        <v>771</v>
      </c>
      <c r="D8" s="916">
        <f>SUM(D7)</f>
        <v>0</v>
      </c>
      <c r="E8" s="119"/>
    </row>
    <row r="9" spans="4:5" ht="13.2">
      <c r="D9" s="597"/>
      <c r="E9" s="111"/>
    </row>
    <row r="10" spans="2:7" ht="13.2">
      <c r="B10" s="229" t="s">
        <v>878</v>
      </c>
      <c r="D10" s="918"/>
      <c r="E10" s="111"/>
      <c r="G10" s="113"/>
    </row>
    <row r="11" spans="2:7" ht="13.2">
      <c r="B11" s="232"/>
      <c r="C11" s="110"/>
      <c r="D11" s="919"/>
      <c r="E11" s="111"/>
      <c r="G11" s="110"/>
    </row>
    <row r="12" spans="1:7" ht="13.2">
      <c r="A12" s="108">
        <f>+A8+1</f>
        <v>3</v>
      </c>
      <c r="B12" s="230" t="s">
        <v>454</v>
      </c>
      <c r="C12" s="109"/>
      <c r="D12" s="916">
        <v>0</v>
      </c>
      <c r="E12" s="119"/>
      <c r="G12" s="109"/>
    </row>
    <row r="13" spans="1:7" ht="39.6">
      <c r="A13" s="276">
        <f t="shared" si="0" ref="A13:A19">+A12+1</f>
        <v>4</v>
      </c>
      <c r="B13" s="109" t="s">
        <v>879</v>
      </c>
      <c r="C13" s="109"/>
      <c r="D13" s="916">
        <v>0</v>
      </c>
      <c r="E13" s="119"/>
      <c r="G13" s="109"/>
    </row>
    <row r="14" spans="1:7" ht="39.6">
      <c r="A14" s="108">
        <f t="shared" si="0"/>
        <v>5</v>
      </c>
      <c r="B14" t="s">
        <v>773</v>
      </c>
      <c r="C14" s="109"/>
      <c r="D14" s="235">
        <v>3424198</v>
      </c>
      <c r="E14" s="1234" t="s">
        <v>1364</v>
      </c>
      <c r="F14" s="111"/>
      <c r="G14" s="109"/>
    </row>
    <row r="15" spans="1:7" ht="13.2">
      <c r="A15" s="108">
        <f t="shared" si="0"/>
        <v>6</v>
      </c>
      <c r="B15" t="s">
        <v>880</v>
      </c>
      <c r="C15" s="110"/>
      <c r="D15" s="920"/>
      <c r="E15" s="119"/>
      <c r="G15" s="110"/>
    </row>
    <row r="16" spans="1:7" ht="13.2">
      <c r="A16" s="108">
        <f t="shared" si="0"/>
        <v>7</v>
      </c>
      <c r="B16" t="s">
        <v>881</v>
      </c>
      <c r="C16" s="109"/>
      <c r="D16" s="235"/>
      <c r="E16" s="107"/>
      <c r="G16" s="109"/>
    </row>
    <row r="17" spans="1:7" ht="13.2">
      <c r="A17" s="108">
        <f t="shared" si="0"/>
        <v>8</v>
      </c>
      <c r="B17" t="s">
        <v>882</v>
      </c>
      <c r="C17" s="111"/>
      <c r="D17" s="234">
        <v>0</v>
      </c>
      <c r="E17" s="107"/>
      <c r="G17" s="113"/>
    </row>
    <row r="18" spans="1:5" ht="13.2">
      <c r="A18" s="108">
        <f t="shared" si="0"/>
        <v>9</v>
      </c>
      <c r="B18" t="s">
        <v>883</v>
      </c>
      <c r="C18" s="111"/>
      <c r="D18" s="234"/>
      <c r="E18" s="107"/>
    </row>
    <row r="19" spans="1:5" ht="13.2">
      <c r="A19" s="108">
        <f t="shared" si="0"/>
        <v>10</v>
      </c>
      <c r="B19" t="s">
        <v>885</v>
      </c>
      <c r="C19" s="111"/>
      <c r="D19" s="234">
        <v>0</v>
      </c>
      <c r="E19" s="107"/>
    </row>
    <row r="20" spans="3:5" ht="13.2">
      <c r="C20" s="111"/>
      <c r="D20" s="234"/>
      <c r="E20" s="107"/>
    </row>
    <row r="21" spans="1:5" ht="13.2">
      <c r="A21" s="108">
        <f>+A19+1</f>
        <v>11</v>
      </c>
      <c r="B21" t="s">
        <v>408</v>
      </c>
      <c r="C21" s="111" t="s">
        <v>354</v>
      </c>
      <c r="D21" s="236">
        <f>SUM(D12:D19)+D8</f>
        <v>3424198</v>
      </c>
      <c r="E21" s="107"/>
    </row>
    <row r="22" spans="1:4" ht="13.2">
      <c r="A22" s="298">
        <v>12</v>
      </c>
      <c r="B22" s="299" t="s">
        <v>698</v>
      </c>
      <c r="C22" s="111"/>
      <c r="D22" s="300">
        <f>D33</f>
        <v>0</v>
      </c>
    </row>
    <row r="23" spans="1:5" ht="13.8" thickBot="1">
      <c r="A23" s="301">
        <v>13</v>
      </c>
      <c r="B23" s="267" t="s">
        <v>360</v>
      </c>
      <c r="C23" s="111" t="s">
        <v>758</v>
      </c>
      <c r="D23" s="449">
        <f>D21-D22</f>
        <v>3424198</v>
      </c>
      <c r="E23" s="255" t="str">
        <f>"Input to Appendix A, Line "&amp;'Appendix A'!A229&amp;""</f>
        <v>Input to Appendix A, Line 131</v>
      </c>
    </row>
    <row r="24" spans="1:4" ht="13.8" thickTop="1">
      <c r="A24" s="297"/>
      <c r="B24" s="111"/>
      <c r="C24" s="267"/>
      <c r="D24" s="266"/>
    </row>
    <row r="25" spans="1:4" ht="13.2">
      <c r="A25" s="298"/>
      <c r="B25" s="302" t="s">
        <v>331</v>
      </c>
      <c r="C25" s="267"/>
      <c r="D25" s="251"/>
    </row>
    <row r="26" spans="1:4" ht="13.2">
      <c r="A26" s="301"/>
      <c r="B26" s="302"/>
      <c r="C26" s="267"/>
      <c r="D26" s="251"/>
    </row>
    <row r="27" spans="1:6" ht="26.4">
      <c r="A27" s="304" t="s">
        <v>616</v>
      </c>
      <c r="B27" s="295" t="s">
        <v>623</v>
      </c>
      <c r="C27" s="267"/>
      <c r="D27" s="308">
        <f>D8</f>
        <v>0</v>
      </c>
      <c r="F27" s="111"/>
    </row>
    <row r="28" spans="1:4" ht="13.2">
      <c r="A28" s="304" t="s">
        <v>617</v>
      </c>
      <c r="B28" s="295" t="s">
        <v>624</v>
      </c>
      <c r="C28" s="267"/>
      <c r="D28" s="308">
        <f>'Appendix A'!H197*D27</f>
        <v>0</v>
      </c>
    </row>
    <row r="29" spans="1:4" ht="13.2">
      <c r="A29" s="304" t="s">
        <v>618</v>
      </c>
      <c r="B29" s="295" t="s">
        <v>625</v>
      </c>
      <c r="C29" s="267"/>
      <c r="D29" s="251">
        <f>+D27-D28</f>
        <v>0</v>
      </c>
    </row>
    <row r="30" spans="1:4" ht="13.2">
      <c r="A30" s="304" t="s">
        <v>619</v>
      </c>
      <c r="B30" s="295" t="s">
        <v>760</v>
      </c>
      <c r="C30" s="267"/>
      <c r="D30" s="251">
        <f>+D29/2</f>
        <v>0</v>
      </c>
    </row>
    <row r="31" spans="1:4" ht="39.6">
      <c r="A31" s="304" t="s">
        <v>620</v>
      </c>
      <c r="B31" s="295" t="s">
        <v>696</v>
      </c>
      <c r="C31" s="267"/>
      <c r="D31" s="308">
        <v>0</v>
      </c>
    </row>
    <row r="32" spans="1:4" ht="13.2">
      <c r="A32" s="304" t="s">
        <v>621</v>
      </c>
      <c r="B32" s="267" t="s">
        <v>697</v>
      </c>
      <c r="C32" s="267"/>
      <c r="D32" s="251">
        <f>+D30+D31</f>
        <v>0</v>
      </c>
    </row>
    <row r="33" spans="1:4" ht="13.2">
      <c r="A33" s="304" t="s">
        <v>622</v>
      </c>
      <c r="B33" s="267" t="s">
        <v>761</v>
      </c>
      <c r="C33" s="267"/>
      <c r="D33" s="251">
        <f>+D27-D32</f>
        <v>0</v>
      </c>
    </row>
    <row r="34" spans="1:4" ht="13.2">
      <c r="A34" s="301"/>
      <c r="B34" s="302"/>
      <c r="C34" s="267"/>
      <c r="D34" s="251"/>
    </row>
    <row r="35" spans="1:5" ht="13.2">
      <c r="A35" s="301">
        <v>15</v>
      </c>
      <c r="B35" s="267" t="s">
        <v>424</v>
      </c>
      <c r="C35" s="267"/>
      <c r="D35" s="403">
        <f>D13</f>
        <v>0</v>
      </c>
      <c r="E35" t="s">
        <v>447</v>
      </c>
    </row>
    <row r="36" spans="1:4" ht="13.2">
      <c r="A36" s="301"/>
      <c r="B36" s="267"/>
      <c r="C36" s="267"/>
      <c r="D36" s="251"/>
    </row>
    <row r="37" spans="1:4" ht="13.2">
      <c r="A37" s="301">
        <v>16</v>
      </c>
      <c r="B37" s="111" t="s">
        <v>423</v>
      </c>
      <c r="C37" s="267"/>
      <c r="D37" s="308">
        <f>D32+D14</f>
        <v>3424198</v>
      </c>
    </row>
    <row r="38" spans="1:4" ht="13.2">
      <c r="A38" s="301"/>
      <c r="B38" s="267"/>
      <c r="C38" s="267"/>
      <c r="D38" s="303"/>
    </row>
    <row r="39" spans="1:5" ht="52.8">
      <c r="A39" s="305">
        <v>17</v>
      </c>
      <c r="B39" s="294" t="s">
        <v>537</v>
      </c>
      <c r="C39" s="267"/>
      <c r="D39" s="303"/>
      <c r="E39" s="255"/>
    </row>
    <row r="40" spans="1:4" ht="13.2">
      <c r="A40" s="305"/>
      <c r="B40" s="111"/>
      <c r="C40" s="267"/>
      <c r="D40" s="303"/>
    </row>
    <row r="41" spans="1:4" ht="52.8">
      <c r="A41" s="305">
        <v>18</v>
      </c>
      <c r="B41" s="294" t="s">
        <v>772</v>
      </c>
      <c r="C41" s="120"/>
      <c r="D41" s="266"/>
    </row>
    <row r="42" spans="1:4" ht="13.2">
      <c r="A42" s="305"/>
      <c r="B42" s="111"/>
      <c r="C42" s="267"/>
      <c r="D42" s="306"/>
    </row>
    <row r="43" spans="1:5" ht="158.4">
      <c r="A43" s="305">
        <v>19</v>
      </c>
      <c r="B43" s="295" t="s">
        <v>764</v>
      </c>
      <c r="C43" s="267"/>
      <c r="D43" s="306"/>
      <c r="E43" s="249"/>
    </row>
    <row r="44" spans="1:4" ht="13.2">
      <c r="A44" s="297"/>
      <c r="B44" s="111"/>
      <c r="C44" s="267"/>
      <c r="D44" s="306"/>
    </row>
    <row r="45" spans="1:5" ht="66">
      <c r="A45" s="305">
        <v>20</v>
      </c>
      <c r="B45" s="294" t="s">
        <v>238</v>
      </c>
      <c r="C45" s="307"/>
      <c r="D45" s="266"/>
      <c r="E45" s="256"/>
    </row>
    <row r="46" spans="4:4" ht="13.2">
      <c r="D46" s="237"/>
    </row>
    <row r="47" spans="4:5" ht="13.2">
      <c r="D47" s="237"/>
      <c r="E47" s="250"/>
    </row>
    <row r="48" spans="4:5" ht="13.2">
      <c r="D48" s="238"/>
      <c r="E48" s="108"/>
    </row>
    <row r="49" spans="3:7" ht="13.2">
      <c r="C49" s="111"/>
      <c r="D49" s="296"/>
      <c r="E49" s="251"/>
      <c r="F49" s="231"/>
      <c r="G49" s="231"/>
    </row>
    <row r="50" spans="4:4" ht="13.2">
      <c r="D50" s="237"/>
    </row>
    <row r="51" spans="4:4" ht="13.2">
      <c r="D51" s="237"/>
    </row>
    <row r="97" spans="8:8" ht="13.2">
      <c r="H97">
        <v>13847278</v>
      </c>
    </row>
  </sheetData>
  <customSheetViews>
    <customSheetView guid="{dc91def3-837b-4bb9-a81e-3b78c5914e6c}" fitToPage="1" printArea="1" scale="75" showPageBreaks="1" topLeftCell="A20">
      <selection pane="topLeft" activeCell="B28" sqref="B28"/>
      <pageMargins left="0.5" right="0.5" top="1" bottom="1" header="0.5" footer="0.5"/>
      <printOptions horizontalCentered="1"/>
      <pageSetup orientation="portrait" paperSize="1" scale="65" r:id="rId2"/>
      <headerFooter alignWithMargins="0">
        <oddHeader>&amp;R&amp;12Page &amp;P of &amp;N</oddHeader>
      </headerFooter>
    </customSheetView>
    <customSheetView guid="{28948e05-8f34-4f1e-96fb-a80a6a844600}" fitToPage="1" printArea="1" scale="75" showPageBreaks="1" topLeftCell="A14">
      <selection pane="topLeft" activeCell="B32" sqref="B32"/>
      <pageMargins left="0.5" right="0.5" top="1" bottom="1" header="0.5" footer="0.5"/>
      <printOptions horizontalCentered="1"/>
      <pageSetup orientation="portrait" paperSize="1" scale="65" r:id="rId3"/>
      <headerFooter alignWithMargins="0">
        <oddHeader>&amp;R&amp;12Page &amp;P of &amp;N</oddHeader>
      </headerFooter>
    </customSheetView>
    <customSheetView guid="{71b42b22-a376-44b5-b0c1-23fc1aa3dba2}" fitToPage="1" printArea="1" scale="75" showPageBreaks="1" topLeftCell="A14">
      <selection pane="topLeft" activeCell="B32" sqref="B32"/>
      <pageMargins left="0.5" right="0.5" top="1" bottom="1" header="0.5" footer="0.5"/>
      <printOptions horizontalCentered="1"/>
      <pageSetup orientation="portrait" paperSize="1" scale="66" r:id="rId4"/>
      <headerFooter alignWithMargins="0">
        <oddHeader>&amp;R&amp;14Page &amp;P of &amp;N</oddHeader>
      </headerFooter>
    </customSheetView>
    <customSheetView guid="{faad9aac-1337-43ab-bf1f-ccf9dfcf5b78}" fitToPage="1" printArea="1" scale="75" showPageBreaks="1" topLeftCell="A33">
      <selection pane="topLeft" activeCell="D42" sqref="D42"/>
      <pageMargins left="0.5" right="0.5" top="1" bottom="1" header="0.5" footer="0.5"/>
      <printOptions horizontalCentered="1"/>
      <pageSetup orientation="portrait" paperSize="1" scale="64" r:id="rId5"/>
      <headerFooter alignWithMargins="0">
        <oddHeader>&amp;R&amp;12Page &amp;P of &amp;N</oddHeader>
      </headerFooter>
    </customSheetView>
    <customSheetView guid="{4c7c2344-134c-465a-adeb-a5e96aae2308}" fitToPage="1" printArea="1" scale="75" showPageBreaks="1" topLeftCell="A19">
      <selection pane="topLeft" activeCell="D42" sqref="D42"/>
      <pageMargins left="0.5" right="0.5" top="1" bottom="1" header="0.5" footer="0.5"/>
      <printOptions horizontalCentered="1"/>
      <pageSetup orientation="portrait" paperSize="1" scale="66" r:id="rId6"/>
      <headerFooter alignWithMargins="0">
        <oddHeader>&amp;R&amp;12Page &amp;P of &amp;N</oddHeader>
      </headerFooter>
    </customSheetView>
    <customSheetView guid="{da967730-b71f-4038-b1b7-9d4790729c5d}" fitToPage="1" printArea="1" scale="75" showPageBreaks="1" topLeftCell="A19">
      <selection pane="topLeft" activeCell="D42" sqref="D42"/>
      <pageMargins left="0.5" right="0.5" top="1" bottom="1" header="0.5" footer="0.5"/>
      <printOptions horizontalCentered="1"/>
      <pageSetup orientation="portrait" paperSize="1" scale="64" r:id="rId7"/>
      <headerFooter alignWithMargins="0">
        <oddHeader>&amp;R&amp;12Page &amp;P of &amp;N</oddHeader>
      </headerFooter>
    </customSheetView>
    <customSheetView guid="{f96d6087-3330-4a81-95ec-26ba83722a49}" fitToPage="1" printArea="1" scale="75" showPageBreaks="1" topLeftCell="A19">
      <selection pane="topLeft" activeCell="D42" sqref="D42"/>
      <pageMargins left="0.5" right="0.5" top="1" bottom="1" header="0.5" footer="0.5"/>
      <printOptions horizontalCentered="1"/>
      <pageSetup orientation="portrait" paperSize="1" scale="65" r:id="rId8"/>
      <headerFooter alignWithMargins="0">
        <oddHeader>&amp;R&amp;12Page &amp;P of &amp;N</oddHeader>
      </headerFooter>
    </customSheetView>
    <customSheetView guid="{3a38df7a-c35e-4dd3-9893-26310a3ef836}" fitToPage="1" printArea="1" scale="75" showPageBreaks="1" topLeftCell="A22">
      <selection pane="topLeft" activeCell="D42" sqref="D42"/>
      <pageMargins left="0.5" right="0.5" top="1" bottom="1" header="0.5" footer="0.5"/>
      <printOptions horizontalCentered="1"/>
      <pageSetup orientation="portrait" paperSize="1" scale="65" r:id="rId9"/>
      <headerFooter alignWithMargins="0">
        <oddHeader>&amp;R&amp;12Page &amp;P of &amp;N</oddHeader>
      </headerFooter>
    </customSheetView>
  </customSheetViews>
  <mergeCells count="2">
    <mergeCell ref="A3:D3"/>
    <mergeCell ref="A1:D1"/>
  </mergeCells>
  <printOptions horizontalCentered="1"/>
  <pageMargins left="0.5" right="0.25" top="0.83" bottom="0.75" header="0.33" footer="0.5"/>
  <pageSetup orientation="portrait" paperSize="1" scale="72" r:id="rId1"/>
  <headerFooter alignWithMargins="0">
    <oddHeader>&amp;R&amp;12EXHIBIT NO. TRC-203
ATTACHMENT H-18A
Page &amp;P of &amp;N</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97"/>
  <sheetViews>
    <sheetView view="pageBreakPreview" zoomScale="60" zoomScaleNormal="75" workbookViewId="0" topLeftCell="A1">
      <selection pane="topLeft" activeCell="H97" sqref="H97"/>
    </sheetView>
  </sheetViews>
  <sheetFormatPr defaultRowHeight="13.2"/>
  <cols>
    <col min="1" max="1" width="9.44444444444444" customWidth="1"/>
    <col min="2" max="2" width="3" customWidth="1"/>
    <col min="3" max="3" width="8.11111111111111" customWidth="1"/>
    <col min="4" max="4" width="43" customWidth="1"/>
    <col min="5" max="5" width="23.1111111111111" customWidth="1"/>
    <col min="6" max="6" width="35.5555555555556" customWidth="1"/>
    <col min="7" max="7" width="37.1111111111111" bestFit="1" customWidth="1"/>
    <col min="8" max="8" width="3.88888888888889" customWidth="1"/>
    <col min="9" max="9" width="30.1111111111111" customWidth="1"/>
    <col min="11" max="11" width="23" bestFit="1" customWidth="1"/>
  </cols>
  <sheetData>
    <row r="1" spans="1:9" ht="17.4">
      <c r="A1" s="1726" t="str">
        <f>+'Appendix A'!A3</f>
        <v>Trans-Allegheny Interstate Line Company</v>
      </c>
      <c r="B1" s="1726"/>
      <c r="C1" s="1726"/>
      <c r="D1" s="1726"/>
      <c r="E1" s="1726"/>
      <c r="F1" s="1726"/>
      <c r="G1" s="1726"/>
      <c r="H1" s="1748"/>
      <c r="I1" s="1748"/>
    </row>
    <row r="2" spans="1:10" ht="17.4">
      <c r="A2" s="120"/>
      <c r="B2" s="78"/>
      <c r="C2" s="78"/>
      <c r="D2" s="78"/>
      <c r="E2" s="78"/>
      <c r="F2" s="78"/>
      <c r="G2" s="78"/>
      <c r="J2" s="120"/>
    </row>
    <row r="3" spans="1:9" ht="18">
      <c r="A3" s="1753" t="s">
        <v>644</v>
      </c>
      <c r="B3" s="1753"/>
      <c r="C3" s="1753"/>
      <c r="D3" s="1753"/>
      <c r="E3" s="1753"/>
      <c r="F3" s="1753"/>
      <c r="G3" s="1753"/>
      <c r="H3" s="1748"/>
      <c r="I3" s="1748"/>
    </row>
    <row r="5" spans="2:7" s="20" customFormat="1" ht="15.6">
      <c r="B5" s="120"/>
      <c r="G5" s="190"/>
    </row>
    <row r="6" s="20" customFormat="1" ht="15"/>
    <row r="7" s="20" customFormat="1" ht="15"/>
    <row r="8" spans="3:9" s="20" customFormat="1" ht="15.6">
      <c r="C8" s="20" t="s">
        <v>636</v>
      </c>
      <c r="I8" s="1"/>
    </row>
    <row r="9" spans="1:9" s="20" customFormat="1" ht="15">
      <c r="A9" s="19" t="s">
        <v>449</v>
      </c>
      <c r="B9" s="19"/>
      <c r="D9" s="20" t="s">
        <v>636</v>
      </c>
      <c r="F9" s="4" t="str">
        <f>"(Sum Lines "&amp;A52&amp;" and "&amp;A66&amp;" from below)"</f>
        <v>(Sum Lines 26 and 33 from below)</v>
      </c>
      <c r="G9" s="271">
        <f>+I52+I66</f>
        <v>168938305.45225799</v>
      </c>
      <c r="I9" s="20" t="str">
        <f>"Input to Appendix A, Line "&amp;'Appendix A'!A244&amp;""</f>
        <v>Input to Appendix A, Line 140</v>
      </c>
    </row>
    <row r="10" spans="1:2" s="20" customFormat="1" ht="15">
      <c r="A10" s="19"/>
      <c r="B10" s="19"/>
    </row>
    <row r="11" spans="1:7" s="20" customFormat="1" ht="15">
      <c r="A11" s="19" t="s">
        <v>525</v>
      </c>
      <c r="B11" s="19"/>
      <c r="D11" s="20" t="s">
        <v>645</v>
      </c>
      <c r="G11" s="271">
        <v>100</v>
      </c>
    </row>
    <row r="12" spans="1:2" s="20" customFormat="1" ht="15">
      <c r="A12" s="19"/>
      <c r="B12" s="19"/>
    </row>
    <row r="13" spans="1:9" s="20" customFormat="1" ht="15.6">
      <c r="A13" s="211" t="s">
        <v>308</v>
      </c>
      <c r="B13" s="57"/>
      <c r="C13" s="57"/>
      <c r="D13" s="57"/>
      <c r="E13" s="57"/>
      <c r="F13" s="57"/>
      <c r="G13" s="57"/>
      <c r="H13" s="57"/>
      <c r="I13" s="57"/>
    </row>
    <row r="14" spans="1:7" s="20" customFormat="1" ht="15.6">
      <c r="A14" s="277"/>
      <c r="G14" s="7" t="s">
        <v>240</v>
      </c>
    </row>
    <row r="15" spans="9:9" s="20" customFormat="1" ht="15">
      <c r="I15" s="126"/>
    </row>
    <row r="16" spans="1:9" s="20" customFormat="1" ht="15">
      <c r="A16" s="19">
        <v>1</v>
      </c>
      <c r="C16" s="29" t="str">
        <f>+'Appendix A'!B92</f>
        <v>Rate Base</v>
      </c>
      <c r="D16" s="29"/>
      <c r="F16" s="29"/>
      <c r="G16" s="81" t="str">
        <f>"Appendix A, Line "&amp;'Appendix A'!A92&amp;""</f>
        <v>Appendix A, Line 46</v>
      </c>
      <c r="H16" s="29"/>
      <c r="I16" s="271">
        <f>+'Appendix A'!H92</f>
        <v>1389160487.6203709</v>
      </c>
    </row>
    <row r="17" spans="7:9" s="20" customFormat="1" ht="15">
      <c r="G17" s="29"/>
      <c r="I17" s="126"/>
    </row>
    <row r="18" spans="1:9" s="20" customFormat="1" ht="15">
      <c r="A18" s="5"/>
      <c r="B18" s="29"/>
      <c r="C18" s="3"/>
      <c r="D18" s="29"/>
      <c r="E18" s="2"/>
      <c r="F18" s="4"/>
      <c r="G18" s="3"/>
      <c r="H18" s="4"/>
      <c r="I18" s="4"/>
    </row>
    <row r="19" spans="1:9" s="20" customFormat="1" ht="15.6">
      <c r="A19" s="19">
        <f>A16+1</f>
        <v>2</v>
      </c>
      <c r="B19" s="29"/>
      <c r="C19" s="29" t="str">
        <f>'Appendix A'!B157</f>
        <v>Preferred Dividends</v>
      </c>
      <c r="D19" s="186"/>
      <c r="F19" s="2" t="str">
        <f>'Appendix A'!E157</f>
        <v xml:space="preserve"> enter positive</v>
      </c>
      <c r="G19" s="81" t="str">
        <f>"Appendix A, Line "&amp;'Appendix A'!A157&amp;""</f>
        <v>Appendix A, Line 84</v>
      </c>
      <c r="H19" s="4"/>
      <c r="I19" s="4">
        <f>+'Appendix A'!H157</f>
        <v>0</v>
      </c>
    </row>
    <row r="20" spans="1:9" s="20" customFormat="1" ht="15">
      <c r="A20" s="5"/>
      <c r="B20" s="29"/>
      <c r="C20" s="3"/>
      <c r="D20" s="29"/>
      <c r="E20" s="2"/>
      <c r="F20" s="2"/>
      <c r="G20" s="81"/>
      <c r="H20" s="4"/>
      <c r="I20" s="4"/>
    </row>
    <row r="21" spans="1:9" s="20" customFormat="1" ht="15.6">
      <c r="A21" s="5"/>
      <c r="B21" s="29"/>
      <c r="C21" s="3" t="str">
        <f>'Appendix A'!B159</f>
        <v>Common Stock</v>
      </c>
      <c r="D21" s="48"/>
      <c r="E21" s="2"/>
      <c r="G21" s="81"/>
      <c r="H21" s="4"/>
      <c r="I21" s="4"/>
    </row>
    <row r="22" spans="1:9" s="20" customFormat="1" ht="15">
      <c r="A22" s="5">
        <f>A19+1</f>
        <v>3</v>
      </c>
      <c r="B22" s="29"/>
      <c r="C22" s="29"/>
      <c r="D22" s="29" t="str">
        <f>'Appendix A'!C160</f>
        <v>Proprietary Capital</v>
      </c>
      <c r="E22" s="4"/>
      <c r="F22" s="41"/>
      <c r="G22" s="81" t="str">
        <f>"Appendix A, Line "&amp;'Appendix A'!A160&amp;""</f>
        <v>Appendix A, Line 85</v>
      </c>
      <c r="H22" s="4"/>
      <c r="I22" s="4">
        <f>+'Appendix A'!H160</f>
        <v>952803705</v>
      </c>
    </row>
    <row r="23" spans="1:9" s="20" customFormat="1" ht="15">
      <c r="A23" s="5">
        <f>A22+1</f>
        <v>4</v>
      </c>
      <c r="B23" s="29"/>
      <c r="C23" s="29"/>
      <c r="D23" s="29" t="str">
        <f>'Appendix A'!C161</f>
        <v xml:space="preserve">    Less Accumulated Other Comprehensive Income Account 219</v>
      </c>
      <c r="E23" s="4"/>
      <c r="F23" s="41"/>
      <c r="G23" s="81" t="str">
        <f>"Appendix A, Line "&amp;'Appendix A'!A161&amp;""</f>
        <v>Appendix A, Line 86</v>
      </c>
      <c r="H23" s="4"/>
      <c r="I23" s="4">
        <f>+'Appendix A'!H161</f>
        <v>0</v>
      </c>
    </row>
    <row r="24" spans="1:9" s="20" customFormat="1" ht="15">
      <c r="A24" s="5">
        <f>A23+1</f>
        <v>5</v>
      </c>
      <c r="B24" s="29"/>
      <c r="C24" s="29"/>
      <c r="D24" s="29" t="str">
        <f>'Appendix A'!C162</f>
        <v xml:space="preserve">    Less Preferred Stock</v>
      </c>
      <c r="E24" s="4"/>
      <c r="F24" s="41"/>
      <c r="G24" s="81" t="str">
        <f>"Appendix A, Line "&amp;'Appendix A'!A162&amp;""</f>
        <v>Appendix A, Line 87</v>
      </c>
      <c r="H24" s="4"/>
      <c r="I24" s="4">
        <f>+'Appendix A'!H162</f>
        <v>0</v>
      </c>
    </row>
    <row r="25" spans="1:9" s="20" customFormat="1" ht="15">
      <c r="A25" s="5">
        <f>+A24+1</f>
        <v>6</v>
      </c>
      <c r="B25" s="29"/>
      <c r="C25" s="3"/>
      <c r="D25" s="29" t="str">
        <f>'Appendix A'!C163</f>
        <v xml:space="preserve">    Less Account 216.1</v>
      </c>
      <c r="E25" s="52"/>
      <c r="F25" s="460"/>
      <c r="G25" s="187" t="str">
        <f>"Appendix A, Line "&amp;'Appendix A'!A163&amp;""</f>
        <v>Appendix A, Line 88</v>
      </c>
      <c r="H25" s="52"/>
      <c r="I25" s="52">
        <f>+'Appendix A'!H163</f>
        <v>0</v>
      </c>
    </row>
    <row r="26" spans="1:9" s="20" customFormat="1" ht="15">
      <c r="A26" s="5">
        <f>A25+1</f>
        <v>7</v>
      </c>
      <c r="B26" s="29"/>
      <c r="C26" s="3"/>
      <c r="D26" s="29" t="str">
        <f>'Appendix A'!C164</f>
        <v>Common Stock</v>
      </c>
      <c r="E26" s="4"/>
      <c r="F26" s="41"/>
      <c r="G26" s="81" t="str">
        <f>"Appendix A, Line "&amp;'Appendix A'!A164&amp;""</f>
        <v>Appendix A, Line 89</v>
      </c>
      <c r="H26" s="4"/>
      <c r="I26" s="4">
        <f>+'Appendix A'!H164</f>
        <v>952803705</v>
      </c>
    </row>
    <row r="27" spans="1:9" s="20" customFormat="1" ht="15">
      <c r="A27" s="5"/>
      <c r="B27" s="29"/>
      <c r="C27" s="3"/>
      <c r="D27" s="29"/>
      <c r="E27" s="4"/>
      <c r="F27" s="41"/>
      <c r="G27" s="81"/>
      <c r="H27" s="4"/>
      <c r="I27" s="4"/>
    </row>
    <row r="28" spans="1:9" s="20" customFormat="1" ht="15">
      <c r="A28" s="5"/>
      <c r="B28" s="29"/>
      <c r="C28" s="3"/>
      <c r="D28" s="29"/>
      <c r="E28" s="4"/>
      <c r="F28" s="41"/>
      <c r="G28" s="81"/>
      <c r="H28" s="4"/>
      <c r="I28" s="4"/>
    </row>
    <row r="29" spans="1:9" s="20" customFormat="1" ht="15.6">
      <c r="A29" s="5"/>
      <c r="B29" s="29"/>
      <c r="C29" s="3" t="str">
        <f>'Appendix A'!B166</f>
        <v>Capitalization</v>
      </c>
      <c r="D29" s="48"/>
      <c r="F29" s="2"/>
      <c r="G29" s="81"/>
      <c r="I29" s="4"/>
    </row>
    <row r="30" spans="1:9" s="20" customFormat="1" ht="15">
      <c r="A30" s="5">
        <f>+A26+1</f>
        <v>8</v>
      </c>
      <c r="B30" s="29"/>
      <c r="C30" s="29"/>
      <c r="D30" s="29" t="str">
        <f>'Appendix A'!C167</f>
        <v>Long Term Debt</v>
      </c>
      <c r="F30" s="2"/>
      <c r="G30" s="81" t="str">
        <f>"Appendix A, Line "&amp;'Appendix A'!A167&amp;""</f>
        <v>Appendix A, Line 90</v>
      </c>
      <c r="I30" s="4">
        <f>+'Appendix A'!H167</f>
        <v>624983262</v>
      </c>
    </row>
    <row r="31" spans="1:9" s="20" customFormat="1" ht="15">
      <c r="A31" s="5">
        <f t="shared" si="0" ref="A31:A37">A30+1</f>
        <v>9</v>
      </c>
      <c r="B31" s="29"/>
      <c r="C31" s="29"/>
      <c r="D31" s="29" t="str">
        <f>'Appendix A'!C168</f>
        <v xml:space="preserve">      Less Unamortized Loss on Reacquired Debt </v>
      </c>
      <c r="F31" s="2"/>
      <c r="G31" s="81" t="str">
        <f>"Appendix A, Line "&amp;'Appendix A'!A168&amp;""</f>
        <v>Appendix A, Line 91</v>
      </c>
      <c r="I31" s="4">
        <f>+'Appendix A'!H168</f>
        <v>0</v>
      </c>
    </row>
    <row r="32" spans="1:9" s="20" customFormat="1" ht="15">
      <c r="A32" s="5">
        <f t="shared" si="0"/>
        <v>10</v>
      </c>
      <c r="B32" s="29"/>
      <c r="C32" s="29"/>
      <c r="D32" s="29" t="str">
        <f>'Appendix A'!C169</f>
        <v xml:space="preserve">      Plus Unamortized Gain on Reacquired Debt</v>
      </c>
      <c r="F32" s="2"/>
      <c r="G32" s="81" t="str">
        <f>"Appendix A, Line "&amp;'Appendix A'!A169&amp;""</f>
        <v>Appendix A, Line 92</v>
      </c>
      <c r="I32" s="4">
        <f>+'Appendix A'!H169</f>
        <v>0</v>
      </c>
    </row>
    <row r="33" spans="1:9" s="20" customFormat="1" ht="15">
      <c r="A33" s="5">
        <f t="shared" si="0"/>
        <v>11</v>
      </c>
      <c r="B33" s="29"/>
      <c r="C33" s="29"/>
      <c r="D33" s="29" t="str">
        <f>'Appendix A'!C170</f>
        <v xml:space="preserve">      Less ADIT associated with Gain or Loss</v>
      </c>
      <c r="F33" s="2"/>
      <c r="G33" s="187" t="str">
        <f>"Appendix A, Line "&amp;'Appendix A'!A170&amp;""</f>
        <v>Appendix A, Line 93</v>
      </c>
      <c r="I33" s="4">
        <f>+'Appendix A'!H170</f>
        <v>0</v>
      </c>
    </row>
    <row r="34" spans="1:9" s="20" customFormat="1" ht="15">
      <c r="A34" s="5">
        <f>A33+1</f>
        <v>12</v>
      </c>
      <c r="B34" s="29"/>
      <c r="C34" s="29"/>
      <c r="D34" s="29" t="str">
        <f>'Appendix A'!C171</f>
        <v>Total Long Term Debt</v>
      </c>
      <c r="E34" s="28"/>
      <c r="F34" s="28"/>
      <c r="G34" s="81" t="str">
        <f>"Appendix A, Line "&amp;'Appendix A'!A171&amp;""</f>
        <v>Appendix A, Line 94</v>
      </c>
      <c r="H34" s="31"/>
      <c r="I34" s="23">
        <f>I30-I31+I32-I33</f>
        <v>624983262</v>
      </c>
    </row>
    <row r="35" spans="1:9" s="20" customFormat="1" ht="15">
      <c r="A35" s="5">
        <f t="shared" si="0"/>
        <v>13</v>
      </c>
      <c r="B35" s="29"/>
      <c r="C35" s="29"/>
      <c r="D35" s="29" t="str">
        <f>'Appendix A'!C172</f>
        <v>Preferred Stock</v>
      </c>
      <c r="E35" s="2"/>
      <c r="F35" s="2"/>
      <c r="G35" s="81" t="str">
        <f>"Appendix A, Line "&amp;'Appendix A'!A172&amp;""</f>
        <v>Appendix A, Line 95</v>
      </c>
      <c r="I35" s="4">
        <f>+'Appendix A'!H172</f>
        <v>0</v>
      </c>
    </row>
    <row r="36" spans="1:9" s="20" customFormat="1" ht="15">
      <c r="A36" s="5">
        <f t="shared" si="0"/>
        <v>14</v>
      </c>
      <c r="B36" s="29"/>
      <c r="C36" s="29"/>
      <c r="D36" s="29" t="str">
        <f>'Appendix A'!C173</f>
        <v>Common Stock</v>
      </c>
      <c r="F36" s="2"/>
      <c r="G36" s="187" t="str">
        <f>"Appendix A, Line "&amp;'Appendix A'!A173&amp;""</f>
        <v>Appendix A, Line 96</v>
      </c>
      <c r="I36" s="4">
        <f>+'Appendix A'!H173</f>
        <v>952803705</v>
      </c>
    </row>
    <row r="37" spans="1:9" s="20" customFormat="1" ht="15.6">
      <c r="A37" s="5">
        <f t="shared" si="0"/>
        <v>15</v>
      </c>
      <c r="B37" s="29"/>
      <c r="C37" s="29"/>
      <c r="D37" s="29" t="str">
        <f>'Appendix A'!C174</f>
        <v>Total  Capitalization</v>
      </c>
      <c r="E37" s="31"/>
      <c r="F37" s="25"/>
      <c r="G37" s="81" t="str">
        <f>"Appendix A, Line "&amp;'Appendix A'!A174&amp;""</f>
        <v>Appendix A, Line 97</v>
      </c>
      <c r="H37" s="23"/>
      <c r="I37" s="23">
        <f>I36+I35+I34</f>
        <v>1577786967</v>
      </c>
    </row>
    <row r="38" spans="1:9" s="20" customFormat="1" ht="15">
      <c r="A38" s="5"/>
      <c r="B38" s="29"/>
      <c r="C38" s="29"/>
      <c r="D38" s="29"/>
      <c r="F38" s="2"/>
      <c r="G38" s="29"/>
      <c r="H38" s="4"/>
      <c r="I38" s="14"/>
    </row>
    <row r="39" spans="1:9" s="20" customFormat="1" ht="15">
      <c r="A39" s="19">
        <f>A37+1</f>
        <v>16</v>
      </c>
      <c r="B39" s="29"/>
      <c r="C39" s="29"/>
      <c r="D39" s="29" t="str">
        <f>'Appendix A'!C176</f>
        <v>Debt %</v>
      </c>
      <c r="E39" s="2"/>
      <c r="F39" s="3" t="str">
        <f>'Appendix A'!D176</f>
        <v>Total Long Term Debt</v>
      </c>
      <c r="G39" s="81" t="str">
        <f>"Appendix A, Line "&amp;'Appendix A'!A176&amp;""</f>
        <v>Appendix A, Line 98</v>
      </c>
      <c r="H39" s="4"/>
      <c r="I39" s="826">
        <f>+'Appendix A'!H176</f>
        <v>0.39611384494342827</v>
      </c>
    </row>
    <row r="40" spans="1:9" s="20" customFormat="1" ht="15">
      <c r="A40" s="5">
        <f>A39+1</f>
        <v>17</v>
      </c>
      <c r="B40" s="29"/>
      <c r="C40" s="29"/>
      <c r="D40" s="29" t="str">
        <f>'Appendix A'!C177</f>
        <v>Preferred %</v>
      </c>
      <c r="E40" s="2"/>
      <c r="F40" s="3" t="str">
        <f>'Appendix A'!D177</f>
        <v>Preferred Stock</v>
      </c>
      <c r="G40" s="81" t="str">
        <f>"Appendix A, Line "&amp;'Appendix A'!A177&amp;""</f>
        <v>Appendix A, Line 99</v>
      </c>
      <c r="H40" s="4"/>
      <c r="I40" s="826">
        <f>+'Appendix A'!H177</f>
        <v>0</v>
      </c>
    </row>
    <row r="41" spans="1:9" s="20" customFormat="1" ht="15">
      <c r="A41" s="5">
        <f>A40+1</f>
        <v>18</v>
      </c>
      <c r="B41" s="29"/>
      <c r="C41" s="29"/>
      <c r="D41" s="29" t="str">
        <f>'Appendix A'!C178</f>
        <v>Common %</v>
      </c>
      <c r="E41" s="2"/>
      <c r="F41" s="3" t="str">
        <f>'Appendix A'!D178</f>
        <v>Common Stock</v>
      </c>
      <c r="G41" s="81" t="str">
        <f>"Appendix A, Line "&amp;'Appendix A'!A178&amp;""</f>
        <v>Appendix A, Line 100</v>
      </c>
      <c r="H41" s="4"/>
      <c r="I41" s="826">
        <f>+'Appendix A'!H178</f>
        <v>0.60388615505657173</v>
      </c>
    </row>
    <row r="42" spans="1:9" s="20" customFormat="1" ht="15">
      <c r="A42" s="5"/>
      <c r="B42" s="29"/>
      <c r="C42" s="29"/>
      <c r="D42" s="29"/>
      <c r="F42" s="81"/>
      <c r="G42" s="29"/>
      <c r="H42" s="4"/>
      <c r="I42" s="14"/>
    </row>
    <row r="43" spans="1:11" s="20" customFormat="1" ht="15">
      <c r="A43" s="19">
        <f>A41+1</f>
        <v>19</v>
      </c>
      <c r="B43" s="29"/>
      <c r="C43" s="29"/>
      <c r="D43" s="29" t="str">
        <f>'Appendix A'!C180</f>
        <v>Debt Cost</v>
      </c>
      <c r="E43" s="2"/>
      <c r="F43" s="81" t="str">
        <f>'Appendix A'!D180</f>
        <v>Total Long Term Debt</v>
      </c>
      <c r="G43" s="81" t="str">
        <f>"Appendix A, Line "&amp;'Appendix A'!A180&amp;""</f>
        <v>Appendix A, Line 101</v>
      </c>
      <c r="H43" s="4"/>
      <c r="I43" s="15">
        <f>'Appendix A'!H180</f>
        <v>0.039399999999999998</v>
      </c>
      <c r="K43" s="824"/>
    </row>
    <row r="44" spans="1:9" s="20" customFormat="1" ht="15">
      <c r="A44" s="5">
        <f>A43+1</f>
        <v>20</v>
      </c>
      <c r="B44" s="29"/>
      <c r="C44" s="29"/>
      <c r="D44" s="29" t="str">
        <f>'Appendix A'!C181</f>
        <v>Preferred Cost</v>
      </c>
      <c r="E44" s="2"/>
      <c r="F44" s="81" t="str">
        <f>'Appendix A'!D181</f>
        <v>Preferred Stock</v>
      </c>
      <c r="G44" s="81" t="str">
        <f>"Appendix A, Line "&amp;'Appendix A'!A181&amp;""</f>
        <v>Appendix A, Line 102</v>
      </c>
      <c r="H44" s="4"/>
      <c r="I44" s="15">
        <f>IF(I35&gt;0,I19/I35,0)</f>
        <v>0</v>
      </c>
    </row>
    <row r="45" spans="1:11" s="20" customFormat="1" ht="15">
      <c r="A45" s="5">
        <f>A44+1</f>
        <v>21</v>
      </c>
      <c r="B45" s="29"/>
      <c r="C45" s="29"/>
      <c r="D45" s="29" t="str">
        <f>'Appendix A'!C182</f>
        <v>Common Cost</v>
      </c>
      <c r="F45" s="81" t="str">
        <f>'Appendix A'!D182</f>
        <v>Common Stock</v>
      </c>
      <c r="G45" s="356">
        <v>0.127</v>
      </c>
      <c r="H45" s="4"/>
      <c r="I45" s="494">
        <v>0.127</v>
      </c>
      <c r="K45" s="824"/>
    </row>
    <row r="46" spans="1:8" s="20" customFormat="1" ht="15">
      <c r="A46" s="5"/>
      <c r="B46" s="29"/>
      <c r="C46" s="29"/>
      <c r="D46" s="29"/>
      <c r="F46" s="81"/>
      <c r="G46" s="29"/>
      <c r="H46" s="4"/>
    </row>
    <row r="47" spans="1:9" s="20" customFormat="1" ht="15">
      <c r="A47" s="19">
        <f>A45+1</f>
        <v>22</v>
      </c>
      <c r="B47" s="29"/>
      <c r="C47" s="29"/>
      <c r="D47" s="29" t="str">
        <f>'Appendix A'!C184</f>
        <v>Weighted Cost of Debt</v>
      </c>
      <c r="E47" s="2"/>
      <c r="F47" s="3" t="str">
        <f>'Appendix A'!D184</f>
        <v>Total Long Term Debt (WCLTD)</v>
      </c>
      <c r="G47" s="29" t="str">
        <f>"(Line "&amp;A39&amp;" * "&amp;A43&amp;")"</f>
        <v>(Line 16 * 19)</v>
      </c>
      <c r="H47" s="18"/>
      <c r="I47" s="15">
        <f>I43*I39</f>
        <v>0.015606885490771072</v>
      </c>
    </row>
    <row r="48" spans="1:9" s="20" customFormat="1" ht="15">
      <c r="A48" s="5">
        <f>A47+1</f>
        <v>23</v>
      </c>
      <c r="B48" s="29"/>
      <c r="C48" s="29"/>
      <c r="D48" s="29" t="str">
        <f>'Appendix A'!C185</f>
        <v>Weighted Cost of Preferred</v>
      </c>
      <c r="E48" s="2"/>
      <c r="F48" s="3" t="str">
        <f>'Appendix A'!D185</f>
        <v>Preferred Stock</v>
      </c>
      <c r="G48" s="29" t="str">
        <f>"(Line "&amp;A40&amp;" * "&amp;A44&amp;")"</f>
        <v>(Line 17 * 20)</v>
      </c>
      <c r="H48" s="30"/>
      <c r="I48" s="15">
        <f>I44*I40</f>
        <v>0</v>
      </c>
    </row>
    <row r="49" spans="1:9" s="20" customFormat="1" ht="15">
      <c r="A49" s="5">
        <f>A48+1</f>
        <v>24</v>
      </c>
      <c r="B49" s="29"/>
      <c r="C49" s="29"/>
      <c r="D49" s="44" t="str">
        <f>'Appendix A'!C186</f>
        <v>Weighted Cost of Common</v>
      </c>
      <c r="E49" s="80"/>
      <c r="F49" s="83" t="str">
        <f>'Appendix A'!D186</f>
        <v>Common Stock</v>
      </c>
      <c r="G49" s="44" t="str">
        <f>"(Line "&amp;A41&amp;" * "&amp;A45&amp;")"</f>
        <v>(Line 18 * 21)</v>
      </c>
      <c r="H49" s="53"/>
      <c r="I49" s="84">
        <f>I45*I41</f>
        <v>0.076693541692184605</v>
      </c>
    </row>
    <row r="50" spans="1:9" s="20" customFormat="1" ht="15.6">
      <c r="A50" s="5">
        <f>A49+1</f>
        <v>25</v>
      </c>
      <c r="B50" s="29"/>
      <c r="C50" s="29" t="str">
        <f>'Appendix A'!B187</f>
        <v>Rate of Return on Rate Base ( ROR )</v>
      </c>
      <c r="D50" s="29"/>
      <c r="E50" s="1"/>
      <c r="F50" s="1"/>
      <c r="G50" s="29" t="str">
        <f>"(Sum Lines "&amp;A47&amp;" to "&amp;A49&amp;")"</f>
        <v>(Sum Lines 22 to 24)</v>
      </c>
      <c r="H50" s="40"/>
      <c r="I50" s="39">
        <f>SUM(I47:I49)</f>
        <v>0.092300427182955683</v>
      </c>
    </row>
    <row r="51" spans="1:9" s="20" customFormat="1" ht="15.6">
      <c r="A51" s="7"/>
      <c r="B51" s="29"/>
      <c r="C51" s="29"/>
      <c r="D51" s="29"/>
      <c r="E51" s="1"/>
      <c r="F51" s="1"/>
      <c r="G51" s="48"/>
      <c r="H51" s="40"/>
      <c r="I51" s="39"/>
    </row>
    <row r="52" spans="1:9" s="20" customFormat="1" ht="16.2" thickBot="1">
      <c r="A52" s="19">
        <f>A50+1</f>
        <v>26</v>
      </c>
      <c r="B52" s="29"/>
      <c r="C52" s="29" t="str">
        <f>'Appendix A'!B189</f>
        <v>Investment Return = Rate Base * Rate of Return</v>
      </c>
      <c r="D52" s="29"/>
      <c r="E52" s="26"/>
      <c r="F52" s="51"/>
      <c r="G52" s="188" t="str">
        <f>"(Line "&amp;A16&amp;" * Line "&amp;A50&amp;")"</f>
        <v>(Line 1 * Line 25)</v>
      </c>
      <c r="H52" s="55"/>
      <c r="I52" s="27">
        <f>+I50*I16</f>
        <v>128220106.43304326</v>
      </c>
    </row>
    <row r="53" spans="1:9" s="20" customFormat="1" ht="15.6" thickTop="1">
      <c r="A53" s="5"/>
      <c r="B53" s="5"/>
      <c r="C53" s="19"/>
      <c r="D53" s="2"/>
      <c r="F53" s="19"/>
      <c r="G53" s="4"/>
      <c r="H53" s="4"/>
      <c r="I53" s="15"/>
    </row>
    <row r="54" spans="1:9" s="20" customFormat="1" ht="15.6">
      <c r="A54" s="60" t="s">
        <v>884</v>
      </c>
      <c r="B54" s="60"/>
      <c r="C54" s="61"/>
      <c r="D54" s="62"/>
      <c r="E54" s="57"/>
      <c r="F54" s="86"/>
      <c r="G54" s="57"/>
      <c r="H54" s="57"/>
      <c r="I54" s="63"/>
    </row>
    <row r="55" spans="1:11" s="20" customFormat="1" ht="15.6">
      <c r="A55" s="29"/>
      <c r="B55" s="29"/>
      <c r="C55" s="19"/>
      <c r="D55" s="1"/>
      <c r="F55" s="14"/>
      <c r="I55" s="24"/>
      <c r="K55" s="41"/>
    </row>
    <row r="56" spans="1:8" s="20" customFormat="1" ht="15.6">
      <c r="A56" s="19" t="s">
        <v>447</v>
      </c>
      <c r="B56" s="19"/>
      <c r="C56" s="66" t="s">
        <v>500</v>
      </c>
      <c r="F56" s="14"/>
      <c r="G56" s="4"/>
      <c r="H56" s="11"/>
    </row>
    <row r="57" spans="1:9" s="20" customFormat="1" ht="15">
      <c r="A57" s="19">
        <f>+A52+1</f>
        <v>27</v>
      </c>
      <c r="B57" s="19"/>
      <c r="C57" s="19"/>
      <c r="D57" s="20" t="s">
        <v>498</v>
      </c>
      <c r="F57" s="19"/>
      <c r="G57" s="81" t="str">
        <f>"Appendix A, Line "&amp;'Appendix A'!A194&amp;""</f>
        <v>Appendix A, Line 109</v>
      </c>
      <c r="H57" s="21"/>
      <c r="I57" s="133">
        <f>+'Appendix A'!H194</f>
        <v>0.21</v>
      </c>
    </row>
    <row r="58" spans="1:9" s="20" customFormat="1" ht="15">
      <c r="A58" s="5">
        <f>+A57+1</f>
        <v>28</v>
      </c>
      <c r="B58" s="19"/>
      <c r="C58" s="19"/>
      <c r="D58" s="21" t="s">
        <v>497</v>
      </c>
      <c r="E58" s="16"/>
      <c r="F58" s="19"/>
      <c r="G58" s="81" t="str">
        <f>"Appendix A, Line "&amp;'Appendix A'!A195&amp;""</f>
        <v>Appendix A, Line 110</v>
      </c>
      <c r="H58" s="21"/>
      <c r="I58" s="133">
        <f>+'Appendix A'!H195</f>
        <v>0.072452659199999991</v>
      </c>
    </row>
    <row r="59" spans="1:9" s="20" customFormat="1" ht="15">
      <c r="A59" s="5">
        <f>+A58+1</f>
        <v>29</v>
      </c>
      <c r="B59" s="19"/>
      <c r="C59" s="19"/>
      <c r="D59" s="21" t="s">
        <v>842</v>
      </c>
      <c r="E59" s="21"/>
      <c r="F59" s="19"/>
      <c r="G59" s="81" t="str">
        <f>"Appendix A, Line "&amp;'Appendix A'!A196&amp;""</f>
        <v>Appendix A, Line 111</v>
      </c>
      <c r="H59" s="21"/>
      <c r="I59" s="133">
        <f>+'Appendix A'!H196</f>
        <v>0</v>
      </c>
    </row>
    <row r="60" spans="1:9" s="20" customFormat="1" ht="15">
      <c r="A60" s="5">
        <f>+A59+1</f>
        <v>30</v>
      </c>
      <c r="B60" s="19"/>
      <c r="C60" s="19"/>
      <c r="D60" s="21" t="s">
        <v>549</v>
      </c>
      <c r="E60" s="10" t="s">
        <v>561</v>
      </c>
      <c r="F60" s="19"/>
      <c r="G60" s="81" t="str">
        <f>"Appendix A, Line "&amp;'Appendix A'!A197&amp;""</f>
        <v>Appendix A, Line 112</v>
      </c>
      <c r="H60" s="21"/>
      <c r="I60" s="133">
        <f>+'Appendix A'!H197</f>
        <v>0.26723760076799996</v>
      </c>
    </row>
    <row r="61" spans="1:11" s="20" customFormat="1" ht="15">
      <c r="A61" s="5">
        <f>+A60+1</f>
        <v>31</v>
      </c>
      <c r="B61" s="19"/>
      <c r="C61" s="19"/>
      <c r="D61" s="21" t="s">
        <v>543</v>
      </c>
      <c r="E61" s="16"/>
      <c r="F61" s="19"/>
      <c r="G61" s="81" t="str">
        <f>"Appendix A, Line "&amp;'Appendix A'!A198&amp;""</f>
        <v>Appendix A, Line 113</v>
      </c>
      <c r="H61" s="21"/>
      <c r="I61" s="133">
        <f>+'Appendix A'!H198</f>
        <v>0.3646988451482891</v>
      </c>
      <c r="K61" s="700"/>
    </row>
    <row r="62" spans="1:9" s="20" customFormat="1" ht="15">
      <c r="A62" s="19"/>
      <c r="B62" s="19"/>
      <c r="C62" s="19"/>
      <c r="F62" s="9"/>
      <c r="G62" s="10"/>
      <c r="H62" s="11"/>
      <c r="I62" s="12"/>
    </row>
    <row r="63" spans="1:9" s="20" customFormat="1" ht="15.6">
      <c r="A63" s="19"/>
      <c r="B63" s="19"/>
      <c r="C63" s="19"/>
      <c r="F63" s="9"/>
      <c r="G63" s="10"/>
      <c r="H63" s="11"/>
      <c r="I63" s="106"/>
    </row>
    <row r="64" spans="1:9" s="20" customFormat="1" ht="15.6">
      <c r="A64" s="19">
        <f>+A61+1</f>
        <v>32</v>
      </c>
      <c r="B64" s="19"/>
      <c r="C64" s="1" t="s">
        <v>518</v>
      </c>
      <c r="E64" s="2" t="s">
        <v>520</v>
      </c>
      <c r="F64" s="14"/>
      <c r="G64" s="4"/>
      <c r="I64" s="488">
        <f>+I61*(1-I47/I50)*I52</f>
        <v>38854882.858858377</v>
      </c>
    </row>
    <row r="65" spans="1:9" s="20" customFormat="1" ht="15.6">
      <c r="A65" s="19" t="s">
        <v>1099</v>
      </c>
      <c r="B65" s="19"/>
      <c r="C65" s="1015" t="s">
        <v>1096</v>
      </c>
      <c r="D65" s="29"/>
      <c r="F65" s="19"/>
      <c r="G65" s="41" t="s">
        <v>1100</v>
      </c>
      <c r="H65" s="32"/>
      <c r="I65" s="34">
        <f>'Appendix A'!H201</f>
        <v>1863316.1603563593</v>
      </c>
    </row>
    <row r="66" spans="1:11" s="20" customFormat="1" ht="16.2" thickBot="1">
      <c r="A66" s="19">
        <f>+A64+1</f>
        <v>33</v>
      </c>
      <c r="B66" s="19"/>
      <c r="C66" s="54" t="s">
        <v>425</v>
      </c>
      <c r="D66" s="54"/>
      <c r="E66" s="26"/>
      <c r="F66" s="90"/>
      <c r="G66" s="27" t="s">
        <v>1101</v>
      </c>
      <c r="H66" s="65"/>
      <c r="I66" s="495">
        <f>+I64+I65</f>
        <v>40718199.019214734</v>
      </c>
      <c r="K66" s="41" t="s">
        <v>447</v>
      </c>
    </row>
    <row r="67" spans="1:9" s="20" customFormat="1" ht="15.6" thickTop="1">
      <c r="A67" s="19"/>
      <c r="B67" s="19"/>
      <c r="C67" s="19"/>
      <c r="D67" s="10"/>
      <c r="F67" s="19"/>
      <c r="G67" s="13"/>
      <c r="H67" s="6"/>
      <c r="I67" s="67"/>
    </row>
    <row r="68" s="20" customFormat="1" ht="15"/>
    <row r="97" spans="8:8" ht="13.2">
      <c r="H97">
        <v>13847278</v>
      </c>
    </row>
  </sheetData>
  <customSheetViews>
    <customSheetView guid="{dc91def3-837b-4bb9-a81e-3b78c5914e6c}" fitToPage="1" hiddenRows="1" scale="75" showPageBreaks="1" topLeftCell="A1">
      <selection pane="topLeft" activeCell="G9" sqref="G9"/>
      <pageMargins left="0.5" right="0.5" top="0.5" bottom="0.5" header="0.5" footer="0.5"/>
      <printOptions horizontalCentered="1"/>
      <pageSetup orientation="portrait" paperSize="1" scale="53" r:id="rId2"/>
      <headerFooter alignWithMargins="0">
        <oddHeader>&amp;R&amp;12Page &amp;P of &amp;N</oddHeader>
      </headerFooter>
    </customSheetView>
    <customSheetView guid="{28948e05-8f34-4f1e-96fb-a80a6a844600}" fitToPage="1" hiddenRows="1" scale="75" showPageBreaks="1" topLeftCell="A1">
      <selection pane="topLeft" activeCell="D6" sqref="D6"/>
      <pageMargins left="0.5" right="0.5" top="0.5" bottom="0.5" header="0.5" footer="0.5"/>
      <printOptions horizontalCentered="1"/>
      <pageSetup orientation="portrait" paperSize="1" scale="53" r:id="rId3"/>
      <headerFooter alignWithMargins="0">
        <oddHeader>&amp;R&amp;12Page &amp;P of &amp;N</oddHeader>
      </headerFooter>
    </customSheetView>
    <customSheetView guid="{71b42b22-a376-44b5-b0c1-23fc1aa3dba2}" fitToPage="1" hiddenRows="1" scale="75" topLeftCell="A1">
      <selection pane="topLeft" activeCell="D6" sqref="D6"/>
      <pageMargins left="0.5" right="0.5" top="0.5" bottom="0.5" header="0.5" footer="0.5"/>
      <printOptions horizontalCentered="1"/>
      <pageSetup orientation="portrait" paperSize="1" scale="53" r:id="rId4"/>
      <headerFooter alignWithMargins="0">
        <oddHeader>&amp;R&amp;14Page &amp;P of &amp;N</oddHeader>
      </headerFooter>
    </customSheetView>
    <customSheetView guid="{faad9aac-1337-43ab-bf1f-ccf9dfcf5b78}" fitToPage="1" hiddenRows="1" scale="75" topLeftCell="A35">
      <selection pane="topLeft" activeCell="I49" sqref="I49"/>
      <pageMargins left="0.5" right="0.5" top="0.5" bottom="0.5" header="0.5" footer="0.5"/>
      <printOptions horizontalCentered="1"/>
      <pageSetup orientation="portrait" paperSize="1" scale="53" r:id="rId5"/>
      <headerFooter alignWithMargins="0">
        <oddHeader>&amp;R&amp;12Page &amp;P of &amp;N</oddHeader>
      </headerFooter>
    </customSheetView>
    <customSheetView guid="{4c7c2344-134c-465a-adeb-a5e96aae2308}" fitToPage="1" hiddenRows="1" scale="75" showPageBreaks="1" topLeftCell="A35">
      <selection pane="topLeft" activeCell="I49" sqref="I49"/>
      <pageMargins left="0.5" right="0.5" top="0.5" bottom="0.5" header="0.5" footer="0.5"/>
      <printOptions horizontalCentered="1"/>
      <pageSetup orientation="portrait" paperSize="1" scale="53" r:id="rId6"/>
      <headerFooter alignWithMargins="0">
        <oddHeader>&amp;R&amp;12Page &amp;P of &amp;N</oddHeader>
      </headerFooter>
    </customSheetView>
    <customSheetView guid="{da967730-b71f-4038-b1b7-9d4790729c5d}" fitToPage="1" hiddenRows="1" scale="75" showPageBreaks="1" topLeftCell="A35">
      <selection pane="topLeft" activeCell="I49" sqref="I49"/>
      <pageMargins left="0.5" right="0.5" top="0.5" bottom="0.5" header="0.5" footer="0.5"/>
      <printOptions horizontalCentered="1"/>
      <pageSetup orientation="portrait" paperSize="1" scale="53" r:id="rId7"/>
      <headerFooter alignWithMargins="0">
        <oddHeader>&amp;R&amp;12Page &amp;P of &amp;N</oddHeader>
      </headerFooter>
    </customSheetView>
    <customSheetView guid="{f96d6087-3330-4a81-95ec-26ba83722a49}" fitToPage="1" hiddenRows="1" scale="75" showPageBreaks="1" topLeftCell="A35">
      <selection pane="topLeft" activeCell="I49" sqref="I49"/>
      <pageMargins left="0.5" right="0.5" top="0.5" bottom="0.5" header="0.5" footer="0.5"/>
      <printOptions horizontalCentered="1"/>
      <pageSetup orientation="portrait" paperSize="1" scale="53" r:id="rId8"/>
      <headerFooter alignWithMargins="0">
        <oddHeader>&amp;R&amp;12Page &amp;P of &amp;N</oddHeader>
      </headerFooter>
    </customSheetView>
    <customSheetView guid="{3a38df7a-c35e-4dd3-9893-26310a3ef836}" fitToPage="1" hiddenRows="1" scale="70" showPageBreaks="1" topLeftCell="A1">
      <selection pane="topLeft" activeCell="A3" sqref="A3:I3"/>
      <pageMargins left="0.5" right="0.5" top="0.5" bottom="0.5" header="0.5" footer="0.5"/>
      <printOptions horizontalCentered="1"/>
      <pageSetup orientation="portrait" paperSize="1" scale="53" r:id="rId9"/>
      <headerFooter alignWithMargins="0">
        <oddHeader>&amp;R&amp;12Page &amp;P of &amp;N</oddHeader>
      </headerFooter>
    </customSheetView>
  </customSheetViews>
  <mergeCells count="2">
    <mergeCell ref="A1:I1"/>
    <mergeCell ref="A3:I3"/>
  </mergeCells>
  <printOptions horizontalCentered="1"/>
  <pageMargins left="0.5" right="0.33" top="0.5" bottom="0.5" header="0.5" footer="0.5"/>
  <pageSetup orientation="portrait" paperSize="1" scale="43" r:id="rId1"/>
  <headerFooter alignWithMargins="0">
    <oddHeader>&amp;R&amp;14EXHIBIT NO. TRC-203
ATTACHMENT H-18A
Page &amp;P of &amp;N</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V378"/>
  <sheetViews>
    <sheetView view="pageBreakPreview" zoomScale="85" zoomScaleNormal="70" zoomScaleSheetLayoutView="85" workbookViewId="0" topLeftCell="A275">
      <selection pane="topLeft" activeCell="J108" sqref="J108"/>
    </sheetView>
  </sheetViews>
  <sheetFormatPr defaultRowHeight="13.2"/>
  <cols>
    <col min="1" max="1" width="7.55555555555556" customWidth="1"/>
    <col min="2" max="2" width="2.44444444444444" customWidth="1"/>
    <col min="3" max="3" width="57.4444444444444" customWidth="1"/>
    <col min="4" max="4" width="37.1111111111111" customWidth="1"/>
    <col min="5" max="5" width="14.4444444444444" customWidth="1"/>
    <col min="6" max="6" width="24" customWidth="1"/>
    <col min="7" max="7" width="21.8888888888889" customWidth="1"/>
    <col min="8" max="8" width="23.5555555555556" customWidth="1"/>
    <col min="9" max="9" width="18" customWidth="1"/>
    <col min="10" max="10" width="17.5555555555556" customWidth="1"/>
    <col min="11" max="11" width="17.1111111111111" customWidth="1"/>
    <col min="12" max="12" width="15.4444444444444" customWidth="1"/>
    <col min="13" max="13" width="17.1111111111111" customWidth="1"/>
    <col min="14" max="14" width="14.8888888888889" customWidth="1"/>
    <col min="15" max="15" width="19.4444444444444" customWidth="1"/>
    <col min="16" max="16" width="18.5555555555556" customWidth="1"/>
    <col min="17" max="17" width="19.1111111111111" customWidth="1"/>
    <col min="18" max="18" width="17.5555555555556" bestFit="1" customWidth="1"/>
    <col min="19" max="19" width="17.8888888888889" customWidth="1"/>
    <col min="20" max="20" width="18.5555555555556" customWidth="1"/>
    <col min="21" max="21" width="16.8888888888889" customWidth="1"/>
    <col min="22" max="43" width="17.8888888888889" customWidth="1"/>
    <col min="44" max="44" width="19.1111111111111" customWidth="1"/>
    <col min="45" max="45" width="19.4444444444444" customWidth="1"/>
    <col min="46" max="62" width="17.8888888888889" customWidth="1"/>
    <col min="63" max="64" width="18.5555555555556" customWidth="1"/>
    <col min="65" max="65" width="19" bestFit="1" customWidth="1"/>
    <col min="66" max="67" width="20.5555555555556" bestFit="1" customWidth="1"/>
    <col min="68" max="68" width="14.4444444444444" bestFit="1" customWidth="1"/>
    <col min="69" max="69" width="11.5555555555556" bestFit="1" customWidth="1"/>
  </cols>
  <sheetData>
    <row r="1" spans="1:19" ht="21" customHeight="1">
      <c r="A1" s="145"/>
      <c r="B1" s="137"/>
      <c r="D1" s="95" t="s">
        <v>447</v>
      </c>
      <c r="E1" s="96"/>
      <c r="F1" s="97"/>
      <c r="G1" s="145" t="s">
        <v>368</v>
      </c>
      <c r="H1" s="116"/>
      <c r="I1" s="116"/>
      <c r="J1" s="116"/>
      <c r="K1" s="116"/>
      <c r="L1" s="116"/>
      <c r="M1" s="116"/>
      <c r="N1" s="116"/>
      <c r="O1" s="116"/>
      <c r="P1" s="116"/>
      <c r="Q1" s="116"/>
      <c r="R1" s="116"/>
      <c r="S1" s="116"/>
    </row>
    <row r="2" spans="1:19" ht="21" customHeight="1">
      <c r="A2" s="190"/>
      <c r="B2" s="137"/>
      <c r="D2" s="20"/>
      <c r="E2" s="96"/>
      <c r="F2" s="97"/>
      <c r="H2" s="116"/>
      <c r="I2" s="116"/>
      <c r="J2" s="117"/>
      <c r="K2" s="534"/>
      <c r="L2" s="116"/>
      <c r="M2" s="116"/>
      <c r="N2" s="116"/>
      <c r="O2" s="116"/>
      <c r="P2" s="116"/>
      <c r="Q2" s="116"/>
      <c r="R2" s="116"/>
      <c r="S2" s="216"/>
    </row>
    <row r="3" spans="1:42 86:100" ht="21" customHeight="1">
      <c r="A3" s="190"/>
      <c r="B3" s="137"/>
      <c r="C3" s="127"/>
      <c r="D3" s="979"/>
      <c r="E3" s="96"/>
      <c r="F3" s="97"/>
      <c r="G3" s="258" t="s">
        <v>534</v>
      </c>
      <c r="H3" s="116"/>
      <c r="I3" s="116"/>
      <c r="J3" s="116"/>
      <c r="K3" s="116"/>
      <c r="L3" s="116"/>
      <c r="M3" s="116"/>
      <c r="N3" s="116"/>
      <c r="O3" s="116"/>
      <c r="P3" s="116"/>
      <c r="Q3" s="116"/>
      <c r="R3" s="116"/>
      <c r="S3" s="216"/>
      <c r="AB3" s="299"/>
      <c r="AC3" s="299"/>
      <c r="AD3" s="299"/>
      <c r="AE3" s="299"/>
      <c r="AF3" s="299"/>
      <c r="AG3" s="299"/>
      <c r="AH3" s="299"/>
      <c r="AI3" s="299"/>
      <c r="AJ3" s="299"/>
      <c r="AK3" s="299"/>
      <c r="AL3" s="299"/>
      <c r="AM3" s="299"/>
      <c r="AN3" s="299"/>
      <c r="AO3" s="299"/>
      <c r="AP3" s="299"/>
      <c r="CH3" s="1235"/>
      <c r="CI3" s="1235"/>
      <c r="CJ3" s="1235"/>
      <c r="CK3" s="1235"/>
      <c r="CL3" s="1235"/>
      <c r="CM3" s="1235"/>
      <c r="CN3" s="1235"/>
      <c r="CO3" s="1235"/>
      <c r="CP3" s="1235"/>
      <c r="CQ3" s="1235"/>
      <c r="CR3" s="1235"/>
      <c r="CS3" s="1235"/>
      <c r="CT3" s="1235"/>
      <c r="CU3" s="1235"/>
      <c r="CV3" s="1235"/>
    </row>
    <row r="4" spans="1:2" s="1190" customFormat="1" ht="13.8" thickBot="1">
      <c r="A4" s="1236" t="s">
        <v>916</v>
      </c>
      <c r="B4" s="1237"/>
    </row>
    <row r="5" spans="1:100" s="1190" customFormat="1" ht="13.8" thickBot="1">
      <c r="A5" s="1759" t="s">
        <v>422</v>
      </c>
      <c r="B5" s="1760"/>
      <c r="C5" s="1760"/>
      <c r="D5" s="1760"/>
      <c r="E5" s="1760"/>
      <c r="F5" s="1760"/>
      <c r="G5" s="1238"/>
      <c r="H5" s="1239"/>
      <c r="I5" s="1240"/>
      <c r="J5" s="1240"/>
      <c r="K5" s="1240"/>
      <c r="L5" s="1240"/>
      <c r="M5" s="1240"/>
      <c r="N5" s="1240"/>
      <c r="O5" s="1240"/>
      <c r="P5" s="1240"/>
      <c r="Q5" s="1240"/>
      <c r="R5" s="1240"/>
      <c r="S5" s="1240"/>
      <c r="T5" s="1240"/>
      <c r="U5" s="1240"/>
      <c r="V5" s="1240"/>
      <c r="W5" s="1240"/>
      <c r="X5" s="1240"/>
      <c r="Y5" s="1240"/>
      <c r="Z5" s="1241" t="s">
        <v>805</v>
      </c>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2"/>
      <c r="CH5" s="1243"/>
      <c r="CI5" s="1243"/>
      <c r="CJ5" s="1243"/>
      <c r="CK5" s="1243"/>
      <c r="CL5" s="1243"/>
      <c r="CM5" s="1243"/>
      <c r="CN5" s="1243"/>
      <c r="CO5" s="1243"/>
      <c r="CP5" s="1243"/>
      <c r="CQ5" s="1243"/>
      <c r="CR5" s="1243"/>
      <c r="CS5" s="1243"/>
      <c r="CT5" s="1243"/>
      <c r="CU5" s="1243"/>
      <c r="CV5" s="1243"/>
    </row>
    <row r="6" spans="1:100" s="1190" customFormat="1" ht="27.6" thickBot="1">
      <c r="A6" s="1244"/>
      <c r="B6" s="1245"/>
      <c r="C6" s="1245"/>
      <c r="D6" s="1245"/>
      <c r="E6" s="1245"/>
      <c r="F6" s="1246" t="s">
        <v>268</v>
      </c>
      <c r="G6" s="1247" t="s">
        <v>42</v>
      </c>
      <c r="H6" s="1248"/>
      <c r="I6" s="1248"/>
      <c r="J6" s="1248"/>
      <c r="K6" s="1248"/>
      <c r="L6" s="1248"/>
      <c r="M6" s="1248"/>
      <c r="N6" s="1248"/>
      <c r="O6" s="1248"/>
      <c r="P6" s="1248"/>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5"/>
      <c r="AY6" s="625"/>
      <c r="AZ6" s="625"/>
      <c r="BA6" s="625"/>
      <c r="BB6" s="625"/>
      <c r="BC6" s="625"/>
      <c r="BD6" s="625"/>
      <c r="BE6" s="625"/>
      <c r="BF6" s="625"/>
      <c r="BG6" s="625"/>
      <c r="BH6" s="625"/>
      <c r="BI6" s="625"/>
      <c r="BJ6" s="625"/>
      <c r="BK6" s="625"/>
      <c r="BL6" s="625"/>
      <c r="BM6" s="1249"/>
      <c r="BN6" s="1249"/>
      <c r="BO6" s="1249"/>
      <c r="BP6" s="1249"/>
      <c r="BQ6" s="1249"/>
      <c r="BR6" s="1249"/>
      <c r="BS6" s="1249"/>
      <c r="BT6" s="1249"/>
      <c r="BU6" s="1249"/>
      <c r="BV6" s="1249"/>
      <c r="BW6" s="1249"/>
      <c r="BX6" s="1249"/>
      <c r="BY6" s="1249"/>
      <c r="BZ6" s="1249"/>
      <c r="CA6" s="1249"/>
      <c r="CB6" s="1249"/>
      <c r="CC6" s="1249"/>
      <c r="CD6" s="1249"/>
      <c r="CE6" s="1250"/>
      <c r="CF6" s="1251"/>
      <c r="CG6" s="1251"/>
      <c r="CH6" s="1246"/>
      <c r="CI6" s="1246"/>
      <c r="CJ6" s="1246"/>
      <c r="CK6" s="1246"/>
      <c r="CL6" s="1246"/>
      <c r="CM6" s="1246"/>
      <c r="CN6" s="1246"/>
      <c r="CO6" s="1246"/>
      <c r="CP6" s="1246"/>
      <c r="CQ6" s="1246"/>
      <c r="CR6" s="1246"/>
      <c r="CS6" s="1246"/>
      <c r="CT6" s="1246"/>
      <c r="CU6" s="1246"/>
      <c r="CV6" s="1246"/>
    </row>
    <row r="7" spans="1:66" s="1190" customFormat="1" ht="27">
      <c r="A7" s="1252"/>
      <c r="C7" s="1253" t="s">
        <v>917</v>
      </c>
      <c r="D7" s="1190" t="s">
        <v>918</v>
      </c>
      <c r="E7" s="1245"/>
      <c r="F7" s="1254" t="s">
        <v>524</v>
      </c>
      <c r="G7" s="1255" t="s">
        <v>524</v>
      </c>
      <c r="H7" s="849" t="s">
        <v>664</v>
      </c>
      <c r="I7" s="948" t="s">
        <v>398</v>
      </c>
      <c r="J7" s="850" t="s">
        <v>31</v>
      </c>
      <c r="K7" s="850" t="s">
        <v>604</v>
      </c>
      <c r="L7" s="850" t="s">
        <v>941</v>
      </c>
      <c r="M7" s="1256" t="s">
        <v>139</v>
      </c>
      <c r="N7" s="850" t="s">
        <v>321</v>
      </c>
      <c r="O7" s="1256" t="s">
        <v>908</v>
      </c>
      <c r="P7" s="850" t="s">
        <v>942</v>
      </c>
      <c r="Q7" s="850" t="s">
        <v>943</v>
      </c>
      <c r="R7" s="1257" t="s">
        <v>944</v>
      </c>
      <c r="S7" s="1257" t="s">
        <v>945</v>
      </c>
      <c r="T7" s="1257" t="s">
        <v>946</v>
      </c>
      <c r="U7" s="1258" t="s">
        <v>339</v>
      </c>
      <c r="V7" s="1258" t="s">
        <v>966</v>
      </c>
      <c r="W7" s="1256" t="s">
        <v>958</v>
      </c>
      <c r="X7" s="1256" t="s">
        <v>959</v>
      </c>
      <c r="Y7" s="1258" t="s">
        <v>967</v>
      </c>
      <c r="Z7" s="1258" t="s">
        <v>968</v>
      </c>
      <c r="AA7" s="1256" t="s">
        <v>971</v>
      </c>
      <c r="AB7" s="1256" t="s">
        <v>972</v>
      </c>
      <c r="AC7" s="1256" t="s">
        <v>973</v>
      </c>
      <c r="AD7" s="1256" t="s">
        <v>974</v>
      </c>
      <c r="AE7" s="1256" t="s">
        <v>975</v>
      </c>
      <c r="AF7" s="1256" t="s">
        <v>976</v>
      </c>
      <c r="AG7" s="1256" t="s">
        <v>977</v>
      </c>
      <c r="AH7" s="1256" t="s">
        <v>978</v>
      </c>
      <c r="AI7" s="1256" t="s">
        <v>979</v>
      </c>
      <c r="AJ7" s="1256" t="s">
        <v>980</v>
      </c>
      <c r="AK7" s="1256" t="s">
        <v>981</v>
      </c>
      <c r="AL7" s="1256" t="s">
        <v>982</v>
      </c>
      <c r="AM7" s="1256" t="s">
        <v>983</v>
      </c>
      <c r="AN7" s="1256" t="s">
        <v>984</v>
      </c>
      <c r="AO7" s="1256" t="s">
        <v>985</v>
      </c>
      <c r="AP7" s="1256" t="s">
        <v>986</v>
      </c>
      <c r="AQ7" s="1256" t="s">
        <v>998</v>
      </c>
      <c r="AR7" s="1256" t="s">
        <v>1001</v>
      </c>
      <c r="AS7" s="1256" t="s">
        <v>1008</v>
      </c>
      <c r="AT7" s="1256" t="s">
        <v>1009</v>
      </c>
      <c r="AU7" s="1256" t="s">
        <v>1002</v>
      </c>
      <c r="AV7" s="1256" t="s">
        <v>1003</v>
      </c>
      <c r="AW7" s="1256" t="s">
        <v>1010</v>
      </c>
      <c r="AX7" s="1256" t="s">
        <v>1004</v>
      </c>
      <c r="AY7" s="1256" t="s">
        <v>1011</v>
      </c>
      <c r="AZ7" s="1256" t="s">
        <v>990</v>
      </c>
      <c r="BA7" s="1256" t="s">
        <v>1005</v>
      </c>
      <c r="BB7" s="1256" t="s">
        <v>1006</v>
      </c>
      <c r="BC7" s="1256" t="s">
        <v>988</v>
      </c>
      <c r="BD7" s="1256" t="s">
        <v>1007</v>
      </c>
      <c r="BE7" s="1256" t="s">
        <v>1037</v>
      </c>
      <c r="BF7" s="1256" t="s">
        <v>1038</v>
      </c>
      <c r="BG7" s="1256" t="s">
        <v>1039</v>
      </c>
      <c r="BH7" s="1256" t="s">
        <v>1040</v>
      </c>
      <c r="BI7" s="1256" t="s">
        <v>1041</v>
      </c>
      <c r="BJ7" s="1256" t="s">
        <v>1044</v>
      </c>
      <c r="BK7" s="1256" t="s">
        <v>1045</v>
      </c>
      <c r="BL7" s="1256" t="s">
        <v>1052</v>
      </c>
      <c r="BM7" s="1256" t="s">
        <v>1190</v>
      </c>
      <c r="BN7" s="1259" t="s">
        <v>524</v>
      </c>
    </row>
    <row r="8" spans="1:66" s="1267" customFormat="1" ht="15">
      <c r="A8" s="1260"/>
      <c r="B8" s="822"/>
      <c r="C8" s="822" t="s">
        <v>919</v>
      </c>
      <c r="D8" s="599" t="s">
        <v>666</v>
      </c>
      <c r="E8" s="990" t="s">
        <v>1416</v>
      </c>
      <c r="F8" s="1261">
        <f t="shared" si="0" ref="F8:F19">SUM(H8:BM8)</f>
        <v>2239340842.3408337</v>
      </c>
      <c r="G8" s="1262"/>
      <c r="H8" s="949">
        <v>51563286.10799367</v>
      </c>
      <c r="I8" s="921">
        <v>17822592.081812024</v>
      </c>
      <c r="J8" s="921">
        <v>1072484323.3801799</v>
      </c>
      <c r="K8" s="921">
        <v>2127020.44</v>
      </c>
      <c r="L8" s="921">
        <v>24584149.139999997</v>
      </c>
      <c r="M8" s="1263">
        <v>8206717.8600000003</v>
      </c>
      <c r="N8" s="1264">
        <v>1923901.7200000002</v>
      </c>
      <c r="O8" s="1263">
        <v>9306945.75</v>
      </c>
      <c r="P8" s="1264">
        <v>6486619.7800000003</v>
      </c>
      <c r="Q8" s="1264">
        <v>39616234.559999995</v>
      </c>
      <c r="R8" s="1264">
        <v>5183480.7300000004</v>
      </c>
      <c r="S8" s="1264">
        <v>4721102.9300000016</v>
      </c>
      <c r="T8" s="1264">
        <v>5687570.0399999991</v>
      </c>
      <c r="U8" s="1264">
        <v>8161217.5987799121</v>
      </c>
      <c r="V8" s="1264">
        <v>15618099.822541978</v>
      </c>
      <c r="W8" s="1264">
        <v>2887997.8382409401</v>
      </c>
      <c r="X8" s="1264">
        <v>831385.57000000007</v>
      </c>
      <c r="Y8" s="1264">
        <v>5998232.4419019362</v>
      </c>
      <c r="Z8" s="1264">
        <v>62802653.43497514</v>
      </c>
      <c r="AA8" s="1264">
        <v>656546.15</v>
      </c>
      <c r="AB8" s="346">
        <v>19881049.619413786</v>
      </c>
      <c r="AC8" s="346">
        <v>28831762.177578848</v>
      </c>
      <c r="AD8" s="346">
        <v>1198270.03</v>
      </c>
      <c r="AE8" s="346">
        <v>1779158.9832078302</v>
      </c>
      <c r="AF8" s="346">
        <v>12863993.760000005</v>
      </c>
      <c r="AG8" s="346">
        <v>36634903.719999999</v>
      </c>
      <c r="AH8" s="346">
        <v>3707315.10</v>
      </c>
      <c r="AI8" s="346">
        <v>568850.11</v>
      </c>
      <c r="AJ8" s="346">
        <v>44215528.354949221</v>
      </c>
      <c r="AK8" s="346">
        <v>6184477.2999999998</v>
      </c>
      <c r="AL8" s="346">
        <v>438406.34</v>
      </c>
      <c r="AM8" s="346">
        <v>7878672.8999999985</v>
      </c>
      <c r="AN8" s="346">
        <v>61497977.820012473</v>
      </c>
      <c r="AO8" s="346">
        <v>9665677.8000000007</v>
      </c>
      <c r="AP8" s="346">
        <v>977450.41999999993</v>
      </c>
      <c r="AQ8" s="346">
        <v>1430262.0597174363</v>
      </c>
      <c r="AR8" s="346">
        <v>657212.19675400865</v>
      </c>
      <c r="AS8" s="346">
        <v>17681991.405322064</v>
      </c>
      <c r="AT8" s="346">
        <v>30156965.99845431</v>
      </c>
      <c r="AU8" s="346">
        <v>1682757.0828155507</v>
      </c>
      <c r="AV8" s="346">
        <v>7439097.8308771038</v>
      </c>
      <c r="AW8" s="346">
        <v>1359966.5713257117</v>
      </c>
      <c r="AX8" s="346">
        <v>885548.53</v>
      </c>
      <c r="AY8" s="346">
        <v>18669458.24459492</v>
      </c>
      <c r="AZ8" s="346">
        <v>2184024.203072764</v>
      </c>
      <c r="BA8" s="346">
        <v>37837665.795742899</v>
      </c>
      <c r="BB8" s="346">
        <v>32538429.488667052</v>
      </c>
      <c r="BC8" s="346">
        <v>1091179.4826861946</v>
      </c>
      <c r="BD8" s="346">
        <v>900336.85883721244</v>
      </c>
      <c r="BE8" s="346">
        <v>110467937.37488651</v>
      </c>
      <c r="BF8" s="346">
        <v>46013078.111519367</v>
      </c>
      <c r="BG8" s="346">
        <v>44852368.92741733</v>
      </c>
      <c r="BH8" s="346">
        <v>37636449.25250528</v>
      </c>
      <c r="BI8" s="346">
        <v>71800093.232653797</v>
      </c>
      <c r="BJ8" s="346">
        <v>2023457.2869734014</v>
      </c>
      <c r="BK8" s="346">
        <v>22949389.799590871</v>
      </c>
      <c r="BL8" s="346">
        <v>10397907.133969827</v>
      </c>
      <c r="BM8" s="1265">
        <v>155691693.66086221</v>
      </c>
      <c r="BN8" s="1266">
        <f>SUM(H8:BM8)</f>
        <v>2239340842.3408337</v>
      </c>
    </row>
    <row r="9" spans="1:66" s="1267" customFormat="1" ht="13.2">
      <c r="A9" s="1260"/>
      <c r="B9" s="990"/>
      <c r="C9" s="822" t="s">
        <v>920</v>
      </c>
      <c r="D9" s="990" t="s">
        <v>921</v>
      </c>
      <c r="E9" s="990" t="s">
        <v>1443</v>
      </c>
      <c r="F9" s="1261">
        <f t="shared" si="0"/>
        <v>2246520141.9208336</v>
      </c>
      <c r="G9" s="1262"/>
      <c r="H9" s="950">
        <v>51579100.10799367</v>
      </c>
      <c r="I9" s="854">
        <v>17822592.081812024</v>
      </c>
      <c r="J9" s="854">
        <v>1072500589.3801799</v>
      </c>
      <c r="K9" s="854">
        <v>2127020.44</v>
      </c>
      <c r="L9" s="854">
        <v>25376780.139999997</v>
      </c>
      <c r="M9" s="1268">
        <v>8206717.8600000003</v>
      </c>
      <c r="N9" s="346">
        <v>1923901.7200000002</v>
      </c>
      <c r="O9" s="1268">
        <v>9351199.75</v>
      </c>
      <c r="P9" s="346">
        <v>6486619.7800000003</v>
      </c>
      <c r="Q9" s="346">
        <v>39616234.559999995</v>
      </c>
      <c r="R9" s="346">
        <v>5183480.7300000004</v>
      </c>
      <c r="S9" s="346">
        <v>4721102.9300000016</v>
      </c>
      <c r="T9" s="346">
        <v>5687570.0399999991</v>
      </c>
      <c r="U9" s="346">
        <v>8161217.5987799121</v>
      </c>
      <c r="V9" s="346">
        <v>15964438.822541978</v>
      </c>
      <c r="W9" s="346">
        <v>2880676.8382409401</v>
      </c>
      <c r="X9" s="346">
        <v>831385.57000000007</v>
      </c>
      <c r="Y9" s="346">
        <v>5974281.4419019362</v>
      </c>
      <c r="Z9" s="346">
        <v>62806386.43497514</v>
      </c>
      <c r="AA9" s="346">
        <v>656546.15</v>
      </c>
      <c r="AB9" s="346">
        <v>20106058.619413786</v>
      </c>
      <c r="AC9" s="346">
        <v>28839950.177578848</v>
      </c>
      <c r="AD9" s="346">
        <v>1198270.03</v>
      </c>
      <c r="AE9" s="346">
        <v>1779158.9832078302</v>
      </c>
      <c r="AF9" s="346">
        <v>12863993.760000005</v>
      </c>
      <c r="AG9" s="346">
        <v>36634954.719999999</v>
      </c>
      <c r="AH9" s="346">
        <v>3707315.10</v>
      </c>
      <c r="AI9" s="346">
        <v>568850.11</v>
      </c>
      <c r="AJ9" s="346">
        <v>44215528.354949221</v>
      </c>
      <c r="AK9" s="346">
        <v>6271469.2999999998</v>
      </c>
      <c r="AL9" s="346">
        <v>438406.34</v>
      </c>
      <c r="AM9" s="346">
        <v>7878672.8999999985</v>
      </c>
      <c r="AN9" s="346">
        <v>61478741.820012473</v>
      </c>
      <c r="AO9" s="346">
        <v>9665677.8000000007</v>
      </c>
      <c r="AP9" s="346">
        <v>977450.41999999993</v>
      </c>
      <c r="AQ9" s="346">
        <v>1430262.0597174363</v>
      </c>
      <c r="AR9" s="346">
        <v>657212.19675400865</v>
      </c>
      <c r="AS9" s="346">
        <v>16961317.985322062</v>
      </c>
      <c r="AT9" s="346">
        <v>30156965.99845431</v>
      </c>
      <c r="AU9" s="346">
        <v>1682757.0828155507</v>
      </c>
      <c r="AV9" s="346">
        <v>7439097.8308771038</v>
      </c>
      <c r="AW9" s="346">
        <v>1359966.5713257117</v>
      </c>
      <c r="AX9" s="346">
        <v>885548.53</v>
      </c>
      <c r="AY9" s="346">
        <v>18658761.24459492</v>
      </c>
      <c r="AZ9" s="346">
        <v>2189434.203072764</v>
      </c>
      <c r="BA9" s="346">
        <v>37851098.795742899</v>
      </c>
      <c r="BB9" s="346">
        <v>32538429.488667052</v>
      </c>
      <c r="BC9" s="346">
        <v>1091179.4826861946</v>
      </c>
      <c r="BD9" s="346">
        <v>900336.85883721244</v>
      </c>
      <c r="BE9" s="346">
        <v>110491874.37488651</v>
      </c>
      <c r="BF9" s="346">
        <v>46013078.111519367</v>
      </c>
      <c r="BG9" s="346">
        <v>44912060.92741733</v>
      </c>
      <c r="BH9" s="346">
        <v>37636449.25250528</v>
      </c>
      <c r="BI9" s="346">
        <v>71800982.232653797</v>
      </c>
      <c r="BJ9" s="346">
        <v>2023457.2869734014</v>
      </c>
      <c r="BK9" s="346">
        <v>22949389.799590871</v>
      </c>
      <c r="BL9" s="346">
        <v>10399331.133969827</v>
      </c>
      <c r="BM9" s="1265">
        <v>162008809.66086221</v>
      </c>
      <c r="BN9" s="1266">
        <f t="shared" si="1" ref="BN9:BN19">SUM(H9:BM9)</f>
        <v>2246520141.9208336</v>
      </c>
    </row>
    <row r="10" spans="1:66" s="1267" customFormat="1" ht="13.2">
      <c r="A10" s="1262"/>
      <c r="B10" s="822"/>
      <c r="C10" s="990" t="s">
        <v>922</v>
      </c>
      <c r="D10" s="990" t="s">
        <v>921</v>
      </c>
      <c r="E10" s="990" t="s">
        <v>1443</v>
      </c>
      <c r="F10" s="1261">
        <f t="shared" si="0"/>
        <v>2240402307.5708337</v>
      </c>
      <c r="G10" s="1262"/>
      <c r="H10" s="950">
        <v>51577092.467993669</v>
      </c>
      <c r="I10" s="854">
        <v>17822592.081812024</v>
      </c>
      <c r="J10" s="854">
        <v>1072500644.3301799</v>
      </c>
      <c r="K10" s="854">
        <v>2127020.44</v>
      </c>
      <c r="L10" s="854">
        <v>25374352.049999997</v>
      </c>
      <c r="M10" s="1268">
        <v>8206717.8600000003</v>
      </c>
      <c r="N10" s="346">
        <v>1923901.7200000002</v>
      </c>
      <c r="O10" s="1268">
        <v>9137591.1999999993</v>
      </c>
      <c r="P10" s="346">
        <v>6486619.7800000003</v>
      </c>
      <c r="Q10" s="346">
        <v>39616234.559999995</v>
      </c>
      <c r="R10" s="346">
        <v>5183480.7300000004</v>
      </c>
      <c r="S10" s="346">
        <v>4721102.9300000016</v>
      </c>
      <c r="T10" s="346">
        <v>5687570.0399999991</v>
      </c>
      <c r="U10" s="346">
        <v>8161217.5987799121</v>
      </c>
      <c r="V10" s="346">
        <v>15980665.422541978</v>
      </c>
      <c r="W10" s="346">
        <v>2882597.6682409402</v>
      </c>
      <c r="X10" s="346">
        <v>831385.57000000007</v>
      </c>
      <c r="Y10" s="346">
        <v>5978098.701901936</v>
      </c>
      <c r="Z10" s="346">
        <v>62806378.18497514</v>
      </c>
      <c r="AA10" s="346">
        <v>656546.15</v>
      </c>
      <c r="AB10" s="346">
        <v>20206388.829413787</v>
      </c>
      <c r="AC10" s="346">
        <v>28839950.187578849</v>
      </c>
      <c r="AD10" s="346">
        <v>1198270.03</v>
      </c>
      <c r="AE10" s="346">
        <v>1779158.9832078302</v>
      </c>
      <c r="AF10" s="346">
        <v>12863993.760000005</v>
      </c>
      <c r="AG10" s="346">
        <v>36634954.719999999</v>
      </c>
      <c r="AH10" s="346">
        <v>3707315.10</v>
      </c>
      <c r="AI10" s="346">
        <v>568850.11</v>
      </c>
      <c r="AJ10" s="346">
        <v>44215528.354949221</v>
      </c>
      <c r="AK10" s="346">
        <v>6265990.7299999995</v>
      </c>
      <c r="AL10" s="346">
        <v>438406.34</v>
      </c>
      <c r="AM10" s="346">
        <v>7878672.8999999985</v>
      </c>
      <c r="AN10" s="346">
        <v>61487421.720012471</v>
      </c>
      <c r="AO10" s="346">
        <v>9665677.8000000007</v>
      </c>
      <c r="AP10" s="346">
        <v>977450.41999999993</v>
      </c>
      <c r="AQ10" s="346">
        <v>1430262.0597174363</v>
      </c>
      <c r="AR10" s="346">
        <v>657212.19675400865</v>
      </c>
      <c r="AS10" s="346">
        <v>16961317.985322062</v>
      </c>
      <c r="AT10" s="346">
        <v>30156965.99845431</v>
      </c>
      <c r="AU10" s="346">
        <v>1682757.0828155507</v>
      </c>
      <c r="AV10" s="346">
        <v>7439097.8308771038</v>
      </c>
      <c r="AW10" s="346">
        <v>1359966.5713257117</v>
      </c>
      <c r="AX10" s="346">
        <v>885548.53</v>
      </c>
      <c r="AY10" s="346">
        <v>18676517.774594922</v>
      </c>
      <c r="AZ10" s="346">
        <v>2189434.203072764</v>
      </c>
      <c r="BA10" s="346">
        <v>37852893.915742896</v>
      </c>
      <c r="BB10" s="346">
        <v>32538429.488667052</v>
      </c>
      <c r="BC10" s="346">
        <v>1091179.4826861946</v>
      </c>
      <c r="BD10" s="346">
        <v>900336.85883721244</v>
      </c>
      <c r="BE10" s="346">
        <v>110458375.68488652</v>
      </c>
      <c r="BF10" s="346">
        <v>46013236.211519368</v>
      </c>
      <c r="BG10" s="346">
        <v>44852369.17741733</v>
      </c>
      <c r="BH10" s="346">
        <v>37636449.25250528</v>
      </c>
      <c r="BI10" s="346">
        <v>71801871.372653797</v>
      </c>
      <c r="BJ10" s="346">
        <v>2023457.2869734014</v>
      </c>
      <c r="BK10" s="346">
        <v>22949389.799590871</v>
      </c>
      <c r="BL10" s="346">
        <v>10406583.253969826</v>
      </c>
      <c r="BM10" s="1265">
        <v>156048816.08086219</v>
      </c>
      <c r="BN10" s="1266">
        <f t="shared" si="1"/>
        <v>2240402307.5708337</v>
      </c>
    </row>
    <row r="11" spans="1:66" s="1267" customFormat="1" ht="13.2">
      <c r="A11" s="1262"/>
      <c r="B11" s="822"/>
      <c r="C11" s="990" t="s">
        <v>349</v>
      </c>
      <c r="D11" s="990" t="s">
        <v>921</v>
      </c>
      <c r="E11" s="990" t="s">
        <v>1443</v>
      </c>
      <c r="F11" s="1261">
        <f t="shared" si="0"/>
        <v>2242477316.3808336</v>
      </c>
      <c r="G11" s="1262"/>
      <c r="H11" s="950">
        <v>51617950.937993668</v>
      </c>
      <c r="I11" s="854">
        <v>17822592.081812024</v>
      </c>
      <c r="J11" s="854">
        <v>1074211254.1901798</v>
      </c>
      <c r="K11" s="854">
        <v>2127020.44</v>
      </c>
      <c r="L11" s="854">
        <v>25386328.349999998</v>
      </c>
      <c r="M11" s="1268">
        <v>8206717.8600000003</v>
      </c>
      <c r="N11" s="346">
        <v>1923901.7200000002</v>
      </c>
      <c r="O11" s="1268">
        <v>9167317.6600000001</v>
      </c>
      <c r="P11" s="346">
        <v>6486619.7800000003</v>
      </c>
      <c r="Q11" s="346">
        <v>39616234.559999995</v>
      </c>
      <c r="R11" s="346">
        <v>5183480.7300000004</v>
      </c>
      <c r="S11" s="346">
        <v>4721102.9300000016</v>
      </c>
      <c r="T11" s="346">
        <v>5687570.0399999991</v>
      </c>
      <c r="U11" s="346">
        <v>8161217.5987799121</v>
      </c>
      <c r="V11" s="346">
        <v>15977322.362541977</v>
      </c>
      <c r="W11" s="346">
        <v>2882597.6682409402</v>
      </c>
      <c r="X11" s="346">
        <v>831385.57000000007</v>
      </c>
      <c r="Y11" s="346">
        <v>5978098.701901936</v>
      </c>
      <c r="Z11" s="346">
        <v>62806378.18497514</v>
      </c>
      <c r="AA11" s="346">
        <v>656546.15</v>
      </c>
      <c r="AB11" s="346">
        <v>20019596.589413788</v>
      </c>
      <c r="AC11" s="346">
        <v>28839950.187578849</v>
      </c>
      <c r="AD11" s="346">
        <v>1198270.03</v>
      </c>
      <c r="AE11" s="346">
        <v>1779158.9832078302</v>
      </c>
      <c r="AF11" s="346">
        <v>12863993.760000005</v>
      </c>
      <c r="AG11" s="346">
        <v>36634954.719999999</v>
      </c>
      <c r="AH11" s="346">
        <v>3707315.10</v>
      </c>
      <c r="AI11" s="346">
        <v>568850.11</v>
      </c>
      <c r="AJ11" s="346">
        <v>44215528.354949221</v>
      </c>
      <c r="AK11" s="346">
        <v>6266433.1899999995</v>
      </c>
      <c r="AL11" s="346">
        <v>438406.34</v>
      </c>
      <c r="AM11" s="346">
        <v>7878672.8999999985</v>
      </c>
      <c r="AN11" s="346">
        <v>61503432.01001247</v>
      </c>
      <c r="AO11" s="346">
        <v>9665677.8000000007</v>
      </c>
      <c r="AP11" s="346">
        <v>977450.41999999993</v>
      </c>
      <c r="AQ11" s="346">
        <v>1430262.0597174363</v>
      </c>
      <c r="AR11" s="346">
        <v>657212.19675400865</v>
      </c>
      <c r="AS11" s="346">
        <v>16962119.465322062</v>
      </c>
      <c r="AT11" s="346">
        <v>30156965.99845431</v>
      </c>
      <c r="AU11" s="346">
        <v>1682757.0828155507</v>
      </c>
      <c r="AV11" s="346">
        <v>7439097.8308771038</v>
      </c>
      <c r="AW11" s="346">
        <v>1359966.5713257117</v>
      </c>
      <c r="AX11" s="346">
        <v>885548.53</v>
      </c>
      <c r="AY11" s="346">
        <v>18676517.774594922</v>
      </c>
      <c r="AZ11" s="346">
        <v>2192095.3430727641</v>
      </c>
      <c r="BA11" s="346">
        <v>37855287.515742898</v>
      </c>
      <c r="BB11" s="346">
        <v>32538429.488667052</v>
      </c>
      <c r="BC11" s="346">
        <v>1091179.4826861946</v>
      </c>
      <c r="BD11" s="346">
        <v>900336.85883721244</v>
      </c>
      <c r="BE11" s="346">
        <v>110460812.82488652</v>
      </c>
      <c r="BF11" s="346">
        <v>46013236.211519368</v>
      </c>
      <c r="BG11" s="346">
        <v>44852369.17741733</v>
      </c>
      <c r="BH11" s="346">
        <v>37636449.25250528</v>
      </c>
      <c r="BI11" s="346">
        <v>71802747.372653797</v>
      </c>
      <c r="BJ11" s="346">
        <v>2023457.2869734014</v>
      </c>
      <c r="BK11" s="346">
        <v>22949389.799590871</v>
      </c>
      <c r="BL11" s="346">
        <v>10406848.473969826</v>
      </c>
      <c r="BM11" s="1265">
        <v>156494901.77086219</v>
      </c>
      <c r="BN11" s="1266">
        <f t="shared" si="1"/>
        <v>2242477316.3808336</v>
      </c>
    </row>
    <row r="12" spans="1:66" s="1267" customFormat="1" ht="13.2">
      <c r="A12" s="1260"/>
      <c r="B12" s="822"/>
      <c r="C12" s="822" t="s">
        <v>254</v>
      </c>
      <c r="D12" s="990" t="s">
        <v>921</v>
      </c>
      <c r="E12" s="990" t="s">
        <v>1443</v>
      </c>
      <c r="F12" s="1261">
        <f t="shared" si="0"/>
        <v>2243427296.2708335</v>
      </c>
      <c r="G12" s="1262"/>
      <c r="H12" s="950">
        <v>51621856.437993668</v>
      </c>
      <c r="I12" s="854">
        <v>17822592.081812024</v>
      </c>
      <c r="J12" s="854">
        <v>1075090772.6201799</v>
      </c>
      <c r="K12" s="854">
        <v>2127020.44</v>
      </c>
      <c r="L12" s="854">
        <v>25421759.989999998</v>
      </c>
      <c r="M12" s="1268">
        <v>8206717.8600000003</v>
      </c>
      <c r="N12" s="346">
        <v>1923901.7200000002</v>
      </c>
      <c r="O12" s="1268">
        <v>9167129.6099999994</v>
      </c>
      <c r="P12" s="346">
        <v>6444186.9400000004</v>
      </c>
      <c r="Q12" s="346">
        <v>39616234.559999995</v>
      </c>
      <c r="R12" s="346">
        <v>5183480.7300000004</v>
      </c>
      <c r="S12" s="346">
        <v>4721102.9300000016</v>
      </c>
      <c r="T12" s="346">
        <v>5687570.0399999991</v>
      </c>
      <c r="U12" s="346">
        <v>8342888.9487799117</v>
      </c>
      <c r="V12" s="346">
        <v>15976252.282541977</v>
      </c>
      <c r="W12" s="346">
        <v>2882981.4382409402</v>
      </c>
      <c r="X12" s="346">
        <v>831385.57000000007</v>
      </c>
      <c r="Y12" s="346">
        <v>5978098.701901936</v>
      </c>
      <c r="Z12" s="346">
        <v>62800936.154975139</v>
      </c>
      <c r="AA12" s="346">
        <v>656546.15</v>
      </c>
      <c r="AB12" s="346">
        <v>19745649.249413788</v>
      </c>
      <c r="AC12" s="346">
        <v>28839950.187578849</v>
      </c>
      <c r="AD12" s="346">
        <v>1198270.03</v>
      </c>
      <c r="AE12" s="346">
        <v>1779158.9832078302</v>
      </c>
      <c r="AF12" s="346">
        <v>12863993.760000005</v>
      </c>
      <c r="AG12" s="346">
        <v>36634954.719999999</v>
      </c>
      <c r="AH12" s="346">
        <v>3707315.10</v>
      </c>
      <c r="AI12" s="346">
        <v>568850.11</v>
      </c>
      <c r="AJ12" s="346">
        <v>44215528.354949221</v>
      </c>
      <c r="AK12" s="346">
        <v>6266079.959999999</v>
      </c>
      <c r="AL12" s="346">
        <v>438406.34</v>
      </c>
      <c r="AM12" s="346">
        <v>7878672.8999999985</v>
      </c>
      <c r="AN12" s="346">
        <v>61503230.480012469</v>
      </c>
      <c r="AO12" s="346">
        <v>9665677.8000000007</v>
      </c>
      <c r="AP12" s="346">
        <v>977450.41999999993</v>
      </c>
      <c r="AQ12" s="346">
        <v>1430262.0597174363</v>
      </c>
      <c r="AR12" s="346">
        <v>657212.19675400865</v>
      </c>
      <c r="AS12" s="346">
        <v>17122839.595322061</v>
      </c>
      <c r="AT12" s="346">
        <v>30156965.99845431</v>
      </c>
      <c r="AU12" s="346">
        <v>1682757.0828155507</v>
      </c>
      <c r="AV12" s="346">
        <v>7439097.8308771038</v>
      </c>
      <c r="AW12" s="346">
        <v>1359966.5713257117</v>
      </c>
      <c r="AX12" s="346">
        <v>885548.53</v>
      </c>
      <c r="AY12" s="346">
        <v>18676517.774594922</v>
      </c>
      <c r="AZ12" s="346">
        <v>2192061.8530727639</v>
      </c>
      <c r="BA12" s="346">
        <v>37855686.425742894</v>
      </c>
      <c r="BB12" s="346">
        <v>32538429.488667052</v>
      </c>
      <c r="BC12" s="346">
        <v>1091179.4826861946</v>
      </c>
      <c r="BD12" s="346">
        <v>900336.85883721244</v>
      </c>
      <c r="BE12" s="346">
        <v>110479817.91488652</v>
      </c>
      <c r="BF12" s="346">
        <v>46013236.211519368</v>
      </c>
      <c r="BG12" s="346">
        <v>44852369.17741733</v>
      </c>
      <c r="BH12" s="346">
        <v>37636449.25250528</v>
      </c>
      <c r="BI12" s="346">
        <v>71803623.372653797</v>
      </c>
      <c r="BJ12" s="346">
        <v>2023457.2869734014</v>
      </c>
      <c r="BK12" s="346">
        <v>22949389.799590871</v>
      </c>
      <c r="BL12" s="346">
        <v>10406825.353969827</v>
      </c>
      <c r="BM12" s="1265">
        <v>156486662.55086219</v>
      </c>
      <c r="BN12" s="1266">
        <f t="shared" si="1"/>
        <v>2243427296.2708335</v>
      </c>
    </row>
    <row r="13" spans="1:66" s="1267" customFormat="1" ht="13.2">
      <c r="A13" s="1262"/>
      <c r="B13" s="990"/>
      <c r="C13" s="990" t="s">
        <v>255</v>
      </c>
      <c r="D13" s="990" t="s">
        <v>921</v>
      </c>
      <c r="E13" s="990" t="s">
        <v>1443</v>
      </c>
      <c r="F13" s="1261">
        <f t="shared" si="0"/>
        <v>2242978929.5308328</v>
      </c>
      <c r="G13" s="1262"/>
      <c r="H13" s="950">
        <v>51628658.467993669</v>
      </c>
      <c r="I13" s="854">
        <v>17804944.711812023</v>
      </c>
      <c r="J13" s="854">
        <v>1074770235.28018</v>
      </c>
      <c r="K13" s="854">
        <v>2127020.44</v>
      </c>
      <c r="L13" s="854">
        <v>25397719.359999999</v>
      </c>
      <c r="M13" s="1268">
        <v>8206717.8600000003</v>
      </c>
      <c r="N13" s="346">
        <v>1923901.7200000002</v>
      </c>
      <c r="O13" s="1268">
        <v>9167129.6099999994</v>
      </c>
      <c r="P13" s="346">
        <v>6444186.9400000004</v>
      </c>
      <c r="Q13" s="346">
        <v>39616234.559999995</v>
      </c>
      <c r="R13" s="346">
        <v>5183480.7300000004</v>
      </c>
      <c r="S13" s="346">
        <v>4721102.9300000016</v>
      </c>
      <c r="T13" s="346">
        <v>5687570.0399999991</v>
      </c>
      <c r="U13" s="346">
        <v>8435623.2187799122</v>
      </c>
      <c r="V13" s="346">
        <v>15976517.242541978</v>
      </c>
      <c r="W13" s="346">
        <v>2886243.8782409402</v>
      </c>
      <c r="X13" s="346">
        <v>831385.57000000007</v>
      </c>
      <c r="Y13" s="346">
        <v>5978098.701901936</v>
      </c>
      <c r="Z13" s="346">
        <v>62800936.154975139</v>
      </c>
      <c r="AA13" s="346">
        <v>656546.15</v>
      </c>
      <c r="AB13" s="346">
        <v>19646917.00941379</v>
      </c>
      <c r="AC13" s="346">
        <v>28839950.187578849</v>
      </c>
      <c r="AD13" s="346">
        <v>1198270.03</v>
      </c>
      <c r="AE13" s="346">
        <v>1779158.9832078302</v>
      </c>
      <c r="AF13" s="346">
        <v>12863993.760000005</v>
      </c>
      <c r="AG13" s="346">
        <v>36634954.719999999</v>
      </c>
      <c r="AH13" s="346">
        <v>3707315.10</v>
      </c>
      <c r="AI13" s="346">
        <v>568850.11</v>
      </c>
      <c r="AJ13" s="346">
        <v>44247185.434949219</v>
      </c>
      <c r="AK13" s="346">
        <v>6244041.3399999989</v>
      </c>
      <c r="AL13" s="346">
        <v>438406.34</v>
      </c>
      <c r="AM13" s="346">
        <v>7884167.8999999985</v>
      </c>
      <c r="AN13" s="346">
        <v>61503230.480012469</v>
      </c>
      <c r="AO13" s="346">
        <v>9665677.8000000007</v>
      </c>
      <c r="AP13" s="346">
        <v>977450.41999999993</v>
      </c>
      <c r="AQ13" s="346">
        <v>1430262.0597174363</v>
      </c>
      <c r="AR13" s="346">
        <v>657212.19675400865</v>
      </c>
      <c r="AS13" s="346">
        <v>17124381.535322063</v>
      </c>
      <c r="AT13" s="346">
        <v>30156965.99845431</v>
      </c>
      <c r="AU13" s="346">
        <v>1682757.0828155507</v>
      </c>
      <c r="AV13" s="346">
        <v>7439097.8308771038</v>
      </c>
      <c r="AW13" s="346">
        <v>1359966.5713257117</v>
      </c>
      <c r="AX13" s="346">
        <v>885548.53</v>
      </c>
      <c r="AY13" s="346">
        <v>18676837.724594921</v>
      </c>
      <c r="AZ13" s="346">
        <v>2192061.8530727639</v>
      </c>
      <c r="BA13" s="346">
        <v>37855686.425742894</v>
      </c>
      <c r="BB13" s="346">
        <v>32538429.488667052</v>
      </c>
      <c r="BC13" s="346">
        <v>1091179.4826861946</v>
      </c>
      <c r="BD13" s="346">
        <v>900336.85883721244</v>
      </c>
      <c r="BE13" s="346">
        <v>110492672.40488651</v>
      </c>
      <c r="BF13" s="346">
        <v>46013236.211519368</v>
      </c>
      <c r="BG13" s="346">
        <v>44852369.17741733</v>
      </c>
      <c r="BH13" s="346">
        <v>37636449.25250528</v>
      </c>
      <c r="BI13" s="346">
        <v>71804499.372653797</v>
      </c>
      <c r="BJ13" s="346">
        <v>2023457.2869734014</v>
      </c>
      <c r="BK13" s="346">
        <v>22949389.799590871</v>
      </c>
      <c r="BL13" s="346">
        <v>10388689.363969827</v>
      </c>
      <c r="BM13" s="1265">
        <v>156383619.84086218</v>
      </c>
      <c r="BN13" s="1266">
        <f t="shared" si="1"/>
        <v>2242978929.5308328</v>
      </c>
    </row>
    <row r="14" spans="1:66" s="1267" customFormat="1" ht="13.2">
      <c r="A14" s="1262"/>
      <c r="B14" s="822"/>
      <c r="C14" s="990" t="s">
        <v>923</v>
      </c>
      <c r="D14" s="990" t="s">
        <v>921</v>
      </c>
      <c r="E14" s="990" t="s">
        <v>1443</v>
      </c>
      <c r="F14" s="1261">
        <f t="shared" si="0"/>
        <v>2242204629.6808338</v>
      </c>
      <c r="G14" s="1262"/>
      <c r="H14" s="950">
        <v>51632206.967993669</v>
      </c>
      <c r="I14" s="854">
        <v>17796027.321812022</v>
      </c>
      <c r="J14" s="854">
        <v>1073712413.36018</v>
      </c>
      <c r="K14" s="854">
        <v>2127020.44</v>
      </c>
      <c r="L14" s="854">
        <v>24548302.98</v>
      </c>
      <c r="M14" s="1268">
        <v>8206717.8600000003</v>
      </c>
      <c r="N14" s="346">
        <v>1923901.7200000002</v>
      </c>
      <c r="O14" s="1268">
        <v>9167129.6099999994</v>
      </c>
      <c r="P14" s="346">
        <v>6444186.9400000004</v>
      </c>
      <c r="Q14" s="346">
        <v>39616234.559999995</v>
      </c>
      <c r="R14" s="346">
        <v>5183480.7300000004</v>
      </c>
      <c r="S14" s="346">
        <v>4721102.9300000016</v>
      </c>
      <c r="T14" s="346">
        <v>5686109.129999999</v>
      </c>
      <c r="U14" s="346">
        <v>8433223.1487799119</v>
      </c>
      <c r="V14" s="346">
        <v>15961634.482541978</v>
      </c>
      <c r="W14" s="346">
        <v>2886312.3582409401</v>
      </c>
      <c r="X14" s="346">
        <v>831385.57000000007</v>
      </c>
      <c r="Y14" s="346">
        <v>5978098.701901936</v>
      </c>
      <c r="Z14" s="346">
        <v>63449151.354975142</v>
      </c>
      <c r="AA14" s="346">
        <v>656546.15</v>
      </c>
      <c r="AB14" s="346">
        <v>19548402.199413791</v>
      </c>
      <c r="AC14" s="346">
        <v>28839950.187578849</v>
      </c>
      <c r="AD14" s="346">
        <v>1198270.03</v>
      </c>
      <c r="AE14" s="346">
        <v>1779158.9832078302</v>
      </c>
      <c r="AF14" s="346">
        <v>12863993.760000005</v>
      </c>
      <c r="AG14" s="346">
        <v>36634991.149999999</v>
      </c>
      <c r="AH14" s="346">
        <v>3707315.10</v>
      </c>
      <c r="AI14" s="346">
        <v>568850.11</v>
      </c>
      <c r="AJ14" s="346">
        <v>44245879.194949217</v>
      </c>
      <c r="AK14" s="346">
        <v>6237451.879999999</v>
      </c>
      <c r="AL14" s="346">
        <v>438406.34</v>
      </c>
      <c r="AM14" s="346">
        <v>7881672.0699999984</v>
      </c>
      <c r="AN14" s="346">
        <v>61503022.730012469</v>
      </c>
      <c r="AO14" s="346">
        <v>9665677.8000000007</v>
      </c>
      <c r="AP14" s="346">
        <v>977450.41999999993</v>
      </c>
      <c r="AQ14" s="346">
        <v>1430262.0597174363</v>
      </c>
      <c r="AR14" s="346">
        <v>657212.19675400865</v>
      </c>
      <c r="AS14" s="346">
        <v>16961317.985322062</v>
      </c>
      <c r="AT14" s="346">
        <v>30156965.99845431</v>
      </c>
      <c r="AU14" s="346">
        <v>1682757.0828155507</v>
      </c>
      <c r="AV14" s="346">
        <v>7439097.8308771038</v>
      </c>
      <c r="AW14" s="346">
        <v>1359966.5713257117</v>
      </c>
      <c r="AX14" s="346">
        <v>885548.53</v>
      </c>
      <c r="AY14" s="346">
        <v>18676837.594594922</v>
      </c>
      <c r="AZ14" s="346">
        <v>2192061.8530727639</v>
      </c>
      <c r="BA14" s="346">
        <v>37860885.875742897</v>
      </c>
      <c r="BB14" s="346">
        <v>32538429.488667052</v>
      </c>
      <c r="BC14" s="346">
        <v>1091179.4826861946</v>
      </c>
      <c r="BD14" s="346">
        <v>900336.85883721244</v>
      </c>
      <c r="BE14" s="346">
        <v>110493353.76488651</v>
      </c>
      <c r="BF14" s="346">
        <v>46013236.211519368</v>
      </c>
      <c r="BG14" s="346">
        <v>44852369.17741733</v>
      </c>
      <c r="BH14" s="346">
        <v>37636449.25250528</v>
      </c>
      <c r="BI14" s="346">
        <v>71805419.172653794</v>
      </c>
      <c r="BJ14" s="346">
        <v>2023457.2869734014</v>
      </c>
      <c r="BK14" s="346">
        <v>22949389.799590871</v>
      </c>
      <c r="BL14" s="346">
        <v>10372178.743969828</v>
      </c>
      <c r="BM14" s="1265">
        <v>157174238.59086218</v>
      </c>
      <c r="BN14" s="1266">
        <f t="shared" si="1"/>
        <v>2242204629.6808338</v>
      </c>
    </row>
    <row r="15" spans="1:66" s="1267" customFormat="1" ht="13.2">
      <c r="A15" s="1260"/>
      <c r="B15" s="990"/>
      <c r="C15" s="822" t="s">
        <v>924</v>
      </c>
      <c r="D15" s="990" t="s">
        <v>921</v>
      </c>
      <c r="E15" s="990" t="s">
        <v>1443</v>
      </c>
      <c r="F15" s="1261">
        <f t="shared" si="0"/>
        <v>2243692086.0208335</v>
      </c>
      <c r="G15" s="1262"/>
      <c r="H15" s="950">
        <v>51641891.797993667</v>
      </c>
      <c r="I15" s="854">
        <v>17796027.321812022</v>
      </c>
      <c r="J15" s="854">
        <v>1073718764.84018</v>
      </c>
      <c r="K15" s="854">
        <v>2127020.44</v>
      </c>
      <c r="L15" s="854">
        <v>24548302.98</v>
      </c>
      <c r="M15" s="1268">
        <v>8206717.8600000003</v>
      </c>
      <c r="N15" s="346">
        <v>1923901.7200000002</v>
      </c>
      <c r="O15" s="1268">
        <v>9167129.6099999994</v>
      </c>
      <c r="P15" s="346">
        <v>6444186.9400000004</v>
      </c>
      <c r="Q15" s="346">
        <v>39616234.559999995</v>
      </c>
      <c r="R15" s="346">
        <v>5183480.7300000004</v>
      </c>
      <c r="S15" s="346">
        <v>4721102.9300000016</v>
      </c>
      <c r="T15" s="346">
        <v>5686109.129999999</v>
      </c>
      <c r="U15" s="346">
        <v>8417154.7387799118</v>
      </c>
      <c r="V15" s="346">
        <v>15924528.852541978</v>
      </c>
      <c r="W15" s="346">
        <v>2886312.3582409401</v>
      </c>
      <c r="X15" s="346">
        <v>831385.57000000007</v>
      </c>
      <c r="Y15" s="346">
        <v>5978098.701901936</v>
      </c>
      <c r="Z15" s="346">
        <v>63866637.174975142</v>
      </c>
      <c r="AA15" s="346">
        <v>656546.15</v>
      </c>
      <c r="AB15" s="346">
        <v>19428089.199413791</v>
      </c>
      <c r="AC15" s="346">
        <v>28839950.187578849</v>
      </c>
      <c r="AD15" s="346">
        <v>1198270.03</v>
      </c>
      <c r="AE15" s="346">
        <v>1779158.9832078302</v>
      </c>
      <c r="AF15" s="346">
        <v>12863993.760000005</v>
      </c>
      <c r="AG15" s="346">
        <v>36635083.329999998</v>
      </c>
      <c r="AH15" s="346">
        <v>3707315.10</v>
      </c>
      <c r="AI15" s="346">
        <v>568850.11</v>
      </c>
      <c r="AJ15" s="346">
        <v>44245879.194949217</v>
      </c>
      <c r="AK15" s="346">
        <v>6237451.2499999991</v>
      </c>
      <c r="AL15" s="346">
        <v>438406.34</v>
      </c>
      <c r="AM15" s="346">
        <v>7875078.0699999984</v>
      </c>
      <c r="AN15" s="346">
        <v>61503022.730012469</v>
      </c>
      <c r="AO15" s="346">
        <v>9665677.8000000007</v>
      </c>
      <c r="AP15" s="346">
        <v>977450.41999999993</v>
      </c>
      <c r="AQ15" s="346">
        <v>1430262.0597174363</v>
      </c>
      <c r="AR15" s="346">
        <v>657212.19675400865</v>
      </c>
      <c r="AS15" s="346">
        <v>16961317.985322062</v>
      </c>
      <c r="AT15" s="346">
        <v>30156965.99845431</v>
      </c>
      <c r="AU15" s="346">
        <v>1682757.0828155507</v>
      </c>
      <c r="AV15" s="346">
        <v>7439097.8308771038</v>
      </c>
      <c r="AW15" s="346">
        <v>1359966.5713257117</v>
      </c>
      <c r="AX15" s="346">
        <v>885548.53</v>
      </c>
      <c r="AY15" s="346">
        <v>18676837.594594922</v>
      </c>
      <c r="AZ15" s="346">
        <v>2192061.8530727639</v>
      </c>
      <c r="BA15" s="346">
        <v>37856085.3257429</v>
      </c>
      <c r="BB15" s="346">
        <v>32538429.488667052</v>
      </c>
      <c r="BC15" s="346">
        <v>1091179.4826861946</v>
      </c>
      <c r="BD15" s="346">
        <v>900336.85883721244</v>
      </c>
      <c r="BE15" s="346">
        <v>110457013.05488652</v>
      </c>
      <c r="BF15" s="346">
        <v>46022310.211519368</v>
      </c>
      <c r="BG15" s="346">
        <v>44852369.17741733</v>
      </c>
      <c r="BH15" s="346">
        <v>37636449.25250528</v>
      </c>
      <c r="BI15" s="346">
        <v>71806338.972653791</v>
      </c>
      <c r="BJ15" s="346">
        <v>2023457.2869734014</v>
      </c>
      <c r="BK15" s="346">
        <v>22949389.799590871</v>
      </c>
      <c r="BL15" s="346">
        <v>10328662.653969828</v>
      </c>
      <c r="BM15" s="1265">
        <v>158482825.84086218</v>
      </c>
      <c r="BN15" s="1266">
        <f t="shared" si="1"/>
        <v>2243692086.0208335</v>
      </c>
    </row>
    <row r="16" spans="1:66" s="1267" customFormat="1" ht="13.2">
      <c r="A16" s="1262"/>
      <c r="B16" s="822"/>
      <c r="C16" s="990" t="s">
        <v>925</v>
      </c>
      <c r="D16" s="990" t="s">
        <v>921</v>
      </c>
      <c r="E16" s="990" t="s">
        <v>1443</v>
      </c>
      <c r="F16" s="1261">
        <f t="shared" si="0"/>
        <v>2243699901.4708333</v>
      </c>
      <c r="G16" s="1262"/>
      <c r="H16" s="950">
        <v>51642494.457993664</v>
      </c>
      <c r="I16" s="854">
        <v>17962700.361812022</v>
      </c>
      <c r="J16" s="854">
        <v>1073768310.9401801</v>
      </c>
      <c r="K16" s="854">
        <v>2127020.44</v>
      </c>
      <c r="L16" s="854">
        <v>24548302.98</v>
      </c>
      <c r="M16" s="1268">
        <v>8206717.8600000003</v>
      </c>
      <c r="N16" s="346">
        <v>1923901.7200000002</v>
      </c>
      <c r="O16" s="1268">
        <v>9167348.7799999993</v>
      </c>
      <c r="P16" s="346">
        <v>6444186.9400000004</v>
      </c>
      <c r="Q16" s="346">
        <v>39616234.559999995</v>
      </c>
      <c r="R16" s="346">
        <v>5183480.7300000004</v>
      </c>
      <c r="S16" s="346">
        <v>4721102.9300000016</v>
      </c>
      <c r="T16" s="346">
        <v>5686109.129999999</v>
      </c>
      <c r="U16" s="346">
        <v>8390832.0587799121</v>
      </c>
      <c r="V16" s="346">
        <v>15924512.102541978</v>
      </c>
      <c r="W16" s="346">
        <v>2886312.3582409401</v>
      </c>
      <c r="X16" s="346">
        <v>831385.57000000007</v>
      </c>
      <c r="Y16" s="346">
        <v>5978098.701901936</v>
      </c>
      <c r="Z16" s="346">
        <v>63847840.034975141</v>
      </c>
      <c r="AA16" s="346">
        <v>656546.15</v>
      </c>
      <c r="AB16" s="346">
        <v>19326852.18941379</v>
      </c>
      <c r="AC16" s="346">
        <v>28839950.187578849</v>
      </c>
      <c r="AD16" s="346">
        <v>1198270.03</v>
      </c>
      <c r="AE16" s="346">
        <v>1779158.9832078302</v>
      </c>
      <c r="AF16" s="346">
        <v>12863993.760000005</v>
      </c>
      <c r="AG16" s="346">
        <v>36643076.859999999</v>
      </c>
      <c r="AH16" s="346">
        <v>3707315.10</v>
      </c>
      <c r="AI16" s="346">
        <v>568850.11</v>
      </c>
      <c r="AJ16" s="346">
        <v>44245879.194949217</v>
      </c>
      <c r="AK16" s="346">
        <v>6237451.2499999991</v>
      </c>
      <c r="AL16" s="346">
        <v>438406.34</v>
      </c>
      <c r="AM16" s="346">
        <v>7881672.0699999984</v>
      </c>
      <c r="AN16" s="346">
        <v>61503022.730012469</v>
      </c>
      <c r="AO16" s="346">
        <v>9665677.8000000007</v>
      </c>
      <c r="AP16" s="346">
        <v>977450.41999999993</v>
      </c>
      <c r="AQ16" s="346">
        <v>1430262.0597174363</v>
      </c>
      <c r="AR16" s="346">
        <v>657212.19675400865</v>
      </c>
      <c r="AS16" s="346">
        <v>16961317.985322062</v>
      </c>
      <c r="AT16" s="346">
        <v>30156965.99845431</v>
      </c>
      <c r="AU16" s="346">
        <v>1682757.0828155507</v>
      </c>
      <c r="AV16" s="346">
        <v>7439097.8308771038</v>
      </c>
      <c r="AW16" s="346">
        <v>1359966.5713257117</v>
      </c>
      <c r="AX16" s="346">
        <v>885548.53</v>
      </c>
      <c r="AY16" s="346">
        <v>18676837.594594922</v>
      </c>
      <c r="AZ16" s="346">
        <v>2192061.8530727639</v>
      </c>
      <c r="BA16" s="346">
        <v>37856284.775742903</v>
      </c>
      <c r="BB16" s="346">
        <v>32538429.488667052</v>
      </c>
      <c r="BC16" s="346">
        <v>1091179.4826861946</v>
      </c>
      <c r="BD16" s="346">
        <v>900336.85883721244</v>
      </c>
      <c r="BE16" s="346">
        <v>110475467.19488652</v>
      </c>
      <c r="BF16" s="346">
        <v>46022310.211519368</v>
      </c>
      <c r="BG16" s="346">
        <v>44852369.17741733</v>
      </c>
      <c r="BH16" s="346">
        <v>37636449.25250528</v>
      </c>
      <c r="BI16" s="346">
        <v>71807258.772653788</v>
      </c>
      <c r="BJ16" s="346">
        <v>2023457.2869734014</v>
      </c>
      <c r="BK16" s="346">
        <v>22949389.799590871</v>
      </c>
      <c r="BL16" s="346">
        <v>10328939.433969827</v>
      </c>
      <c r="BM16" s="1265">
        <v>158385536.2008622</v>
      </c>
      <c r="BN16" s="1266">
        <f t="shared" si="1"/>
        <v>2243699901.4708333</v>
      </c>
    </row>
    <row r="17" spans="1:66" s="1267" customFormat="1" ht="13.2">
      <c r="A17" s="1262"/>
      <c r="B17" s="822"/>
      <c r="C17" s="990" t="s">
        <v>926</v>
      </c>
      <c r="D17" s="990" t="s">
        <v>921</v>
      </c>
      <c r="E17" s="990" t="s">
        <v>1443</v>
      </c>
      <c r="F17" s="1261">
        <f t="shared" si="0"/>
        <v>2249572363.270833</v>
      </c>
      <c r="G17" s="1262"/>
      <c r="H17" s="950">
        <v>51642448.047993667</v>
      </c>
      <c r="I17" s="854">
        <v>17960703.431812022</v>
      </c>
      <c r="J17" s="854">
        <v>1073879262.8301802</v>
      </c>
      <c r="K17" s="854">
        <v>2127020.44</v>
      </c>
      <c r="L17" s="854">
        <v>24548302.98</v>
      </c>
      <c r="M17" s="1268">
        <v>8206717.8600000003</v>
      </c>
      <c r="N17" s="346">
        <v>1923901.7200000002</v>
      </c>
      <c r="O17" s="1268">
        <v>9160926</v>
      </c>
      <c r="P17" s="346">
        <v>6444186.9400000004</v>
      </c>
      <c r="Q17" s="346">
        <v>39616234.559999995</v>
      </c>
      <c r="R17" s="346">
        <v>5183480.7300000004</v>
      </c>
      <c r="S17" s="346">
        <v>4721102.9300000016</v>
      </c>
      <c r="T17" s="346">
        <v>5686109.129999999</v>
      </c>
      <c r="U17" s="346">
        <v>8418913.6187799126</v>
      </c>
      <c r="V17" s="346">
        <v>15924512.102541978</v>
      </c>
      <c r="W17" s="346">
        <v>2886312.3582409401</v>
      </c>
      <c r="X17" s="346">
        <v>831385.57000000007</v>
      </c>
      <c r="Y17" s="346">
        <v>5978098.701901936</v>
      </c>
      <c r="Z17" s="346">
        <v>63844959.234975144</v>
      </c>
      <c r="AA17" s="346">
        <v>656546.15</v>
      </c>
      <c r="AB17" s="346">
        <v>19269923.049413789</v>
      </c>
      <c r="AC17" s="346">
        <v>28840541.34757885</v>
      </c>
      <c r="AD17" s="346">
        <v>1198270.03</v>
      </c>
      <c r="AE17" s="346">
        <v>1779158.9832078302</v>
      </c>
      <c r="AF17" s="346">
        <v>12863993.760000005</v>
      </c>
      <c r="AG17" s="346">
        <v>36643076.859999999</v>
      </c>
      <c r="AH17" s="346">
        <v>3707315.10</v>
      </c>
      <c r="AI17" s="346">
        <v>568850.11</v>
      </c>
      <c r="AJ17" s="346">
        <v>44245879.194949217</v>
      </c>
      <c r="AK17" s="346">
        <v>6237450.7799999993</v>
      </c>
      <c r="AL17" s="346">
        <v>438406.34</v>
      </c>
      <c r="AM17" s="346">
        <v>7881672.0699999984</v>
      </c>
      <c r="AN17" s="346">
        <v>61869910.990012467</v>
      </c>
      <c r="AO17" s="346">
        <v>9665677.8000000007</v>
      </c>
      <c r="AP17" s="346">
        <v>977450.41999999993</v>
      </c>
      <c r="AQ17" s="346">
        <v>1430262.0597174363</v>
      </c>
      <c r="AR17" s="346">
        <v>657212.19675400865</v>
      </c>
      <c r="AS17" s="346">
        <v>16961317.985322062</v>
      </c>
      <c r="AT17" s="346">
        <v>30156965.99845431</v>
      </c>
      <c r="AU17" s="346">
        <v>1682757.0828155507</v>
      </c>
      <c r="AV17" s="346">
        <v>7439097.8308771038</v>
      </c>
      <c r="AW17" s="346">
        <v>1359966.5713257117</v>
      </c>
      <c r="AX17" s="346">
        <v>885548.53</v>
      </c>
      <c r="AY17" s="346">
        <v>18676837.594594922</v>
      </c>
      <c r="AZ17" s="346">
        <v>2192061.8530727639</v>
      </c>
      <c r="BA17" s="346">
        <v>37857391.5057429</v>
      </c>
      <c r="BB17" s="346">
        <v>32538429.488667052</v>
      </c>
      <c r="BC17" s="346">
        <v>1091179.4826861946</v>
      </c>
      <c r="BD17" s="346">
        <v>900336.85883721244</v>
      </c>
      <c r="BE17" s="346">
        <v>110480843.30488652</v>
      </c>
      <c r="BF17" s="346">
        <v>46022310.211519368</v>
      </c>
      <c r="BG17" s="346">
        <v>44852369.17741733</v>
      </c>
      <c r="BH17" s="346">
        <v>37636449.25250528</v>
      </c>
      <c r="BI17" s="346">
        <v>72118128.542653784</v>
      </c>
      <c r="BJ17" s="346">
        <v>2023457.2869734014</v>
      </c>
      <c r="BK17" s="346">
        <v>22949389.799590871</v>
      </c>
      <c r="BL17" s="346">
        <v>10328912.093969828</v>
      </c>
      <c r="BM17" s="1265">
        <v>163502436.3908622</v>
      </c>
      <c r="BN17" s="1266">
        <f t="shared" si="1"/>
        <v>2249572363.270833</v>
      </c>
    </row>
    <row r="18" spans="1:66" s="1267" customFormat="1" ht="13.2">
      <c r="A18" s="1260"/>
      <c r="B18" s="822"/>
      <c r="C18" s="822" t="s">
        <v>927</v>
      </c>
      <c r="D18" s="990" t="s">
        <v>921</v>
      </c>
      <c r="E18" s="990" t="s">
        <v>1443</v>
      </c>
      <c r="F18" s="1261">
        <f t="shared" si="0"/>
        <v>2255257690.3908329</v>
      </c>
      <c r="G18" s="1262"/>
      <c r="H18" s="950">
        <v>51642919.517993666</v>
      </c>
      <c r="I18" s="854">
        <v>17932446.291812021</v>
      </c>
      <c r="J18" s="854">
        <v>1074261555.0801802</v>
      </c>
      <c r="K18" s="854">
        <v>2127020.44</v>
      </c>
      <c r="L18" s="854">
        <v>24548302.98</v>
      </c>
      <c r="M18" s="1268">
        <v>8206717.8600000003</v>
      </c>
      <c r="N18" s="346">
        <v>1923901.7200000002</v>
      </c>
      <c r="O18" s="1268">
        <v>9162507.7699999996</v>
      </c>
      <c r="P18" s="346">
        <v>6444186.9400000004</v>
      </c>
      <c r="Q18" s="346">
        <v>39616234.559999995</v>
      </c>
      <c r="R18" s="346">
        <v>5183480.7300000004</v>
      </c>
      <c r="S18" s="346">
        <v>5250763.7600000016</v>
      </c>
      <c r="T18" s="346">
        <v>5686109.129999999</v>
      </c>
      <c r="U18" s="346">
        <v>11016954.388779912</v>
      </c>
      <c r="V18" s="346">
        <v>15924512.102541978</v>
      </c>
      <c r="W18" s="346">
        <v>2886312.3582409401</v>
      </c>
      <c r="X18" s="346">
        <v>831385.57000000007</v>
      </c>
      <c r="Y18" s="346">
        <v>5978098.701901936</v>
      </c>
      <c r="Z18" s="346">
        <v>63846252.694975145</v>
      </c>
      <c r="AA18" s="346">
        <v>656546.15</v>
      </c>
      <c r="AB18" s="346">
        <v>19149667.709413789</v>
      </c>
      <c r="AC18" s="346">
        <v>28840541.34757885</v>
      </c>
      <c r="AD18" s="346">
        <v>1198270.03</v>
      </c>
      <c r="AE18" s="346">
        <v>1779158.9832078302</v>
      </c>
      <c r="AF18" s="346">
        <v>12863993.760000005</v>
      </c>
      <c r="AG18" s="346">
        <v>36643076.859999999</v>
      </c>
      <c r="AH18" s="346">
        <v>3707315.10</v>
      </c>
      <c r="AI18" s="346">
        <v>568850.11</v>
      </c>
      <c r="AJ18" s="346">
        <v>44245879.194949217</v>
      </c>
      <c r="AK18" s="346">
        <v>6101331.2899999991</v>
      </c>
      <c r="AL18" s="346">
        <v>438406.34</v>
      </c>
      <c r="AM18" s="346">
        <v>7881672.0699999984</v>
      </c>
      <c r="AN18" s="346">
        <v>61869910.990012467</v>
      </c>
      <c r="AO18" s="346">
        <v>9665677.8000000007</v>
      </c>
      <c r="AP18" s="346">
        <v>977450.41999999993</v>
      </c>
      <c r="AQ18" s="346">
        <v>1430262.0597174363</v>
      </c>
      <c r="AR18" s="346">
        <v>657212.19675400865</v>
      </c>
      <c r="AS18" s="346">
        <v>16961317.985322062</v>
      </c>
      <c r="AT18" s="346">
        <v>30156965.99845431</v>
      </c>
      <c r="AU18" s="346">
        <v>1682757.0828155507</v>
      </c>
      <c r="AV18" s="346">
        <v>7439097.8308771038</v>
      </c>
      <c r="AW18" s="346">
        <v>1359966.5713257117</v>
      </c>
      <c r="AX18" s="346">
        <v>885548.53</v>
      </c>
      <c r="AY18" s="346">
        <v>18676837.594594922</v>
      </c>
      <c r="AZ18" s="346">
        <v>2192061.8530727639</v>
      </c>
      <c r="BA18" s="346">
        <v>37857391.5057429</v>
      </c>
      <c r="BB18" s="346">
        <v>32538429.488667052</v>
      </c>
      <c r="BC18" s="346">
        <v>1091179.4826861946</v>
      </c>
      <c r="BD18" s="346">
        <v>900336.85883721244</v>
      </c>
      <c r="BE18" s="346">
        <v>110474742.72488652</v>
      </c>
      <c r="BF18" s="346">
        <v>46022310.211519368</v>
      </c>
      <c r="BG18" s="346">
        <v>44852369.17741733</v>
      </c>
      <c r="BH18" s="346">
        <v>37636449.25250528</v>
      </c>
      <c r="BI18" s="346">
        <v>72120245.932653785</v>
      </c>
      <c r="BJ18" s="346">
        <v>2933607.0769734015</v>
      </c>
      <c r="BK18" s="346">
        <v>22949389.799590871</v>
      </c>
      <c r="BL18" s="346">
        <v>10328912.093969828</v>
      </c>
      <c r="BM18" s="1265">
        <v>165052888.33086219</v>
      </c>
      <c r="BN18" s="1266">
        <f t="shared" si="1"/>
        <v>2255257690.3908329</v>
      </c>
    </row>
    <row r="19" spans="1:66" s="1267" customFormat="1" ht="13.2">
      <c r="A19" s="1260"/>
      <c r="B19" s="822"/>
      <c r="C19" s="822" t="s">
        <v>928</v>
      </c>
      <c r="D19" s="990" t="s">
        <v>921</v>
      </c>
      <c r="E19" s="990" t="s">
        <v>1443</v>
      </c>
      <c r="F19" s="1261">
        <f t="shared" si="0"/>
        <v>2261315980.3908329</v>
      </c>
      <c r="G19" s="1262"/>
      <c r="H19" s="950">
        <v>51643182.03799367</v>
      </c>
      <c r="I19" s="854">
        <v>17936341.26181202</v>
      </c>
      <c r="J19" s="854">
        <v>1076499572.5901802</v>
      </c>
      <c r="K19" s="854">
        <v>2127020.44</v>
      </c>
      <c r="L19" s="854">
        <v>24548302.98</v>
      </c>
      <c r="M19" s="1268">
        <v>8206717.8600000003</v>
      </c>
      <c r="N19" s="346">
        <v>1923901.7200000002</v>
      </c>
      <c r="O19" s="1268">
        <v>9163879.5499999989</v>
      </c>
      <c r="P19" s="346">
        <v>6444186.9400000004</v>
      </c>
      <c r="Q19" s="346">
        <v>39616234.559999995</v>
      </c>
      <c r="R19" s="346">
        <v>5183480.7300000004</v>
      </c>
      <c r="S19" s="346">
        <v>4792439.2600000016</v>
      </c>
      <c r="T19" s="346">
        <v>5686109.129999999</v>
      </c>
      <c r="U19" s="346">
        <v>10965218.128779912</v>
      </c>
      <c r="V19" s="346">
        <v>15924512.102541978</v>
      </c>
      <c r="W19" s="346">
        <v>2886312.3582409401</v>
      </c>
      <c r="X19" s="346">
        <v>831385.57000000007</v>
      </c>
      <c r="Y19" s="346">
        <v>5978098.701901936</v>
      </c>
      <c r="Z19" s="346">
        <v>63846252.694975145</v>
      </c>
      <c r="AA19" s="346">
        <v>656546.15</v>
      </c>
      <c r="AB19" s="346">
        <v>19052623.039413787</v>
      </c>
      <c r="AC19" s="346">
        <v>28840541.34757885</v>
      </c>
      <c r="AD19" s="346">
        <v>1198270.03</v>
      </c>
      <c r="AE19" s="346">
        <v>1779158.9832078302</v>
      </c>
      <c r="AF19" s="346">
        <v>12863993.760000005</v>
      </c>
      <c r="AG19" s="346">
        <v>36643297.229999997</v>
      </c>
      <c r="AH19" s="346">
        <v>3707315.10</v>
      </c>
      <c r="AI19" s="346">
        <v>568850.11</v>
      </c>
      <c r="AJ19" s="346">
        <v>44245879.194949217</v>
      </c>
      <c r="AK19" s="346">
        <v>6101590.7799999993</v>
      </c>
      <c r="AL19" s="346">
        <v>438406.34</v>
      </c>
      <c r="AM19" s="346">
        <v>7813398.8899999987</v>
      </c>
      <c r="AN19" s="346">
        <v>61869910.990012467</v>
      </c>
      <c r="AO19" s="346">
        <v>9665677.8000000007</v>
      </c>
      <c r="AP19" s="346">
        <v>977450.41999999993</v>
      </c>
      <c r="AQ19" s="346">
        <v>1430262.0597174363</v>
      </c>
      <c r="AR19" s="346">
        <v>657212.19675400865</v>
      </c>
      <c r="AS19" s="346">
        <v>19886576.545322061</v>
      </c>
      <c r="AT19" s="346">
        <v>30156965.99845431</v>
      </c>
      <c r="AU19" s="346">
        <v>1682757.0828155507</v>
      </c>
      <c r="AV19" s="346">
        <v>7439097.8308771038</v>
      </c>
      <c r="AW19" s="346">
        <v>1359966.5713257117</v>
      </c>
      <c r="AX19" s="346">
        <v>885548.53</v>
      </c>
      <c r="AY19" s="346">
        <v>18676837.594594922</v>
      </c>
      <c r="AZ19" s="346">
        <v>2192061.8530727639</v>
      </c>
      <c r="BA19" s="346">
        <v>37859250.525742903</v>
      </c>
      <c r="BB19" s="346">
        <v>32538521.308667053</v>
      </c>
      <c r="BC19" s="346">
        <v>1091179.4826861946</v>
      </c>
      <c r="BD19" s="346">
        <v>900336.85883721244</v>
      </c>
      <c r="BE19" s="346">
        <v>110492248.19488652</v>
      </c>
      <c r="BF19" s="346">
        <v>46234807.331519365</v>
      </c>
      <c r="BG19" s="346">
        <v>44852369.17741733</v>
      </c>
      <c r="BH19" s="346">
        <v>37636449.25250528</v>
      </c>
      <c r="BI19" s="346">
        <v>72121096.652653784</v>
      </c>
      <c r="BJ19" s="346">
        <v>2953256.3269734015</v>
      </c>
      <c r="BK19" s="346">
        <v>22949389.799590871</v>
      </c>
      <c r="BL19" s="346">
        <v>10328912.093969828</v>
      </c>
      <c r="BM19" s="1265">
        <v>166364818.34086218</v>
      </c>
      <c r="BN19" s="1266">
        <f t="shared" si="1"/>
        <v>2261315980.3908329</v>
      </c>
    </row>
    <row r="20" spans="1:66" s="1267" customFormat="1" ht="15">
      <c r="A20" s="1262"/>
      <c r="B20" s="990"/>
      <c r="C20" s="991" t="s">
        <v>919</v>
      </c>
      <c r="D20" s="955" t="s">
        <v>267</v>
      </c>
      <c r="E20" s="990" t="s">
        <v>1443</v>
      </c>
      <c r="F20" s="1261">
        <f>SUM(H20:BM20)</f>
        <v>2271809786.3508334</v>
      </c>
      <c r="G20" s="1262">
        <f>F20</f>
        <v>2271809786.3508334</v>
      </c>
      <c r="H20" s="953">
        <v>57705161.467993669</v>
      </c>
      <c r="I20" s="954">
        <v>17932829.461812019</v>
      </c>
      <c r="J20" s="954">
        <v>1077222675.1401801</v>
      </c>
      <c r="K20" s="954">
        <v>2127020.44</v>
      </c>
      <c r="L20" s="954">
        <v>24548302.98</v>
      </c>
      <c r="M20" s="1269">
        <v>8206717.8600000003</v>
      </c>
      <c r="N20" s="1270">
        <v>1923901.7200000002</v>
      </c>
      <c r="O20" s="1269">
        <v>9163879.5499999989</v>
      </c>
      <c r="P20" s="1270">
        <v>6444186.9400000004</v>
      </c>
      <c r="Q20" s="1270">
        <v>39616234.559999995</v>
      </c>
      <c r="R20" s="1270">
        <v>5183480.7300000004</v>
      </c>
      <c r="S20" s="1270">
        <v>4792439.2600000016</v>
      </c>
      <c r="T20" s="1270">
        <v>5686109.129999999</v>
      </c>
      <c r="U20" s="1270">
        <v>10975422.268779913</v>
      </c>
      <c r="V20" s="1270">
        <v>15924512.102541978</v>
      </c>
      <c r="W20" s="1270">
        <v>2886312.3582409401</v>
      </c>
      <c r="X20" s="1270">
        <v>831385.57000000007</v>
      </c>
      <c r="Y20" s="1270">
        <v>6465426.3119019363</v>
      </c>
      <c r="Z20" s="1270">
        <v>63850695.404975146</v>
      </c>
      <c r="AA20" s="1270">
        <v>656546.15</v>
      </c>
      <c r="AB20" s="1270">
        <v>18968586.779413786</v>
      </c>
      <c r="AC20" s="1270">
        <v>28840541.34757885</v>
      </c>
      <c r="AD20" s="1270">
        <v>1198270.03</v>
      </c>
      <c r="AE20" s="1270">
        <v>1779158.9832078302</v>
      </c>
      <c r="AF20" s="1270">
        <v>12863993.760000005</v>
      </c>
      <c r="AG20" s="1270">
        <v>36653679.799999997</v>
      </c>
      <c r="AH20" s="1270">
        <v>3707315.10</v>
      </c>
      <c r="AI20" s="1270">
        <v>568850.11</v>
      </c>
      <c r="AJ20" s="1270">
        <v>44245879.194949217</v>
      </c>
      <c r="AK20" s="1270">
        <v>6100666.2799999993</v>
      </c>
      <c r="AL20" s="1270">
        <v>438406.34</v>
      </c>
      <c r="AM20" s="1270">
        <v>7813398.8899999987</v>
      </c>
      <c r="AN20" s="1270">
        <v>61869910.990012467</v>
      </c>
      <c r="AO20" s="1270">
        <v>9665677.8000000007</v>
      </c>
      <c r="AP20" s="1270">
        <v>977450.41999999993</v>
      </c>
      <c r="AQ20" s="1270">
        <v>1430262.0597174363</v>
      </c>
      <c r="AR20" s="1270">
        <v>657212.19675400865</v>
      </c>
      <c r="AS20" s="346">
        <v>19851625.13532206</v>
      </c>
      <c r="AT20" s="1270">
        <v>30156965.99845431</v>
      </c>
      <c r="AU20" s="1270">
        <v>1682757.0828155507</v>
      </c>
      <c r="AV20" s="1270">
        <v>7439097.8308771038</v>
      </c>
      <c r="AW20" s="1270">
        <v>1359966.5713257117</v>
      </c>
      <c r="AX20" s="1270">
        <v>885548.53</v>
      </c>
      <c r="AY20" s="1270">
        <v>18676837.594594922</v>
      </c>
      <c r="AZ20" s="1270">
        <v>2192061.8530727639</v>
      </c>
      <c r="BA20" s="1270">
        <v>38151061.615742907</v>
      </c>
      <c r="BB20" s="1270">
        <v>32538521.308667053</v>
      </c>
      <c r="BC20" s="1270">
        <v>1091179.4826861946</v>
      </c>
      <c r="BD20" s="1270">
        <v>900336.85883721244</v>
      </c>
      <c r="BE20" s="1270">
        <v>110599367.74488652</v>
      </c>
      <c r="BF20" s="1270">
        <v>46340134.361519367</v>
      </c>
      <c r="BG20" s="1270">
        <v>44852369.17741733</v>
      </c>
      <c r="BH20" s="1270">
        <v>37636449.25250528</v>
      </c>
      <c r="BI20" s="1270">
        <v>72124729.072653785</v>
      </c>
      <c r="BJ20" s="1270">
        <v>2975153.0969734015</v>
      </c>
      <c r="BK20" s="1270">
        <v>22949389.799590871</v>
      </c>
      <c r="BL20" s="1271">
        <v>10328912.093969828</v>
      </c>
      <c r="BM20" s="1265">
        <v>169154822.40086219</v>
      </c>
      <c r="BN20" s="1266">
        <f>SUM(H20:BM20)</f>
        <v>2271809786.3508334</v>
      </c>
    </row>
    <row r="21" spans="1:67" s="1267" customFormat="1" ht="14.4" thickBot="1">
      <c r="A21" s="1262">
        <v>15</v>
      </c>
      <c r="B21" s="822"/>
      <c r="C21" s="595" t="s">
        <v>513</v>
      </c>
      <c r="D21" s="990"/>
      <c r="E21" s="990"/>
      <c r="F21" s="922">
        <f>AVERAGE(F8:F20)</f>
        <v>2247899943.9685254</v>
      </c>
      <c r="G21" s="923">
        <f>+G20</f>
        <v>2271809786.3508334</v>
      </c>
      <c r="H21" s="924">
        <f>AVERAGE(H8:H20)</f>
        <v>52087557.601839818</v>
      </c>
      <c r="I21" s="924">
        <f t="shared" si="2" ref="I21:BN21">AVERAGE(I8:I20)</f>
        <v>17864229.274888948</v>
      </c>
      <c r="J21" s="924">
        <f t="shared" si="2"/>
        <v>1074201567.2278726</v>
      </c>
      <c r="K21" s="924">
        <f t="shared" si="2"/>
        <v>2127020.4400000004</v>
      </c>
      <c r="L21" s="924">
        <f t="shared" si="2"/>
        <v>24875323.837692305</v>
      </c>
      <c r="M21" s="924">
        <f t="shared" si="2"/>
        <v>8206717.8600000003</v>
      </c>
      <c r="N21" s="924">
        <f t="shared" si="2"/>
        <v>1923901.72</v>
      </c>
      <c r="O21" s="924">
        <f t="shared" si="2"/>
        <v>9188470.3423076905</v>
      </c>
      <c r="P21" s="924">
        <f t="shared" si="2"/>
        <v>6457243.1984615372</v>
      </c>
      <c r="Q21" s="924">
        <f t="shared" si="2"/>
        <v>39616234.559999995</v>
      </c>
      <c r="R21" s="924">
        <f t="shared" si="2"/>
        <v>5183480.7300000023</v>
      </c>
      <c r="S21" s="924">
        <f t="shared" si="2"/>
        <v>4772820.8907692321</v>
      </c>
      <c r="T21" s="924">
        <f t="shared" si="2"/>
        <v>5686783.396153843</v>
      </c>
      <c r="U21" s="924">
        <f t="shared" si="2"/>
        <v>8926238.5318568368</v>
      </c>
      <c r="V21" s="924">
        <f t="shared" si="2"/>
        <v>15923232.292541981</v>
      </c>
      <c r="W21" s="924">
        <f t="shared" si="2"/>
        <v>2885175.525933248</v>
      </c>
      <c r="X21" s="924">
        <f t="shared" si="2"/>
        <v>831385.57000000018</v>
      </c>
      <c r="Y21" s="924">
        <f t="shared" si="2"/>
        <v>6016840.5549788587</v>
      </c>
      <c r="Z21" s="924">
        <f t="shared" si="2"/>
        <v>63336573.6265136</v>
      </c>
      <c r="AA21" s="924">
        <f t="shared" si="2"/>
        <v>656546.15000000014</v>
      </c>
      <c r="AB21" s="924">
        <f t="shared" si="2"/>
        <v>19565369.544798404</v>
      </c>
      <c r="AC21" s="924">
        <f t="shared" si="2"/>
        <v>28839502.235271152</v>
      </c>
      <c r="AD21" s="924">
        <f t="shared" si="2"/>
        <v>1198270.0299999998</v>
      </c>
      <c r="AE21" s="924">
        <f t="shared" si="2"/>
        <v>1779158.9832078295</v>
      </c>
      <c r="AF21" s="924">
        <f t="shared" si="2"/>
        <v>12863993.760000004</v>
      </c>
      <c r="AG21" s="924">
        <f t="shared" si="2"/>
        <v>36638919.954615392</v>
      </c>
      <c r="AH21" s="924">
        <f t="shared" si="2"/>
        <v>3707315.100000001</v>
      </c>
      <c r="AI21" s="924">
        <f t="shared" si="2"/>
        <v>568850.1100000001</v>
      </c>
      <c r="AJ21" s="924">
        <f t="shared" si="2"/>
        <v>44234306.274949223</v>
      </c>
      <c r="AK21" s="924">
        <f t="shared" si="2"/>
        <v>6211683.4869230753</v>
      </c>
      <c r="AL21" s="924">
        <f t="shared" si="2"/>
        <v>438406.33999999991</v>
      </c>
      <c r="AM21" s="924">
        <f t="shared" si="2"/>
        <v>7869699.7330769207</v>
      </c>
      <c r="AN21" s="924">
        <f t="shared" si="2"/>
        <v>61612518.960012451</v>
      </c>
      <c r="AO21" s="924">
        <f t="shared" si="2"/>
        <v>9665677.7999999989</v>
      </c>
      <c r="AP21" s="924">
        <f t="shared" si="2"/>
        <v>977450.41999999993</v>
      </c>
      <c r="AQ21" s="924">
        <f t="shared" si="2"/>
        <v>1430262.0597174359</v>
      </c>
      <c r="AR21" s="924">
        <f t="shared" si="2"/>
        <v>657212.19675400865</v>
      </c>
      <c r="AS21" s="924">
        <f t="shared" si="2"/>
        <v>17489135.352245137</v>
      </c>
      <c r="AT21" s="924">
        <f t="shared" si="2"/>
        <v>30156965.998454314</v>
      </c>
      <c r="AU21" s="924">
        <f t="shared" si="2"/>
        <v>1682757.0828155505</v>
      </c>
      <c r="AV21" s="924">
        <f t="shared" si="2"/>
        <v>7439097.8308771057</v>
      </c>
      <c r="AW21" s="924">
        <f t="shared" si="2"/>
        <v>1359966.5713257117</v>
      </c>
      <c r="AX21" s="924">
        <f t="shared" si="2"/>
        <v>885548.52999999991</v>
      </c>
      <c r="AY21" s="924">
        <f t="shared" si="2"/>
        <v>18674805.669210307</v>
      </c>
      <c r="AZ21" s="924">
        <f t="shared" si="2"/>
        <v>2191041.894611225</v>
      </c>
      <c r="BA21" s="924">
        <f t="shared" si="2"/>
        <v>37877436.154204436</v>
      </c>
      <c r="BB21" s="924">
        <f t="shared" si="2"/>
        <v>32538443.614820901</v>
      </c>
      <c r="BC21" s="924">
        <f t="shared" si="2"/>
        <v>1091179.4826861951</v>
      </c>
      <c r="BD21" s="924">
        <f t="shared" si="2"/>
        <v>900336.85883721255</v>
      </c>
      <c r="BE21" s="924">
        <f t="shared" si="2"/>
        <v>110486502.04334801</v>
      </c>
      <c r="BF21" s="924">
        <f t="shared" si="2"/>
        <v>46058193.832288593</v>
      </c>
      <c r="BG21" s="924">
        <f t="shared" si="2"/>
        <v>44856960.831263475</v>
      </c>
      <c r="BH21" s="924">
        <f t="shared" si="2"/>
        <v>37636449.252505288</v>
      </c>
      <c r="BI21" s="924">
        <f t="shared" si="2"/>
        <v>71901310.313423023</v>
      </c>
      <c r="BJ21" s="924">
        <f t="shared" si="2"/>
        <v>2238199.1823580167</v>
      </c>
      <c r="BK21" s="924">
        <f t="shared" si="2"/>
        <v>22949389.799590878</v>
      </c>
      <c r="BL21" s="924">
        <f t="shared" si="2"/>
        <v>10365508.763200594</v>
      </c>
      <c r="BM21" s="924">
        <f t="shared" si="2"/>
        <v>160094774.58932376</v>
      </c>
      <c r="BN21" s="924">
        <f t="shared" si="2"/>
        <v>2247899943.9685254</v>
      </c>
      <c r="BO21" s="1272"/>
    </row>
    <row r="22" spans="1:28 86:86" s="1190" customFormat="1" ht="27" thickTop="1">
      <c r="A22" s="1262"/>
      <c r="B22" s="822"/>
      <c r="C22" s="990"/>
      <c r="D22" s="990"/>
      <c r="E22" s="990" t="s">
        <v>447</v>
      </c>
      <c r="F22" s="596" t="s">
        <v>824</v>
      </c>
      <c r="G22" s="622" t="s">
        <v>824</v>
      </c>
      <c r="H22" s="1273"/>
      <c r="I22" s="1274"/>
      <c r="J22" s="1274"/>
      <c r="K22" s="519"/>
      <c r="L22" s="1275"/>
      <c r="M22" s="1275"/>
      <c r="N22" s="1275"/>
      <c r="O22" s="1275"/>
      <c r="P22" s="1276"/>
      <c r="Q22" s="1277" t="s">
        <v>447</v>
      </c>
      <c r="AB22" s="1277"/>
      <c r="CH22" s="1278"/>
    </row>
    <row r="23" spans="1:87" s="1267" customFormat="1" ht="13.2">
      <c r="A23" s="1262"/>
      <c r="B23" s="990"/>
      <c r="C23" s="598" t="s">
        <v>929</v>
      </c>
      <c r="D23" s="990" t="s">
        <v>918</v>
      </c>
      <c r="E23" s="822"/>
      <c r="F23" s="822"/>
      <c r="G23" s="1262"/>
      <c r="H23" s="1279"/>
      <c r="I23" s="1276"/>
      <c r="J23" s="1276"/>
      <c r="K23" s="1276"/>
      <c r="L23" s="1276"/>
      <c r="M23" s="1276"/>
      <c r="N23" s="1276"/>
      <c r="O23" s="1276"/>
      <c r="P23" s="1276"/>
      <c r="Q23" s="1276"/>
      <c r="R23" s="1276"/>
      <c r="S23" s="1276"/>
      <c r="T23" s="1276"/>
      <c r="U23" s="1276"/>
      <c r="V23" s="1280"/>
      <c r="W23" s="1280"/>
      <c r="X23" s="1280"/>
      <c r="Y23" s="1280"/>
      <c r="Z23" s="1280"/>
      <c r="AA23" s="1280"/>
      <c r="AB23" s="1280"/>
      <c r="AC23" s="1280"/>
      <c r="AD23" s="1280"/>
      <c r="AE23" s="1280"/>
      <c r="AF23" s="1280"/>
      <c r="AG23" s="1280"/>
      <c r="AH23" s="1280"/>
      <c r="AI23" s="1280"/>
      <c r="AJ23" s="1280"/>
      <c r="AK23" s="1280"/>
      <c r="AL23" s="1280"/>
      <c r="AM23" s="1280"/>
      <c r="AN23" s="1280"/>
      <c r="AO23" s="1280"/>
      <c r="AP23" s="1280"/>
      <c r="AQ23" s="1280"/>
      <c r="AR23" s="1280"/>
      <c r="AS23" s="1280"/>
      <c r="AT23" s="1280"/>
      <c r="AU23" s="1280"/>
      <c r="AV23" s="1280"/>
      <c r="AW23" s="1280"/>
      <c r="AX23" s="1280"/>
      <c r="AY23" s="1280"/>
      <c r="AZ23" s="1280"/>
      <c r="BA23" s="1280"/>
      <c r="BB23" s="1280"/>
      <c r="BC23" s="1280"/>
      <c r="BD23" s="1280"/>
      <c r="BE23" s="1280"/>
      <c r="BF23" s="1280"/>
      <c r="BG23" s="1280"/>
      <c r="BH23" s="1280"/>
      <c r="BI23" s="1280"/>
      <c r="BJ23" s="1280"/>
      <c r="BK23" s="1280"/>
      <c r="BL23" s="1280"/>
      <c r="BM23" s="1280"/>
      <c r="BN23" s="1280"/>
      <c r="BO23" s="1190"/>
      <c r="BP23" s="1190"/>
      <c r="BQ23" s="1190"/>
      <c r="BR23" s="1190"/>
      <c r="BS23" s="1190"/>
      <c r="BT23" s="1190"/>
      <c r="BU23" s="1190"/>
      <c r="BV23" s="1190"/>
      <c r="BW23" s="1190"/>
      <c r="BX23" s="1190"/>
      <c r="BY23" s="1190"/>
      <c r="BZ23" s="1190"/>
      <c r="CA23" s="1190"/>
      <c r="CB23" s="1190"/>
      <c r="CC23" s="1190"/>
      <c r="CD23" s="1190"/>
      <c r="CE23" s="1190"/>
      <c r="CF23" s="1190"/>
      <c r="CG23" s="1190"/>
      <c r="CH23" s="1278"/>
      <c r="CI23" s="1190"/>
    </row>
    <row r="24" spans="1:87" s="1267" customFormat="1" ht="15">
      <c r="A24" s="1262"/>
      <c r="B24" s="822"/>
      <c r="C24" s="822" t="s">
        <v>919</v>
      </c>
      <c r="D24" s="599" t="s">
        <v>930</v>
      </c>
      <c r="E24" s="990" t="s">
        <v>1416</v>
      </c>
      <c r="F24" s="821">
        <v>0</v>
      </c>
      <c r="G24" s="1262"/>
      <c r="H24" s="1260"/>
      <c r="I24" s="1274"/>
      <c r="J24" s="1274"/>
      <c r="K24" s="1277"/>
      <c r="L24" s="1281"/>
      <c r="M24" s="1281"/>
      <c r="N24" s="1281"/>
      <c r="O24" s="1281"/>
      <c r="P24" s="1282"/>
      <c r="Q24" s="1190"/>
      <c r="R24" s="1190"/>
      <c r="S24" s="1283"/>
      <c r="T24" s="1190"/>
      <c r="U24" s="1190"/>
      <c r="V24" s="1190"/>
      <c r="W24" s="1190"/>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190"/>
      <c r="AS24" s="1190"/>
      <c r="AT24" s="1190"/>
      <c r="AU24" s="1190"/>
      <c r="AV24" s="1190"/>
      <c r="AW24" s="1190"/>
      <c r="AX24" s="1190"/>
      <c r="AY24" s="1190"/>
      <c r="AZ24" s="1190"/>
      <c r="BA24" s="1190"/>
      <c r="BB24" s="1190"/>
      <c r="BC24" s="1190"/>
      <c r="BD24" s="1190"/>
      <c r="BE24" s="1190"/>
      <c r="BF24" s="1190"/>
      <c r="BG24" s="1190"/>
      <c r="BH24" s="1190"/>
      <c r="BI24" s="1190"/>
      <c r="BJ24" s="1190"/>
      <c r="BK24" s="1190"/>
      <c r="BL24" s="1190"/>
      <c r="BM24" s="1190"/>
      <c r="BN24" s="1190"/>
      <c r="BO24" s="1190"/>
      <c r="BP24" s="1190"/>
      <c r="BQ24" s="1190"/>
      <c r="BR24" s="1190"/>
      <c r="BS24" s="1190"/>
      <c r="BT24" s="1190"/>
      <c r="BU24" s="1190"/>
      <c r="BV24" s="1190"/>
      <c r="BW24" s="1190"/>
      <c r="BX24" s="1190"/>
      <c r="BY24" s="1190"/>
      <c r="BZ24" s="1190"/>
      <c r="CA24" s="1190"/>
      <c r="CB24" s="1190"/>
      <c r="CC24" s="1190"/>
      <c r="CD24" s="1190"/>
      <c r="CE24" s="1190"/>
      <c r="CF24" s="1190"/>
      <c r="CG24" s="1190"/>
      <c r="CH24" s="1278"/>
      <c r="CI24" s="1190"/>
    </row>
    <row r="25" spans="1:87" s="1267" customFormat="1" ht="13.2">
      <c r="A25" s="1262"/>
      <c r="B25" s="990"/>
      <c r="C25" s="822" t="s">
        <v>920</v>
      </c>
      <c r="D25" s="990" t="s">
        <v>921</v>
      </c>
      <c r="E25" s="990" t="s">
        <v>1443</v>
      </c>
      <c r="F25" s="821">
        <v>0</v>
      </c>
      <c r="G25" s="1262"/>
      <c r="H25" s="1260"/>
      <c r="I25" s="822"/>
      <c r="J25" s="822"/>
      <c r="K25" s="822"/>
      <c r="L25" s="822"/>
      <c r="M25" s="822"/>
      <c r="N25" s="1274"/>
      <c r="O25" s="822"/>
      <c r="P25" s="1274"/>
      <c r="Q25" s="822"/>
      <c r="R25" s="822"/>
      <c r="S25" s="822"/>
      <c r="T25" s="822"/>
      <c r="U25" s="1274"/>
      <c r="V25" s="822"/>
      <c r="W25" s="822"/>
      <c r="X25" s="822"/>
      <c r="Y25" s="822"/>
      <c r="Z25" s="822"/>
      <c r="AA25" s="822"/>
      <c r="AB25" s="1274"/>
      <c r="AC25" s="822"/>
      <c r="AD25" s="822"/>
      <c r="AE25" s="822"/>
      <c r="AF25" s="822"/>
      <c r="AG25" s="822"/>
      <c r="AH25" s="822"/>
      <c r="AI25" s="822"/>
      <c r="AJ25" s="822"/>
      <c r="AK25" s="822"/>
      <c r="AL25" s="822"/>
      <c r="AM25" s="822"/>
      <c r="AN25" s="822"/>
      <c r="AO25" s="822"/>
      <c r="AP25" s="822"/>
      <c r="AQ25" s="822"/>
      <c r="AR25" s="822"/>
      <c r="AS25" s="822"/>
      <c r="AT25" s="822"/>
      <c r="AU25" s="822"/>
      <c r="AV25" s="822"/>
      <c r="AW25" s="822"/>
      <c r="AX25" s="822"/>
      <c r="AY25" s="822"/>
      <c r="AZ25" s="822"/>
      <c r="BA25" s="822"/>
      <c r="BB25" s="822"/>
      <c r="BC25" s="822"/>
      <c r="BD25" s="822"/>
      <c r="BE25" s="822"/>
      <c r="BF25" s="822"/>
      <c r="BG25" s="822"/>
      <c r="BH25" s="822"/>
      <c r="BI25" s="822"/>
      <c r="BJ25" s="822"/>
      <c r="BK25" s="822"/>
      <c r="BL25" s="822"/>
      <c r="BM25" s="822"/>
      <c r="BN25" s="822"/>
      <c r="BO25" s="1190"/>
      <c r="BP25" s="1190"/>
      <c r="BQ25" s="1190"/>
      <c r="BR25" s="1190"/>
      <c r="BS25" s="1190"/>
      <c r="BT25" s="1190"/>
      <c r="BU25" s="1190"/>
      <c r="BV25" s="1190"/>
      <c r="BW25" s="1190"/>
      <c r="BX25" s="1190"/>
      <c r="BY25" s="1190"/>
      <c r="BZ25" s="1190"/>
      <c r="CA25" s="1190"/>
      <c r="CB25" s="1190"/>
      <c r="CC25" s="1190"/>
      <c r="CD25" s="1190"/>
      <c r="CE25" s="1190"/>
      <c r="CF25" s="1190"/>
      <c r="CG25" s="1190"/>
      <c r="CH25" s="1278"/>
      <c r="CI25" s="1190"/>
    </row>
    <row r="26" spans="1:87" s="1267" customFormat="1" ht="13.2">
      <c r="A26" s="1262"/>
      <c r="B26" s="822"/>
      <c r="C26" s="990" t="s">
        <v>922</v>
      </c>
      <c r="D26" s="990" t="s">
        <v>921</v>
      </c>
      <c r="E26" s="990" t="s">
        <v>1443</v>
      </c>
      <c r="F26" s="821">
        <v>0</v>
      </c>
      <c r="G26" s="1262"/>
      <c r="H26" s="1260"/>
      <c r="I26" s="1277"/>
      <c r="J26" s="822"/>
      <c r="K26" s="1277"/>
      <c r="L26" s="1281"/>
      <c r="M26" s="1281"/>
      <c r="N26" s="1281"/>
      <c r="O26" s="1281"/>
      <c r="P26" s="1282"/>
      <c r="Q26" s="1190"/>
      <c r="R26" s="1190"/>
      <c r="S26" s="1276"/>
      <c r="T26" s="1190"/>
      <c r="U26" s="1190"/>
      <c r="V26" s="1190"/>
      <c r="W26" s="1190"/>
      <c r="X26" s="1190"/>
      <c r="Y26" s="1190"/>
      <c r="Z26" s="1190"/>
      <c r="AA26" s="1190"/>
      <c r="AB26" s="1190"/>
      <c r="AC26" s="1190"/>
      <c r="AD26" s="1190"/>
      <c r="AE26" s="1190"/>
      <c r="AF26" s="1190"/>
      <c r="AG26" s="1190"/>
      <c r="AH26" s="1190"/>
      <c r="AI26" s="1190"/>
      <c r="AJ26" s="1190"/>
      <c r="AK26" s="1190"/>
      <c r="AL26" s="1190"/>
      <c r="AM26" s="1190"/>
      <c r="AN26" s="1190"/>
      <c r="AO26" s="1190"/>
      <c r="AP26" s="1190"/>
      <c r="AQ26" s="1190"/>
      <c r="AR26" s="1190"/>
      <c r="AS26" s="1190"/>
      <c r="AT26" s="1190"/>
      <c r="AU26" s="1190"/>
      <c r="AV26" s="1190"/>
      <c r="AW26" s="1190"/>
      <c r="AX26" s="1190"/>
      <c r="AY26" s="1190"/>
      <c r="AZ26" s="1190"/>
      <c r="BA26" s="1190"/>
      <c r="BB26" s="1190"/>
      <c r="BC26" s="1190"/>
      <c r="BD26" s="1190"/>
      <c r="BE26" s="1190"/>
      <c r="BF26" s="1190"/>
      <c r="BG26" s="1190"/>
      <c r="BH26" s="1190"/>
      <c r="BI26" s="1190"/>
      <c r="BJ26" s="1190"/>
      <c r="BK26" s="1190"/>
      <c r="BL26" s="1190"/>
      <c r="BM26" s="1190"/>
      <c r="BN26" s="1190"/>
      <c r="BO26" s="1190"/>
      <c r="BP26" s="1190"/>
      <c r="BQ26" s="1190"/>
      <c r="BR26" s="1190"/>
      <c r="BS26" s="1190"/>
      <c r="BT26" s="1190"/>
      <c r="BU26" s="1190"/>
      <c r="BV26" s="1190"/>
      <c r="BW26" s="1190"/>
      <c r="BX26" s="1190"/>
      <c r="BY26" s="1190"/>
      <c r="BZ26" s="1190"/>
      <c r="CA26" s="1190"/>
      <c r="CB26" s="1190"/>
      <c r="CC26" s="1190"/>
      <c r="CD26" s="1190"/>
      <c r="CE26" s="1190"/>
      <c r="CF26" s="1190"/>
      <c r="CG26" s="1190"/>
      <c r="CH26" s="1278"/>
      <c r="CI26" s="1190"/>
    </row>
    <row r="27" spans="1:87" s="1267" customFormat="1" ht="13.2">
      <c r="A27" s="1262"/>
      <c r="B27" s="822"/>
      <c r="C27" s="990" t="s">
        <v>349</v>
      </c>
      <c r="D27" s="990" t="s">
        <v>921</v>
      </c>
      <c r="E27" s="990" t="s">
        <v>1443</v>
      </c>
      <c r="F27" s="821">
        <v>0</v>
      </c>
      <c r="G27" s="1262"/>
      <c r="H27" s="1260"/>
      <c r="I27" s="1274"/>
      <c r="J27" s="822"/>
      <c r="K27" s="1277"/>
      <c r="L27" s="1281"/>
      <c r="M27" s="1281"/>
      <c r="N27" s="1281"/>
      <c r="O27" s="1281"/>
      <c r="P27" s="1282"/>
      <c r="Q27" s="1190"/>
      <c r="R27" s="1190"/>
      <c r="S27" s="1276"/>
      <c r="T27" s="1190"/>
      <c r="U27" s="1190"/>
      <c r="V27" s="1190"/>
      <c r="W27" s="1190"/>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190"/>
      <c r="AS27" s="1190"/>
      <c r="AT27" s="1190"/>
      <c r="AU27" s="1190"/>
      <c r="AV27" s="1190"/>
      <c r="AW27" s="1190"/>
      <c r="AX27" s="1190"/>
      <c r="AY27" s="1190"/>
      <c r="AZ27" s="1190"/>
      <c r="BA27" s="1190"/>
      <c r="BB27" s="1190"/>
      <c r="BC27" s="1190"/>
      <c r="BD27" s="1190"/>
      <c r="BE27" s="1190"/>
      <c r="BF27" s="1190"/>
      <c r="BG27" s="1190"/>
      <c r="BH27" s="1190"/>
      <c r="BI27" s="1190"/>
      <c r="BJ27" s="1190"/>
      <c r="BK27" s="1190"/>
      <c r="BL27" s="1190"/>
      <c r="BM27" s="1190"/>
      <c r="BN27" s="1190"/>
      <c r="BO27" s="1190"/>
      <c r="BP27" s="1190"/>
      <c r="BQ27" s="1190"/>
      <c r="BR27" s="1190"/>
      <c r="BS27" s="1190"/>
      <c r="BT27" s="1190"/>
      <c r="BU27" s="1190"/>
      <c r="BV27" s="1190"/>
      <c r="BW27" s="1190"/>
      <c r="BX27" s="1190"/>
      <c r="BY27" s="1190"/>
      <c r="BZ27" s="1190"/>
      <c r="CA27" s="1190"/>
      <c r="CB27" s="1190"/>
      <c r="CC27" s="1190"/>
      <c r="CD27" s="1190"/>
      <c r="CE27" s="1190"/>
      <c r="CF27" s="1190"/>
      <c r="CG27" s="1190"/>
      <c r="CH27" s="1278"/>
      <c r="CI27" s="1190"/>
    </row>
    <row r="28" spans="1:87" s="1267" customFormat="1" ht="13.2">
      <c r="A28" s="1262"/>
      <c r="B28" s="822"/>
      <c r="C28" s="822" t="s">
        <v>254</v>
      </c>
      <c r="D28" s="990" t="s">
        <v>921</v>
      </c>
      <c r="E28" s="990" t="s">
        <v>1443</v>
      </c>
      <c r="F28" s="821">
        <v>0</v>
      </c>
      <c r="G28" s="1262"/>
      <c r="H28" s="1260"/>
      <c r="I28" s="822"/>
      <c r="J28" s="822"/>
      <c r="K28" s="1277"/>
      <c r="L28" s="1281"/>
      <c r="M28" s="1281"/>
      <c r="N28" s="1281"/>
      <c r="O28" s="1281"/>
      <c r="P28" s="1282"/>
      <c r="Q28" s="1190"/>
      <c r="R28" s="1190"/>
      <c r="S28" s="1276"/>
      <c r="T28" s="1190"/>
      <c r="U28" s="1190"/>
      <c r="V28" s="1190"/>
      <c r="W28" s="1190"/>
      <c r="X28" s="1190"/>
      <c r="Y28" s="1190"/>
      <c r="Z28" s="1190"/>
      <c r="AA28" s="1190"/>
      <c r="AB28" s="1190"/>
      <c r="AC28" s="1190"/>
      <c r="AD28" s="1190"/>
      <c r="AE28" s="1190"/>
      <c r="AF28" s="1190"/>
      <c r="AG28" s="1190"/>
      <c r="AH28" s="1190"/>
      <c r="AI28" s="1190"/>
      <c r="AJ28" s="1190"/>
      <c r="AK28" s="1190"/>
      <c r="AL28" s="1190"/>
      <c r="AM28" s="1190"/>
      <c r="AN28" s="1190"/>
      <c r="AO28" s="1190"/>
      <c r="AP28" s="1190"/>
      <c r="AQ28" s="1190"/>
      <c r="AR28" s="1190"/>
      <c r="AS28" s="1190"/>
      <c r="AT28" s="1190"/>
      <c r="AU28" s="1190"/>
      <c r="AV28" s="1190"/>
      <c r="AW28" s="1190"/>
      <c r="AX28" s="1190"/>
      <c r="AY28" s="1190"/>
      <c r="AZ28" s="1190"/>
      <c r="BA28" s="1190"/>
      <c r="BB28" s="1190"/>
      <c r="BC28" s="1190"/>
      <c r="BD28" s="1190"/>
      <c r="BE28" s="1190"/>
      <c r="BF28" s="1190"/>
      <c r="BG28" s="1190"/>
      <c r="BH28" s="1190"/>
      <c r="BI28" s="1190"/>
      <c r="BJ28" s="1190"/>
      <c r="BK28" s="1190"/>
      <c r="BL28" s="1190"/>
      <c r="BM28" s="1190"/>
      <c r="BN28" s="1190"/>
      <c r="BO28" s="1190"/>
      <c r="BP28" s="1190"/>
      <c r="BQ28" s="1190"/>
      <c r="BR28" s="1190"/>
      <c r="BS28" s="1190"/>
      <c r="BT28" s="1190"/>
      <c r="BU28" s="1190"/>
      <c r="BV28" s="1190"/>
      <c r="BW28" s="1190"/>
      <c r="BX28" s="1190"/>
      <c r="BY28" s="1190"/>
      <c r="BZ28" s="1190"/>
      <c r="CA28" s="1190"/>
      <c r="CB28" s="1190"/>
      <c r="CC28" s="1190"/>
      <c r="CD28" s="1190"/>
      <c r="CE28" s="1190"/>
      <c r="CF28" s="1190"/>
      <c r="CG28" s="1190"/>
      <c r="CH28" s="1278"/>
      <c r="CI28" s="1190"/>
    </row>
    <row r="29" spans="1:87" s="1267" customFormat="1" ht="13.2">
      <c r="A29" s="1262"/>
      <c r="B29" s="990"/>
      <c r="C29" s="990" t="s">
        <v>255</v>
      </c>
      <c r="D29" s="990" t="s">
        <v>921</v>
      </c>
      <c r="E29" s="990" t="s">
        <v>1443</v>
      </c>
      <c r="F29" s="821">
        <v>0</v>
      </c>
      <c r="G29" s="1262"/>
      <c r="H29" s="1260"/>
      <c r="I29" s="1277"/>
      <c r="J29" s="822"/>
      <c r="K29" s="1277"/>
      <c r="L29" s="822"/>
      <c r="M29" s="822"/>
      <c r="N29" s="822"/>
      <c r="O29" s="822"/>
      <c r="P29" s="1282"/>
      <c r="Q29" s="1190"/>
      <c r="R29" s="1190"/>
      <c r="S29" s="1276"/>
      <c r="T29" s="1190"/>
      <c r="U29" s="1190"/>
      <c r="V29" s="1190"/>
      <c r="W29" s="1190"/>
      <c r="X29" s="1190"/>
      <c r="Y29" s="1190"/>
      <c r="Z29" s="1190"/>
      <c r="AA29" s="1190"/>
      <c r="AB29" s="1190"/>
      <c r="AC29" s="1190"/>
      <c r="AD29" s="1190"/>
      <c r="AE29" s="1190"/>
      <c r="AF29" s="1190"/>
      <c r="AG29" s="1190"/>
      <c r="AH29" s="1190"/>
      <c r="AI29" s="1190"/>
      <c r="AJ29" s="1190"/>
      <c r="AK29" s="1190"/>
      <c r="AL29" s="1190"/>
      <c r="AM29" s="1190"/>
      <c r="AN29" s="1190"/>
      <c r="AO29" s="1190"/>
      <c r="AP29" s="1190"/>
      <c r="AQ29" s="1190"/>
      <c r="AR29" s="1190"/>
      <c r="AS29" s="1190"/>
      <c r="AT29" s="1190"/>
      <c r="AU29" s="1190"/>
      <c r="AV29" s="1190"/>
      <c r="AW29" s="1190"/>
      <c r="AX29" s="1190"/>
      <c r="AY29" s="1190"/>
      <c r="AZ29" s="1190"/>
      <c r="BA29" s="1190"/>
      <c r="BB29" s="1190"/>
      <c r="BC29" s="1190"/>
      <c r="BD29" s="1190"/>
      <c r="BE29" s="1190"/>
      <c r="BF29" s="1190"/>
      <c r="BG29" s="1190"/>
      <c r="BH29" s="1190"/>
      <c r="BI29" s="1190"/>
      <c r="BJ29" s="1190"/>
      <c r="BK29" s="1190"/>
      <c r="BL29" s="1190"/>
      <c r="BM29" s="1190"/>
      <c r="BN29" s="1190"/>
      <c r="BO29" s="1190"/>
      <c r="BP29" s="1190"/>
      <c r="BQ29" s="1190"/>
      <c r="BR29" s="1190"/>
      <c r="BS29" s="1190"/>
      <c r="BT29" s="1190"/>
      <c r="BU29" s="1190"/>
      <c r="BV29" s="1190"/>
      <c r="BW29" s="1190"/>
      <c r="BX29" s="1190"/>
      <c r="BY29" s="1190"/>
      <c r="BZ29" s="1190"/>
      <c r="CA29" s="1190"/>
      <c r="CB29" s="1190"/>
      <c r="CC29" s="1190"/>
      <c r="CD29" s="1190"/>
      <c r="CE29" s="1190"/>
      <c r="CF29" s="1190"/>
      <c r="CG29" s="1190"/>
      <c r="CH29" s="1278"/>
      <c r="CI29" s="1190"/>
    </row>
    <row r="30" spans="1:87" s="1267" customFormat="1" ht="13.2">
      <c r="A30" s="1262"/>
      <c r="B30" s="822"/>
      <c r="C30" s="990" t="s">
        <v>923</v>
      </c>
      <c r="D30" s="990" t="s">
        <v>921</v>
      </c>
      <c r="E30" s="990" t="s">
        <v>1443</v>
      </c>
      <c r="F30" s="821">
        <v>0</v>
      </c>
      <c r="G30" s="1262"/>
      <c r="H30" s="1260"/>
      <c r="I30" s="1274"/>
      <c r="J30" s="822"/>
      <c r="K30" s="1277"/>
      <c r="L30" s="1281"/>
      <c r="M30" s="1281"/>
      <c r="N30" s="1281"/>
      <c r="O30" s="1281"/>
      <c r="P30" s="1282"/>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0"/>
      <c r="BF30" s="1190"/>
      <c r="BG30" s="1190"/>
      <c r="BH30" s="1190"/>
      <c r="BI30" s="1190"/>
      <c r="BJ30" s="1190"/>
      <c r="BK30" s="1190"/>
      <c r="BL30" s="1190"/>
      <c r="BM30" s="1190"/>
      <c r="BN30" s="1190"/>
      <c r="BO30" s="1190"/>
      <c r="BP30" s="1190"/>
      <c r="BQ30" s="1190"/>
      <c r="BR30" s="1190"/>
      <c r="BS30" s="1190"/>
      <c r="BT30" s="1190"/>
      <c r="BU30" s="1190"/>
      <c r="BV30" s="1190"/>
      <c r="BW30" s="1190"/>
      <c r="BX30" s="1190"/>
      <c r="BY30" s="1190"/>
      <c r="BZ30" s="1190"/>
      <c r="CA30" s="1190"/>
      <c r="CB30" s="1190"/>
      <c r="CC30" s="1190"/>
      <c r="CD30" s="1190"/>
      <c r="CE30" s="1190"/>
      <c r="CF30" s="1190"/>
      <c r="CG30" s="1190"/>
      <c r="CH30" s="1278"/>
      <c r="CI30" s="1190"/>
    </row>
    <row r="31" spans="1:87" s="1267" customFormat="1" ht="13.2">
      <c r="A31" s="1262"/>
      <c r="B31" s="990"/>
      <c r="C31" s="822" t="s">
        <v>924</v>
      </c>
      <c r="D31" s="990" t="s">
        <v>921</v>
      </c>
      <c r="E31" s="990" t="s">
        <v>1443</v>
      </c>
      <c r="F31" s="821">
        <v>0</v>
      </c>
      <c r="G31" s="1262"/>
      <c r="H31" s="1260"/>
      <c r="I31" s="822"/>
      <c r="J31" s="822"/>
      <c r="K31" s="1277"/>
      <c r="L31" s="1281"/>
      <c r="M31" s="1281"/>
      <c r="N31" s="1281"/>
      <c r="O31" s="1281"/>
      <c r="P31" s="1282"/>
      <c r="Q31" s="1190"/>
      <c r="R31" s="1190"/>
      <c r="S31" s="1190"/>
      <c r="T31" s="1190"/>
      <c r="U31" s="1190"/>
      <c r="V31" s="1190"/>
      <c r="W31" s="1190"/>
      <c r="X31" s="1190"/>
      <c r="Y31" s="1190"/>
      <c r="Z31" s="1190"/>
      <c r="AA31" s="1190"/>
      <c r="AB31" s="1190"/>
      <c r="AC31" s="1190"/>
      <c r="AD31" s="1190"/>
      <c r="AE31" s="1190"/>
      <c r="AF31" s="1190"/>
      <c r="AG31" s="1190"/>
      <c r="AH31" s="1190"/>
      <c r="AI31" s="1190"/>
      <c r="AJ31" s="1190"/>
      <c r="AK31" s="1190"/>
      <c r="AL31" s="1190"/>
      <c r="AM31" s="1190"/>
      <c r="AN31" s="1190"/>
      <c r="AO31" s="1190"/>
      <c r="AP31" s="1190"/>
      <c r="AQ31" s="1190"/>
      <c r="AR31" s="1190"/>
      <c r="AS31" s="1190"/>
      <c r="AT31" s="1190"/>
      <c r="AU31" s="1190"/>
      <c r="AV31" s="1190"/>
      <c r="AW31" s="1190"/>
      <c r="AX31" s="1190"/>
      <c r="AY31" s="1190"/>
      <c r="AZ31" s="1190"/>
      <c r="BA31" s="1190"/>
      <c r="BB31" s="1190"/>
      <c r="BC31" s="1190"/>
      <c r="BD31" s="1190"/>
      <c r="BE31" s="1190"/>
      <c r="BF31" s="1190"/>
      <c r="BG31" s="1190"/>
      <c r="BH31" s="1190"/>
      <c r="BI31" s="1190"/>
      <c r="BJ31" s="1190"/>
      <c r="BK31" s="1190"/>
      <c r="BL31" s="1190"/>
      <c r="BM31" s="1190"/>
      <c r="BN31" s="1190"/>
      <c r="BO31" s="1190"/>
      <c r="BP31" s="1190"/>
      <c r="BQ31" s="1190"/>
      <c r="BR31" s="1190"/>
      <c r="BS31" s="1190"/>
      <c r="BT31" s="1190"/>
      <c r="BU31" s="1190"/>
      <c r="BV31" s="1190"/>
      <c r="BW31" s="1190"/>
      <c r="BX31" s="1190"/>
      <c r="BY31" s="1190"/>
      <c r="BZ31" s="1190"/>
      <c r="CA31" s="1190"/>
      <c r="CB31" s="1190"/>
      <c r="CC31" s="1190"/>
      <c r="CD31" s="1190"/>
      <c r="CE31" s="1190"/>
      <c r="CF31" s="1190"/>
      <c r="CG31" s="1190"/>
      <c r="CH31" s="1278"/>
      <c r="CI31" s="1190"/>
    </row>
    <row r="32" spans="1:87" s="1267" customFormat="1" ht="13.2">
      <c r="A32" s="1262"/>
      <c r="B32" s="822"/>
      <c r="C32" s="990" t="s">
        <v>925</v>
      </c>
      <c r="D32" s="990" t="s">
        <v>921</v>
      </c>
      <c r="E32" s="990" t="s">
        <v>1443</v>
      </c>
      <c r="F32" s="821">
        <v>0</v>
      </c>
      <c r="G32" s="1262"/>
      <c r="H32" s="1260"/>
      <c r="I32" s="1277"/>
      <c r="J32" s="822"/>
      <c r="K32" s="1277"/>
      <c r="L32" s="1281"/>
      <c r="M32" s="1281"/>
      <c r="N32" s="1281"/>
      <c r="O32" s="1281"/>
      <c r="P32" s="1282"/>
      <c r="Q32" s="1190"/>
      <c r="R32" s="1190"/>
      <c r="S32" s="1190"/>
      <c r="T32" s="1190"/>
      <c r="U32" s="1190"/>
      <c r="V32" s="1190"/>
      <c r="W32" s="1190"/>
      <c r="X32" s="1190"/>
      <c r="Y32" s="1190"/>
      <c r="Z32" s="1190"/>
      <c r="AA32" s="1190"/>
      <c r="AB32" s="1190"/>
      <c r="AC32" s="1190"/>
      <c r="AD32" s="1190"/>
      <c r="AE32" s="1190"/>
      <c r="AF32" s="1190"/>
      <c r="AG32" s="1190"/>
      <c r="AH32" s="1190"/>
      <c r="AI32" s="1190"/>
      <c r="AJ32" s="1190"/>
      <c r="AK32" s="1190"/>
      <c r="AL32" s="1190"/>
      <c r="AM32" s="1190"/>
      <c r="AN32" s="1190"/>
      <c r="AO32" s="1190"/>
      <c r="AP32" s="1190"/>
      <c r="AQ32" s="1190"/>
      <c r="AR32" s="1190"/>
      <c r="AS32" s="1190"/>
      <c r="AT32" s="1190"/>
      <c r="AU32" s="1190"/>
      <c r="AV32" s="1190"/>
      <c r="AW32" s="1190"/>
      <c r="AX32" s="1190"/>
      <c r="AY32" s="1190"/>
      <c r="AZ32" s="1190"/>
      <c r="BA32" s="1190"/>
      <c r="BB32" s="1190"/>
      <c r="BC32" s="1190"/>
      <c r="BD32" s="1190"/>
      <c r="BE32" s="1190"/>
      <c r="BF32" s="1190"/>
      <c r="BG32" s="1190"/>
      <c r="BH32" s="1190"/>
      <c r="BI32" s="1190"/>
      <c r="BJ32" s="1190"/>
      <c r="BK32" s="1190"/>
      <c r="BL32" s="1190"/>
      <c r="BM32" s="1190"/>
      <c r="BN32" s="1190"/>
      <c r="BO32" s="1190"/>
      <c r="BP32" s="1190"/>
      <c r="BQ32" s="1190"/>
      <c r="BR32" s="1190"/>
      <c r="BS32" s="1190"/>
      <c r="BT32" s="1190"/>
      <c r="BU32" s="1190"/>
      <c r="BV32" s="1190"/>
      <c r="BW32" s="1190"/>
      <c r="BX32" s="1190"/>
      <c r="BY32" s="1190"/>
      <c r="BZ32" s="1190"/>
      <c r="CA32" s="1190"/>
      <c r="CB32" s="1190"/>
      <c r="CC32" s="1190"/>
      <c r="CD32" s="1190"/>
      <c r="CE32" s="1190"/>
      <c r="CF32" s="1190"/>
      <c r="CG32" s="1190"/>
      <c r="CH32" s="1278"/>
      <c r="CI32" s="1190"/>
    </row>
    <row r="33" spans="1:87" s="1267" customFormat="1" ht="13.2">
      <c r="A33" s="1262"/>
      <c r="B33" s="822"/>
      <c r="C33" s="990" t="s">
        <v>926</v>
      </c>
      <c r="D33" s="990" t="s">
        <v>921</v>
      </c>
      <c r="E33" s="990" t="s">
        <v>1443</v>
      </c>
      <c r="F33" s="821">
        <v>0</v>
      </c>
      <c r="G33" s="1262"/>
      <c r="H33" s="1260"/>
      <c r="I33" s="1277"/>
      <c r="J33" s="822"/>
      <c r="K33" s="1277"/>
      <c r="L33" s="1281"/>
      <c r="M33" s="1281"/>
      <c r="N33" s="1281"/>
      <c r="O33" s="1281"/>
      <c r="P33" s="1282"/>
      <c r="Q33" s="1190"/>
      <c r="R33" s="1190"/>
      <c r="S33" s="1190"/>
      <c r="T33" s="1190"/>
      <c r="U33" s="1190"/>
      <c r="V33" s="1190"/>
      <c r="W33" s="1190"/>
      <c r="X33" s="1190"/>
      <c r="Y33" s="1190"/>
      <c r="Z33" s="1190"/>
      <c r="AA33" s="1190"/>
      <c r="AB33" s="1190"/>
      <c r="AC33" s="1190"/>
      <c r="AD33" s="1190"/>
      <c r="AE33" s="1190"/>
      <c r="AF33" s="1190"/>
      <c r="AG33" s="1190"/>
      <c r="AH33" s="1190"/>
      <c r="AI33" s="1190"/>
      <c r="AJ33" s="1190"/>
      <c r="AK33" s="1190"/>
      <c r="AL33" s="1190"/>
      <c r="AM33" s="1190"/>
      <c r="AN33" s="1190"/>
      <c r="AO33" s="1190"/>
      <c r="AP33" s="1190"/>
      <c r="AQ33" s="1190"/>
      <c r="AR33" s="1190"/>
      <c r="AS33" s="1190"/>
      <c r="AT33" s="1190"/>
      <c r="AU33" s="1190"/>
      <c r="AV33" s="1190"/>
      <c r="AW33" s="1190"/>
      <c r="AX33" s="1190"/>
      <c r="AY33" s="1190"/>
      <c r="AZ33" s="1190"/>
      <c r="BA33" s="1190"/>
      <c r="BB33" s="1190"/>
      <c r="BC33" s="1190"/>
      <c r="BD33" s="1190"/>
      <c r="BE33" s="1190"/>
      <c r="BF33" s="1190"/>
      <c r="BG33" s="1190"/>
      <c r="BH33" s="1190"/>
      <c r="BI33" s="1190"/>
      <c r="BJ33" s="1190"/>
      <c r="BK33" s="1190"/>
      <c r="BL33" s="1190"/>
      <c r="BM33" s="1190"/>
      <c r="BN33" s="1190"/>
      <c r="BO33" s="1190"/>
      <c r="BP33" s="1190"/>
      <c r="BQ33" s="1190"/>
      <c r="BR33" s="1190"/>
      <c r="BS33" s="1190"/>
      <c r="BT33" s="1190"/>
      <c r="BU33" s="1190"/>
      <c r="BV33" s="1190"/>
      <c r="BW33" s="1190"/>
      <c r="BX33" s="1190"/>
      <c r="BY33" s="1190"/>
      <c r="BZ33" s="1190"/>
      <c r="CA33" s="1190"/>
      <c r="CB33" s="1190"/>
      <c r="CC33" s="1190"/>
      <c r="CD33" s="1190"/>
      <c r="CE33" s="1190"/>
      <c r="CF33" s="1190"/>
      <c r="CG33" s="1190"/>
      <c r="CH33" s="1278"/>
      <c r="CI33" s="1190"/>
    </row>
    <row r="34" spans="1:87" s="1267" customFormat="1" ht="13.2">
      <c r="A34" s="1262"/>
      <c r="B34" s="822"/>
      <c r="C34" s="822" t="s">
        <v>931</v>
      </c>
      <c r="D34" s="990" t="s">
        <v>921</v>
      </c>
      <c r="E34" s="990" t="s">
        <v>1443</v>
      </c>
      <c r="F34" s="821">
        <v>0</v>
      </c>
      <c r="G34" s="1262"/>
      <c r="H34" s="1260"/>
      <c r="I34" s="1274"/>
      <c r="J34" s="822"/>
      <c r="K34" s="1277"/>
      <c r="L34" s="1281"/>
      <c r="M34" s="1281"/>
      <c r="N34" s="1281"/>
      <c r="O34" s="1281"/>
      <c r="P34" s="1282"/>
      <c r="Q34" s="1190"/>
      <c r="R34" s="1190"/>
      <c r="S34" s="1190"/>
      <c r="T34" s="1190"/>
      <c r="U34" s="1190"/>
      <c r="V34" s="1190"/>
      <c r="W34" s="1190"/>
      <c r="X34" s="1190"/>
      <c r="Y34" s="1190"/>
      <c r="Z34" s="1190"/>
      <c r="AA34" s="1190"/>
      <c r="AB34" s="1190"/>
      <c r="AC34" s="1190"/>
      <c r="AD34" s="1190"/>
      <c r="AE34" s="1190"/>
      <c r="AF34" s="1190"/>
      <c r="AG34" s="1190"/>
      <c r="AH34" s="1190"/>
      <c r="AI34" s="1190"/>
      <c r="AJ34" s="1190"/>
      <c r="AK34" s="1190"/>
      <c r="AL34" s="1190"/>
      <c r="AM34" s="1190"/>
      <c r="AN34" s="1190"/>
      <c r="AO34" s="1190"/>
      <c r="AP34" s="1190"/>
      <c r="AQ34" s="1190"/>
      <c r="AR34" s="1190"/>
      <c r="AS34" s="1190"/>
      <c r="AT34" s="1190"/>
      <c r="AU34" s="1190"/>
      <c r="AV34" s="1190"/>
      <c r="AW34" s="1190"/>
      <c r="AX34" s="1190"/>
      <c r="AY34" s="1190"/>
      <c r="AZ34" s="1190"/>
      <c r="BA34" s="1190"/>
      <c r="BB34" s="1190"/>
      <c r="BC34" s="1190"/>
      <c r="BD34" s="1190"/>
      <c r="BE34" s="1190"/>
      <c r="BF34" s="1190"/>
      <c r="BG34" s="1190"/>
      <c r="BH34" s="1190"/>
      <c r="BI34" s="1190"/>
      <c r="BJ34" s="1190"/>
      <c r="BK34" s="1190"/>
      <c r="BL34" s="1190"/>
      <c r="BM34" s="1190"/>
      <c r="BN34" s="1190"/>
      <c r="BO34" s="1190"/>
      <c r="BP34" s="1190"/>
      <c r="BQ34" s="1190"/>
      <c r="BR34" s="1190"/>
      <c r="BS34" s="1190"/>
      <c r="BT34" s="1190"/>
      <c r="BU34" s="1190"/>
      <c r="BV34" s="1190"/>
      <c r="BW34" s="1190"/>
      <c r="BX34" s="1190"/>
      <c r="BY34" s="1190"/>
      <c r="BZ34" s="1190"/>
      <c r="CA34" s="1190"/>
      <c r="CB34" s="1190"/>
      <c r="CC34" s="1190"/>
      <c r="CD34" s="1190"/>
      <c r="CE34" s="1190"/>
      <c r="CF34" s="1190"/>
      <c r="CG34" s="1190"/>
      <c r="CH34" s="1278"/>
      <c r="CI34" s="1190"/>
    </row>
    <row r="35" spans="1:87" s="1267" customFormat="1" ht="13.2">
      <c r="A35" s="1262"/>
      <c r="B35" s="822"/>
      <c r="C35" s="822" t="s">
        <v>928</v>
      </c>
      <c r="D35" s="990" t="s">
        <v>921</v>
      </c>
      <c r="E35" s="990" t="s">
        <v>1443</v>
      </c>
      <c r="F35" s="821">
        <v>0</v>
      </c>
      <c r="G35" s="1262"/>
      <c r="H35" s="1260"/>
      <c r="I35" s="822"/>
      <c r="J35" s="822"/>
      <c r="K35" s="1281"/>
      <c r="L35" s="1281"/>
      <c r="M35" s="1281"/>
      <c r="N35" s="1281"/>
      <c r="O35" s="1281"/>
      <c r="P35" s="1282"/>
      <c r="Q35" s="1190"/>
      <c r="R35" s="1190"/>
      <c r="S35" s="1190"/>
      <c r="T35" s="1190"/>
      <c r="U35" s="1190"/>
      <c r="V35" s="1190"/>
      <c r="W35" s="1190"/>
      <c r="X35" s="1190"/>
      <c r="Y35" s="1190"/>
      <c r="Z35" s="1190"/>
      <c r="AA35" s="1190"/>
      <c r="AB35" s="1190"/>
      <c r="AC35" s="1190"/>
      <c r="AD35" s="1190"/>
      <c r="AE35" s="1190"/>
      <c r="AF35" s="1190"/>
      <c r="AG35" s="1190"/>
      <c r="AH35" s="1190"/>
      <c r="AI35" s="1190"/>
      <c r="AJ35" s="1190"/>
      <c r="AK35" s="1190"/>
      <c r="AL35" s="1190"/>
      <c r="AM35" s="1190"/>
      <c r="AN35" s="1190"/>
      <c r="AO35" s="1190"/>
      <c r="AP35" s="1190"/>
      <c r="AQ35" s="1190"/>
      <c r="AR35" s="1190"/>
      <c r="AS35" s="1190"/>
      <c r="AT35" s="1190"/>
      <c r="AU35" s="1190"/>
      <c r="AV35" s="1190"/>
      <c r="AW35" s="1190"/>
      <c r="AX35" s="1190"/>
      <c r="AY35" s="1190"/>
      <c r="AZ35" s="1190"/>
      <c r="BA35" s="1190"/>
      <c r="BB35" s="1190"/>
      <c r="BC35" s="1190"/>
      <c r="BD35" s="1190"/>
      <c r="BE35" s="1190"/>
      <c r="BF35" s="1190"/>
      <c r="BG35" s="1190"/>
      <c r="BH35" s="1190"/>
      <c r="BI35" s="1190"/>
      <c r="BJ35" s="1190"/>
      <c r="BK35" s="1190"/>
      <c r="BL35" s="1190"/>
      <c r="BM35" s="1190"/>
      <c r="BN35" s="1190"/>
      <c r="BO35" s="1190"/>
      <c r="BP35" s="1190"/>
      <c r="BQ35" s="1190"/>
      <c r="BR35" s="1190"/>
      <c r="BS35" s="1190"/>
      <c r="BT35" s="1190"/>
      <c r="BU35" s="1190"/>
      <c r="BV35" s="1190"/>
      <c r="BW35" s="1190"/>
      <c r="BX35" s="1190"/>
      <c r="BY35" s="1190"/>
      <c r="BZ35" s="1190"/>
      <c r="CA35" s="1190"/>
      <c r="CB35" s="1190"/>
      <c r="CC35" s="1190"/>
      <c r="CD35" s="1190"/>
      <c r="CE35" s="1190"/>
      <c r="CF35" s="1190"/>
      <c r="CG35" s="1190"/>
      <c r="CH35" s="1278"/>
      <c r="CI35" s="1190"/>
    </row>
    <row r="36" spans="1:87" s="1267" customFormat="1" ht="15">
      <c r="A36" s="1262"/>
      <c r="B36" s="990"/>
      <c r="C36" s="991" t="s">
        <v>919</v>
      </c>
      <c r="D36" s="600" t="s">
        <v>932</v>
      </c>
      <c r="E36" s="990" t="s">
        <v>1443</v>
      </c>
      <c r="F36" s="821">
        <v>0</v>
      </c>
      <c r="G36" s="1262">
        <f>+F36</f>
        <v>0</v>
      </c>
      <c r="H36" s="1260"/>
      <c r="I36" s="822"/>
      <c r="J36" s="822"/>
      <c r="K36" s="822"/>
      <c r="L36" s="822"/>
      <c r="M36" s="822"/>
      <c r="N36" s="822"/>
      <c r="O36" s="822"/>
      <c r="P36" s="1282"/>
      <c r="Q36" s="1190"/>
      <c r="R36" s="1190"/>
      <c r="S36" s="1190"/>
      <c r="T36" s="1190"/>
      <c r="U36" s="1190"/>
      <c r="V36" s="1190"/>
      <c r="W36" s="1190"/>
      <c r="X36" s="1190"/>
      <c r="Y36" s="1190"/>
      <c r="Z36" s="1190"/>
      <c r="AA36" s="1190"/>
      <c r="AB36" s="1190"/>
      <c r="AC36" s="1190"/>
      <c r="AD36" s="1190"/>
      <c r="AE36" s="1190"/>
      <c r="AF36" s="1190"/>
      <c r="AG36" s="1190"/>
      <c r="AH36" s="1190"/>
      <c r="AI36" s="1190"/>
      <c r="AJ36" s="1190"/>
      <c r="AK36" s="1190"/>
      <c r="AL36" s="1190"/>
      <c r="AM36" s="1190"/>
      <c r="AN36" s="1190"/>
      <c r="AO36" s="1190"/>
      <c r="AP36" s="1190"/>
      <c r="AQ36" s="1190"/>
      <c r="AR36" s="1190"/>
      <c r="AS36" s="1190"/>
      <c r="AT36" s="1190"/>
      <c r="AU36" s="1190"/>
      <c r="AV36" s="1190"/>
      <c r="AW36" s="1190"/>
      <c r="AX36" s="1190"/>
      <c r="AY36" s="1190"/>
      <c r="AZ36" s="1190"/>
      <c r="BA36" s="1190"/>
      <c r="BB36" s="1190"/>
      <c r="BC36" s="1190"/>
      <c r="BD36" s="1190"/>
      <c r="BE36" s="1190"/>
      <c r="BF36" s="1190"/>
      <c r="BG36" s="1190"/>
      <c r="BH36" s="1190"/>
      <c r="BI36" s="1190"/>
      <c r="BJ36" s="1190"/>
      <c r="BK36" s="1190"/>
      <c r="BL36" s="1190"/>
      <c r="BM36" s="1190"/>
      <c r="BN36" s="1190"/>
      <c r="BO36" s="1190"/>
      <c r="BP36" s="1190"/>
      <c r="BQ36" s="1190"/>
      <c r="BR36" s="1190"/>
      <c r="BS36" s="1190"/>
      <c r="BT36" s="1190"/>
      <c r="BU36" s="1190"/>
      <c r="BV36" s="1190"/>
      <c r="BW36" s="1190"/>
      <c r="BX36" s="1190"/>
      <c r="BY36" s="1190"/>
      <c r="BZ36" s="1190"/>
      <c r="CA36" s="1190"/>
      <c r="CB36" s="1190"/>
      <c r="CC36" s="1190"/>
      <c r="CD36" s="1190"/>
      <c r="CE36" s="1190"/>
      <c r="CF36" s="1190"/>
      <c r="CG36" s="1190"/>
      <c r="CH36" s="1278"/>
      <c r="CI36" s="1190"/>
    </row>
    <row r="37" spans="1:87" s="1267" customFormat="1" ht="13.8" thickBot="1">
      <c r="A37" s="1262"/>
      <c r="B37" s="822"/>
      <c r="C37" s="595" t="s">
        <v>933</v>
      </c>
      <c r="D37" s="990"/>
      <c r="E37" s="990"/>
      <c r="F37" s="1284">
        <f>AVERAGE(F24:F36)</f>
        <v>0</v>
      </c>
      <c r="G37" s="1285">
        <f>+G36</f>
        <v>0</v>
      </c>
      <c r="H37" s="1260"/>
      <c r="I37" s="822"/>
      <c r="J37" s="822"/>
      <c r="K37" s="1281"/>
      <c r="L37" s="1281"/>
      <c r="M37" s="1281"/>
      <c r="N37" s="1281"/>
      <c r="O37" s="1281"/>
      <c r="P37" s="1282"/>
      <c r="Q37" s="1190"/>
      <c r="R37" s="1190"/>
      <c r="S37" s="1190"/>
      <c r="T37" s="1190"/>
      <c r="U37" s="1190"/>
      <c r="V37" s="1190"/>
      <c r="W37" s="1190"/>
      <c r="X37" s="1190"/>
      <c r="Y37" s="1190"/>
      <c r="Z37" s="1190"/>
      <c r="AA37" s="1190"/>
      <c r="AB37" s="1190"/>
      <c r="AC37" s="1190"/>
      <c r="AD37" s="1190"/>
      <c r="AE37" s="1190"/>
      <c r="AF37" s="1190"/>
      <c r="AG37" s="1190"/>
      <c r="AH37" s="1190"/>
      <c r="AI37" s="1190"/>
      <c r="AJ37" s="1190"/>
      <c r="AK37" s="1190"/>
      <c r="AL37" s="1190"/>
      <c r="AM37" s="1190"/>
      <c r="AN37" s="1190"/>
      <c r="AO37" s="1190"/>
      <c r="AP37" s="1190"/>
      <c r="AQ37" s="1190"/>
      <c r="AR37" s="1190"/>
      <c r="AS37" s="1190"/>
      <c r="AT37" s="1190"/>
      <c r="AU37" s="1190"/>
      <c r="AV37" s="1190"/>
      <c r="AW37" s="1190"/>
      <c r="AX37" s="1190"/>
      <c r="AY37" s="1190"/>
      <c r="AZ37" s="1190"/>
      <c r="BA37" s="1190"/>
      <c r="BB37" s="1190"/>
      <c r="BC37" s="1190"/>
      <c r="BD37" s="1190"/>
      <c r="BE37" s="1190"/>
      <c r="BF37" s="1190"/>
      <c r="BG37" s="1190"/>
      <c r="BH37" s="1190"/>
      <c r="BI37" s="1190"/>
      <c r="BJ37" s="1190"/>
      <c r="BK37" s="1190"/>
      <c r="BL37" s="1190"/>
      <c r="BM37" s="1190"/>
      <c r="BN37" s="1190"/>
      <c r="BO37" s="1190"/>
      <c r="BP37" s="1190"/>
      <c r="BQ37" s="1190"/>
      <c r="BR37" s="1190"/>
      <c r="BS37" s="1190"/>
      <c r="BT37" s="1190"/>
      <c r="BU37" s="1190"/>
      <c r="BV37" s="1190"/>
      <c r="BW37" s="1190"/>
      <c r="BX37" s="1190"/>
      <c r="BY37" s="1190"/>
      <c r="BZ37" s="1190"/>
      <c r="CA37" s="1190"/>
      <c r="CB37" s="1190"/>
      <c r="CC37" s="1190"/>
      <c r="CD37" s="1190"/>
      <c r="CE37" s="1190"/>
      <c r="CF37" s="1190"/>
      <c r="CG37" s="1190"/>
      <c r="CH37" s="1278"/>
      <c r="CI37" s="1190"/>
    </row>
    <row r="38" spans="1:16 86:86" s="1190" customFormat="1" ht="13.8" thickTop="1">
      <c r="A38" s="1262"/>
      <c r="B38" s="822"/>
      <c r="C38" s="990"/>
      <c r="D38" s="990"/>
      <c r="E38" s="990"/>
      <c r="F38" s="990"/>
      <c r="G38" s="1262"/>
      <c r="H38" s="1260"/>
      <c r="I38" s="822"/>
      <c r="J38" s="822"/>
      <c r="K38" s="1281"/>
      <c r="L38" s="1281"/>
      <c r="M38" s="1281"/>
      <c r="N38" s="1281"/>
      <c r="O38" s="1281"/>
      <c r="P38" s="1282"/>
      <c r="CH38" s="1278"/>
    </row>
    <row r="39" spans="1:16 86:86" s="1190" customFormat="1" ht="13.2">
      <c r="A39" s="1262"/>
      <c r="B39" s="990"/>
      <c r="C39" s="598" t="s">
        <v>934</v>
      </c>
      <c r="D39" s="990" t="s">
        <v>918</v>
      </c>
      <c r="E39" s="822"/>
      <c r="F39" s="822"/>
      <c r="G39" s="1262"/>
      <c r="H39" s="1260"/>
      <c r="I39" s="822"/>
      <c r="J39" s="822"/>
      <c r="K39" s="1281"/>
      <c r="L39" s="1281"/>
      <c r="M39" s="1281"/>
      <c r="N39" s="1281"/>
      <c r="O39" s="1281"/>
      <c r="P39" s="1282"/>
      <c r="CH39" s="1278"/>
    </row>
    <row r="40" spans="1:16 86:86" s="1190" customFormat="1" ht="15">
      <c r="A40" s="1262"/>
      <c r="B40" s="822"/>
      <c r="C40" s="822" t="s">
        <v>919</v>
      </c>
      <c r="D40" s="599" t="s">
        <v>133</v>
      </c>
      <c r="E40" s="990" t="s">
        <v>1416</v>
      </c>
      <c r="F40" s="821">
        <v>55655891</v>
      </c>
      <c r="G40" s="1262"/>
      <c r="H40" s="1260"/>
      <c r="I40" s="822"/>
      <c r="J40" s="822"/>
      <c r="K40" s="1281"/>
      <c r="L40" s="1281"/>
      <c r="M40" s="1281"/>
      <c r="N40" s="1281"/>
      <c r="O40" s="1281"/>
      <c r="P40" s="1282"/>
      <c r="CH40" s="1278"/>
    </row>
    <row r="41" spans="1:16 86:86" s="1190" customFormat="1" ht="15">
      <c r="A41" s="1262"/>
      <c r="B41" s="990"/>
      <c r="C41" s="991" t="s">
        <v>919</v>
      </c>
      <c r="D41" s="600" t="s">
        <v>134</v>
      </c>
      <c r="E41" s="991" t="s">
        <v>1443</v>
      </c>
      <c r="F41" s="821">
        <v>69348589</v>
      </c>
      <c r="G41" s="1262">
        <f>+F41</f>
        <v>69348589</v>
      </c>
      <c r="H41" s="1260"/>
      <c r="I41" s="822"/>
      <c r="J41" s="822"/>
      <c r="K41" s="822"/>
      <c r="L41" s="822"/>
      <c r="M41" s="822"/>
      <c r="N41" s="822"/>
      <c r="O41" s="822"/>
      <c r="P41" s="1282"/>
      <c r="CH41" s="1278"/>
    </row>
    <row r="42" spans="1:16 86:86" s="1190" customFormat="1" ht="13.8" thickBot="1">
      <c r="A42" s="1262">
        <v>18</v>
      </c>
      <c r="B42" s="822"/>
      <c r="C42" s="595" t="s">
        <v>935</v>
      </c>
      <c r="D42" s="990"/>
      <c r="E42" s="990"/>
      <c r="F42" s="604">
        <f>AVERAGE(F40:F41)</f>
        <v>62502240</v>
      </c>
      <c r="G42" s="605">
        <f>+G41</f>
        <v>69348589</v>
      </c>
      <c r="H42" s="1260"/>
      <c r="I42" s="595"/>
      <c r="J42" s="822"/>
      <c r="K42" s="1281"/>
      <c r="L42" s="1281"/>
      <c r="M42" s="1281"/>
      <c r="N42" s="1281"/>
      <c r="O42" s="1281"/>
      <c r="P42" s="1282"/>
      <c r="CH42" s="1278"/>
    </row>
    <row r="43" spans="1:16 86:86" s="1190" customFormat="1" ht="27" thickTop="1">
      <c r="A43" s="1262"/>
      <c r="B43" s="822"/>
      <c r="C43" s="822"/>
      <c r="D43" s="990"/>
      <c r="E43" s="822"/>
      <c r="F43" s="1281" t="s">
        <v>190</v>
      </c>
      <c r="G43" s="607" t="s">
        <v>190</v>
      </c>
      <c r="H43" s="1260"/>
      <c r="I43" s="822"/>
      <c r="J43" s="822"/>
      <c r="K43" s="1281"/>
      <c r="L43" s="1281"/>
      <c r="M43" s="1281"/>
      <c r="N43" s="1281"/>
      <c r="O43" s="1281"/>
      <c r="P43" s="1282"/>
      <c r="CH43" s="1278"/>
    </row>
    <row r="44" spans="1:16 86:86" s="1190" customFormat="1" ht="13.2">
      <c r="A44" s="1260"/>
      <c r="B44" s="990"/>
      <c r="C44" s="598" t="s">
        <v>936</v>
      </c>
      <c r="D44" s="990" t="s">
        <v>918</v>
      </c>
      <c r="E44" s="822"/>
      <c r="F44" s="822"/>
      <c r="G44" s="1262"/>
      <c r="H44" s="1260"/>
      <c r="I44" s="822"/>
      <c r="J44" s="822"/>
      <c r="K44" s="1281"/>
      <c r="L44" s="1281"/>
      <c r="M44" s="1281"/>
      <c r="N44" s="1281"/>
      <c r="O44" s="1281"/>
      <c r="P44" s="1282"/>
      <c r="CH44" s="1278"/>
    </row>
    <row r="45" spans="1:16 86:86" s="1190" customFormat="1" ht="15">
      <c r="A45" s="1260"/>
      <c r="B45" s="822"/>
      <c r="C45" s="822" t="s">
        <v>919</v>
      </c>
      <c r="D45" s="599" t="s">
        <v>169</v>
      </c>
      <c r="E45" s="990" t="s">
        <v>1416</v>
      </c>
      <c r="F45" s="1261">
        <v>85622339</v>
      </c>
      <c r="G45" s="1262">
        <v>0</v>
      </c>
      <c r="H45" s="1260"/>
      <c r="I45" s="822"/>
      <c r="J45" s="822"/>
      <c r="K45" s="1281"/>
      <c r="L45" s="1281"/>
      <c r="M45" s="1281"/>
      <c r="N45" s="1281"/>
      <c r="O45" s="1281"/>
      <c r="P45" s="1282"/>
      <c r="CH45" s="1278"/>
    </row>
    <row r="46" spans="1:16 86:86" s="1190" customFormat="1" ht="15">
      <c r="A46" s="1262"/>
      <c r="B46" s="990"/>
      <c r="C46" s="991" t="s">
        <v>919</v>
      </c>
      <c r="D46" s="600" t="s">
        <v>170</v>
      </c>
      <c r="E46" s="991" t="s">
        <v>1443</v>
      </c>
      <c r="F46" s="1261">
        <v>86513348</v>
      </c>
      <c r="G46" s="606">
        <f>+F46</f>
        <v>86513348</v>
      </c>
      <c r="H46" s="1260"/>
      <c r="I46" s="1274"/>
      <c r="J46" s="1274"/>
      <c r="K46" s="519"/>
      <c r="L46" s="1275"/>
      <c r="M46" s="1275"/>
      <c r="N46" s="822"/>
      <c r="O46" s="822"/>
      <c r="P46" s="1282"/>
      <c r="CH46" s="1278"/>
    </row>
    <row r="47" spans="1:16 86:86" s="1190" customFormat="1" ht="13.8" thickBot="1">
      <c r="A47" s="1262">
        <v>18</v>
      </c>
      <c r="B47" s="822"/>
      <c r="C47" s="595" t="s">
        <v>937</v>
      </c>
      <c r="D47" s="990"/>
      <c r="E47" s="990"/>
      <c r="F47" s="926">
        <f>AVERAGE(F45:F46)</f>
        <v>86067843.5</v>
      </c>
      <c r="G47" s="605">
        <f>+G46</f>
        <v>86513348</v>
      </c>
      <c r="H47" s="1260"/>
      <c r="I47" s="595"/>
      <c r="J47" s="822"/>
      <c r="K47" s="1281"/>
      <c r="L47" s="1281"/>
      <c r="M47" s="1281"/>
      <c r="N47" s="1281"/>
      <c r="O47" s="1281"/>
      <c r="P47" s="1282"/>
      <c r="CH47" s="1278"/>
    </row>
    <row r="48" spans="1:16 86:86" s="1190" customFormat="1" ht="27" thickTop="1">
      <c r="A48" s="1262"/>
      <c r="B48" s="990"/>
      <c r="C48" s="990"/>
      <c r="D48" s="990"/>
      <c r="E48" s="822"/>
      <c r="F48" s="601" t="s">
        <v>190</v>
      </c>
      <c r="G48" s="607" t="s">
        <v>190</v>
      </c>
      <c r="H48" s="1260"/>
      <c r="I48" s="822"/>
      <c r="J48" s="822"/>
      <c r="K48" s="822"/>
      <c r="L48" s="822"/>
      <c r="M48" s="822"/>
      <c r="N48" s="822"/>
      <c r="O48" s="822"/>
      <c r="P48" s="1282"/>
      <c r="CH48" s="1278"/>
    </row>
    <row r="49" spans="1:16 86:86" s="1190" customFormat="1" ht="13.2">
      <c r="A49" s="1262"/>
      <c r="B49" s="990"/>
      <c r="C49" s="598" t="s">
        <v>938</v>
      </c>
      <c r="D49" s="990" t="s">
        <v>918</v>
      </c>
      <c r="E49" s="822"/>
      <c r="F49" s="822"/>
      <c r="G49" s="1262"/>
      <c r="H49" s="1260"/>
      <c r="I49" s="822"/>
      <c r="J49" s="822"/>
      <c r="K49" s="1281"/>
      <c r="L49" s="1281"/>
      <c r="M49" s="1281"/>
      <c r="N49" s="1281"/>
      <c r="O49" s="1281"/>
      <c r="P49" s="1282"/>
      <c r="CH49" s="1278"/>
    </row>
    <row r="50" spans="1:16 86:86" s="1190" customFormat="1" ht="15">
      <c r="A50" s="1262"/>
      <c r="B50" s="990"/>
      <c r="C50" s="822" t="s">
        <v>919</v>
      </c>
      <c r="D50" s="599" t="s">
        <v>171</v>
      </c>
      <c r="E50" s="990" t="s">
        <v>1416</v>
      </c>
      <c r="F50" s="821">
        <v>0</v>
      </c>
      <c r="G50" s="1262"/>
      <c r="H50" s="1260"/>
      <c r="I50" s="822"/>
      <c r="J50" s="822"/>
      <c r="K50" s="1281"/>
      <c r="L50" s="1281"/>
      <c r="M50" s="1281"/>
      <c r="N50" s="1281"/>
      <c r="O50" s="1281"/>
      <c r="P50" s="1282"/>
      <c r="CH50" s="1278"/>
    </row>
    <row r="51" spans="1:16 86:86" s="1190" customFormat="1" ht="13.2">
      <c r="A51" s="1262"/>
      <c r="B51" s="990"/>
      <c r="C51" s="990" t="s">
        <v>920</v>
      </c>
      <c r="D51" s="990" t="s">
        <v>921</v>
      </c>
      <c r="E51" s="990" t="s">
        <v>1443</v>
      </c>
      <c r="F51" s="821">
        <v>0</v>
      </c>
      <c r="G51" s="1262"/>
      <c r="H51" s="1260"/>
      <c r="I51" s="822"/>
      <c r="J51" s="822"/>
      <c r="K51" s="1281"/>
      <c r="L51" s="1281"/>
      <c r="M51" s="1281"/>
      <c r="N51" s="1281"/>
      <c r="O51" s="1281"/>
      <c r="P51" s="1282"/>
      <c r="CH51" s="1278"/>
    </row>
    <row r="52" spans="1:16 86:86" s="1190" customFormat="1" ht="13.2">
      <c r="A52" s="1262"/>
      <c r="B52" s="990"/>
      <c r="C52" s="990" t="s">
        <v>922</v>
      </c>
      <c r="D52" s="990" t="s">
        <v>921</v>
      </c>
      <c r="E52" s="990" t="s">
        <v>1443</v>
      </c>
      <c r="F52" s="821">
        <v>0</v>
      </c>
      <c r="G52" s="1262"/>
      <c r="H52" s="1260"/>
      <c r="I52" s="822"/>
      <c r="J52" s="822"/>
      <c r="K52" s="1281"/>
      <c r="L52" s="1281"/>
      <c r="M52" s="1281"/>
      <c r="N52" s="1281"/>
      <c r="O52" s="1281"/>
      <c r="P52" s="1282"/>
      <c r="CH52" s="1278"/>
    </row>
    <row r="53" spans="1:16 86:86" s="1190" customFormat="1" ht="13.2">
      <c r="A53" s="1262"/>
      <c r="B53" s="990"/>
      <c r="C53" s="990" t="s">
        <v>349</v>
      </c>
      <c r="D53" s="990" t="s">
        <v>921</v>
      </c>
      <c r="E53" s="990" t="s">
        <v>1443</v>
      </c>
      <c r="F53" s="821">
        <v>0</v>
      </c>
      <c r="G53" s="1262"/>
      <c r="H53" s="1260"/>
      <c r="I53" s="822"/>
      <c r="J53" s="822"/>
      <c r="K53" s="1281"/>
      <c r="L53" s="1281"/>
      <c r="M53" s="1281"/>
      <c r="N53" s="1281"/>
      <c r="O53" s="1281"/>
      <c r="P53" s="1282"/>
      <c r="CH53" s="1278"/>
    </row>
    <row r="54" spans="1:16 86:86" s="1190" customFormat="1" ht="13.2">
      <c r="A54" s="1262"/>
      <c r="B54" s="990"/>
      <c r="C54" s="990" t="s">
        <v>254</v>
      </c>
      <c r="D54" s="990" t="s">
        <v>921</v>
      </c>
      <c r="E54" s="990" t="s">
        <v>1443</v>
      </c>
      <c r="F54" s="821">
        <v>0</v>
      </c>
      <c r="G54" s="1262"/>
      <c r="H54" s="1260"/>
      <c r="I54" s="822"/>
      <c r="J54" s="822"/>
      <c r="K54" s="1281"/>
      <c r="L54" s="1281"/>
      <c r="M54" s="1281"/>
      <c r="N54" s="1281"/>
      <c r="O54" s="1281"/>
      <c r="P54" s="1282"/>
      <c r="CH54" s="1278"/>
    </row>
    <row r="55" spans="1:16 86:86" s="1190" customFormat="1" ht="13.2">
      <c r="A55" s="1262"/>
      <c r="B55" s="990"/>
      <c r="C55" s="990" t="s">
        <v>255</v>
      </c>
      <c r="D55" s="990" t="s">
        <v>921</v>
      </c>
      <c r="E55" s="990" t="s">
        <v>1443</v>
      </c>
      <c r="F55" s="821">
        <v>0</v>
      </c>
      <c r="G55" s="1262"/>
      <c r="H55" s="1260"/>
      <c r="I55" s="822"/>
      <c r="J55" s="822"/>
      <c r="K55" s="1281"/>
      <c r="L55" s="1281"/>
      <c r="M55" s="1281"/>
      <c r="N55" s="1281"/>
      <c r="O55" s="1281"/>
      <c r="P55" s="1282"/>
      <c r="CH55" s="1278"/>
    </row>
    <row r="56" spans="1:16 86:86" s="1190" customFormat="1" ht="13.2">
      <c r="A56" s="1262"/>
      <c r="B56" s="990"/>
      <c r="C56" s="990" t="s">
        <v>923</v>
      </c>
      <c r="D56" s="990" t="s">
        <v>921</v>
      </c>
      <c r="E56" s="990" t="s">
        <v>1443</v>
      </c>
      <c r="F56" s="821">
        <v>0</v>
      </c>
      <c r="G56" s="1262"/>
      <c r="H56" s="1260"/>
      <c r="I56" s="822"/>
      <c r="J56" s="822"/>
      <c r="K56" s="1281"/>
      <c r="L56" s="1281"/>
      <c r="M56" s="1281"/>
      <c r="N56" s="1281"/>
      <c r="O56" s="1281"/>
      <c r="P56" s="1282"/>
      <c r="CH56" s="1278"/>
    </row>
    <row r="57" spans="1:16 86:86" s="1190" customFormat="1" ht="13.2">
      <c r="A57" s="1262"/>
      <c r="B57" s="990"/>
      <c r="C57" s="990" t="s">
        <v>924</v>
      </c>
      <c r="D57" s="990" t="s">
        <v>921</v>
      </c>
      <c r="E57" s="990" t="s">
        <v>1443</v>
      </c>
      <c r="F57" s="821">
        <v>0</v>
      </c>
      <c r="G57" s="1262"/>
      <c r="H57" s="1273"/>
      <c r="I57" s="822"/>
      <c r="J57" s="822"/>
      <c r="K57" s="1281"/>
      <c r="L57" s="1281"/>
      <c r="M57" s="1281"/>
      <c r="N57" s="1281"/>
      <c r="O57" s="1281"/>
      <c r="P57" s="1282"/>
      <c r="CH57" s="1278"/>
    </row>
    <row r="58" spans="1:16 86:86" s="1190" customFormat="1" ht="13.2">
      <c r="A58" s="1262"/>
      <c r="B58" s="990"/>
      <c r="C58" s="990" t="s">
        <v>925</v>
      </c>
      <c r="D58" s="990" t="s">
        <v>921</v>
      </c>
      <c r="E58" s="990" t="s">
        <v>1443</v>
      </c>
      <c r="F58" s="821">
        <v>0</v>
      </c>
      <c r="G58" s="1262"/>
      <c r="H58" s="1260"/>
      <c r="I58" s="822"/>
      <c r="J58" s="822"/>
      <c r="K58" s="1281"/>
      <c r="L58" s="1281"/>
      <c r="M58" s="1281"/>
      <c r="N58" s="1281"/>
      <c r="O58" s="1281"/>
      <c r="P58" s="1282"/>
      <c r="CH58" s="1278"/>
    </row>
    <row r="59" spans="1:16 86:86" s="1190" customFormat="1" ht="13.2">
      <c r="A59" s="1262"/>
      <c r="B59" s="990"/>
      <c r="C59" s="990" t="s">
        <v>926</v>
      </c>
      <c r="D59" s="990" t="s">
        <v>921</v>
      </c>
      <c r="E59" s="990" t="s">
        <v>1443</v>
      </c>
      <c r="F59" s="821">
        <v>0</v>
      </c>
      <c r="G59" s="1262"/>
      <c r="H59" s="1260"/>
      <c r="I59" s="822"/>
      <c r="J59" s="822"/>
      <c r="K59" s="1281"/>
      <c r="L59" s="1281"/>
      <c r="M59" s="1281"/>
      <c r="N59" s="1281"/>
      <c r="O59" s="1281"/>
      <c r="P59" s="1282"/>
      <c r="CH59" s="1278"/>
    </row>
    <row r="60" spans="1:16 86:86" s="1190" customFormat="1" ht="13.2">
      <c r="A60" s="1262"/>
      <c r="B60" s="990"/>
      <c r="C60" s="990" t="s">
        <v>931</v>
      </c>
      <c r="D60" s="990" t="s">
        <v>921</v>
      </c>
      <c r="E60" s="990" t="s">
        <v>1443</v>
      </c>
      <c r="F60" s="821">
        <v>0</v>
      </c>
      <c r="G60" s="1262"/>
      <c r="H60" s="1260"/>
      <c r="I60" s="822"/>
      <c r="J60" s="822"/>
      <c r="K60" s="1281"/>
      <c r="L60" s="1281"/>
      <c r="M60" s="1281"/>
      <c r="N60" s="1281"/>
      <c r="O60" s="1281"/>
      <c r="P60" s="1282"/>
      <c r="CH60" s="1278"/>
    </row>
    <row r="61" spans="1:16 86:86" s="1190" customFormat="1" ht="13.2">
      <c r="A61" s="1262"/>
      <c r="B61" s="990"/>
      <c r="C61" s="990" t="s">
        <v>928</v>
      </c>
      <c r="D61" s="990" t="s">
        <v>921</v>
      </c>
      <c r="E61" s="990" t="s">
        <v>1443</v>
      </c>
      <c r="F61" s="821">
        <v>0</v>
      </c>
      <c r="G61" s="1262"/>
      <c r="H61" s="1260"/>
      <c r="I61" s="822"/>
      <c r="J61" s="822"/>
      <c r="K61" s="1281"/>
      <c r="L61" s="1281"/>
      <c r="M61" s="1281"/>
      <c r="N61" s="1281"/>
      <c r="O61" s="1281"/>
      <c r="P61" s="1282"/>
      <c r="CH61" s="1278"/>
    </row>
    <row r="62" spans="1:16 86:86" s="1190" customFormat="1" ht="15">
      <c r="A62" s="1262"/>
      <c r="B62" s="990"/>
      <c r="C62" s="991" t="s">
        <v>919</v>
      </c>
      <c r="D62" s="600" t="s">
        <v>172</v>
      </c>
      <c r="E62" s="990" t="s">
        <v>1443</v>
      </c>
      <c r="F62" s="1286">
        <v>0</v>
      </c>
      <c r="G62" s="1262">
        <f>+F62</f>
        <v>0</v>
      </c>
      <c r="H62" s="1260"/>
      <c r="I62" s="822"/>
      <c r="J62" s="822"/>
      <c r="K62" s="822"/>
      <c r="L62" s="822"/>
      <c r="M62" s="822"/>
      <c r="N62" s="822"/>
      <c r="O62" s="822"/>
      <c r="P62" s="1282"/>
      <c r="CH62" s="1278"/>
    </row>
    <row r="63" spans="1:16 86:86" s="1190" customFormat="1" ht="13.2">
      <c r="A63" s="1262"/>
      <c r="B63" s="822"/>
      <c r="C63" s="595" t="s">
        <v>939</v>
      </c>
      <c r="D63" s="990"/>
      <c r="E63" s="990"/>
      <c r="F63" s="990">
        <f>AVERAGE(F50:F62)</f>
        <v>0</v>
      </c>
      <c r="G63" s="1262">
        <f>+G62</f>
        <v>0</v>
      </c>
      <c r="H63" s="1260"/>
      <c r="I63" s="822"/>
      <c r="J63" s="822"/>
      <c r="K63" s="1281"/>
      <c r="L63" s="1281"/>
      <c r="M63" s="1281"/>
      <c r="N63" s="1281"/>
      <c r="O63" s="1281"/>
      <c r="P63" s="1282"/>
      <c r="CH63" s="1278"/>
    </row>
    <row r="64" spans="1:16 86:86" s="1190" customFormat="1" ht="13.2">
      <c r="A64" s="1262"/>
      <c r="B64" s="822"/>
      <c r="C64" s="990"/>
      <c r="D64" s="990"/>
      <c r="E64" s="990"/>
      <c r="F64" s="990"/>
      <c r="G64" s="1262"/>
      <c r="H64" s="1260"/>
      <c r="I64" s="822"/>
      <c r="J64" s="822"/>
      <c r="K64" s="1281"/>
      <c r="L64" s="1281"/>
      <c r="M64" s="1281"/>
      <c r="N64" s="1281"/>
      <c r="O64" s="1281"/>
      <c r="P64" s="1282"/>
      <c r="CH64" s="1278"/>
    </row>
    <row r="65" spans="1:16 86:86" s="1190" customFormat="1" ht="13.2">
      <c r="A65" s="1262"/>
      <c r="B65" s="822"/>
      <c r="C65" s="595"/>
      <c r="D65" s="990"/>
      <c r="E65" s="990"/>
      <c r="F65" s="990"/>
      <c r="G65" s="1262"/>
      <c r="H65" s="1260"/>
      <c r="I65" s="822"/>
      <c r="J65" s="822"/>
      <c r="K65" s="1281"/>
      <c r="L65" s="1281"/>
      <c r="M65" s="1281"/>
      <c r="N65" s="1281"/>
      <c r="O65" s="1281"/>
      <c r="P65" s="1282"/>
      <c r="CH65" s="1278"/>
    </row>
    <row r="66" spans="1:16 86:86" s="1190" customFormat="1" ht="16.2" thickBot="1">
      <c r="A66" s="1262">
        <v>6</v>
      </c>
      <c r="B66" s="990"/>
      <c r="C66" s="602" t="s">
        <v>477</v>
      </c>
      <c r="D66" s="990" t="s">
        <v>940</v>
      </c>
      <c r="E66" s="822"/>
      <c r="F66" s="837">
        <f>F63+F47+F42+F37+F21</f>
        <v>2396470027.4685254</v>
      </c>
      <c r="G66" s="838">
        <f>G63+G47+G42+G37+G21</f>
        <v>2427671723.3508334</v>
      </c>
      <c r="H66" s="1260"/>
      <c r="I66" s="595"/>
      <c r="J66" s="822"/>
      <c r="K66" s="822"/>
      <c r="L66" s="822"/>
      <c r="M66" s="822"/>
      <c r="N66" s="822"/>
      <c r="O66" s="822"/>
      <c r="P66" s="1282"/>
      <c r="CH66" s="1278"/>
    </row>
    <row r="67" spans="1:20 86:86" s="1190" customFormat="1" ht="27.6" thickTop="1" thickBot="1">
      <c r="A67" s="1287"/>
      <c r="B67" s="1288"/>
      <c r="C67" s="1289"/>
      <c r="D67" s="1288"/>
      <c r="E67" s="1289"/>
      <c r="F67" s="603" t="s">
        <v>825</v>
      </c>
      <c r="G67" s="623" t="s">
        <v>825</v>
      </c>
      <c r="H67" s="1290"/>
      <c r="I67" s="1288"/>
      <c r="J67" s="1288"/>
      <c r="K67" s="1291"/>
      <c r="L67" s="1291"/>
      <c r="M67" s="1291"/>
      <c r="N67" s="1291"/>
      <c r="O67" s="1291"/>
      <c r="P67" s="1292"/>
      <c r="Q67" s="1293"/>
      <c r="R67" s="1293"/>
      <c r="S67" s="1293"/>
      <c r="T67" s="1293"/>
      <c r="CH67" s="1278"/>
    </row>
    <row r="68" spans="1:16 86:86" s="1190" customFormat="1" ht="13.2">
      <c r="A68" s="1262"/>
      <c r="B68" s="822"/>
      <c r="C68" s="990"/>
      <c r="D68" s="822"/>
      <c r="E68" s="990"/>
      <c r="F68" s="990"/>
      <c r="G68" s="822"/>
      <c r="H68" s="822"/>
      <c r="I68" s="822"/>
      <c r="J68" s="822"/>
      <c r="K68" s="1281"/>
      <c r="L68" s="1281"/>
      <c r="M68" s="1281"/>
      <c r="N68" s="1281"/>
      <c r="O68" s="1281"/>
      <c r="P68" s="1282"/>
      <c r="CH68" s="1278"/>
    </row>
    <row r="69" spans="1:86" s="1190" customFormat="1" ht="16.2" thickBot="1">
      <c r="A69" s="606" t="s">
        <v>0</v>
      </c>
      <c r="B69" s="822"/>
      <c r="C69" s="822"/>
      <c r="D69" s="822"/>
      <c r="E69" s="822"/>
      <c r="F69" s="822"/>
      <c r="G69" s="822"/>
      <c r="H69" s="1294"/>
      <c r="I69" s="1295"/>
      <c r="J69" s="1295"/>
      <c r="K69" s="1295"/>
      <c r="L69" s="1295"/>
      <c r="M69" s="1296"/>
      <c r="N69" s="1295"/>
      <c r="O69" s="1246"/>
      <c r="P69" s="1246"/>
      <c r="Q69" s="1246"/>
      <c r="R69" s="1251"/>
      <c r="S69" s="1251"/>
      <c r="T69" s="1251"/>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Q69" s="1254"/>
      <c r="BR69" s="1254"/>
      <c r="BS69" s="1254"/>
      <c r="BT69" s="1254"/>
      <c r="BU69" s="1254"/>
      <c r="BV69" s="1254"/>
      <c r="BW69" s="1254"/>
      <c r="BX69" s="1254"/>
      <c r="BY69" s="1254"/>
      <c r="BZ69" s="1254"/>
      <c r="CA69" s="1254"/>
      <c r="CB69" s="1254"/>
      <c r="CC69" s="1254"/>
      <c r="CD69" s="1254"/>
      <c r="CE69" s="1254"/>
      <c r="CF69" s="1254"/>
      <c r="CG69" s="1254"/>
      <c r="CH69" s="1297"/>
    </row>
    <row r="70" spans="1:86" s="1190" customFormat="1" ht="13.8" thickBot="1">
      <c r="A70" s="1761" t="s">
        <v>422</v>
      </c>
      <c r="B70" s="1762"/>
      <c r="C70" s="1762"/>
      <c r="D70" s="1762"/>
      <c r="E70" s="1762"/>
      <c r="F70" s="1762"/>
      <c r="G70" s="1298"/>
      <c r="H70" s="1299"/>
      <c r="I70" s="1300"/>
      <c r="J70" s="1300"/>
      <c r="K70" s="1300"/>
      <c r="L70" s="1300"/>
      <c r="M70" s="1300"/>
      <c r="N70" s="1300"/>
      <c r="O70" s="1300"/>
      <c r="P70" s="1300"/>
      <c r="Q70" s="1300"/>
      <c r="R70" s="1300"/>
      <c r="S70" s="1300"/>
      <c r="T70" s="1300"/>
      <c r="U70" s="1300"/>
      <c r="V70" s="1300"/>
      <c r="W70" s="1300"/>
      <c r="X70" s="1300"/>
      <c r="Y70" s="1300"/>
      <c r="Z70" s="1301" t="s">
        <v>805</v>
      </c>
      <c r="AA70" s="1300"/>
      <c r="AB70" s="1300"/>
      <c r="AC70" s="1300"/>
      <c r="AD70" s="1300"/>
      <c r="AE70" s="1300"/>
      <c r="AF70" s="1300"/>
      <c r="AG70" s="1300"/>
      <c r="AH70" s="1300"/>
      <c r="AI70" s="1300"/>
      <c r="AJ70" s="1300"/>
      <c r="AK70" s="1300"/>
      <c r="AL70" s="1300"/>
      <c r="AM70" s="1300"/>
      <c r="AN70" s="1300"/>
      <c r="AO70" s="1300"/>
      <c r="AP70" s="1300"/>
      <c r="AQ70" s="1300"/>
      <c r="AR70" s="1300"/>
      <c r="AS70" s="1300"/>
      <c r="AT70" s="1300"/>
      <c r="AU70" s="1300"/>
      <c r="AV70" s="1300"/>
      <c r="AW70" s="1300"/>
      <c r="AX70" s="1300"/>
      <c r="AY70" s="1300"/>
      <c r="AZ70" s="1300"/>
      <c r="BA70" s="1300"/>
      <c r="BB70" s="1300"/>
      <c r="BC70" s="1300"/>
      <c r="BD70" s="1300"/>
      <c r="BE70" s="1300"/>
      <c r="BF70" s="1300"/>
      <c r="BG70" s="1300"/>
      <c r="BH70" s="1300"/>
      <c r="BI70" s="1300"/>
      <c r="BJ70" s="1300"/>
      <c r="BK70" s="1300"/>
      <c r="BL70" s="1300"/>
      <c r="BM70" s="1300"/>
      <c r="BQ70" s="990"/>
      <c r="BR70" s="990"/>
      <c r="BS70" s="1302"/>
      <c r="BT70" s="1302"/>
      <c r="BU70" s="1302"/>
      <c r="BV70" s="1302"/>
      <c r="BW70" s="1302"/>
      <c r="BX70" s="1302"/>
      <c r="BY70" s="1302"/>
      <c r="BZ70" s="1302"/>
      <c r="CA70" s="1302"/>
      <c r="CB70" s="1302"/>
      <c r="CC70" s="1302"/>
      <c r="CD70" s="1302"/>
      <c r="CE70" s="1302"/>
      <c r="CF70" s="1302"/>
      <c r="CG70" s="1303"/>
      <c r="CH70" s="1278"/>
    </row>
    <row r="71" spans="1:86" s="1190" customFormat="1" ht="27" thickBot="1">
      <c r="A71" s="1287"/>
      <c r="B71" s="1289"/>
      <c r="C71" s="1289"/>
      <c r="D71" s="1289"/>
      <c r="E71" s="1289"/>
      <c r="F71" s="865" t="s">
        <v>268</v>
      </c>
      <c r="G71" s="927" t="s">
        <v>42</v>
      </c>
      <c r="H71" s="962"/>
      <c r="I71" s="963"/>
      <c r="J71" s="963"/>
      <c r="K71" s="963"/>
      <c r="L71" s="963"/>
      <c r="M71" s="963"/>
      <c r="N71" s="963"/>
      <c r="O71" s="963"/>
      <c r="P71" s="963"/>
      <c r="Q71" s="963"/>
      <c r="R71" s="963"/>
      <c r="S71" s="963"/>
      <c r="T71" s="963"/>
      <c r="U71" s="992"/>
      <c r="V71" s="992"/>
      <c r="W71" s="963"/>
      <c r="X71" s="963"/>
      <c r="Y71" s="963"/>
      <c r="Z71" s="964"/>
      <c r="AA71" s="992"/>
      <c r="AB71" s="992"/>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3"/>
      <c r="AY71" s="963"/>
      <c r="AZ71" s="963"/>
      <c r="BA71" s="963"/>
      <c r="BB71" s="963"/>
      <c r="BC71" s="963"/>
      <c r="BD71" s="963"/>
      <c r="BE71" s="963"/>
      <c r="BF71" s="963"/>
      <c r="BG71" s="963"/>
      <c r="BH71" s="963"/>
      <c r="BI71" s="963"/>
      <c r="BJ71" s="963"/>
      <c r="BK71" s="963"/>
      <c r="BL71" s="963"/>
      <c r="BM71" s="963"/>
      <c r="BQ71" s="595"/>
      <c r="BR71" s="595"/>
      <c r="BS71" s="951"/>
      <c r="BT71" s="951"/>
      <c r="BU71" s="951"/>
      <c r="BV71" s="951"/>
      <c r="BW71" s="951"/>
      <c r="BX71" s="951"/>
      <c r="BY71" s="951"/>
      <c r="BZ71" s="951"/>
      <c r="CA71" s="951"/>
      <c r="CB71" s="951"/>
      <c r="CC71" s="951"/>
      <c r="CD71" s="951"/>
      <c r="CE71" s="951"/>
      <c r="CF71" s="951"/>
      <c r="CG71" s="947"/>
      <c r="CH71" s="1278"/>
    </row>
    <row r="72" spans="1:66" s="1190" customFormat="1" ht="65.25" customHeight="1" thickBot="1">
      <c r="A72" s="1260"/>
      <c r="B72" s="990"/>
      <c r="C72" s="616" t="s">
        <v>1</v>
      </c>
      <c r="D72" s="1304" t="s">
        <v>918</v>
      </c>
      <c r="E72" s="1304"/>
      <c r="F72" s="1304"/>
      <c r="G72" s="1305"/>
      <c r="H72" s="1306" t="s">
        <v>664</v>
      </c>
      <c r="I72" s="1307" t="s">
        <v>398</v>
      </c>
      <c r="J72" s="1307" t="s">
        <v>31</v>
      </c>
      <c r="K72" s="1307" t="s">
        <v>604</v>
      </c>
      <c r="L72" s="1307" t="s">
        <v>947</v>
      </c>
      <c r="M72" s="1308" t="s">
        <v>139</v>
      </c>
      <c r="N72" s="1307" t="s">
        <v>321</v>
      </c>
      <c r="O72" s="1309" t="s">
        <v>948</v>
      </c>
      <c r="P72" s="1309" t="s">
        <v>942</v>
      </c>
      <c r="Q72" s="1309" t="s">
        <v>943</v>
      </c>
      <c r="R72" s="1310" t="s">
        <v>944</v>
      </c>
      <c r="S72" s="1310" t="s">
        <v>945</v>
      </c>
      <c r="T72" s="1310" t="s">
        <v>946</v>
      </c>
      <c r="U72" s="1310" t="s">
        <v>339</v>
      </c>
      <c r="V72" s="1310" t="str">
        <f t="shared" si="3" ref="V72:AP72">V7</f>
        <v>Armstrong</v>
      </c>
      <c r="W72" s="1309" t="str">
        <f t="shared" si="3"/>
        <v>Farmers Valley Capacitor</v>
      </c>
      <c r="X72" s="1309" t="str">
        <f t="shared" si="3"/>
        <v>Harvey Run Capacitor</v>
      </c>
      <c r="Y72" s="1310" t="str">
        <f t="shared" si="3"/>
        <v>Doubs SS</v>
      </c>
      <c r="Z72" s="1310" t="str">
        <f t="shared" si="3"/>
        <v>Meadowbrook SS</v>
      </c>
      <c r="AA72" s="1309" t="str">
        <f t="shared" si="3"/>
        <v>Grandview  Capacitor</v>
      </c>
      <c r="AB72" s="1309" t="str">
        <f t="shared" si="3"/>
        <v>502 Jct Substation</v>
      </c>
      <c r="AC72" s="1309" t="str">
        <f t="shared" si="3"/>
        <v>Conemaugh-Seward</v>
      </c>
      <c r="AD72" s="1309" t="str">
        <f t="shared" si="3"/>
        <v>Luxor</v>
      </c>
      <c r="AE72" s="1309" t="str">
        <f t="shared" si="3"/>
        <v>Grandpoint &amp; Guilford</v>
      </c>
      <c r="AF72" s="1309" t="str">
        <f t="shared" si="3"/>
        <v>Handsome Lake - Homer City</v>
      </c>
      <c r="AG72" s="1309" t="str">
        <f t="shared" si="3"/>
        <v>Altoona</v>
      </c>
      <c r="AH72" s="1309" t="str">
        <f t="shared" si="3"/>
        <v>Blairsville</v>
      </c>
      <c r="AI72" s="1309" t="str">
        <f t="shared" si="3"/>
        <v>Carbon Center</v>
      </c>
      <c r="AJ72" s="1309" t="str">
        <f t="shared" si="3"/>
        <v>Hunterstown</v>
      </c>
      <c r="AK72" s="1309" t="str">
        <f t="shared" si="3"/>
        <v>Johnstown</v>
      </c>
      <c r="AL72" s="1309" t="str">
        <f t="shared" si="3"/>
        <v>Buffalo Road</v>
      </c>
      <c r="AM72" s="1309" t="str">
        <f t="shared" si="3"/>
        <v>Moshannon</v>
      </c>
      <c r="AN72" s="1309" t="str">
        <f t="shared" si="3"/>
        <v>Waldo Run</v>
      </c>
      <c r="AO72" s="1309" t="str">
        <f t="shared" si="3"/>
        <v>Four Mile Junction</v>
      </c>
      <c r="AP72" s="1309" t="str">
        <f t="shared" si="3"/>
        <v>West Union SS</v>
      </c>
      <c r="AQ72" s="1309" t="s">
        <v>998</v>
      </c>
      <c r="AR72" s="1309" t="s">
        <v>1001</v>
      </c>
      <c r="AS72" s="1309" t="s">
        <v>1008</v>
      </c>
      <c r="AT72" s="1309" t="s">
        <v>1009</v>
      </c>
      <c r="AU72" s="1309" t="s">
        <v>1002</v>
      </c>
      <c r="AV72" s="1309" t="s">
        <v>1003</v>
      </c>
      <c r="AW72" s="1309" t="s">
        <v>1010</v>
      </c>
      <c r="AX72" s="1309" t="s">
        <v>1004</v>
      </c>
      <c r="AY72" s="1309" t="s">
        <v>1011</v>
      </c>
      <c r="AZ72" s="1309" t="s">
        <v>990</v>
      </c>
      <c r="BA72" s="1309" t="s">
        <v>1005</v>
      </c>
      <c r="BB72" s="1309" t="s">
        <v>1006</v>
      </c>
      <c r="BC72" s="1309" t="s">
        <v>988</v>
      </c>
      <c r="BD72" s="1309" t="s">
        <v>1007</v>
      </c>
      <c r="BE72" s="1309" t="s">
        <v>1037</v>
      </c>
      <c r="BF72" s="1309" t="s">
        <v>1038</v>
      </c>
      <c r="BG72" s="1309" t="s">
        <v>1039</v>
      </c>
      <c r="BH72" s="1309" t="s">
        <v>1040</v>
      </c>
      <c r="BI72" s="1309" t="s">
        <v>1041</v>
      </c>
      <c r="BJ72" s="1309" t="s">
        <v>1044</v>
      </c>
      <c r="BK72" s="1309" t="s">
        <v>1045</v>
      </c>
      <c r="BL72" s="1311" t="s">
        <v>1052</v>
      </c>
      <c r="BM72" s="1309" t="s">
        <v>1190</v>
      </c>
      <c r="BN72" s="1312" t="s">
        <v>524</v>
      </c>
    </row>
    <row r="73" spans="1:66" s="1190" customFormat="1" ht="13.8" thickTop="1">
      <c r="A73" s="1260"/>
      <c r="B73" s="822"/>
      <c r="C73" s="1260" t="s">
        <v>919</v>
      </c>
      <c r="D73" s="990" t="s">
        <v>173</v>
      </c>
      <c r="E73" s="990" t="s">
        <v>1416</v>
      </c>
      <c r="F73" s="1261">
        <f>SUM(H73:BM73)</f>
        <v>469357322.83395034</v>
      </c>
      <c r="G73" s="1262"/>
      <c r="H73" s="1313">
        <v>21724186.470000006</v>
      </c>
      <c r="I73" s="1313">
        <v>2600838.5199999977</v>
      </c>
      <c r="J73" s="1313">
        <v>264622091.80483744</v>
      </c>
      <c r="K73" s="1313">
        <v>382858.72000000055</v>
      </c>
      <c r="L73" s="1313">
        <v>6007950.0100000044</v>
      </c>
      <c r="M73" s="1313">
        <v>2548727.0300000063</v>
      </c>
      <c r="N73" s="1313">
        <v>524381.98000000196</v>
      </c>
      <c r="O73" s="1313">
        <v>2391700.519999994</v>
      </c>
      <c r="P73" s="1313">
        <v>2035811.929999995</v>
      </c>
      <c r="Q73" s="1313">
        <v>11808598.930000007</v>
      </c>
      <c r="R73" s="1314">
        <v>1267808.0300000028</v>
      </c>
      <c r="S73" s="1314">
        <v>1072753.5906999996</v>
      </c>
      <c r="T73" s="1314">
        <v>1940568.0999999964</v>
      </c>
      <c r="U73" s="1314">
        <v>1753425.2799999989</v>
      </c>
      <c r="V73" s="1314">
        <v>3163696.9799999958</v>
      </c>
      <c r="W73" s="1314">
        <v>196056.67000000048</v>
      </c>
      <c r="X73" s="1314">
        <v>171115.71000000037</v>
      </c>
      <c r="Y73" s="1314">
        <v>1017661.1893000007</v>
      </c>
      <c r="Z73" s="1314">
        <v>12107361.855162486</v>
      </c>
      <c r="AA73" s="1314">
        <v>141743.14000000001</v>
      </c>
      <c r="AB73" s="1314">
        <v>1374395.3951704176</v>
      </c>
      <c r="AC73" s="1314">
        <v>6045589.7700000005</v>
      </c>
      <c r="AD73" s="1314">
        <v>235563.2700000004</v>
      </c>
      <c r="AE73" s="1314">
        <v>355812.7899999994</v>
      </c>
      <c r="AF73" s="1314">
        <v>2670937.8199999994</v>
      </c>
      <c r="AG73" s="1314">
        <v>7232042.6499999985</v>
      </c>
      <c r="AH73" s="1314">
        <v>671193.42999999935</v>
      </c>
      <c r="AI73" s="1314">
        <v>112336.57000000021</v>
      </c>
      <c r="AJ73" s="1314">
        <v>8842771.1899999976</v>
      </c>
      <c r="AK73" s="1314">
        <v>1014945.8306575</v>
      </c>
      <c r="AL73" s="1314">
        <v>86567.140000000101</v>
      </c>
      <c r="AM73" s="1314">
        <v>1379946.27</v>
      </c>
      <c r="AN73" s="1314">
        <v>13520298.119999997</v>
      </c>
      <c r="AO73" s="1314">
        <v>1736963.4600000009</v>
      </c>
      <c r="AP73" s="1314">
        <v>171982.22000000015</v>
      </c>
      <c r="AQ73" s="1314">
        <v>307539.56999999989</v>
      </c>
      <c r="AR73" s="1314">
        <v>113706.47000000015</v>
      </c>
      <c r="AS73" s="1314">
        <v>4020433.9097724999</v>
      </c>
      <c r="AT73" s="1314">
        <v>7440525.7971114311</v>
      </c>
      <c r="AU73" s="1314">
        <v>368386.89000000042</v>
      </c>
      <c r="AV73" s="1314">
        <v>1386911.9099999997</v>
      </c>
      <c r="AW73" s="1314">
        <v>242302.28934249986</v>
      </c>
      <c r="AX73" s="1314">
        <v>96913.790000000168</v>
      </c>
      <c r="AY73" s="1314">
        <v>3964611.5999999987</v>
      </c>
      <c r="AZ73" s="1314">
        <v>394704.93999999913</v>
      </c>
      <c r="BA73" s="1314">
        <v>6394135.8902345626</v>
      </c>
      <c r="BB73" s="1314">
        <v>3928608.7674725596</v>
      </c>
      <c r="BC73" s="1314">
        <v>192250.04725413607</v>
      </c>
      <c r="BD73" s="1315">
        <v>157359.64000000001</v>
      </c>
      <c r="BE73" s="1314">
        <v>14427780.7479605</v>
      </c>
      <c r="BF73" s="1314">
        <v>8186107.8744328907</v>
      </c>
      <c r="BG73" s="1314">
        <v>10176519.171156643</v>
      </c>
      <c r="BH73" s="1314">
        <v>6041275.0097100539</v>
      </c>
      <c r="BI73" s="1314">
        <v>12770947.799936397</v>
      </c>
      <c r="BJ73" s="1314">
        <v>367858.86999999965</v>
      </c>
      <c r="BK73" s="1314">
        <v>3135557.8931542416</v>
      </c>
      <c r="BL73" s="1316">
        <v>991247.81058393896</v>
      </c>
      <c r="BM73" s="1317">
        <v>1320953.7600000002</v>
      </c>
      <c r="BN73" s="1318">
        <f>SUM(H73:BM73)</f>
        <v>469357322.83395034</v>
      </c>
    </row>
    <row r="74" spans="1:66" s="1190" customFormat="1" ht="13.2">
      <c r="A74" s="1260"/>
      <c r="B74" s="990"/>
      <c r="C74" s="1260" t="s">
        <v>920</v>
      </c>
      <c r="D74" s="990" t="s">
        <v>921</v>
      </c>
      <c r="E74" s="990" t="s">
        <v>1443</v>
      </c>
      <c r="F74" s="1261">
        <f t="shared" si="4" ref="F74:F85">SUM(H74:BM74)</f>
        <v>472753571.32429606</v>
      </c>
      <c r="G74" s="1262"/>
      <c r="H74" s="1319">
        <v>21846923.610000007</v>
      </c>
      <c r="I74" s="1313">
        <v>2651545.1199999978</v>
      </c>
      <c r="J74" s="1313">
        <v>265989466.16285253</v>
      </c>
      <c r="K74" s="1313">
        <v>385802.46000000054</v>
      </c>
      <c r="L74" s="1313">
        <v>6056487.9400000041</v>
      </c>
      <c r="M74" s="1313">
        <v>2562408.2300000065</v>
      </c>
      <c r="N74" s="1313">
        <v>527748.81000000192</v>
      </c>
      <c r="O74" s="1313">
        <v>2405186.1499999939</v>
      </c>
      <c r="P74" s="1313">
        <v>2047902.099999995</v>
      </c>
      <c r="Q74" s="1313">
        <v>11877927.340000007</v>
      </c>
      <c r="R74" s="1313">
        <v>1275715.5700000029</v>
      </c>
      <c r="S74" s="1313">
        <v>1081475.3645624996</v>
      </c>
      <c r="T74" s="1313">
        <v>1953032.2699999963</v>
      </c>
      <c r="U74" s="1313">
        <v>1767713.4999999988</v>
      </c>
      <c r="V74" s="1313">
        <v>3191736.7799999956</v>
      </c>
      <c r="W74" s="1313">
        <v>197696.70000000048</v>
      </c>
      <c r="X74" s="1313">
        <v>172571.30000000037</v>
      </c>
      <c r="Y74" s="1313">
        <v>1026322.4654375006</v>
      </c>
      <c r="Z74" s="1313">
        <v>12213125.267147487</v>
      </c>
      <c r="AA74" s="1313">
        <v>142893.69</v>
      </c>
      <c r="AB74" s="1313">
        <v>1384834.9321716677</v>
      </c>
      <c r="AC74" s="1313">
        <v>6101655.1500000004</v>
      </c>
      <c r="AD74" s="1313">
        <v>237674.2700000004</v>
      </c>
      <c r="AE74" s="1313">
        <v>358916.63999999937</v>
      </c>
      <c r="AF74" s="1313">
        <v>2693973.9899999993</v>
      </c>
      <c r="AG74" s="1313">
        <v>7296186.7199999988</v>
      </c>
      <c r="AH74" s="1313">
        <v>677683.90999999933</v>
      </c>
      <c r="AI74" s="1313">
        <v>113332.51000000021</v>
      </c>
      <c r="AJ74" s="1313">
        <v>8951700.3999999985</v>
      </c>
      <c r="AK74" s="1313">
        <v>1025874.1573849999</v>
      </c>
      <c r="AL74" s="1313">
        <v>87334.700000000099</v>
      </c>
      <c r="AM74" s="1313">
        <v>1393740.02</v>
      </c>
      <c r="AN74" s="1313">
        <v>13652912.619999997</v>
      </c>
      <c r="AO74" s="1313">
        <v>1753053.1700000009</v>
      </c>
      <c r="AP74" s="1313">
        <v>173662.26000000015</v>
      </c>
      <c r="AQ74" s="1313">
        <v>313117.04999999987</v>
      </c>
      <c r="AR74" s="1313">
        <v>114856.54000000015</v>
      </c>
      <c r="AS74" s="1313">
        <v>4061058.0379224997</v>
      </c>
      <c r="AT74" s="1313">
        <v>7514515.998961431</v>
      </c>
      <c r="AU74" s="1313">
        <v>371939.07000000041</v>
      </c>
      <c r="AV74" s="1313">
        <v>1399997.4799999997</v>
      </c>
      <c r="AW74" s="1313">
        <v>244656.74261499985</v>
      </c>
      <c r="AX74" s="1313">
        <v>97856.000000000175</v>
      </c>
      <c r="AY74" s="1313">
        <v>4010238.6599999988</v>
      </c>
      <c r="AZ74" s="1313">
        <v>398481.14999999915</v>
      </c>
      <c r="BA74" s="1313">
        <v>6460430.5002345629</v>
      </c>
      <c r="BB74" s="1313">
        <v>3977708.3595175594</v>
      </c>
      <c r="BC74" s="1313">
        <v>194158.63918413606</v>
      </c>
      <c r="BD74" s="1313">
        <v>158935.16</v>
      </c>
      <c r="BE74" s="1313">
        <v>14603780.817960501</v>
      </c>
      <c r="BF74" s="1313">
        <v>8286811.9344328903</v>
      </c>
      <c r="BG74" s="1313">
        <v>10287045.771437893</v>
      </c>
      <c r="BH74" s="1313">
        <v>6108957.8896158868</v>
      </c>
      <c r="BI74" s="1313">
        <v>12920099.809936397</v>
      </c>
      <c r="BJ74" s="1313">
        <v>371400.47999999963</v>
      </c>
      <c r="BK74" s="1313">
        <v>3175722.5531542418</v>
      </c>
      <c r="BL74" s="1313">
        <v>1009708.5997664389</v>
      </c>
      <c r="BM74" s="1320">
        <v>1395877.8000000003</v>
      </c>
      <c r="BN74" s="1318">
        <f t="shared" si="5" ref="BN74:BN85">SUM(H74:BM74)</f>
        <v>472753571.32429606</v>
      </c>
    </row>
    <row r="75" spans="1:66" s="1190" customFormat="1" ht="13.2">
      <c r="A75" s="1262"/>
      <c r="B75" s="822"/>
      <c r="C75" s="1262" t="s">
        <v>922</v>
      </c>
      <c r="D75" s="990" t="s">
        <v>921</v>
      </c>
      <c r="E75" s="990" t="s">
        <v>1443</v>
      </c>
      <c r="F75" s="1261">
        <f t="shared" si="4"/>
        <v>477185399.20670569</v>
      </c>
      <c r="G75" s="1262"/>
      <c r="H75" s="1319">
        <v>21969674.210000008</v>
      </c>
      <c r="I75" s="1313">
        <v>2702255.8699999978</v>
      </c>
      <c r="J75" s="1313">
        <v>268391700.35086763</v>
      </c>
      <c r="K75" s="1313">
        <v>388746.67000000057</v>
      </c>
      <c r="L75" s="1313">
        <v>6105724.8900000043</v>
      </c>
      <c r="M75" s="1313">
        <v>2576089.4300000067</v>
      </c>
      <c r="N75" s="1313">
        <v>531115.64000000188</v>
      </c>
      <c r="O75" s="1313">
        <v>2418671.7799999937</v>
      </c>
      <c r="P75" s="1313">
        <v>2059992.2699999949</v>
      </c>
      <c r="Q75" s="1313">
        <v>11947255.750000007</v>
      </c>
      <c r="R75" s="1313">
        <v>1283623.1100000029</v>
      </c>
      <c r="S75" s="1313">
        <v>1090180.9384249996</v>
      </c>
      <c r="T75" s="1313">
        <v>1965496.4399999962</v>
      </c>
      <c r="U75" s="1313">
        <v>1782001.9999999988</v>
      </c>
      <c r="V75" s="1313">
        <v>3220098.2699999958</v>
      </c>
      <c r="W75" s="1313">
        <v>199337.00000000047</v>
      </c>
      <c r="X75" s="1313">
        <v>174027.13000000035</v>
      </c>
      <c r="Y75" s="1313">
        <v>1034983.7415750006</v>
      </c>
      <c r="Z75" s="1313">
        <v>12318888.679132488</v>
      </c>
      <c r="AA75" s="1313">
        <v>144044.42000000001</v>
      </c>
      <c r="AB75" s="1313">
        <v>1395295.9847716677</v>
      </c>
      <c r="AC75" s="1313">
        <v>6157736.54</v>
      </c>
      <c r="AD75" s="1313">
        <v>239785.6200000004</v>
      </c>
      <c r="AE75" s="1313">
        <v>362020.98999999935</v>
      </c>
      <c r="AF75" s="1313">
        <v>2717013.8399999994</v>
      </c>
      <c r="AG75" s="1313">
        <v>7360341.0199999986</v>
      </c>
      <c r="AH75" s="1313">
        <v>684175.32999999938</v>
      </c>
      <c r="AI75" s="1313">
        <v>114328.62000000021</v>
      </c>
      <c r="AJ75" s="1313">
        <v>9060641.959999999</v>
      </c>
      <c r="AK75" s="1313">
        <v>1036875.5141124999</v>
      </c>
      <c r="AL75" s="1313">
        <v>88102.390000000101</v>
      </c>
      <c r="AM75" s="1313">
        <v>1407535.8800000001</v>
      </c>
      <c r="AN75" s="1313">
        <v>13785544.049999997</v>
      </c>
      <c r="AO75" s="1313">
        <v>1769145.4600000009</v>
      </c>
      <c r="AP75" s="1313">
        <v>175342.55000000016</v>
      </c>
      <c r="AQ75" s="1313">
        <v>318695.43999999989</v>
      </c>
      <c r="AR75" s="1313">
        <v>116006.78000000016</v>
      </c>
      <c r="AS75" s="1313">
        <v>4101058.0160724996</v>
      </c>
      <c r="AT75" s="1313">
        <v>7588517.9108114308</v>
      </c>
      <c r="AU75" s="1313">
        <v>375491.71000000043</v>
      </c>
      <c r="AV75" s="1313">
        <v>1413085.1499999997</v>
      </c>
      <c r="AW75" s="1313">
        <v>247011.19588749984</v>
      </c>
      <c r="AX75" s="1313">
        <v>98798.210000000181</v>
      </c>
      <c r="AY75" s="1313">
        <v>4055877.3699999987</v>
      </c>
      <c r="AZ75" s="1313">
        <v>402262.68999999913</v>
      </c>
      <c r="BA75" s="1313">
        <v>6526749.2002345631</v>
      </c>
      <c r="BB75" s="1313">
        <v>4026807.9515625592</v>
      </c>
      <c r="BC75" s="1313">
        <v>196067.23111413606</v>
      </c>
      <c r="BD75" s="1313">
        <v>160510.93</v>
      </c>
      <c r="BE75" s="1313">
        <v>14779802.0879605</v>
      </c>
      <c r="BF75" s="1313">
        <v>8387532.2744328901</v>
      </c>
      <c r="BG75" s="1313">
        <v>10397590.081500392</v>
      </c>
      <c r="BH75" s="1313">
        <v>6176636.04456547</v>
      </c>
      <c r="BI75" s="1313">
        <v>13069277.109936398</v>
      </c>
      <c r="BJ75" s="1313">
        <v>374942.65999999963</v>
      </c>
      <c r="BK75" s="1313">
        <v>3215893.6531542419</v>
      </c>
      <c r="BL75" s="1313">
        <v>1028176.9805889389</v>
      </c>
      <c r="BM75" s="1320">
        <v>1470814.1900000002</v>
      </c>
      <c r="BN75" s="1318">
        <f t="shared" si="5"/>
        <v>477185399.20670569</v>
      </c>
    </row>
    <row r="76" spans="1:66" s="1190" customFormat="1" ht="13.2">
      <c r="A76" s="1262"/>
      <c r="B76" s="822"/>
      <c r="C76" s="1262" t="s">
        <v>349</v>
      </c>
      <c r="D76" s="990" t="s">
        <v>921</v>
      </c>
      <c r="E76" s="990" t="s">
        <v>1443</v>
      </c>
      <c r="F76" s="1261">
        <f t="shared" si="4"/>
        <v>476860026.24899811</v>
      </c>
      <c r="G76" s="1262"/>
      <c r="H76" s="1319">
        <v>22092458.430000007</v>
      </c>
      <c r="I76" s="1313">
        <v>2752965.5199999977</v>
      </c>
      <c r="J76" s="1313">
        <v>266039790.95800743</v>
      </c>
      <c r="K76" s="1313">
        <v>391690.75000000058</v>
      </c>
      <c r="L76" s="1313">
        <v>6154968.2100000046</v>
      </c>
      <c r="M76" s="1313">
        <v>2589770.6300000069</v>
      </c>
      <c r="N76" s="1313">
        <v>534482.47000000183</v>
      </c>
      <c r="O76" s="1313">
        <v>2432157.4099999936</v>
      </c>
      <c r="P76" s="1313">
        <v>2072082.4399999948</v>
      </c>
      <c r="Q76" s="1313">
        <v>12016584.160000008</v>
      </c>
      <c r="R76" s="1313">
        <v>1291530.6500000029</v>
      </c>
      <c r="S76" s="1313">
        <v>1098889.4722874996</v>
      </c>
      <c r="T76" s="1313">
        <v>1977960.6099999961</v>
      </c>
      <c r="U76" s="1313">
        <v>1796290.4299999988</v>
      </c>
      <c r="V76" s="1313">
        <v>3248469.8499999959</v>
      </c>
      <c r="W76" s="1313">
        <v>200977.23000000048</v>
      </c>
      <c r="X76" s="1313">
        <v>175482.90000000034</v>
      </c>
      <c r="Y76" s="1313">
        <v>1043645.0177125005</v>
      </c>
      <c r="Z76" s="1313">
        <v>12424652.091992488</v>
      </c>
      <c r="AA76" s="1313">
        <v>145195.10</v>
      </c>
      <c r="AB76" s="1313">
        <v>1405751.3193558345</v>
      </c>
      <c r="AC76" s="1313">
        <v>6213815.5999999996</v>
      </c>
      <c r="AD76" s="1313">
        <v>241896.86000000039</v>
      </c>
      <c r="AE76" s="1313">
        <v>365125.20999999932</v>
      </c>
      <c r="AF76" s="1313">
        <v>2740422.7299999995</v>
      </c>
      <c r="AG76" s="1313">
        <v>7424492.6199999982</v>
      </c>
      <c r="AH76" s="1313">
        <v>690666.49999999942</v>
      </c>
      <c r="AI76" s="1313">
        <v>115324.69000000022</v>
      </c>
      <c r="AJ76" s="1313">
        <v>9169580.2499999981</v>
      </c>
      <c r="AK76" s="1313">
        <v>1047872.0208399999</v>
      </c>
      <c r="AL76" s="1313">
        <v>88870.050000000105</v>
      </c>
      <c r="AM76" s="1313">
        <v>1421331.1700000002</v>
      </c>
      <c r="AN76" s="1313">
        <v>13918170.979999997</v>
      </c>
      <c r="AO76" s="1313">
        <v>1785237.060000001</v>
      </c>
      <c r="AP76" s="1313">
        <v>177022.78000000017</v>
      </c>
      <c r="AQ76" s="1313">
        <v>324273.80999999988</v>
      </c>
      <c r="AR76" s="1313">
        <v>117156.97000000016</v>
      </c>
      <c r="AS76" s="1313">
        <v>4137944.2642224994</v>
      </c>
      <c r="AT76" s="1313">
        <v>7662517.6926614307</v>
      </c>
      <c r="AU76" s="1313">
        <v>379044.23000000045</v>
      </c>
      <c r="AV76" s="1313">
        <v>1426172.2699999998</v>
      </c>
      <c r="AW76" s="1313">
        <v>249365.64915999983</v>
      </c>
      <c r="AX76" s="1313">
        <v>99740.420000000187</v>
      </c>
      <c r="AY76" s="1313">
        <v>4101529.8899999987</v>
      </c>
      <c r="AZ76" s="1313">
        <v>406046.4099999991</v>
      </c>
      <c r="BA76" s="1313">
        <v>6593069.0102345627</v>
      </c>
      <c r="BB76" s="1313">
        <v>4075907.5436075591</v>
      </c>
      <c r="BC76" s="1313">
        <v>197975.82304413605</v>
      </c>
      <c r="BD76" s="1313">
        <v>162086.63999999998</v>
      </c>
      <c r="BE76" s="1313">
        <v>14955790.8679605</v>
      </c>
      <c r="BF76" s="1313">
        <v>8488248.4644328896</v>
      </c>
      <c r="BG76" s="1313">
        <v>10508077.441062892</v>
      </c>
      <c r="BH76" s="1313">
        <v>6244315.8802413037</v>
      </c>
      <c r="BI76" s="1313">
        <v>13218449.509936398</v>
      </c>
      <c r="BJ76" s="1313">
        <v>378484.68999999965</v>
      </c>
      <c r="BK76" s="1313">
        <v>3256063.043154242</v>
      </c>
      <c r="BL76" s="1313">
        <v>1046651.939083939</v>
      </c>
      <c r="BM76" s="1320">
        <v>1545489.62</v>
      </c>
      <c r="BN76" s="1318">
        <f t="shared" si="5"/>
        <v>476860026.24899811</v>
      </c>
    </row>
    <row r="77" spans="1:66" s="1190" customFormat="1" ht="13.2">
      <c r="A77" s="1260"/>
      <c r="B77" s="822"/>
      <c r="C77" s="1260" t="s">
        <v>254</v>
      </c>
      <c r="D77" s="990" t="s">
        <v>921</v>
      </c>
      <c r="E77" s="990" t="s">
        <v>1443</v>
      </c>
      <c r="F77" s="1261">
        <f t="shared" si="4"/>
        <v>480715585.28809893</v>
      </c>
      <c r="G77" s="1262"/>
      <c r="H77" s="1319">
        <v>22215279.860000007</v>
      </c>
      <c r="I77" s="1313">
        <v>2803669.2799999975</v>
      </c>
      <c r="J77" s="1313">
        <v>267865553.32602257</v>
      </c>
      <c r="K77" s="1313">
        <v>394634.16000000056</v>
      </c>
      <c r="L77" s="1313">
        <v>6204242.150000005</v>
      </c>
      <c r="M77" s="1313">
        <v>2603447.0100000068</v>
      </c>
      <c r="N77" s="1313">
        <v>537849.30000000179</v>
      </c>
      <c r="O77" s="1313">
        <v>2445643.0399999935</v>
      </c>
      <c r="P77" s="1313">
        <v>2084172.6099999947</v>
      </c>
      <c r="Q77" s="1313">
        <v>12085912.570000008</v>
      </c>
      <c r="R77" s="1313">
        <v>1299438.190000003</v>
      </c>
      <c r="S77" s="1313">
        <v>1107596.0061499996</v>
      </c>
      <c r="T77" s="1313">
        <v>1990424.7799999961</v>
      </c>
      <c r="U77" s="1313">
        <v>1810737.4199999988</v>
      </c>
      <c r="V77" s="1313">
        <v>3276831.2599999961</v>
      </c>
      <c r="W77" s="1313">
        <v>202617.09000000046</v>
      </c>
      <c r="X77" s="1313">
        <v>176938.34000000035</v>
      </c>
      <c r="Y77" s="1313">
        <v>1052306.2938500005</v>
      </c>
      <c r="Z77" s="1313">
        <v>12530415.503977489</v>
      </c>
      <c r="AA77" s="1313">
        <v>146345.52000000002</v>
      </c>
      <c r="AB77" s="1313">
        <v>1416176.4526745845</v>
      </c>
      <c r="AC77" s="1313">
        <v>6269882.1199999992</v>
      </c>
      <c r="AD77" s="1313">
        <v>244007.63000000038</v>
      </c>
      <c r="AE77" s="1313">
        <v>368228.71999999933</v>
      </c>
      <c r="AF77" s="1313">
        <v>2764196.3999999994</v>
      </c>
      <c r="AG77" s="1313">
        <v>7488629.7799999984</v>
      </c>
      <c r="AH77" s="1313">
        <v>697156.34999999939</v>
      </c>
      <c r="AI77" s="1313">
        <v>116320.52000000022</v>
      </c>
      <c r="AJ77" s="1313">
        <v>9278501.0099999979</v>
      </c>
      <c r="AK77" s="1313">
        <v>1058866.1875674999</v>
      </c>
      <c r="AL77" s="1313">
        <v>89637.530000000101</v>
      </c>
      <c r="AM77" s="1313">
        <v>1435123.4800000002</v>
      </c>
      <c r="AN77" s="1313">
        <v>14050773.879999997</v>
      </c>
      <c r="AO77" s="1313">
        <v>1801325.0000000009</v>
      </c>
      <c r="AP77" s="1313">
        <v>178702.65000000017</v>
      </c>
      <c r="AQ77" s="1313">
        <v>329851.03999999986</v>
      </c>
      <c r="AR77" s="1313">
        <v>118306.91000000016</v>
      </c>
      <c r="AS77" s="1313">
        <v>4178073.8423724994</v>
      </c>
      <c r="AT77" s="1313">
        <v>7736502.1445114305</v>
      </c>
      <c r="AU77" s="1313">
        <v>382596.09000000043</v>
      </c>
      <c r="AV77" s="1313">
        <v>1439256.4199999997</v>
      </c>
      <c r="AW77" s="1313">
        <v>251720.10243249981</v>
      </c>
      <c r="AX77" s="1313">
        <v>100682.63000000019</v>
      </c>
      <c r="AY77" s="1313">
        <v>4147172.6599999988</v>
      </c>
      <c r="AZ77" s="1313">
        <v>409831.55999999912</v>
      </c>
      <c r="BA77" s="1313">
        <v>6659376.7402345631</v>
      </c>
      <c r="BB77" s="1313">
        <v>4125007.1356525589</v>
      </c>
      <c r="BC77" s="1313">
        <v>199884.41497413605</v>
      </c>
      <c r="BD77" s="1313">
        <v>163661.97999999998</v>
      </c>
      <c r="BE77" s="1313">
        <v>15131760.2779605</v>
      </c>
      <c r="BF77" s="1313">
        <v>8588941.7744328901</v>
      </c>
      <c r="BG77" s="1313">
        <v>10618539.701062892</v>
      </c>
      <c r="BH77" s="1313">
        <v>6311996.0517158872</v>
      </c>
      <c r="BI77" s="1313">
        <v>13367589.529936397</v>
      </c>
      <c r="BJ77" s="1313">
        <v>382025.90999999963</v>
      </c>
      <c r="BK77" s="1313">
        <v>3296223.3031542418</v>
      </c>
      <c r="BL77" s="1313">
        <v>1065127.109416439</v>
      </c>
      <c r="BM77" s="1320">
        <v>1619876.54</v>
      </c>
      <c r="BN77" s="1318">
        <f t="shared" si="5"/>
        <v>480715585.28809893</v>
      </c>
    </row>
    <row r="78" spans="1:66" s="1190" customFormat="1" ht="13.2">
      <c r="A78" s="1262"/>
      <c r="B78" s="990"/>
      <c r="C78" s="1262" t="s">
        <v>255</v>
      </c>
      <c r="D78" s="990" t="s">
        <v>921</v>
      </c>
      <c r="E78" s="990" t="s">
        <v>1443</v>
      </c>
      <c r="F78" s="1261">
        <f t="shared" si="4"/>
        <v>484829809.98440164</v>
      </c>
      <c r="G78" s="1262"/>
      <c r="H78" s="1319">
        <v>22338109.090000007</v>
      </c>
      <c r="I78" s="1313">
        <v>2854352.8199999975</v>
      </c>
      <c r="J78" s="1313">
        <v>269951211.27403766</v>
      </c>
      <c r="K78" s="1313">
        <v>397577.03000000055</v>
      </c>
      <c r="L78" s="1313">
        <v>6252152.1300000055</v>
      </c>
      <c r="M78" s="1313">
        <v>2617118.5700000068</v>
      </c>
      <c r="N78" s="1313">
        <v>541216.13000000175</v>
      </c>
      <c r="O78" s="1313">
        <v>2459128.6699999934</v>
      </c>
      <c r="P78" s="1313">
        <v>2096262.7799999947</v>
      </c>
      <c r="Q78" s="1313">
        <v>12155240.980000008</v>
      </c>
      <c r="R78" s="1313">
        <v>1307345.730000003</v>
      </c>
      <c r="S78" s="1313">
        <v>1116300.9200124997</v>
      </c>
      <c r="T78" s="1313">
        <v>2002888.949999996</v>
      </c>
      <c r="U78" s="1313">
        <v>1825424.1899999988</v>
      </c>
      <c r="V78" s="1313">
        <v>3305186.8599999961</v>
      </c>
      <c r="W78" s="1313">
        <v>204256.64000000045</v>
      </c>
      <c r="X78" s="1313">
        <v>178393.50000000035</v>
      </c>
      <c r="Y78" s="1313">
        <v>1060967.5699875006</v>
      </c>
      <c r="Z78" s="1313">
        <v>12636178.915962489</v>
      </c>
      <c r="AA78" s="1313">
        <v>147495.74000000002</v>
      </c>
      <c r="AB78" s="1313">
        <v>1426576.9119737512</v>
      </c>
      <c r="AC78" s="1313">
        <v>6325938.4999999991</v>
      </c>
      <c r="AD78" s="1313">
        <v>246118.00000000038</v>
      </c>
      <c r="AE78" s="1313">
        <v>371331.65999999933</v>
      </c>
      <c r="AF78" s="1313">
        <v>2787965.8299999996</v>
      </c>
      <c r="AG78" s="1313">
        <v>7552755.2799999984</v>
      </c>
      <c r="AH78" s="1313">
        <v>703645.11999999941</v>
      </c>
      <c r="AI78" s="1313">
        <v>117316.18000000023</v>
      </c>
      <c r="AJ78" s="1313">
        <v>9387446.6499999985</v>
      </c>
      <c r="AK78" s="1313">
        <v>1069838.8142949999</v>
      </c>
      <c r="AL78" s="1313">
        <v>90404.870000000097</v>
      </c>
      <c r="AM78" s="1313">
        <v>1448918.1700000002</v>
      </c>
      <c r="AN78" s="1313">
        <v>14183357.319999997</v>
      </c>
      <c r="AO78" s="1313">
        <v>1817409.9800000009</v>
      </c>
      <c r="AP78" s="1313">
        <v>180382.23000000016</v>
      </c>
      <c r="AQ78" s="1313">
        <v>335426.72999999986</v>
      </c>
      <c r="AR78" s="1313">
        <v>119456.64000000016</v>
      </c>
      <c r="AS78" s="1313">
        <v>4218338.7205224996</v>
      </c>
      <c r="AT78" s="1313">
        <v>7810472.1863614302</v>
      </c>
      <c r="AU78" s="1313">
        <v>386147.40000000043</v>
      </c>
      <c r="AV78" s="1313">
        <v>1452338.1599999997</v>
      </c>
      <c r="AW78" s="1313">
        <v>254074.5557049998</v>
      </c>
      <c r="AX78" s="1313">
        <v>101624.8400000002</v>
      </c>
      <c r="AY78" s="1313">
        <v>4192809.6699999985</v>
      </c>
      <c r="AZ78" s="1313">
        <v>413615.99999999913</v>
      </c>
      <c r="BA78" s="1313">
        <v>6725673.0102345627</v>
      </c>
      <c r="BB78" s="1313">
        <v>4174106.7276975587</v>
      </c>
      <c r="BC78" s="1313">
        <v>201793.00690413604</v>
      </c>
      <c r="BD78" s="1313">
        <v>165237.02999999997</v>
      </c>
      <c r="BE78" s="1313">
        <v>15307725.8679605</v>
      </c>
      <c r="BF78" s="1313">
        <v>8689616.5944328904</v>
      </c>
      <c r="BG78" s="1313">
        <v>10728981.661062893</v>
      </c>
      <c r="BH78" s="1313">
        <v>6379679.4136242205</v>
      </c>
      <c r="BI78" s="1313">
        <v>13516703.639936397</v>
      </c>
      <c r="BJ78" s="1313">
        <v>385566.47999999963</v>
      </c>
      <c r="BK78" s="1313">
        <v>3336376.1831542416</v>
      </c>
      <c r="BL78" s="1313">
        <v>1083586.3905364389</v>
      </c>
      <c r="BM78" s="1320">
        <v>1694245.07</v>
      </c>
      <c r="BN78" s="1318">
        <f t="shared" si="5"/>
        <v>484829809.98440164</v>
      </c>
    </row>
    <row r="79" spans="1:66" s="1190" customFormat="1" ht="13.2">
      <c r="A79" s="1262"/>
      <c r="B79" s="822"/>
      <c r="C79" s="1262" t="s">
        <v>923</v>
      </c>
      <c r="D79" s="990" t="s">
        <v>921</v>
      </c>
      <c r="E79" s="990" t="s">
        <v>1443</v>
      </c>
      <c r="F79" s="1261">
        <f t="shared" si="4"/>
        <v>493480650.30853307</v>
      </c>
      <c r="G79" s="1262"/>
      <c r="H79" s="1319">
        <v>22460946.530000009</v>
      </c>
      <c r="I79" s="1313">
        <v>2903870.5799999973</v>
      </c>
      <c r="J79" s="1313">
        <v>276591944.54205257</v>
      </c>
      <c r="K79" s="1313">
        <v>400519.61000000057</v>
      </c>
      <c r="L79" s="1313">
        <v>6292848.0600000052</v>
      </c>
      <c r="M79" s="1313">
        <v>2630781.500000007</v>
      </c>
      <c r="N79" s="1313">
        <v>544582.96000000171</v>
      </c>
      <c r="O79" s="1313">
        <v>2472614.2999999933</v>
      </c>
      <c r="P79" s="1313">
        <v>2108352.9499999946</v>
      </c>
      <c r="Q79" s="1313">
        <v>12224569.390000008</v>
      </c>
      <c r="R79" s="1313">
        <v>1315253.270000003</v>
      </c>
      <c r="S79" s="1313">
        <v>1122637.9121712495</v>
      </c>
      <c r="T79" s="1313">
        <v>2015353.1199999959</v>
      </c>
      <c r="U79" s="1313">
        <v>1840189.8299999987</v>
      </c>
      <c r="V79" s="1313">
        <v>3333526.989999996</v>
      </c>
      <c r="W79" s="1313">
        <v>205896.03000000046</v>
      </c>
      <c r="X79" s="1313">
        <v>179848.53000000035</v>
      </c>
      <c r="Y79" s="1313">
        <v>1069627.5678287505</v>
      </c>
      <c r="Z79" s="1313">
        <v>12741942.32794749</v>
      </c>
      <c r="AA79" s="1313">
        <v>148645.84000000003</v>
      </c>
      <c r="AB79" s="1313">
        <v>1436964.0303220844</v>
      </c>
      <c r="AC79" s="1313">
        <v>6381989.5499999989</v>
      </c>
      <c r="AD79" s="1313">
        <v>248228.18000000037</v>
      </c>
      <c r="AE79" s="1313">
        <v>374434.28999999934</v>
      </c>
      <c r="AF79" s="1313">
        <v>2811732.9999999995</v>
      </c>
      <c r="AG79" s="1313">
        <v>7616874.6499999985</v>
      </c>
      <c r="AH79" s="1313">
        <v>710133.32999999938</v>
      </c>
      <c r="AI79" s="1313">
        <v>118311.74000000022</v>
      </c>
      <c r="AJ79" s="1313">
        <v>9496422.2499999981</v>
      </c>
      <c r="AK79" s="1313">
        <v>1073284.8510224998</v>
      </c>
      <c r="AL79" s="1313">
        <v>91172.140000000101</v>
      </c>
      <c r="AM79" s="1313">
        <v>1462714.2100000002</v>
      </c>
      <c r="AN79" s="1313">
        <v>14315930.479999997</v>
      </c>
      <c r="AO79" s="1313">
        <v>1833493.4000000008</v>
      </c>
      <c r="AP79" s="1313">
        <v>182061.66000000015</v>
      </c>
      <c r="AQ79" s="1313">
        <v>341001.97999999986</v>
      </c>
      <c r="AR79" s="1313">
        <v>120606.25000000016</v>
      </c>
      <c r="AS79" s="1313">
        <v>4258459.2586725</v>
      </c>
      <c r="AT79" s="1313">
        <v>7884433.8882114301</v>
      </c>
      <c r="AU79" s="1313">
        <v>389698.43000000046</v>
      </c>
      <c r="AV79" s="1313">
        <v>1465418.6199999996</v>
      </c>
      <c r="AW79" s="1313">
        <v>256429.00897749979</v>
      </c>
      <c r="AX79" s="1313">
        <v>102567.05000000021</v>
      </c>
      <c r="AY79" s="1313">
        <v>4238444.6499999985</v>
      </c>
      <c r="AZ79" s="1313">
        <v>417400.05999999912</v>
      </c>
      <c r="BA79" s="1313">
        <v>6791967.8102345625</v>
      </c>
      <c r="BB79" s="1313">
        <v>4223206.3197425585</v>
      </c>
      <c r="BC79" s="1313">
        <v>203701.59883413604</v>
      </c>
      <c r="BD79" s="1313">
        <v>166811.92999999996</v>
      </c>
      <c r="BE79" s="1313">
        <v>15483687.6779605</v>
      </c>
      <c r="BF79" s="1313">
        <v>8790281.6544328909</v>
      </c>
      <c r="BG79" s="1313">
        <v>10839412.911062893</v>
      </c>
      <c r="BH79" s="1313">
        <v>6447365.690087554</v>
      </c>
      <c r="BI79" s="1313">
        <v>13665804.779936397</v>
      </c>
      <c r="BJ79" s="1313">
        <v>389106.70999999961</v>
      </c>
      <c r="BK79" s="1313">
        <v>3376525.1731542419</v>
      </c>
      <c r="BL79" s="1313">
        <v>1102015.3558814388</v>
      </c>
      <c r="BM79" s="1320">
        <v>1768603.9000000001</v>
      </c>
      <c r="BN79" s="1318">
        <f t="shared" si="5"/>
        <v>493480650.30853307</v>
      </c>
    </row>
    <row r="80" spans="1:66" s="1190" customFormat="1" ht="13.2">
      <c r="A80" s="1260"/>
      <c r="B80" s="990"/>
      <c r="C80" s="1260" t="s">
        <v>924</v>
      </c>
      <c r="D80" s="990" t="s">
        <v>921</v>
      </c>
      <c r="E80" s="990" t="s">
        <v>1443</v>
      </c>
      <c r="F80" s="1261">
        <f t="shared" si="4"/>
        <v>499123431.70748168</v>
      </c>
      <c r="G80" s="1262"/>
      <c r="H80" s="1319">
        <v>22583794.620000008</v>
      </c>
      <c r="I80" s="1313">
        <v>2952237.6999999974</v>
      </c>
      <c r="J80" s="1313">
        <v>280209407.28006762</v>
      </c>
      <c r="K80" s="1313">
        <v>403461.88000000059</v>
      </c>
      <c r="L80" s="1313">
        <v>6340605.860000005</v>
      </c>
      <c r="M80" s="1313">
        <v>2644435.8000000068</v>
      </c>
      <c r="N80" s="1313">
        <v>547949.79000000167</v>
      </c>
      <c r="O80" s="1313">
        <v>2486099.9299999932</v>
      </c>
      <c r="P80" s="1313">
        <v>2120443.1199999945</v>
      </c>
      <c r="Q80" s="1313">
        <v>12293897.800000008</v>
      </c>
      <c r="R80" s="1313">
        <v>1323160.8100000031</v>
      </c>
      <c r="S80" s="1313">
        <v>1131341.0326262496</v>
      </c>
      <c r="T80" s="1313">
        <v>2027817.2899999958</v>
      </c>
      <c r="U80" s="1313">
        <v>1854939.1199999987</v>
      </c>
      <c r="V80" s="1313">
        <v>3361818.6499999962</v>
      </c>
      <c r="W80" s="1313">
        <v>207535.24000000046</v>
      </c>
      <c r="X80" s="1313">
        <v>181303.40000000034</v>
      </c>
      <c r="Y80" s="1313">
        <v>1078286.2873737505</v>
      </c>
      <c r="Z80" s="1313">
        <v>12847705.739932491</v>
      </c>
      <c r="AA80" s="1313">
        <v>149795.81000000003</v>
      </c>
      <c r="AB80" s="1313">
        <v>1447336.6769733345</v>
      </c>
      <c r="AC80" s="1313">
        <v>6438034.6599999992</v>
      </c>
      <c r="AD80" s="1313">
        <v>250338.12000000037</v>
      </c>
      <c r="AE80" s="1313">
        <v>377536.57999999932</v>
      </c>
      <c r="AF80" s="1313">
        <v>2835497.7099999995</v>
      </c>
      <c r="AG80" s="1313">
        <v>7680987.2899999982</v>
      </c>
      <c r="AH80" s="1313">
        <v>716620.90999999933</v>
      </c>
      <c r="AI80" s="1313">
        <v>119307.19000000022</v>
      </c>
      <c r="AJ80" s="1313">
        <v>9605267.379999999</v>
      </c>
      <c r="AK80" s="1313">
        <v>1084224.4877499999</v>
      </c>
      <c r="AL80" s="1313">
        <v>91939.320000000094</v>
      </c>
      <c r="AM80" s="1313">
        <v>1476500.87</v>
      </c>
      <c r="AN80" s="1313">
        <v>14448492.259999996</v>
      </c>
      <c r="AO80" s="1313">
        <v>1849575.0800000008</v>
      </c>
      <c r="AP80" s="1313">
        <v>183740.92000000016</v>
      </c>
      <c r="AQ80" s="1313">
        <v>346577.14999999985</v>
      </c>
      <c r="AR80" s="1313">
        <v>121755.74000000017</v>
      </c>
      <c r="AS80" s="1313">
        <v>4298432.8068225002</v>
      </c>
      <c r="AT80" s="1313">
        <v>7958387.71006143</v>
      </c>
      <c r="AU80" s="1313">
        <v>393249.15000000043</v>
      </c>
      <c r="AV80" s="1313">
        <v>1478497.6799999997</v>
      </c>
      <c r="AW80" s="1313">
        <v>258783.46224999978</v>
      </c>
      <c r="AX80" s="1313">
        <v>103509.26000000021</v>
      </c>
      <c r="AY80" s="1313">
        <v>4284078.1399999987</v>
      </c>
      <c r="AZ80" s="1313">
        <v>421183.7199999991</v>
      </c>
      <c r="BA80" s="1313">
        <v>6858256.0402345629</v>
      </c>
      <c r="BB80" s="1313">
        <v>4272305.9117875583</v>
      </c>
      <c r="BC80" s="1313">
        <v>205610.19073788603</v>
      </c>
      <c r="BD80" s="1313">
        <v>168386.65999999997</v>
      </c>
      <c r="BE80" s="1313">
        <v>15659601.967960499</v>
      </c>
      <c r="BF80" s="1313">
        <v>8890943.9044328909</v>
      </c>
      <c r="BG80" s="1313">
        <v>10949832.241062893</v>
      </c>
      <c r="BH80" s="1313">
        <v>6515052.0264708875</v>
      </c>
      <c r="BI80" s="1313">
        <v>13814891.369936397</v>
      </c>
      <c r="BJ80" s="1313">
        <v>392646.54999999964</v>
      </c>
      <c r="BK80" s="1313">
        <v>3416669.833154242</v>
      </c>
      <c r="BL80" s="1313">
        <v>1120391.7978464388</v>
      </c>
      <c r="BM80" s="1320">
        <v>1842951.7800000003</v>
      </c>
      <c r="BN80" s="1318">
        <f t="shared" si="5"/>
        <v>499123431.70748168</v>
      </c>
    </row>
    <row r="81" spans="1:66" s="1190" customFormat="1" ht="13.2">
      <c r="A81" s="1262"/>
      <c r="B81" s="822"/>
      <c r="C81" s="1262" t="s">
        <v>925</v>
      </c>
      <c r="D81" s="990" t="s">
        <v>921</v>
      </c>
      <c r="E81" s="990" t="s">
        <v>1443</v>
      </c>
      <c r="F81" s="1261">
        <f t="shared" si="4"/>
        <v>503072343.49473166</v>
      </c>
      <c r="G81" s="1262"/>
      <c r="H81" s="1319">
        <v>22706650.760000009</v>
      </c>
      <c r="I81" s="1313">
        <v>3000747.8099999973</v>
      </c>
      <c r="J81" s="1313">
        <v>282132829.85808247</v>
      </c>
      <c r="K81" s="1313">
        <v>406403.82000000059</v>
      </c>
      <c r="L81" s="1313">
        <v>6388358.4500000048</v>
      </c>
      <c r="M81" s="1313">
        <v>2658090.1000000066</v>
      </c>
      <c r="N81" s="1313">
        <v>551316.62000000163</v>
      </c>
      <c r="O81" s="1313">
        <v>2499585.5599999931</v>
      </c>
      <c r="P81" s="1313">
        <v>2132533.2899999944</v>
      </c>
      <c r="Q81" s="1313">
        <v>12363226.210000008</v>
      </c>
      <c r="R81" s="1313">
        <v>1331068.3500000031</v>
      </c>
      <c r="S81" s="1313">
        <v>1140043.1730812497</v>
      </c>
      <c r="T81" s="1313">
        <v>2040281.4599999958</v>
      </c>
      <c r="U81" s="1313">
        <v>1869651.1199999987</v>
      </c>
      <c r="V81" s="1313">
        <v>3390074.7899999963</v>
      </c>
      <c r="W81" s="1313">
        <v>209174.27000000046</v>
      </c>
      <c r="X81" s="1313">
        <v>182758.11000000034</v>
      </c>
      <c r="Y81" s="1313">
        <v>1086945.0069187505</v>
      </c>
      <c r="Z81" s="1313">
        <v>12953469.151917491</v>
      </c>
      <c r="AA81" s="1313">
        <v>150945.66000000003</v>
      </c>
      <c r="AB81" s="1313">
        <v>1457694.5863575011</v>
      </c>
      <c r="AC81" s="1313">
        <v>6494073.7199999988</v>
      </c>
      <c r="AD81" s="1313">
        <v>252447.83000000037</v>
      </c>
      <c r="AE81" s="1313">
        <v>380638.53999999934</v>
      </c>
      <c r="AF81" s="1313">
        <v>2859259.8899999997</v>
      </c>
      <c r="AG81" s="1313">
        <v>7745100.0399999982</v>
      </c>
      <c r="AH81" s="1313">
        <v>723107.84999999928</v>
      </c>
      <c r="AI81" s="1313">
        <v>120302.53000000022</v>
      </c>
      <c r="AJ81" s="1313">
        <v>9714395.8199999984</v>
      </c>
      <c r="AK81" s="1313">
        <v>1095162.9444774999</v>
      </c>
      <c r="AL81" s="1313">
        <v>92706.4200000001</v>
      </c>
      <c r="AM81" s="1313">
        <v>1490286.08</v>
      </c>
      <c r="AN81" s="1313">
        <v>14581042.439999996</v>
      </c>
      <c r="AO81" s="1313">
        <v>1865655.0100000007</v>
      </c>
      <c r="AP81" s="1313">
        <v>185420.02000000016</v>
      </c>
      <c r="AQ81" s="1313">
        <v>352151.74999999983</v>
      </c>
      <c r="AR81" s="1313">
        <v>122905.11000000016</v>
      </c>
      <c r="AS81" s="1313">
        <v>4338401.9449725002</v>
      </c>
      <c r="AT81" s="1313">
        <v>8032333.5219114302</v>
      </c>
      <c r="AU81" s="1313">
        <v>396799.53000000044</v>
      </c>
      <c r="AV81" s="1313">
        <v>1491575.2999999998</v>
      </c>
      <c r="AW81" s="1313">
        <v>261137.91552249977</v>
      </c>
      <c r="AX81" s="1313">
        <v>104451.47000000022</v>
      </c>
      <c r="AY81" s="1313">
        <v>4329712.1799999988</v>
      </c>
      <c r="AZ81" s="1313">
        <v>424966.9699999991</v>
      </c>
      <c r="BA81" s="1313">
        <v>6924533.0002345629</v>
      </c>
      <c r="BB81" s="1313">
        <v>4321405.5038325582</v>
      </c>
      <c r="BC81" s="1313">
        <v>207518.78261538604</v>
      </c>
      <c r="BD81" s="1313">
        <v>169961.21999999997</v>
      </c>
      <c r="BE81" s="1313">
        <v>15835482.967960499</v>
      </c>
      <c r="BF81" s="1313">
        <v>8991602.8844328914</v>
      </c>
      <c r="BG81" s="1313">
        <v>11060239.461062893</v>
      </c>
      <c r="BH81" s="1313">
        <v>6582738.3628542209</v>
      </c>
      <c r="BI81" s="1313">
        <v>13963963.139936397</v>
      </c>
      <c r="BJ81" s="1313">
        <v>396186.00999999966</v>
      </c>
      <c r="BK81" s="1313">
        <v>3456810.083154242</v>
      </c>
      <c r="BL81" s="1313">
        <v>1138730.4054064387</v>
      </c>
      <c r="BM81" s="1320">
        <v>1917288.6900000002</v>
      </c>
      <c r="BN81" s="1318">
        <f t="shared" si="5"/>
        <v>503072343.49473166</v>
      </c>
    </row>
    <row r="82" spans="1:66" s="1190" customFormat="1" ht="13.2">
      <c r="A82" s="1262"/>
      <c r="B82" s="822"/>
      <c r="C82" s="1262" t="s">
        <v>926</v>
      </c>
      <c r="D82" s="990" t="s">
        <v>921</v>
      </c>
      <c r="E82" s="990" t="s">
        <v>1443</v>
      </c>
      <c r="F82" s="1261">
        <f t="shared" si="4"/>
        <v>507044421.72085375</v>
      </c>
      <c r="G82" s="1262"/>
      <c r="H82" s="1319">
        <v>22829506.530000009</v>
      </c>
      <c r="I82" s="1313">
        <v>3049399.4099999974</v>
      </c>
      <c r="J82" s="1313">
        <v>284085408.20609754</v>
      </c>
      <c r="K82" s="1313">
        <v>409345.47000000061</v>
      </c>
      <c r="L82" s="1313">
        <v>6436106.2500000047</v>
      </c>
      <c r="M82" s="1313">
        <v>2671744.4000000064</v>
      </c>
      <c r="N82" s="1313">
        <v>554683.45000000158</v>
      </c>
      <c r="O82" s="1313">
        <v>2506417.7199999932</v>
      </c>
      <c r="P82" s="1313">
        <v>2144623.4599999944</v>
      </c>
      <c r="Q82" s="1313">
        <v>12432554.620000008</v>
      </c>
      <c r="R82" s="1313">
        <v>1338975.8900000032</v>
      </c>
      <c r="S82" s="1313">
        <v>1148744.4335362497</v>
      </c>
      <c r="T82" s="1313">
        <v>2052745.6299999957</v>
      </c>
      <c r="U82" s="1313">
        <v>1884364.4799999988</v>
      </c>
      <c r="V82" s="1313">
        <v>3418328.1299999962</v>
      </c>
      <c r="W82" s="1313">
        <v>210813.14000000045</v>
      </c>
      <c r="X82" s="1313">
        <v>184212.67000000033</v>
      </c>
      <c r="Y82" s="1313">
        <v>1095603.7264637505</v>
      </c>
      <c r="Z82" s="1313">
        <v>13059232.563902492</v>
      </c>
      <c r="AA82" s="1313">
        <v>152095.40000000002</v>
      </c>
      <c r="AB82" s="1313">
        <v>1468039.0563541679</v>
      </c>
      <c r="AC82" s="1313">
        <v>6550107.7799999984</v>
      </c>
      <c r="AD82" s="1313">
        <v>254557.33000000037</v>
      </c>
      <c r="AE82" s="1313">
        <v>383740.17999999935</v>
      </c>
      <c r="AF82" s="1313">
        <v>2883019.76</v>
      </c>
      <c r="AG82" s="1313">
        <v>7809213.4299999978</v>
      </c>
      <c r="AH82" s="1313">
        <v>729594.20999999926</v>
      </c>
      <c r="AI82" s="1313">
        <v>121297.77000000022</v>
      </c>
      <c r="AJ82" s="1313">
        <v>9823516.5299999993</v>
      </c>
      <c r="AK82" s="1313">
        <v>1106100.3412049999</v>
      </c>
      <c r="AL82" s="1313">
        <v>93473.440000000104</v>
      </c>
      <c r="AM82" s="1313">
        <v>1504075.74</v>
      </c>
      <c r="AN82" s="1313">
        <v>14713915.279999996</v>
      </c>
      <c r="AO82" s="1313">
        <v>1881733.3200000008</v>
      </c>
      <c r="AP82" s="1313">
        <v>187098.96000000017</v>
      </c>
      <c r="AQ82" s="1313">
        <v>357725.7899999998</v>
      </c>
      <c r="AR82" s="1313">
        <v>124054.37000000016</v>
      </c>
      <c r="AS82" s="1313">
        <v>4378367.0531225</v>
      </c>
      <c r="AT82" s="1313">
        <v>8106272.0237614298</v>
      </c>
      <c r="AU82" s="1313">
        <v>400349.62000000046</v>
      </c>
      <c r="AV82" s="1313">
        <v>1504651.6099999999</v>
      </c>
      <c r="AW82" s="1313">
        <v>263492.36879499978</v>
      </c>
      <c r="AX82" s="1313">
        <v>105393.68000000023</v>
      </c>
      <c r="AY82" s="1313">
        <v>4375344.0899999989</v>
      </c>
      <c r="AZ82" s="1313">
        <v>428749.83999999909</v>
      </c>
      <c r="BA82" s="1313">
        <v>6990804.6802345626</v>
      </c>
      <c r="BB82" s="1313">
        <v>4370505.095877558</v>
      </c>
      <c r="BC82" s="1313">
        <v>209427.37449288604</v>
      </c>
      <c r="BD82" s="1313">
        <v>171535.61</v>
      </c>
      <c r="BE82" s="1313">
        <v>16011368.1879605</v>
      </c>
      <c r="BF82" s="1313">
        <v>9092251.524432892</v>
      </c>
      <c r="BG82" s="1313">
        <v>11170635.621062893</v>
      </c>
      <c r="BH82" s="1313">
        <v>6650424.6992375543</v>
      </c>
      <c r="BI82" s="1313">
        <v>14113292.709936397</v>
      </c>
      <c r="BJ82" s="1313">
        <v>399725.11999999965</v>
      </c>
      <c r="BK82" s="1313">
        <v>3496946.313154242</v>
      </c>
      <c r="BL82" s="1313">
        <v>1157069.2312264387</v>
      </c>
      <c r="BM82" s="1320">
        <v>1991646.4000000001</v>
      </c>
      <c r="BN82" s="1318">
        <f t="shared" si="5"/>
        <v>507044421.72085375</v>
      </c>
    </row>
    <row r="83" spans="1:66" s="1190" customFormat="1" ht="13.2">
      <c r="A83" s="1260"/>
      <c r="B83" s="822"/>
      <c r="C83" s="1260" t="s">
        <v>931</v>
      </c>
      <c r="D83" s="990" t="s">
        <v>921</v>
      </c>
      <c r="E83" s="990" t="s">
        <v>1443</v>
      </c>
      <c r="F83" s="1261">
        <f t="shared" si="4"/>
        <v>508262882.32726592</v>
      </c>
      <c r="G83" s="1262"/>
      <c r="H83" s="1319">
        <v>22952361.920000009</v>
      </c>
      <c r="I83" s="1313">
        <v>3098022.2899999972</v>
      </c>
      <c r="J83" s="1313">
        <v>283273810.82411265</v>
      </c>
      <c r="K83" s="1313">
        <v>412286.86000000063</v>
      </c>
      <c r="L83" s="1313">
        <v>6483849.8700000048</v>
      </c>
      <c r="M83" s="1313">
        <v>2685398.7000000062</v>
      </c>
      <c r="N83" s="1313">
        <v>558050.28000000154</v>
      </c>
      <c r="O83" s="1313">
        <v>2519891.7099999934</v>
      </c>
      <c r="P83" s="1313">
        <v>2156713.6299999943</v>
      </c>
      <c r="Q83" s="1313">
        <v>12501883.030000009</v>
      </c>
      <c r="R83" s="1313">
        <v>1346883.4300000032</v>
      </c>
      <c r="S83" s="1313">
        <v>1157908.3839912496</v>
      </c>
      <c r="T83" s="1313">
        <v>2065209.7999999956</v>
      </c>
      <c r="U83" s="1313">
        <v>1901375.5499999989</v>
      </c>
      <c r="V83" s="1313">
        <v>3446579.0499999961</v>
      </c>
      <c r="W83" s="1313">
        <v>212451.87000000046</v>
      </c>
      <c r="X83" s="1313">
        <v>185667.11000000034</v>
      </c>
      <c r="Y83" s="1313">
        <v>1104262.4460087505</v>
      </c>
      <c r="Z83" s="1313">
        <v>13164995.975887492</v>
      </c>
      <c r="AA83" s="1313">
        <v>153245.04000000004</v>
      </c>
      <c r="AB83" s="1313">
        <v>1478371.8405625012</v>
      </c>
      <c r="AC83" s="1313">
        <v>6606137.549999998</v>
      </c>
      <c r="AD83" s="1313">
        <v>256666.65000000037</v>
      </c>
      <c r="AE83" s="1313">
        <v>386841.55999999936</v>
      </c>
      <c r="AF83" s="1313">
        <v>2906777.61</v>
      </c>
      <c r="AG83" s="1313">
        <v>7873321.2799999975</v>
      </c>
      <c r="AH83" s="1313">
        <v>736080.05999999924</v>
      </c>
      <c r="AI83" s="1313">
        <v>122292.92000000022</v>
      </c>
      <c r="AJ83" s="1313">
        <v>9932630.5399999991</v>
      </c>
      <c r="AK83" s="1313">
        <v>1116917.7179324999</v>
      </c>
      <c r="AL83" s="1313">
        <v>94240.400000000111</v>
      </c>
      <c r="AM83" s="1313">
        <v>1517864.25</v>
      </c>
      <c r="AN83" s="1313">
        <v>14847112.179999996</v>
      </c>
      <c r="AO83" s="1313">
        <v>1897810.2200000007</v>
      </c>
      <c r="AP83" s="1313">
        <v>188777.76000000015</v>
      </c>
      <c r="AQ83" s="1313">
        <v>363299.44999999978</v>
      </c>
      <c r="AR83" s="1313">
        <v>125203.52000000015</v>
      </c>
      <c r="AS83" s="1313">
        <v>4418328.6612724997</v>
      </c>
      <c r="AT83" s="1313">
        <v>8180204.1656114301</v>
      </c>
      <c r="AU83" s="1313">
        <v>403899.46000000049</v>
      </c>
      <c r="AV83" s="1313">
        <v>1517726.7699999998</v>
      </c>
      <c r="AW83" s="1313">
        <v>265846.8220674998</v>
      </c>
      <c r="AX83" s="1313">
        <v>106335.89000000023</v>
      </c>
      <c r="AY83" s="1313">
        <v>4420972.0299999993</v>
      </c>
      <c r="AZ83" s="1313">
        <v>432532.37999999907</v>
      </c>
      <c r="BA83" s="1313">
        <v>7057071.7302345624</v>
      </c>
      <c r="BB83" s="1313">
        <v>4419604.6879225578</v>
      </c>
      <c r="BC83" s="1313">
        <v>211335.96637038604</v>
      </c>
      <c r="BD83" s="1313">
        <v>173109.87</v>
      </c>
      <c r="BE83" s="1313">
        <v>16187239.4179605</v>
      </c>
      <c r="BF83" s="1313">
        <v>9192891.4144328926</v>
      </c>
      <c r="BG83" s="1313">
        <v>11281022.171062894</v>
      </c>
      <c r="BH83" s="1313">
        <v>6718111.0356208878</v>
      </c>
      <c r="BI83" s="1313">
        <v>14262883.089936398</v>
      </c>
      <c r="BJ83" s="1313">
        <v>404060.29999999964</v>
      </c>
      <c r="BK83" s="1313">
        <v>3537079.0531542422</v>
      </c>
      <c r="BL83" s="1313">
        <v>1175408.0331239386</v>
      </c>
      <c r="BM83" s="1320">
        <v>2066026.10</v>
      </c>
      <c r="BN83" s="1318">
        <f t="shared" si="5"/>
        <v>508262882.32726592</v>
      </c>
    </row>
    <row r="84" spans="1:66" s="1190" customFormat="1" ht="13.2">
      <c r="A84" s="1260"/>
      <c r="B84" s="822"/>
      <c r="C84" s="1260" t="s">
        <v>928</v>
      </c>
      <c r="D84" s="990" t="s">
        <v>921</v>
      </c>
      <c r="E84" s="990" t="s">
        <v>1443</v>
      </c>
      <c r="F84" s="1261">
        <f t="shared" si="4"/>
        <v>512794263.65880978</v>
      </c>
      <c r="G84" s="1262"/>
      <c r="H84" s="1319">
        <v>23075217.22000001</v>
      </c>
      <c r="I84" s="1313">
        <v>3146621.6199999973</v>
      </c>
      <c r="J84" s="1313">
        <v>285770165.45212758</v>
      </c>
      <c r="K84" s="1313">
        <v>415228.00000000064</v>
      </c>
      <c r="L84" s="1313">
        <v>6531589.4300000044</v>
      </c>
      <c r="M84" s="1313">
        <v>2699053.0000000061</v>
      </c>
      <c r="N84" s="1313">
        <v>561417.1100000015</v>
      </c>
      <c r="O84" s="1313">
        <v>2533365.6999999937</v>
      </c>
      <c r="P84" s="1313">
        <v>2168803.7999999942</v>
      </c>
      <c r="Q84" s="1313">
        <v>12571211.440000009</v>
      </c>
      <c r="R84" s="1313">
        <v>1354790.9700000032</v>
      </c>
      <c r="S84" s="1313">
        <v>1167133.9944462497</v>
      </c>
      <c r="T84" s="1313">
        <v>2077673.9699999955</v>
      </c>
      <c r="U84" s="1313">
        <v>1920614.4799999988</v>
      </c>
      <c r="V84" s="1313">
        <v>3474827.6099999961</v>
      </c>
      <c r="W84" s="1313">
        <v>214090.46000000046</v>
      </c>
      <c r="X84" s="1313">
        <v>187121.42000000033</v>
      </c>
      <c r="Y84" s="1313">
        <v>1112921.1655537505</v>
      </c>
      <c r="Z84" s="1313">
        <v>13270759.387872493</v>
      </c>
      <c r="AA84" s="1313">
        <v>154394.57000000004</v>
      </c>
      <c r="AB84" s="1313">
        <v>1488693.1799029179</v>
      </c>
      <c r="AC84" s="1313">
        <v>6662162.6199999982</v>
      </c>
      <c r="AD84" s="1313">
        <v>258775.78000000038</v>
      </c>
      <c r="AE84" s="1313">
        <v>389942.65999999933</v>
      </c>
      <c r="AF84" s="1313">
        <v>2930533.52</v>
      </c>
      <c r="AG84" s="1313">
        <v>7937423.9199999971</v>
      </c>
      <c r="AH84" s="1313">
        <v>742565.41999999923</v>
      </c>
      <c r="AI84" s="1313">
        <v>123287.99000000022</v>
      </c>
      <c r="AJ84" s="1313">
        <v>10041737.979999999</v>
      </c>
      <c r="AK84" s="1313">
        <v>1127615.3046599999</v>
      </c>
      <c r="AL84" s="1313">
        <v>95007.280000000115</v>
      </c>
      <c r="AM84" s="1313">
        <v>1531591.90</v>
      </c>
      <c r="AN84" s="1313">
        <v>14980300.049999995</v>
      </c>
      <c r="AO84" s="1313">
        <v>1913885.7600000007</v>
      </c>
      <c r="AP84" s="1313">
        <v>190456.43000000017</v>
      </c>
      <c r="AQ84" s="1313">
        <v>368872.4099999998</v>
      </c>
      <c r="AR84" s="1313">
        <v>126352.57000000015</v>
      </c>
      <c r="AS84" s="1313">
        <v>4460031.7794225002</v>
      </c>
      <c r="AT84" s="1313">
        <v>8254389.5774614299</v>
      </c>
      <c r="AU84" s="1313">
        <v>407449.0400000005</v>
      </c>
      <c r="AV84" s="1313">
        <v>1530800.8199999998</v>
      </c>
      <c r="AW84" s="1313">
        <v>268201.27533999982</v>
      </c>
      <c r="AX84" s="1313">
        <v>107278.10000000024</v>
      </c>
      <c r="AY84" s="1313">
        <v>4466596.3699999992</v>
      </c>
      <c r="AZ84" s="1313">
        <v>436314.59999999905</v>
      </c>
      <c r="BA84" s="1313">
        <v>7123335.0202345625</v>
      </c>
      <c r="BB84" s="1313">
        <v>4468704.2799675576</v>
      </c>
      <c r="BC84" s="1313">
        <v>213244.55824788605</v>
      </c>
      <c r="BD84" s="1313">
        <v>174684</v>
      </c>
      <c r="BE84" s="1313">
        <v>16363108.217960501</v>
      </c>
      <c r="BF84" s="1313">
        <v>9293708.6344328932</v>
      </c>
      <c r="BG84" s="1313">
        <v>11391399.291062893</v>
      </c>
      <c r="BH84" s="1313">
        <v>6785797.3720042212</v>
      </c>
      <c r="BI84" s="1313">
        <v>14412463.239936398</v>
      </c>
      <c r="BJ84" s="1313">
        <v>409208.73999999964</v>
      </c>
      <c r="BK84" s="1313">
        <v>3577208.3631542423</v>
      </c>
      <c r="BL84" s="1313">
        <v>1193746.8350214385</v>
      </c>
      <c r="BM84" s="1320">
        <v>2140387.9700000002</v>
      </c>
      <c r="BN84" s="1318">
        <f t="shared" si="5"/>
        <v>512794263.65880978</v>
      </c>
    </row>
    <row r="85" spans="1:66" s="1190" customFormat="1" ht="15.6" thickBot="1">
      <c r="A85" s="1262"/>
      <c r="B85" s="990"/>
      <c r="C85" s="1321" t="s">
        <v>919</v>
      </c>
      <c r="D85" s="600" t="s">
        <v>174</v>
      </c>
      <c r="E85" s="990" t="s">
        <v>1443</v>
      </c>
      <c r="F85" s="1261">
        <f t="shared" si="4"/>
        <v>516447835.00496215</v>
      </c>
      <c r="G85" s="1262">
        <f>+F85</f>
        <v>516447835.00496215</v>
      </c>
      <c r="H85" s="1322">
        <v>23199089.24000001</v>
      </c>
      <c r="I85" s="1323">
        <v>3195218.9799999972</v>
      </c>
      <c r="J85" s="1323">
        <v>287385254.86014259</v>
      </c>
      <c r="K85" s="1323">
        <v>418168.88000000064</v>
      </c>
      <c r="L85" s="1323">
        <v>6579324.7000000039</v>
      </c>
      <c r="M85" s="1323">
        <v>2712707.3000000059</v>
      </c>
      <c r="N85" s="1323">
        <v>564783.94000000146</v>
      </c>
      <c r="O85" s="1323">
        <v>2546839.6899999939</v>
      </c>
      <c r="P85" s="1323">
        <v>2180893.9699999942</v>
      </c>
      <c r="Q85" s="1323">
        <v>12640539.850000009</v>
      </c>
      <c r="R85" s="1323">
        <v>1362698.5100000033</v>
      </c>
      <c r="S85" s="1323">
        <v>1176384.2049012496</v>
      </c>
      <c r="T85" s="1323">
        <v>2090138.1399999955</v>
      </c>
      <c r="U85" s="1323">
        <v>1939816.9199999988</v>
      </c>
      <c r="V85" s="1323">
        <v>3503073.7099999962</v>
      </c>
      <c r="W85" s="1323">
        <v>215728.90000000046</v>
      </c>
      <c r="X85" s="1323">
        <v>188575.61000000034</v>
      </c>
      <c r="Y85" s="1323">
        <v>1121579.8850987505</v>
      </c>
      <c r="Z85" s="1323">
        <v>13376522.799857493</v>
      </c>
      <c r="AA85" s="1323">
        <v>155544.00000000003</v>
      </c>
      <c r="AB85" s="1323">
        <v>1499002.5438520845</v>
      </c>
      <c r="AC85" s="1323">
        <v>6718182.7799999984</v>
      </c>
      <c r="AD85" s="1323">
        <v>260884.74000000037</v>
      </c>
      <c r="AE85" s="1323">
        <v>393043.48999999935</v>
      </c>
      <c r="AF85" s="1323">
        <v>2954287.36</v>
      </c>
      <c r="AG85" s="1323">
        <v>8001530.1699999971</v>
      </c>
      <c r="AH85" s="1323">
        <v>749050.25999999919</v>
      </c>
      <c r="AI85" s="1323">
        <v>124282.97000000022</v>
      </c>
      <c r="AJ85" s="1323">
        <v>10150838.549999999</v>
      </c>
      <c r="AK85" s="1323">
        <v>1138311.3613874998</v>
      </c>
      <c r="AL85" s="1323">
        <v>95774.100000000122</v>
      </c>
      <c r="AM85" s="1323">
        <v>1545258.64</v>
      </c>
      <c r="AN85" s="1323">
        <v>15113478.499999994</v>
      </c>
      <c r="AO85" s="1323">
        <v>1929959.8600000008</v>
      </c>
      <c r="AP85" s="1323">
        <v>192134.96000000017</v>
      </c>
      <c r="AQ85" s="1313">
        <v>374444.72999999981</v>
      </c>
      <c r="AR85" s="1313">
        <v>127501.52000000015</v>
      </c>
      <c r="AS85" s="1313">
        <v>4503500.1875724997</v>
      </c>
      <c r="AT85" s="1313">
        <v>8328750.7493114294</v>
      </c>
      <c r="AU85" s="1313">
        <v>410998.36000000051</v>
      </c>
      <c r="AV85" s="1313">
        <v>1543873.7199999997</v>
      </c>
      <c r="AW85" s="1313">
        <v>270555.72861249984</v>
      </c>
      <c r="AX85" s="1313">
        <v>108220.31000000025</v>
      </c>
      <c r="AY85" s="1313">
        <v>4512224.2599999988</v>
      </c>
      <c r="AZ85" s="1313">
        <v>440096.46999999904</v>
      </c>
      <c r="BA85" s="1313">
        <v>7189849.8402345628</v>
      </c>
      <c r="BB85" s="1313">
        <v>4517803.8720125575</v>
      </c>
      <c r="BC85" s="1313">
        <v>215153.15012538605</v>
      </c>
      <c r="BD85" s="1313">
        <v>176257.99</v>
      </c>
      <c r="BE85" s="1323">
        <v>16539073.217960501</v>
      </c>
      <c r="BF85" s="1323">
        <v>9394794.9844328929</v>
      </c>
      <c r="BG85" s="1323">
        <v>11501766.571062893</v>
      </c>
      <c r="BH85" s="1323">
        <v>6853483.7083875546</v>
      </c>
      <c r="BI85" s="1323">
        <v>14562033.919936398</v>
      </c>
      <c r="BJ85" s="1323">
        <v>414393.21999999962</v>
      </c>
      <c r="BK85" s="1323">
        <v>3617334.0931542423</v>
      </c>
      <c r="BL85" s="1323">
        <v>1212085.6369189385</v>
      </c>
      <c r="BM85" s="1324">
        <v>2214734.39</v>
      </c>
      <c r="BN85" s="1318">
        <f t="shared" si="5"/>
        <v>516447835.00496215</v>
      </c>
    </row>
    <row r="86" spans="1:66" s="1190" customFormat="1" ht="14.4" thickBot="1">
      <c r="A86" s="1262">
        <v>23</v>
      </c>
      <c r="B86" s="822"/>
      <c r="C86" s="606" t="s">
        <v>528</v>
      </c>
      <c r="D86" s="990"/>
      <c r="E86" s="990"/>
      <c r="F86" s="604">
        <f>AVERAGE(F73:F85)</f>
        <v>492455964.8545453</v>
      </c>
      <c r="G86" s="605">
        <f>+G85</f>
        <v>516447835.00496215</v>
      </c>
      <c r="H86" s="606">
        <f>AVERAGE(H73:H85)</f>
        <v>22461092.191538472</v>
      </c>
      <c r="I86" s="595">
        <f>AVERAGE(I73:I85)</f>
        <v>2900903.5015384587</v>
      </c>
      <c r="J86" s="595">
        <f>AVERAGE(J73:J85)</f>
        <v>275562202.68456215</v>
      </c>
      <c r="K86" s="595">
        <f t="shared" si="6" ref="K86:S86">AVERAGE(K73:K85)</f>
        <v>400517.25461538532</v>
      </c>
      <c r="L86" s="595">
        <f t="shared" si="6"/>
        <v>6294939.073076928</v>
      </c>
      <c r="M86" s="925">
        <f t="shared" si="6"/>
        <v>2630751.6692307759</v>
      </c>
      <c r="N86" s="925">
        <f t="shared" si="6"/>
        <v>544582.96000000171</v>
      </c>
      <c r="O86" s="925">
        <f t="shared" si="6"/>
        <v>2470561.7061538394</v>
      </c>
      <c r="P86" s="925">
        <f t="shared" si="6"/>
        <v>2108352.9499999946</v>
      </c>
      <c r="Q86" s="925">
        <f t="shared" si="6"/>
        <v>12224569.390000008</v>
      </c>
      <c r="R86" s="925">
        <f t="shared" si="6"/>
        <v>1315253.270000003</v>
      </c>
      <c r="S86" s="925">
        <f t="shared" si="6"/>
        <v>1123953.0328377881</v>
      </c>
      <c r="T86" s="946">
        <f>AVERAGE(T73:T85)</f>
        <v>2015353.1199999959</v>
      </c>
      <c r="U86" s="946">
        <f t="shared" si="7" ref="U86:BK86">AVERAGE(U73:U85)</f>
        <v>1842041.8707692297</v>
      </c>
      <c r="V86" s="946">
        <f t="shared" si="7"/>
        <v>3333403.7638461492</v>
      </c>
      <c r="W86" s="946">
        <f t="shared" si="7"/>
        <v>205894.71076923123</v>
      </c>
      <c r="X86" s="946">
        <f t="shared" si="7"/>
        <v>179847.36384615421</v>
      </c>
      <c r="Y86" s="946">
        <f t="shared" si="7"/>
        <v>1069624.0279314427</v>
      </c>
      <c r="Z86" s="946">
        <f t="shared" si="7"/>
        <v>12741942.327745566</v>
      </c>
      <c r="AA86" s="946">
        <f t="shared" si="7"/>
        <v>148644.91769230767</v>
      </c>
      <c r="AB86" s="946">
        <f t="shared" si="7"/>
        <v>1436856.3777263472</v>
      </c>
      <c r="AC86" s="946">
        <f t="shared" si="7"/>
        <v>6381946.6415384617</v>
      </c>
      <c r="AD86" s="946">
        <f t="shared" si="7"/>
        <v>248226.48307692347</v>
      </c>
      <c r="AE86" s="946">
        <f t="shared" si="7"/>
        <v>374431.7930769223</v>
      </c>
      <c r="AF86" s="946">
        <f t="shared" si="7"/>
        <v>2811970.7276923079</v>
      </c>
      <c r="AG86" s="946">
        <f t="shared" si="7"/>
        <v>7616838.3730769213</v>
      </c>
      <c r="AH86" s="946">
        <f t="shared" si="7"/>
        <v>710128.66769230715</v>
      </c>
      <c r="AI86" s="946">
        <f t="shared" si="7"/>
        <v>118310.93846153867</v>
      </c>
      <c r="AJ86" s="946">
        <f t="shared" si="7"/>
        <v>9496573.1161538456</v>
      </c>
      <c r="AK86" s="946">
        <f t="shared" si="7"/>
        <v>1076606.8871763463</v>
      </c>
      <c r="AL86" s="946">
        <f t="shared" si="7"/>
        <v>91171.521538461631</v>
      </c>
      <c r="AM86" s="946">
        <f t="shared" si="7"/>
        <v>1462683.5907692309</v>
      </c>
      <c r="AN86" s="946">
        <f t="shared" si="7"/>
        <v>14316256.01230769</v>
      </c>
      <c r="AO86" s="946">
        <f t="shared" si="7"/>
        <v>1833480.5215384625</v>
      </c>
      <c r="AP86" s="946">
        <f t="shared" si="7"/>
        <v>182060.41538461557</v>
      </c>
      <c r="AQ86" s="946">
        <f t="shared" si="7"/>
        <v>340998.22307692288</v>
      </c>
      <c r="AR86" s="946">
        <f t="shared" si="7"/>
        <v>120605.33769230785</v>
      </c>
      <c r="AS86" s="946">
        <f t="shared" si="7"/>
        <v>4259417.5755955772</v>
      </c>
      <c r="AT86" s="946">
        <f t="shared" si="7"/>
        <v>7884447.9512883555</v>
      </c>
      <c r="AU86" s="946">
        <f t="shared" si="7"/>
        <v>389696.0753846158</v>
      </c>
      <c r="AV86" s="946">
        <f t="shared" si="7"/>
        <v>1465408.1469230766</v>
      </c>
      <c r="AW86" s="946">
        <f t="shared" si="7"/>
        <v>256429.00897749976</v>
      </c>
      <c r="AX86" s="946">
        <f t="shared" si="7"/>
        <v>102567.05000000021</v>
      </c>
      <c r="AY86" s="946">
        <f t="shared" si="7"/>
        <v>4238431.6592307677</v>
      </c>
      <c r="AZ86" s="946">
        <f t="shared" si="7"/>
        <v>417398.9838461529</v>
      </c>
      <c r="BA86" s="946">
        <f t="shared" si="7"/>
        <v>6791942.4979268713</v>
      </c>
      <c r="BB86" s="946">
        <f t="shared" si="7"/>
        <v>4223206.3197425595</v>
      </c>
      <c r="BC86" s="946">
        <f t="shared" si="7"/>
        <v>203701.59876144372</v>
      </c>
      <c r="BD86" s="946">
        <f t="shared" si="7"/>
        <v>166810.66615384616</v>
      </c>
      <c r="BE86" s="946">
        <f t="shared" si="7"/>
        <v>15483554.024883578</v>
      </c>
      <c r="BF86" s="946">
        <f t="shared" si="7"/>
        <v>8790287.2244328931</v>
      </c>
      <c r="BG86" s="946">
        <f t="shared" si="7"/>
        <v>10839312.468824912</v>
      </c>
      <c r="BH86" s="946">
        <f t="shared" si="7"/>
        <v>6447371.7833950538</v>
      </c>
      <c r="BI86" s="946">
        <f t="shared" si="7"/>
        <v>13666030.742244093</v>
      </c>
      <c r="BJ86" s="946">
        <f t="shared" si="7"/>
        <v>389661.97999999963</v>
      </c>
      <c r="BK86" s="925">
        <f t="shared" si="7"/>
        <v>3376493.0416157809</v>
      </c>
      <c r="BL86" s="925">
        <f>AVERAGE(BL73:BL85)</f>
        <v>1101842.0096462464</v>
      </c>
      <c r="BM86" s="925">
        <f>AVERAGE(BM73:BM85)</f>
        <v>1768376.6315384617</v>
      </c>
      <c r="BN86" s="1318">
        <f>SUM(H86:BM86)</f>
        <v>492455964.854545</v>
      </c>
    </row>
    <row r="87" spans="1:21 86:86" s="1190" customFormat="1" ht="27" thickTop="1">
      <c r="A87" s="1262"/>
      <c r="B87" s="822"/>
      <c r="C87" s="1262"/>
      <c r="D87" s="990"/>
      <c r="E87" s="990"/>
      <c r="F87" s="601" t="s">
        <v>399</v>
      </c>
      <c r="G87" s="607" t="s">
        <v>399</v>
      </c>
      <c r="H87" s="1325"/>
      <c r="I87" s="1326"/>
      <c r="J87" s="1326"/>
      <c r="K87" s="1327"/>
      <c r="L87" s="1326"/>
      <c r="M87" s="1326"/>
      <c r="N87" s="1328"/>
      <c r="O87" s="1326"/>
      <c r="P87" s="1329"/>
      <c r="Q87" s="1330"/>
      <c r="R87" s="1245"/>
      <c r="S87" s="1245"/>
      <c r="U87" s="1277"/>
      <c r="CH87" s="1278"/>
    </row>
    <row r="88" spans="1:20 63:63" s="1190" customFormat="1" ht="13.2">
      <c r="A88" s="1260"/>
      <c r="B88" s="990"/>
      <c r="C88" s="617" t="s">
        <v>2</v>
      </c>
      <c r="D88" s="990" t="s">
        <v>918</v>
      </c>
      <c r="E88" s="822"/>
      <c r="F88" s="822"/>
      <c r="G88" s="1262"/>
      <c r="H88" s="1273"/>
      <c r="I88" s="1274"/>
      <c r="J88" s="1274"/>
      <c r="K88" s="1274"/>
      <c r="L88" s="1274"/>
      <c r="M88" s="1274"/>
      <c r="N88" s="1274"/>
      <c r="O88" s="1274"/>
      <c r="P88" s="1274"/>
      <c r="Q88" s="1274"/>
      <c r="R88" s="1274"/>
      <c r="S88" s="1331" t="s">
        <v>447</v>
      </c>
      <c r="T88" s="1276" t="s">
        <v>447</v>
      </c>
      <c r="BK88" s="1278"/>
    </row>
    <row r="89" spans="1:21 56:63" s="1190" customFormat="1" ht="13.2">
      <c r="A89" s="1260"/>
      <c r="B89" s="822"/>
      <c r="C89" s="1260" t="s">
        <v>919</v>
      </c>
      <c r="D89" s="990" t="s">
        <v>175</v>
      </c>
      <c r="E89" s="990" t="s">
        <v>1416</v>
      </c>
      <c r="F89" s="821">
        <v>0</v>
      </c>
      <c r="G89" s="1262"/>
      <c r="H89" s="1273"/>
      <c r="I89" s="1274"/>
      <c r="J89" s="1274"/>
      <c r="K89" s="1274"/>
      <c r="L89" s="1274"/>
      <c r="M89" s="1274"/>
      <c r="N89" s="1274"/>
      <c r="O89" s="1274"/>
      <c r="P89" s="1274"/>
      <c r="Q89" s="1274"/>
      <c r="R89" s="1274"/>
      <c r="S89" s="1332"/>
      <c r="T89" s="1332"/>
      <c r="U89" s="1277"/>
      <c r="BD89" s="1283"/>
      <c r="BK89" s="1278"/>
    </row>
    <row r="90" spans="1:63" s="1190" customFormat="1" ht="20.4">
      <c r="A90" s="1260"/>
      <c r="B90" s="990"/>
      <c r="C90" s="1260" t="s">
        <v>920</v>
      </c>
      <c r="D90" s="990" t="s">
        <v>921</v>
      </c>
      <c r="E90" s="990" t="s">
        <v>1443</v>
      </c>
      <c r="F90" s="821">
        <v>0</v>
      </c>
      <c r="G90" s="1262"/>
      <c r="H90" s="981"/>
      <c r="I90" s="928"/>
      <c r="J90" s="1274"/>
      <c r="K90" s="1281"/>
      <c r="L90" s="1281"/>
      <c r="M90" s="1281"/>
      <c r="N90" s="1281"/>
      <c r="O90" s="1281"/>
      <c r="P90" s="1282"/>
      <c r="R90" s="1283"/>
      <c r="S90" s="1283"/>
      <c r="T90" s="1283"/>
      <c r="Y90" s="1283"/>
      <c r="Z90" s="1283"/>
      <c r="AS90" s="1283"/>
      <c r="AT90" s="1283"/>
      <c r="AW90" s="1283"/>
      <c r="BB90" s="1277"/>
      <c r="BC90" s="1277"/>
      <c r="BD90" s="1283"/>
      <c r="BE90" s="1283"/>
      <c r="BH90" s="1283"/>
      <c r="BK90" s="1278"/>
    </row>
    <row r="91" spans="1:37 56:63" s="1190" customFormat="1" ht="20.4">
      <c r="A91" s="1262"/>
      <c r="B91" s="822"/>
      <c r="C91" s="1262" t="s">
        <v>922</v>
      </c>
      <c r="D91" s="990" t="s">
        <v>921</v>
      </c>
      <c r="E91" s="990" t="s">
        <v>1443</v>
      </c>
      <c r="F91" s="821">
        <v>0</v>
      </c>
      <c r="G91" s="1262"/>
      <c r="H91" s="705"/>
      <c r="I91" s="928"/>
      <c r="J91" s="822"/>
      <c r="K91" s="1281"/>
      <c r="L91" s="1281"/>
      <c r="M91" s="1281"/>
      <c r="N91" s="1281"/>
      <c r="O91" s="1281"/>
      <c r="P91" s="1282"/>
      <c r="U91" s="1277"/>
      <c r="AK91" s="1283"/>
      <c r="BD91" s="1283"/>
      <c r="BK91" s="1278"/>
    </row>
    <row r="92" spans="1:16 56:63" s="1190" customFormat="1" ht="20.4">
      <c r="A92" s="1262"/>
      <c r="B92" s="822"/>
      <c r="C92" s="1262" t="s">
        <v>349</v>
      </c>
      <c r="D92" s="990" t="s">
        <v>921</v>
      </c>
      <c r="E92" s="990" t="s">
        <v>1443</v>
      </c>
      <c r="F92" s="821">
        <v>0</v>
      </c>
      <c r="G92" s="1262"/>
      <c r="H92" s="705"/>
      <c r="I92" s="928"/>
      <c r="J92" s="822"/>
      <c r="K92" s="1275"/>
      <c r="L92" s="1281"/>
      <c r="M92" s="1281"/>
      <c r="N92" s="1281"/>
      <c r="O92" s="1281"/>
      <c r="P92" s="1282"/>
      <c r="BD92" s="1283"/>
      <c r="BE92" s="1333"/>
      <c r="BK92" s="1278"/>
    </row>
    <row r="93" spans="1:16 63:63" s="1190" customFormat="1" ht="20.4">
      <c r="A93" s="1260"/>
      <c r="B93" s="822"/>
      <c r="C93" s="1260" t="s">
        <v>254</v>
      </c>
      <c r="D93" s="990" t="s">
        <v>921</v>
      </c>
      <c r="E93" s="990" t="s">
        <v>1443</v>
      </c>
      <c r="F93" s="821">
        <v>0</v>
      </c>
      <c r="G93" s="1262"/>
      <c r="H93" s="705"/>
      <c r="I93" s="928"/>
      <c r="J93" s="822"/>
      <c r="K93" s="1281"/>
      <c r="L93" s="1281"/>
      <c r="M93" s="1281"/>
      <c r="N93" s="1281"/>
      <c r="O93" s="1281"/>
      <c r="P93" s="1282"/>
      <c r="BK93" s="1278"/>
    </row>
    <row r="94" spans="1:16 63:63" s="1190" customFormat="1" ht="20.4">
      <c r="A94" s="1262"/>
      <c r="B94" s="990"/>
      <c r="C94" s="1262" t="s">
        <v>255</v>
      </c>
      <c r="D94" s="990" t="s">
        <v>921</v>
      </c>
      <c r="E94" s="990" t="s">
        <v>1443</v>
      </c>
      <c r="F94" s="821">
        <v>0</v>
      </c>
      <c r="G94" s="1262"/>
      <c r="H94" s="705"/>
      <c r="I94" s="928"/>
      <c r="J94" s="822"/>
      <c r="K94" s="822"/>
      <c r="L94" s="822"/>
      <c r="M94" s="822"/>
      <c r="N94" s="822"/>
      <c r="O94" s="822"/>
      <c r="P94" s="1282"/>
      <c r="BK94" s="1278"/>
    </row>
    <row r="95" spans="1:16 63:63" s="1190" customFormat="1" ht="20.4">
      <c r="A95" s="1262"/>
      <c r="B95" s="822"/>
      <c r="C95" s="1262" t="s">
        <v>923</v>
      </c>
      <c r="D95" s="990" t="s">
        <v>921</v>
      </c>
      <c r="E95" s="990" t="s">
        <v>1443</v>
      </c>
      <c r="F95" s="821">
        <v>0</v>
      </c>
      <c r="G95" s="1262"/>
      <c r="H95" s="705"/>
      <c r="I95" s="928"/>
      <c r="J95" s="822"/>
      <c r="K95" s="1281"/>
      <c r="L95" s="1281"/>
      <c r="M95" s="1281"/>
      <c r="N95" s="1281"/>
      <c r="O95" s="1281"/>
      <c r="P95" s="1282"/>
      <c r="BK95" s="1278"/>
    </row>
    <row r="96" spans="1:16 63:63" s="1190" customFormat="1" ht="20.4">
      <c r="A96" s="1260"/>
      <c r="B96" s="990"/>
      <c r="C96" s="1260" t="s">
        <v>924</v>
      </c>
      <c r="D96" s="990" t="s">
        <v>921</v>
      </c>
      <c r="E96" s="990" t="s">
        <v>1443</v>
      </c>
      <c r="F96" s="821">
        <v>0</v>
      </c>
      <c r="G96" s="1262"/>
      <c r="H96" s="705"/>
      <c r="I96" s="928"/>
      <c r="J96" s="822"/>
      <c r="K96" s="1281"/>
      <c r="L96" s="1281"/>
      <c r="M96" s="1281"/>
      <c r="N96" s="1281"/>
      <c r="O96" s="1281"/>
      <c r="P96" s="1282"/>
      <c r="BK96" s="1278"/>
    </row>
    <row r="97" spans="1:16 63:63" s="1190" customFormat="1" ht="20.4">
      <c r="A97" s="1262"/>
      <c r="B97" s="822"/>
      <c r="C97" s="1262" t="s">
        <v>925</v>
      </c>
      <c r="D97" s="990" t="s">
        <v>921</v>
      </c>
      <c r="E97" s="990" t="s">
        <v>1443</v>
      </c>
      <c r="F97" s="821">
        <v>0</v>
      </c>
      <c r="G97" s="1262"/>
      <c r="H97" s="705"/>
      <c r="I97" s="928"/>
      <c r="J97" s="822"/>
      <c r="K97" s="1281"/>
      <c r="L97" s="1281"/>
      <c r="M97" s="1281"/>
      <c r="N97" s="1281"/>
      <c r="O97" s="1281"/>
      <c r="P97" s="1282"/>
      <c r="BK97" s="1278"/>
    </row>
    <row r="98" spans="1:16 63:63" s="1190" customFormat="1" ht="20.4">
      <c r="A98" s="1262"/>
      <c r="B98" s="822"/>
      <c r="C98" s="1262" t="s">
        <v>926</v>
      </c>
      <c r="D98" s="990" t="s">
        <v>921</v>
      </c>
      <c r="E98" s="990" t="s">
        <v>1443</v>
      </c>
      <c r="F98" s="821">
        <v>0</v>
      </c>
      <c r="G98" s="1262"/>
      <c r="H98" s="705"/>
      <c r="I98" s="928"/>
      <c r="J98" s="822"/>
      <c r="K98" s="1281"/>
      <c r="L98" s="1281"/>
      <c r="M98" s="1281"/>
      <c r="N98" s="1281"/>
      <c r="O98" s="1281"/>
      <c r="P98" s="1282"/>
      <c r="BK98" s="1278"/>
    </row>
    <row r="99" spans="1:16 63:63" s="1190" customFormat="1" ht="20.4">
      <c r="A99" s="1260"/>
      <c r="B99" s="822"/>
      <c r="C99" s="1260" t="s">
        <v>927</v>
      </c>
      <c r="D99" s="990" t="s">
        <v>921</v>
      </c>
      <c r="E99" s="990" t="s">
        <v>1443</v>
      </c>
      <c r="F99" s="821">
        <v>0</v>
      </c>
      <c r="G99" s="1262"/>
      <c r="H99" s="705"/>
      <c r="I99" s="928"/>
      <c r="J99" s="822"/>
      <c r="K99" s="1281"/>
      <c r="L99" s="1281"/>
      <c r="M99" s="1281"/>
      <c r="N99" s="1281"/>
      <c r="O99" s="1281"/>
      <c r="P99" s="1282"/>
      <c r="BK99" s="1278"/>
    </row>
    <row r="100" spans="1:16 63:63" s="1190" customFormat="1" ht="20.4">
      <c r="A100" s="1260"/>
      <c r="B100" s="822"/>
      <c r="C100" s="1260" t="s">
        <v>928</v>
      </c>
      <c r="D100" s="990" t="s">
        <v>921</v>
      </c>
      <c r="E100" s="990" t="s">
        <v>1443</v>
      </c>
      <c r="F100" s="821">
        <v>0</v>
      </c>
      <c r="G100" s="1262"/>
      <c r="H100" s="705"/>
      <c r="I100" s="928"/>
      <c r="J100" s="822"/>
      <c r="K100" s="1281"/>
      <c r="L100" s="1281"/>
      <c r="M100" s="1281"/>
      <c r="N100" s="1281"/>
      <c r="O100" s="1281"/>
      <c r="P100" s="1282"/>
      <c r="BK100" s="1278"/>
    </row>
    <row r="101" spans="1:16 63:63" s="1190" customFormat="1" ht="20.4">
      <c r="A101" s="1262"/>
      <c r="B101" s="990"/>
      <c r="C101" s="1321" t="s">
        <v>919</v>
      </c>
      <c r="D101" s="600" t="s">
        <v>176</v>
      </c>
      <c r="E101" s="990" t="s">
        <v>1443</v>
      </c>
      <c r="F101" s="1286">
        <v>0</v>
      </c>
      <c r="G101" s="1321">
        <f>+F101</f>
        <v>0</v>
      </c>
      <c r="H101" s="705"/>
      <c r="I101" s="928"/>
      <c r="J101" s="822"/>
      <c r="K101" s="822"/>
      <c r="L101" s="822"/>
      <c r="M101" s="822"/>
      <c r="N101" s="822"/>
      <c r="O101" s="822"/>
      <c r="P101" s="1282" t="s">
        <v>447</v>
      </c>
      <c r="BK101" s="1278"/>
    </row>
    <row r="102" spans="1:16 63:63" s="1190" customFormat="1" ht="13.8" thickBot="1">
      <c r="A102" s="1262"/>
      <c r="B102" s="822"/>
      <c r="C102" s="606" t="s">
        <v>3</v>
      </c>
      <c r="D102" s="990"/>
      <c r="E102" s="990"/>
      <c r="F102" s="1284">
        <f>AVERAGE(F89:F101)</f>
        <v>0</v>
      </c>
      <c r="G102" s="1285">
        <f>+G101</f>
        <v>0</v>
      </c>
      <c r="H102" s="1260"/>
      <c r="I102" s="822"/>
      <c r="J102" s="822"/>
      <c r="K102" s="1281"/>
      <c r="L102" s="1281"/>
      <c r="M102" s="1281"/>
      <c r="N102" s="1281"/>
      <c r="O102" s="1281"/>
      <c r="P102" s="1282" t="s">
        <v>447</v>
      </c>
      <c r="BK102" s="1278"/>
    </row>
    <row r="103" spans="1:16 63:63" s="1190" customFormat="1" ht="13.8" thickTop="1">
      <c r="A103" s="1262"/>
      <c r="B103" s="822"/>
      <c r="C103" s="1262"/>
      <c r="D103" s="990"/>
      <c r="E103" s="990"/>
      <c r="F103" s="990"/>
      <c r="G103" s="1262"/>
      <c r="H103" s="1260"/>
      <c r="I103" s="822"/>
      <c r="J103" s="822"/>
      <c r="K103" s="1281"/>
      <c r="L103" s="1281"/>
      <c r="M103" s="1281"/>
      <c r="N103" s="1281"/>
      <c r="O103" s="1281"/>
      <c r="P103" s="1282"/>
      <c r="BK103" s="1278"/>
    </row>
    <row r="104" spans="1:16 63:63" s="1190" customFormat="1" ht="13.2">
      <c r="A104" s="1260"/>
      <c r="B104" s="990"/>
      <c r="C104" s="617" t="s">
        <v>4</v>
      </c>
      <c r="D104" s="990" t="s">
        <v>918</v>
      </c>
      <c r="E104" s="822"/>
      <c r="F104" s="822"/>
      <c r="G104" s="1262"/>
      <c r="H104" s="1260"/>
      <c r="I104" s="822"/>
      <c r="J104" s="822"/>
      <c r="K104" s="1281"/>
      <c r="L104" s="1281"/>
      <c r="M104" s="1281"/>
      <c r="N104" s="1281"/>
      <c r="O104" s="1281"/>
      <c r="P104" s="1282"/>
      <c r="BK104" s="1278"/>
    </row>
    <row r="105" spans="1:23 63:63" s="1190" customFormat="1" ht="13.2">
      <c r="A105" s="1260"/>
      <c r="B105" s="822"/>
      <c r="C105" s="1260" t="s">
        <v>919</v>
      </c>
      <c r="D105" s="990" t="s">
        <v>177</v>
      </c>
      <c r="E105" s="990" t="s">
        <v>1416</v>
      </c>
      <c r="F105" s="1334">
        <v>35064977</v>
      </c>
      <c r="G105" s="990"/>
      <c r="H105" s="1260"/>
      <c r="I105" s="822"/>
      <c r="J105" s="822"/>
      <c r="K105" s="1281"/>
      <c r="L105" s="1281"/>
      <c r="M105" s="1281"/>
      <c r="N105" s="1281"/>
      <c r="O105" s="1281"/>
      <c r="P105" s="1282"/>
      <c r="S105" s="1282"/>
      <c r="T105" s="1282"/>
      <c r="U105" s="1282"/>
      <c r="V105" s="1282"/>
      <c r="W105" s="1282"/>
      <c r="BK105" s="1278"/>
    </row>
    <row r="106" spans="1:16 63:63" s="1190" customFormat="1" ht="15">
      <c r="A106" s="1262"/>
      <c r="B106" s="990"/>
      <c r="C106" s="1321" t="s">
        <v>919</v>
      </c>
      <c r="D106" s="600" t="s">
        <v>178</v>
      </c>
      <c r="E106" s="991" t="s">
        <v>1443</v>
      </c>
      <c r="F106" s="1286">
        <v>41407197</v>
      </c>
      <c r="G106" s="1321">
        <f>+F106</f>
        <v>41407197</v>
      </c>
      <c r="H106" s="1260"/>
      <c r="I106" s="822"/>
      <c r="J106" s="822"/>
      <c r="K106" s="822"/>
      <c r="L106" s="822"/>
      <c r="M106" s="822"/>
      <c r="N106" s="822"/>
      <c r="O106" s="822"/>
      <c r="P106" s="1282"/>
      <c r="BK106" s="1278"/>
    </row>
    <row r="107" spans="1:16 63:63" s="1190" customFormat="1" ht="13.8" thickBot="1">
      <c r="A107" s="1262">
        <v>25</v>
      </c>
      <c r="B107" s="822"/>
      <c r="C107" s="606" t="s">
        <v>5</v>
      </c>
      <c r="D107" s="990"/>
      <c r="E107" s="990"/>
      <c r="F107" s="604">
        <f>AVERAGE(F105:F106)</f>
        <v>38236087</v>
      </c>
      <c r="G107" s="605">
        <f>+G106</f>
        <v>41407197</v>
      </c>
      <c r="H107" s="1260"/>
      <c r="I107" s="595"/>
      <c r="J107" s="822"/>
      <c r="K107" s="1281"/>
      <c r="L107" s="1281"/>
      <c r="M107" s="1281"/>
      <c r="N107" s="1281"/>
      <c r="O107" s="1281"/>
      <c r="P107" s="1282"/>
      <c r="BK107" s="1278"/>
    </row>
    <row r="108" spans="1:16 63:63" s="1190" customFormat="1" ht="27" thickTop="1">
      <c r="A108" s="1262"/>
      <c r="B108" s="822"/>
      <c r="C108" s="1260"/>
      <c r="D108" s="990"/>
      <c r="E108" s="822"/>
      <c r="F108" s="601" t="s">
        <v>826</v>
      </c>
      <c r="G108" s="607" t="s">
        <v>826</v>
      </c>
      <c r="H108" s="1262"/>
      <c r="I108" s="990"/>
      <c r="J108" s="822"/>
      <c r="K108" s="1281"/>
      <c r="L108" s="1281"/>
      <c r="M108" s="1281"/>
      <c r="N108" s="1281"/>
      <c r="O108" s="1281"/>
      <c r="P108" s="1282"/>
      <c r="BK108" s="1278"/>
    </row>
    <row r="109" spans="1:16 63:63" s="1190" customFormat="1" ht="13.2">
      <c r="A109" s="1262"/>
      <c r="B109" s="990"/>
      <c r="C109" s="617" t="s">
        <v>6</v>
      </c>
      <c r="D109" s="990" t="s">
        <v>918</v>
      </c>
      <c r="E109" s="822"/>
      <c r="F109" s="822"/>
      <c r="G109" s="1262"/>
      <c r="H109" s="1273"/>
      <c r="I109" s="822"/>
      <c r="J109" s="822"/>
      <c r="K109" s="1281"/>
      <c r="L109" s="1281"/>
      <c r="M109" s="1281"/>
      <c r="N109" s="1281"/>
      <c r="O109" s="1281"/>
      <c r="P109" s="1282"/>
      <c r="BK109" s="1278"/>
    </row>
    <row r="110" spans="1:16 63:63" s="1190" customFormat="1" ht="13.2">
      <c r="A110" s="1262"/>
      <c r="B110" s="822"/>
      <c r="C110" s="1260" t="s">
        <v>919</v>
      </c>
      <c r="D110" s="990" t="s">
        <v>179</v>
      </c>
      <c r="E110" s="990" t="s">
        <v>1416</v>
      </c>
      <c r="F110" s="1334">
        <v>20178378</v>
      </c>
      <c r="G110" s="990"/>
      <c r="H110" s="929"/>
      <c r="I110" s="822"/>
      <c r="J110" s="822"/>
      <c r="K110" s="1281"/>
      <c r="L110" s="1281"/>
      <c r="M110" s="1281"/>
      <c r="N110" s="1281"/>
      <c r="O110" s="1281"/>
      <c r="P110" s="1282"/>
      <c r="BK110" s="1278"/>
    </row>
    <row r="111" spans="1:16 63:63" s="1190" customFormat="1" ht="15">
      <c r="A111" s="1262"/>
      <c r="B111" s="990"/>
      <c r="C111" s="1321" t="s">
        <v>919</v>
      </c>
      <c r="D111" s="600" t="s">
        <v>180</v>
      </c>
      <c r="E111" s="991" t="s">
        <v>1443</v>
      </c>
      <c r="F111" s="1286">
        <v>22295329</v>
      </c>
      <c r="G111" s="1321">
        <f>+F111</f>
        <v>22295329</v>
      </c>
      <c r="H111" s="1260"/>
      <c r="I111" s="822"/>
      <c r="J111" s="822"/>
      <c r="K111" s="822"/>
      <c r="L111" s="822"/>
      <c r="M111" s="822"/>
      <c r="N111" s="822"/>
      <c r="O111" s="822"/>
      <c r="P111" s="1282"/>
      <c r="BK111" s="1278"/>
    </row>
    <row r="112" spans="1:16 63:63" s="1190" customFormat="1" ht="13.8" thickBot="1">
      <c r="A112" s="1262">
        <v>24</v>
      </c>
      <c r="B112" s="822"/>
      <c r="C112" s="606" t="s">
        <v>569</v>
      </c>
      <c r="D112" s="990"/>
      <c r="E112" s="990"/>
      <c r="F112" s="604">
        <f>AVERAGE(F110:F111)</f>
        <v>21236853.5</v>
      </c>
      <c r="G112" s="605">
        <f>+G111</f>
        <v>22295329</v>
      </c>
      <c r="H112" s="1260"/>
      <c r="I112" s="595"/>
      <c r="J112" s="822"/>
      <c r="K112" s="1281"/>
      <c r="L112" s="1281"/>
      <c r="M112" s="1281"/>
      <c r="N112" s="1281"/>
      <c r="O112" s="1281"/>
      <c r="P112" s="1282"/>
      <c r="BK112" s="1278"/>
    </row>
    <row r="113" spans="1:16 63:63" s="1190" customFormat="1" ht="27" thickTop="1">
      <c r="A113" s="1262"/>
      <c r="B113" s="990"/>
      <c r="C113" s="1262"/>
      <c r="D113" s="990"/>
      <c r="E113" s="822"/>
      <c r="F113" s="601" t="s">
        <v>191</v>
      </c>
      <c r="G113" s="607" t="s">
        <v>191</v>
      </c>
      <c r="H113" s="1260"/>
      <c r="I113" s="822"/>
      <c r="J113" s="822"/>
      <c r="K113" s="822"/>
      <c r="L113" s="822"/>
      <c r="M113" s="822"/>
      <c r="N113" s="822"/>
      <c r="O113" s="822"/>
      <c r="P113" s="1282"/>
      <c r="BK113" s="1278"/>
    </row>
    <row r="114" spans="1:16 63:63" s="1190" customFormat="1" ht="13.2">
      <c r="A114" s="1262"/>
      <c r="B114" s="990"/>
      <c r="C114" s="617" t="s">
        <v>7</v>
      </c>
      <c r="D114" s="990" t="s">
        <v>918</v>
      </c>
      <c r="E114" s="822"/>
      <c r="F114" s="822"/>
      <c r="G114" s="1262"/>
      <c r="H114" s="1260"/>
      <c r="I114" s="822"/>
      <c r="J114" s="822"/>
      <c r="K114" s="1281"/>
      <c r="L114" s="1281"/>
      <c r="M114" s="1281"/>
      <c r="N114" s="1281"/>
      <c r="O114" s="1281"/>
      <c r="P114" s="1282"/>
      <c r="BK114" s="1278"/>
    </row>
    <row r="115" spans="1:16 63:63" s="1190" customFormat="1" ht="13.2">
      <c r="A115" s="1262"/>
      <c r="B115" s="990"/>
      <c r="C115" s="1260" t="s">
        <v>919</v>
      </c>
      <c r="D115" s="990" t="s">
        <v>181</v>
      </c>
      <c r="E115" s="990" t="s">
        <v>1416</v>
      </c>
      <c r="F115" s="821">
        <v>0</v>
      </c>
      <c r="G115" s="1262"/>
      <c r="H115" s="1260"/>
      <c r="I115" s="822"/>
      <c r="J115" s="822"/>
      <c r="K115" s="1281"/>
      <c r="L115" s="1281"/>
      <c r="M115" s="1281"/>
      <c r="N115" s="1281"/>
      <c r="O115" s="1281"/>
      <c r="P115" s="1282"/>
      <c r="BK115" s="1278"/>
    </row>
    <row r="116" spans="1:16 63:63" s="1190" customFormat="1" ht="13.2">
      <c r="A116" s="1335"/>
      <c r="B116" s="990"/>
      <c r="C116" s="1336" t="s">
        <v>920</v>
      </c>
      <c r="D116" s="990" t="s">
        <v>921</v>
      </c>
      <c r="E116" s="990" t="s">
        <v>1443</v>
      </c>
      <c r="F116" s="821">
        <v>0</v>
      </c>
      <c r="G116" s="1262"/>
      <c r="H116" s="1260"/>
      <c r="I116" s="822"/>
      <c r="J116" s="822"/>
      <c r="K116" s="1337"/>
      <c r="L116" s="1337"/>
      <c r="M116" s="1337"/>
      <c r="N116" s="1337"/>
      <c r="O116" s="1337"/>
      <c r="P116" s="1282"/>
      <c r="BK116" s="1278"/>
    </row>
    <row r="117" spans="1:16 63:63" s="1190" customFormat="1" ht="13.2">
      <c r="A117" s="1335"/>
      <c r="B117" s="990"/>
      <c r="C117" s="1336" t="s">
        <v>922</v>
      </c>
      <c r="D117" s="990" t="s">
        <v>921</v>
      </c>
      <c r="E117" s="990" t="s">
        <v>1443</v>
      </c>
      <c r="F117" s="821">
        <v>0</v>
      </c>
      <c r="G117" s="1262"/>
      <c r="H117" s="1260"/>
      <c r="I117" s="822"/>
      <c r="J117" s="822"/>
      <c r="K117" s="1337"/>
      <c r="L117" s="1337"/>
      <c r="M117" s="1337"/>
      <c r="N117" s="1337"/>
      <c r="O117" s="1337"/>
      <c r="P117" s="1282"/>
      <c r="BK117" s="1278"/>
    </row>
    <row r="118" spans="1:16 63:63" s="1190" customFormat="1" ht="13.2">
      <c r="A118" s="1335"/>
      <c r="B118" s="990"/>
      <c r="C118" s="1336" t="s">
        <v>349</v>
      </c>
      <c r="D118" s="990" t="s">
        <v>921</v>
      </c>
      <c r="E118" s="990" t="s">
        <v>1443</v>
      </c>
      <c r="F118" s="821">
        <v>0</v>
      </c>
      <c r="G118" s="1262"/>
      <c r="H118" s="1260"/>
      <c r="I118" s="822"/>
      <c r="J118" s="822"/>
      <c r="K118" s="1337"/>
      <c r="L118" s="1337"/>
      <c r="M118" s="1337"/>
      <c r="N118" s="1337"/>
      <c r="O118" s="1337"/>
      <c r="P118" s="1282"/>
      <c r="BK118" s="1278"/>
    </row>
    <row r="119" spans="1:16 63:63" s="1190" customFormat="1" ht="13.2">
      <c r="A119" s="1335"/>
      <c r="B119" s="990"/>
      <c r="C119" s="1336" t="s">
        <v>254</v>
      </c>
      <c r="D119" s="990" t="s">
        <v>921</v>
      </c>
      <c r="E119" s="990" t="s">
        <v>1443</v>
      </c>
      <c r="F119" s="821">
        <v>0</v>
      </c>
      <c r="G119" s="1262"/>
      <c r="H119" s="1260"/>
      <c r="I119" s="822"/>
      <c r="J119" s="822"/>
      <c r="K119" s="1337"/>
      <c r="L119" s="1337"/>
      <c r="M119" s="1337"/>
      <c r="N119" s="1337"/>
      <c r="O119" s="1337"/>
      <c r="P119" s="1282"/>
      <c r="BK119" s="1278"/>
    </row>
    <row r="120" spans="1:16 63:63" s="1190" customFormat="1" ht="13.2">
      <c r="A120" s="1335"/>
      <c r="B120" s="990"/>
      <c r="C120" s="1336" t="s">
        <v>255</v>
      </c>
      <c r="D120" s="990" t="s">
        <v>921</v>
      </c>
      <c r="E120" s="990" t="s">
        <v>1443</v>
      </c>
      <c r="F120" s="821">
        <v>0</v>
      </c>
      <c r="G120" s="1262"/>
      <c r="H120" s="1260"/>
      <c r="I120" s="822"/>
      <c r="J120" s="822"/>
      <c r="K120" s="1337"/>
      <c r="L120" s="1337"/>
      <c r="M120" s="1337"/>
      <c r="N120" s="1337"/>
      <c r="O120" s="1337"/>
      <c r="P120" s="1282"/>
      <c r="BK120" s="1278"/>
    </row>
    <row r="121" spans="1:16 63:63" s="1190" customFormat="1" ht="13.2">
      <c r="A121" s="1335"/>
      <c r="B121" s="990"/>
      <c r="C121" s="1336" t="s">
        <v>923</v>
      </c>
      <c r="D121" s="990" t="s">
        <v>921</v>
      </c>
      <c r="E121" s="990" t="s">
        <v>1443</v>
      </c>
      <c r="F121" s="821">
        <v>0</v>
      </c>
      <c r="G121" s="1262"/>
      <c r="H121" s="1260"/>
      <c r="I121" s="822"/>
      <c r="J121" s="822"/>
      <c r="K121" s="1337"/>
      <c r="L121" s="1337"/>
      <c r="M121" s="1337"/>
      <c r="N121" s="1337"/>
      <c r="O121" s="1337"/>
      <c r="P121" s="1282"/>
      <c r="BK121" s="1278"/>
    </row>
    <row r="122" spans="1:16 63:63" s="1190" customFormat="1" ht="13.2">
      <c r="A122" s="1335"/>
      <c r="B122" s="990"/>
      <c r="C122" s="1336" t="s">
        <v>924</v>
      </c>
      <c r="D122" s="990" t="s">
        <v>921</v>
      </c>
      <c r="E122" s="990" t="s">
        <v>1443</v>
      </c>
      <c r="F122" s="821">
        <v>0</v>
      </c>
      <c r="G122" s="1262"/>
      <c r="H122" s="1260"/>
      <c r="I122" s="822"/>
      <c r="J122" s="822"/>
      <c r="K122" s="1337"/>
      <c r="L122" s="1337"/>
      <c r="M122" s="1337"/>
      <c r="N122" s="1337"/>
      <c r="O122" s="1337"/>
      <c r="P122" s="1282"/>
      <c r="BK122" s="1278"/>
    </row>
    <row r="123" spans="1:16 63:63" s="1190" customFormat="1" ht="13.2">
      <c r="A123" s="1335"/>
      <c r="B123" s="990"/>
      <c r="C123" s="1336" t="s">
        <v>925</v>
      </c>
      <c r="D123" s="990" t="s">
        <v>921</v>
      </c>
      <c r="E123" s="990" t="s">
        <v>1443</v>
      </c>
      <c r="F123" s="821">
        <v>0</v>
      </c>
      <c r="G123" s="1262"/>
      <c r="H123" s="1260"/>
      <c r="I123" s="822"/>
      <c r="J123" s="822"/>
      <c r="K123" s="1337"/>
      <c r="L123" s="1337"/>
      <c r="M123" s="1337"/>
      <c r="N123" s="1337"/>
      <c r="O123" s="1337"/>
      <c r="P123" s="1282"/>
      <c r="BK123" s="1278"/>
    </row>
    <row r="124" spans="1:16 63:63" s="1190" customFormat="1" ht="13.2">
      <c r="A124" s="1335"/>
      <c r="B124" s="990"/>
      <c r="C124" s="1336" t="s">
        <v>926</v>
      </c>
      <c r="D124" s="990" t="s">
        <v>921</v>
      </c>
      <c r="E124" s="990" t="s">
        <v>1443</v>
      </c>
      <c r="F124" s="821">
        <v>0</v>
      </c>
      <c r="G124" s="1262"/>
      <c r="H124" s="1260"/>
      <c r="I124" s="822"/>
      <c r="J124" s="822"/>
      <c r="K124" s="1337"/>
      <c r="L124" s="1337"/>
      <c r="M124" s="1337"/>
      <c r="N124" s="1337"/>
      <c r="O124" s="1337"/>
      <c r="P124" s="1282"/>
      <c r="BK124" s="1278"/>
    </row>
    <row r="125" spans="1:16 63:63" s="1190" customFormat="1" ht="13.2">
      <c r="A125" s="1335"/>
      <c r="B125" s="990"/>
      <c r="C125" s="1336" t="s">
        <v>927</v>
      </c>
      <c r="D125" s="990" t="s">
        <v>921</v>
      </c>
      <c r="E125" s="990" t="s">
        <v>1443</v>
      </c>
      <c r="F125" s="821">
        <v>0</v>
      </c>
      <c r="G125" s="1262"/>
      <c r="H125" s="1260"/>
      <c r="I125" s="822"/>
      <c r="J125" s="822"/>
      <c r="K125" s="1337"/>
      <c r="L125" s="1337"/>
      <c r="M125" s="1337"/>
      <c r="N125" s="1337"/>
      <c r="O125" s="1337"/>
      <c r="P125" s="1282"/>
      <c r="BK125" s="1278"/>
    </row>
    <row r="126" spans="1:16 63:63" s="1190" customFormat="1" ht="13.2">
      <c r="A126" s="1338"/>
      <c r="B126" s="1282"/>
      <c r="C126" s="1336" t="s">
        <v>928</v>
      </c>
      <c r="D126" s="990" t="s">
        <v>921</v>
      </c>
      <c r="E126" s="990" t="s">
        <v>1443</v>
      </c>
      <c r="F126" s="821">
        <v>0</v>
      </c>
      <c r="G126" s="1339"/>
      <c r="H126" s="1340"/>
      <c r="I126" s="1341"/>
      <c r="J126" s="1341"/>
      <c r="K126" s="1337"/>
      <c r="L126" s="1337"/>
      <c r="M126" s="1337"/>
      <c r="N126" s="1337"/>
      <c r="O126" s="1337"/>
      <c r="P126" s="1282"/>
      <c r="BK126" s="1278"/>
    </row>
    <row r="127" spans="1:16 63:63" s="1190" customFormat="1" ht="15">
      <c r="A127" s="1335"/>
      <c r="B127" s="990"/>
      <c r="C127" s="1342" t="s">
        <v>919</v>
      </c>
      <c r="D127" s="600" t="s">
        <v>182</v>
      </c>
      <c r="E127" s="990" t="s">
        <v>1443</v>
      </c>
      <c r="F127" s="1286">
        <v>0</v>
      </c>
      <c r="G127" s="1343">
        <f>+F127</f>
        <v>0</v>
      </c>
      <c r="H127" s="1260"/>
      <c r="I127" s="822"/>
      <c r="J127" s="822"/>
      <c r="K127" s="822"/>
      <c r="L127" s="822"/>
      <c r="M127" s="822"/>
      <c r="N127" s="822"/>
      <c r="O127" s="822"/>
      <c r="P127" s="1282"/>
      <c r="BK127" s="1278"/>
    </row>
    <row r="128" spans="1:16 63:63" s="1190" customFormat="1" ht="13.2">
      <c r="A128" s="1335"/>
      <c r="B128" s="822"/>
      <c r="C128" s="618" t="s">
        <v>8</v>
      </c>
      <c r="D128" s="990"/>
      <c r="E128" s="1344"/>
      <c r="F128" s="1345">
        <f>AVERAGE(F126:F127)</f>
        <v>0</v>
      </c>
      <c r="G128" s="1338">
        <f>+G127</f>
        <v>0</v>
      </c>
      <c r="H128" s="1260"/>
      <c r="I128" s="822"/>
      <c r="J128" s="822"/>
      <c r="K128" s="1337"/>
      <c r="L128" s="1337"/>
      <c r="M128" s="1337"/>
      <c r="N128" s="1337"/>
      <c r="O128" s="1337"/>
      <c r="P128" s="1282"/>
      <c r="BK128" s="1278"/>
    </row>
    <row r="129" spans="1:16 63:63" s="1190" customFormat="1" ht="13.2">
      <c r="A129" s="1335"/>
      <c r="B129" s="822"/>
      <c r="C129" s="1336"/>
      <c r="D129" s="990"/>
      <c r="E129" s="1344"/>
      <c r="F129" s="1346"/>
      <c r="G129" s="1339"/>
      <c r="H129" s="1340"/>
      <c r="I129" s="1341"/>
      <c r="J129" s="1341"/>
      <c r="K129" s="1337"/>
      <c r="L129" s="1337"/>
      <c r="M129" s="1337"/>
      <c r="N129" s="1337"/>
      <c r="O129" s="1337"/>
      <c r="P129" s="1282"/>
      <c r="BK129" s="1278"/>
    </row>
    <row r="130" spans="1:16 63:63" s="1190" customFormat="1" ht="13.2">
      <c r="A130" s="1335"/>
      <c r="B130" s="822"/>
      <c r="C130" s="618"/>
      <c r="D130" s="990"/>
      <c r="E130" s="1344"/>
      <c r="F130" s="1345"/>
      <c r="G130" s="1339"/>
      <c r="H130" s="1340"/>
      <c r="I130" s="1341"/>
      <c r="J130" s="1341"/>
      <c r="K130" s="1337"/>
      <c r="L130" s="1337"/>
      <c r="M130" s="1337"/>
      <c r="N130" s="1337"/>
      <c r="O130" s="1337"/>
      <c r="P130" s="1282"/>
      <c r="BK130" s="1278"/>
    </row>
    <row r="131" spans="1:16 63:63" s="1190" customFormat="1" ht="16.2" thickBot="1">
      <c r="A131" s="1335">
        <v>8</v>
      </c>
      <c r="B131" s="990"/>
      <c r="C131" s="619" t="s">
        <v>476</v>
      </c>
      <c r="D131" s="990" t="s">
        <v>940</v>
      </c>
      <c r="E131" s="1341"/>
      <c r="F131" s="82">
        <f>+F128+F112+F107+F102+F86</f>
        <v>551928905.35454535</v>
      </c>
      <c r="G131" s="609">
        <f>+G128+G112+G107+G102+G86</f>
        <v>580150361.00496221</v>
      </c>
      <c r="H131" s="930" t="s">
        <v>447</v>
      </c>
      <c r="I131" s="595"/>
      <c r="J131" s="822"/>
      <c r="K131" s="822"/>
      <c r="L131" s="822"/>
      <c r="M131" s="822"/>
      <c r="N131" s="822"/>
      <c r="O131" s="822"/>
      <c r="P131" s="1282"/>
      <c r="BK131" s="1278"/>
    </row>
    <row r="132" spans="1:63" s="1190" customFormat="1" ht="27.6" thickTop="1" thickBot="1">
      <c r="A132" s="1347"/>
      <c r="B132" s="1348"/>
      <c r="C132" s="1349"/>
      <c r="D132" s="1289"/>
      <c r="E132" s="1350"/>
      <c r="F132" s="603" t="s">
        <v>827</v>
      </c>
      <c r="G132" s="603" t="s">
        <v>827</v>
      </c>
      <c r="H132" s="1351"/>
      <c r="I132" s="1348"/>
      <c r="J132" s="1348"/>
      <c r="K132" s="1352"/>
      <c r="L132" s="1352"/>
      <c r="M132" s="1352"/>
      <c r="N132" s="1352"/>
      <c r="O132" s="1352"/>
      <c r="P132" s="1292"/>
      <c r="Q132" s="1293"/>
      <c r="R132" s="1293"/>
      <c r="S132" s="1293"/>
      <c r="T132" s="1293"/>
      <c r="U132" s="1293"/>
      <c r="V132" s="1293"/>
      <c r="W132" s="1293"/>
      <c r="X132" s="1293"/>
      <c r="Y132" s="1293"/>
      <c r="Z132" s="1293"/>
      <c r="AA132" s="1293"/>
      <c r="AB132" s="1293"/>
      <c r="AC132" s="1293"/>
      <c r="AD132" s="1293"/>
      <c r="AE132" s="1293"/>
      <c r="AF132" s="1293"/>
      <c r="AG132" s="1293"/>
      <c r="AH132" s="1293"/>
      <c r="AI132" s="1293"/>
      <c r="AJ132" s="1293"/>
      <c r="AK132" s="1293"/>
      <c r="AL132" s="1293"/>
      <c r="AM132" s="1293"/>
      <c r="AN132" s="1293"/>
      <c r="AO132" s="1293"/>
      <c r="AP132" s="1293"/>
      <c r="AQ132" s="1293"/>
      <c r="AR132" s="1293"/>
      <c r="AS132" s="1293"/>
      <c r="AT132" s="1293"/>
      <c r="AU132" s="1293"/>
      <c r="AV132" s="1293"/>
      <c r="AW132" s="1293"/>
      <c r="AX132" s="1293"/>
      <c r="AY132" s="1293"/>
      <c r="AZ132" s="1293"/>
      <c r="BA132" s="1293"/>
      <c r="BB132" s="1293"/>
      <c r="BC132" s="1293"/>
      <c r="BD132" s="1293"/>
      <c r="BE132" s="1293"/>
      <c r="BF132" s="1293"/>
      <c r="BG132" s="1293"/>
      <c r="BH132" s="1293"/>
      <c r="BI132" s="1293"/>
      <c r="BJ132" s="1293"/>
      <c r="BK132" s="1353"/>
    </row>
    <row r="133" spans="1:16" s="1190" customFormat="1" ht="13.2">
      <c r="A133" s="1344"/>
      <c r="B133" s="1341"/>
      <c r="C133" s="1346"/>
      <c r="D133" s="822"/>
      <c r="E133" s="1344"/>
      <c r="F133" s="601"/>
      <c r="G133" s="601"/>
      <c r="H133" s="1341"/>
      <c r="I133" s="1341"/>
      <c r="J133" s="1341"/>
      <c r="K133" s="1337"/>
      <c r="L133" s="1337"/>
      <c r="M133" s="1337"/>
      <c r="N133" s="1337"/>
      <c r="O133" s="1337"/>
      <c r="P133" s="1354"/>
    </row>
    <row r="134" spans="1:19" ht="21.6" thickBot="1">
      <c r="A134" s="159" t="s">
        <v>299</v>
      </c>
      <c r="B134" s="137"/>
      <c r="D134" s="95"/>
      <c r="E134" s="96"/>
      <c r="F134" s="97"/>
      <c r="G134" s="116"/>
      <c r="H134" s="116"/>
      <c r="I134" s="116"/>
      <c r="J134" s="116"/>
      <c r="K134" s="116"/>
      <c r="L134" s="116"/>
      <c r="M134" s="116"/>
      <c r="N134" s="116"/>
      <c r="O134" s="116"/>
      <c r="P134" s="116"/>
      <c r="Q134" s="116"/>
      <c r="R134" s="116"/>
      <c r="S134" s="116"/>
    </row>
    <row r="135" spans="1:19" ht="24.75" customHeight="1">
      <c r="A135" s="1766" t="s">
        <v>828</v>
      </c>
      <c r="B135" s="1767"/>
      <c r="C135" s="1767"/>
      <c r="D135" s="1767"/>
      <c r="E135" s="1767"/>
      <c r="F135" s="1768"/>
      <c r="G135" s="176" t="s">
        <v>851</v>
      </c>
      <c r="H135" s="176" t="s">
        <v>846</v>
      </c>
      <c r="I135" s="176"/>
      <c r="J135" s="176" t="s">
        <v>852</v>
      </c>
      <c r="K135" s="1756" t="s">
        <v>805</v>
      </c>
      <c r="L135" s="1757"/>
      <c r="M135" s="1757"/>
      <c r="N135" s="1757"/>
      <c r="O135" s="1757"/>
      <c r="P135" s="1757"/>
      <c r="Q135" s="1757"/>
      <c r="R135" s="1757"/>
      <c r="S135" s="1758"/>
    </row>
    <row r="136" spans="1:19" ht="56.25" customHeight="1">
      <c r="A136" s="150"/>
      <c r="B136" s="140" t="s">
        <v>468</v>
      </c>
      <c r="C136" s="143"/>
      <c r="D136" s="95"/>
      <c r="E136" s="138"/>
      <c r="F136" s="462"/>
      <c r="G136" s="1355" t="s">
        <v>9</v>
      </c>
      <c r="H136" s="1355" t="s">
        <v>837</v>
      </c>
      <c r="I136" s="1355"/>
      <c r="J136" s="1355" t="s">
        <v>317</v>
      </c>
      <c r="K136" s="1769"/>
      <c r="L136" s="1772"/>
      <c r="M136" s="1772"/>
      <c r="N136" s="1772"/>
      <c r="O136" s="1772"/>
      <c r="P136" s="1772"/>
      <c r="Q136" s="1772"/>
      <c r="R136" s="1772"/>
      <c r="S136" s="1773"/>
    </row>
    <row r="137" spans="1:19" ht="15.6">
      <c r="A137" s="150">
        <v>40</v>
      </c>
      <c r="B137" s="140"/>
      <c r="C137" s="143" t="s">
        <v>456</v>
      </c>
      <c r="D137" s="95"/>
      <c r="E137" s="138"/>
      <c r="F137" s="149" t="s">
        <v>183</v>
      </c>
      <c r="G137" s="365">
        <v>0</v>
      </c>
      <c r="H137" s="365">
        <v>0</v>
      </c>
      <c r="I137" s="366"/>
      <c r="J137" s="366">
        <f>(G137-H137)/2</f>
        <v>0</v>
      </c>
      <c r="K137" s="1774"/>
      <c r="L137" s="1775"/>
      <c r="M137" s="1775"/>
      <c r="N137" s="1775"/>
      <c r="O137" s="1775"/>
      <c r="P137" s="1775"/>
      <c r="Q137" s="1775"/>
      <c r="R137" s="1775"/>
      <c r="S137" s="1776"/>
    </row>
    <row r="138" spans="1:19" ht="15.75" customHeight="1">
      <c r="A138" s="150">
        <v>37</v>
      </c>
      <c r="B138" s="95"/>
      <c r="C138" s="143" t="s">
        <v>595</v>
      </c>
      <c r="D138" s="95"/>
      <c r="E138" s="138"/>
      <c r="F138" s="151" t="s">
        <v>184</v>
      </c>
      <c r="G138" s="931">
        <v>0</v>
      </c>
      <c r="H138" s="931">
        <v>0</v>
      </c>
      <c r="I138" s="366"/>
      <c r="J138" s="410">
        <f>(G138-H138)/2</f>
        <v>0</v>
      </c>
      <c r="K138" s="1774"/>
      <c r="L138" s="1775"/>
      <c r="M138" s="1775"/>
      <c r="N138" s="1775"/>
      <c r="O138" s="1775"/>
      <c r="P138" s="1775"/>
      <c r="Q138" s="1775"/>
      <c r="R138" s="1775"/>
      <c r="S138" s="1776"/>
    </row>
    <row r="139" spans="1:19" ht="15.6">
      <c r="A139" s="150"/>
      <c r="B139" s="148" t="s">
        <v>223</v>
      </c>
      <c r="C139" s="143"/>
      <c r="D139" s="95"/>
      <c r="E139" s="142"/>
      <c r="F139" s="151"/>
      <c r="G139" s="193"/>
      <c r="H139" s="193"/>
      <c r="I139" s="193"/>
      <c r="J139" s="193"/>
      <c r="K139" s="1769"/>
      <c r="L139" s="1772"/>
      <c r="M139" s="1772"/>
      <c r="N139" s="1772"/>
      <c r="O139" s="1772"/>
      <c r="P139" s="1772"/>
      <c r="Q139" s="1772"/>
      <c r="R139" s="1772"/>
      <c r="S139" s="1773"/>
    </row>
    <row r="140" spans="1:19" ht="15.6">
      <c r="A140" s="150">
        <v>51</v>
      </c>
      <c r="B140" s="148"/>
      <c r="C140" s="143" t="s">
        <v>123</v>
      </c>
      <c r="D140" s="95"/>
      <c r="E140" s="138">
        <v>0</v>
      </c>
      <c r="F140" s="151" t="s">
        <v>1405</v>
      </c>
      <c r="G140" s="365">
        <v>0</v>
      </c>
      <c r="H140" s="365">
        <v>0</v>
      </c>
      <c r="I140" s="116"/>
      <c r="J140" s="366">
        <f>(G140-H140)/2</f>
        <v>0</v>
      </c>
      <c r="K140" s="1769"/>
      <c r="L140" s="1772"/>
      <c r="M140" s="1772"/>
      <c r="N140" s="1772"/>
      <c r="O140" s="1772"/>
      <c r="P140" s="1772"/>
      <c r="Q140" s="1772"/>
      <c r="R140" s="1772"/>
      <c r="S140" s="1773"/>
    </row>
    <row r="141" spans="1:19" ht="14.4" thickBot="1">
      <c r="A141" s="128"/>
      <c r="B141" s="129"/>
      <c r="C141" s="129"/>
      <c r="D141" s="129"/>
      <c r="E141" s="129"/>
      <c r="F141" s="130"/>
      <c r="G141" s="169"/>
      <c r="H141" s="169"/>
      <c r="I141" s="169"/>
      <c r="J141" s="169"/>
      <c r="K141" s="169"/>
      <c r="L141" s="169"/>
      <c r="M141" s="169"/>
      <c r="N141" s="169"/>
      <c r="O141" s="169"/>
      <c r="P141" s="169"/>
      <c r="Q141" s="169"/>
      <c r="R141" s="169"/>
      <c r="S141" s="174"/>
    </row>
    <row r="142" spans="7:19" ht="13.8">
      <c r="G142" s="116"/>
      <c r="H142" s="116"/>
      <c r="I142" s="116"/>
      <c r="J142" s="116"/>
      <c r="K142" s="116"/>
      <c r="L142" s="116"/>
      <c r="M142" s="116"/>
      <c r="N142" s="116"/>
      <c r="O142" s="116"/>
      <c r="P142" s="116"/>
      <c r="Q142" s="116"/>
      <c r="R142" s="116"/>
      <c r="S142" s="116"/>
    </row>
    <row r="143" spans="1:19" ht="21.6" thickBot="1">
      <c r="A143" s="159" t="s">
        <v>301</v>
      </c>
      <c r="G143" s="116"/>
      <c r="H143" s="116"/>
      <c r="I143" s="116"/>
      <c r="J143" s="116"/>
      <c r="K143" s="116"/>
      <c r="L143" s="116"/>
      <c r="M143" s="116"/>
      <c r="N143" s="116"/>
      <c r="O143" s="116"/>
      <c r="P143" s="116"/>
      <c r="Q143" s="116"/>
      <c r="R143" s="116"/>
      <c r="S143" s="116"/>
    </row>
    <row r="144" spans="1:19" ht="57.75" customHeight="1">
      <c r="A144" s="1766" t="s">
        <v>828</v>
      </c>
      <c r="B144" s="1767"/>
      <c r="C144" s="1767"/>
      <c r="D144" s="1767"/>
      <c r="E144" s="1767"/>
      <c r="F144" s="1768"/>
      <c r="G144" s="1356" t="s">
        <v>9</v>
      </c>
      <c r="H144" s="1357" t="s">
        <v>837</v>
      </c>
      <c r="I144" s="1357"/>
      <c r="J144" s="1357" t="s">
        <v>317</v>
      </c>
      <c r="K144" s="1756" t="s">
        <v>805</v>
      </c>
      <c r="L144" s="1757"/>
      <c r="M144" s="1757"/>
      <c r="N144" s="1757"/>
      <c r="O144" s="1757"/>
      <c r="P144" s="1757"/>
      <c r="Q144" s="1757"/>
      <c r="R144" s="1757"/>
      <c r="S144" s="1758"/>
    </row>
    <row r="145" spans="1:19" ht="33.75" customHeight="1">
      <c r="A145" s="150">
        <v>34</v>
      </c>
      <c r="B145" s="137"/>
      <c r="C145" s="140" t="s">
        <v>135</v>
      </c>
      <c r="D145" s="155"/>
      <c r="E145" s="138"/>
      <c r="F145" s="1278" t="s">
        <v>524</v>
      </c>
      <c r="G145" s="385">
        <v>0</v>
      </c>
      <c r="H145" s="365">
        <v>0</v>
      </c>
      <c r="I145" s="366"/>
      <c r="J145" s="366">
        <f>(G145-H145)/2</f>
        <v>0</v>
      </c>
      <c r="K145" s="1763" t="s">
        <v>239</v>
      </c>
      <c r="L145" s="1764"/>
      <c r="M145" s="1764"/>
      <c r="N145" s="1764"/>
      <c r="O145" s="1764"/>
      <c r="P145" s="1764"/>
      <c r="Q145" s="1764"/>
      <c r="R145" s="1764"/>
      <c r="S145" s="1765"/>
    </row>
    <row r="146" spans="1:19" ht="15.75" customHeight="1">
      <c r="A146" s="150"/>
      <c r="B146" s="148"/>
      <c r="C146" s="95"/>
      <c r="D146" s="95"/>
      <c r="E146" s="139"/>
      <c r="F146" s="1358" t="s">
        <v>296</v>
      </c>
      <c r="G146" s="385">
        <v>0</v>
      </c>
      <c r="H146" s="365">
        <v>0</v>
      </c>
      <c r="I146" s="366"/>
      <c r="J146" s="366">
        <f>(G146-H146)/2</f>
        <v>0</v>
      </c>
      <c r="S146" s="381"/>
    </row>
    <row r="147" spans="1:19" ht="16.5" customHeight="1">
      <c r="A147" s="150"/>
      <c r="B147" s="152"/>
      <c r="C147" s="143"/>
      <c r="D147" s="138"/>
      <c r="E147" s="138"/>
      <c r="F147" s="1358" t="s">
        <v>853</v>
      </c>
      <c r="G147" s="385">
        <v>0</v>
      </c>
      <c r="H147" s="365">
        <v>0</v>
      </c>
      <c r="I147" s="367"/>
      <c r="J147" s="367">
        <f>+J145-J146</f>
        <v>0</v>
      </c>
      <c r="K147" s="1769"/>
      <c r="L147" s="1770"/>
      <c r="M147" s="1770"/>
      <c r="N147" s="1770"/>
      <c r="O147" s="1770"/>
      <c r="P147" s="1770"/>
      <c r="Q147" s="1770"/>
      <c r="R147" s="1770"/>
      <c r="S147" s="1771"/>
    </row>
    <row r="148" spans="1:19" ht="14.4" thickBot="1">
      <c r="A148" s="128"/>
      <c r="B148" s="129"/>
      <c r="C148" s="129"/>
      <c r="D148" s="129"/>
      <c r="E148" s="129"/>
      <c r="F148" s="130"/>
      <c r="G148" s="173"/>
      <c r="H148" s="169"/>
      <c r="I148" s="169"/>
      <c r="J148" s="169"/>
      <c r="K148" s="169"/>
      <c r="L148" s="169"/>
      <c r="M148" s="169"/>
      <c r="N148" s="169"/>
      <c r="O148" s="169"/>
      <c r="P148" s="169"/>
      <c r="Q148" s="169"/>
      <c r="R148" s="169"/>
      <c r="S148" s="174"/>
    </row>
    <row r="149" spans="7:19" ht="13.8">
      <c r="G149" s="116"/>
      <c r="H149" s="116"/>
      <c r="I149" s="116"/>
      <c r="J149" s="116"/>
      <c r="K149" s="116"/>
      <c r="L149" s="116"/>
      <c r="M149" s="116"/>
      <c r="N149" s="116"/>
      <c r="O149" s="116"/>
      <c r="P149" s="116"/>
      <c r="Q149" s="116"/>
      <c r="R149" s="116"/>
      <c r="S149" s="116"/>
    </row>
    <row r="150" spans="1:19" ht="21.6" thickBot="1">
      <c r="A150" s="159" t="s">
        <v>307</v>
      </c>
      <c r="G150" s="116"/>
      <c r="H150" s="116"/>
      <c r="I150" s="116"/>
      <c r="J150" s="116"/>
      <c r="K150" s="116"/>
      <c r="L150" s="116"/>
      <c r="M150" s="116"/>
      <c r="N150" s="116"/>
      <c r="O150" s="116"/>
      <c r="P150" s="116"/>
      <c r="Q150" s="116"/>
      <c r="R150" s="116"/>
      <c r="S150" s="116"/>
    </row>
    <row r="151" spans="1:19" ht="61.5" customHeight="1">
      <c r="A151" s="1766" t="s">
        <v>828</v>
      </c>
      <c r="B151" s="1767"/>
      <c r="C151" s="1767"/>
      <c r="D151" s="1767"/>
      <c r="E151" s="1767"/>
      <c r="F151" s="1768"/>
      <c r="G151" s="176" t="str">
        <f>+G144</f>
        <v>Beg of year</v>
      </c>
      <c r="H151" s="176" t="s">
        <v>297</v>
      </c>
      <c r="I151" s="176"/>
      <c r="J151" s="176" t="s">
        <v>854</v>
      </c>
      <c r="K151" s="1756" t="s">
        <v>805</v>
      </c>
      <c r="L151" s="1756"/>
      <c r="M151" s="1756"/>
      <c r="N151" s="1756"/>
      <c r="O151" s="1756"/>
      <c r="P151" s="1756"/>
      <c r="Q151" s="1756"/>
      <c r="R151" s="1756"/>
      <c r="S151" s="1777"/>
    </row>
    <row r="152" spans="1:19" ht="15.6">
      <c r="A152" s="150"/>
      <c r="B152" s="148" t="s">
        <v>521</v>
      </c>
      <c r="C152" s="143"/>
      <c r="D152" s="95"/>
      <c r="E152" s="137"/>
      <c r="F152" s="151"/>
      <c r="G152" s="116"/>
      <c r="H152" s="116"/>
      <c r="I152" s="116"/>
      <c r="J152" s="116"/>
      <c r="K152" s="1763"/>
      <c r="L152" s="1763"/>
      <c r="M152" s="1763"/>
      <c r="N152" s="1763"/>
      <c r="O152" s="1763"/>
      <c r="P152" s="1763"/>
      <c r="Q152" s="1763"/>
      <c r="R152" s="1763"/>
      <c r="S152" s="1781"/>
    </row>
    <row r="153" spans="1:19" ht="15.6">
      <c r="A153" s="150">
        <v>6</v>
      </c>
      <c r="B153" s="95"/>
      <c r="C153" s="143" t="s">
        <v>529</v>
      </c>
      <c r="D153" s="95"/>
      <c r="E153" s="138" t="s">
        <v>1406</v>
      </c>
      <c r="F153" s="153" t="s">
        <v>341</v>
      </c>
      <c r="G153" s="510">
        <f>F8+F24+F40+F45+F50</f>
        <v>2380619072.3408337</v>
      </c>
      <c r="H153" s="510">
        <v>0</v>
      </c>
      <c r="I153" s="593"/>
      <c r="J153" s="511">
        <v>0</v>
      </c>
      <c r="K153" s="1764"/>
      <c r="L153" s="1764"/>
      <c r="M153" s="1764"/>
      <c r="N153" s="1764"/>
      <c r="O153" s="1764"/>
      <c r="P153" s="1764"/>
      <c r="Q153" s="1764"/>
      <c r="R153" s="1764"/>
      <c r="S153" s="1765"/>
    </row>
    <row r="154" spans="1:19" ht="15.6">
      <c r="A154" s="150"/>
      <c r="B154" s="148" t="s">
        <v>480</v>
      </c>
      <c r="C154" s="143"/>
      <c r="D154" s="95"/>
      <c r="E154" s="142"/>
      <c r="F154" s="242"/>
      <c r="G154" s="511"/>
      <c r="H154" s="511"/>
      <c r="I154" s="593"/>
      <c r="J154" s="511"/>
      <c r="K154" s="1764"/>
      <c r="L154" s="1764"/>
      <c r="M154" s="1764"/>
      <c r="N154" s="1764"/>
      <c r="O154" s="1764"/>
      <c r="P154" s="1764"/>
      <c r="Q154" s="1764"/>
      <c r="R154" s="1764"/>
      <c r="S154" s="1765"/>
    </row>
    <row r="155" spans="1:19" ht="15.6">
      <c r="A155" s="150">
        <v>15</v>
      </c>
      <c r="B155" s="137"/>
      <c r="C155" s="143" t="s">
        <v>513</v>
      </c>
      <c r="D155" s="95"/>
      <c r="E155" s="138" t="s">
        <v>1406</v>
      </c>
      <c r="F155" s="153" t="s">
        <v>341</v>
      </c>
      <c r="G155" s="510">
        <f>F8</f>
        <v>2239340842.3408337</v>
      </c>
      <c r="H155" s="510">
        <v>0</v>
      </c>
      <c r="I155" s="511"/>
      <c r="J155" s="511">
        <v>0</v>
      </c>
      <c r="K155" s="1764"/>
      <c r="L155" s="1764"/>
      <c r="M155" s="1764"/>
      <c r="N155" s="1764"/>
      <c r="O155" s="1764"/>
      <c r="P155" s="1764"/>
      <c r="Q155" s="1764"/>
      <c r="R155" s="1764"/>
      <c r="S155" s="1765"/>
    </row>
    <row r="156" spans="1:19" ht="15.6">
      <c r="A156" s="150"/>
      <c r="B156" s="148" t="s">
        <v>469</v>
      </c>
      <c r="C156" s="140"/>
      <c r="D156" s="141"/>
      <c r="E156" s="142"/>
      <c r="F156" s="242"/>
      <c r="G156" s="191"/>
      <c r="H156" s="511"/>
      <c r="I156" s="511"/>
      <c r="J156" s="511"/>
      <c r="K156" s="1764"/>
      <c r="L156" s="1764"/>
      <c r="M156" s="1764"/>
      <c r="N156" s="1764"/>
      <c r="O156" s="1764"/>
      <c r="P156" s="1764"/>
      <c r="Q156" s="1764"/>
      <c r="R156" s="1764"/>
      <c r="S156" s="168"/>
    </row>
    <row r="157" spans="1:19" ht="16.2" thickBot="1">
      <c r="A157" s="156">
        <v>23</v>
      </c>
      <c r="B157" s="157"/>
      <c r="C157" s="161" t="s">
        <v>528</v>
      </c>
      <c r="D157" s="158"/>
      <c r="E157" s="162" t="s">
        <v>1406</v>
      </c>
      <c r="F157" s="163" t="s">
        <v>364</v>
      </c>
      <c r="G157" s="386">
        <f>F73</f>
        <v>469357322.83395034</v>
      </c>
      <c r="H157" s="386">
        <v>0</v>
      </c>
      <c r="I157" s="512"/>
      <c r="J157" s="512">
        <v>0</v>
      </c>
      <c r="K157" s="1754"/>
      <c r="L157" s="1754"/>
      <c r="M157" s="1754"/>
      <c r="N157" s="1754"/>
      <c r="O157" s="1754"/>
      <c r="P157" s="1754"/>
      <c r="Q157" s="1754"/>
      <c r="R157" s="1754"/>
      <c r="S157" s="1755"/>
    </row>
    <row r="158" spans="7:19" ht="13.8">
      <c r="G158" s="116"/>
      <c r="H158" s="116"/>
      <c r="I158" s="116"/>
      <c r="J158" s="116"/>
      <c r="K158" s="116"/>
      <c r="L158" s="116"/>
      <c r="M158" s="116"/>
      <c r="N158" s="116"/>
      <c r="O158" s="116"/>
      <c r="P158" s="116"/>
      <c r="Q158" s="116"/>
      <c r="R158" s="116"/>
      <c r="S158" s="116"/>
    </row>
    <row r="159" spans="1:19" ht="21" customHeight="1" thickBot="1">
      <c r="A159" s="338" t="s">
        <v>631</v>
      </c>
      <c r="G159" s="116"/>
      <c r="H159" s="116"/>
      <c r="I159" s="116"/>
      <c r="J159" s="116"/>
      <c r="K159" s="116"/>
      <c r="L159" s="116"/>
      <c r="M159" s="116"/>
      <c r="N159" s="116"/>
      <c r="O159" s="116"/>
      <c r="P159" s="116"/>
      <c r="Q159" s="116"/>
      <c r="R159" s="116"/>
      <c r="S159" s="116"/>
    </row>
    <row r="160" spans="1:19" ht="78" customHeight="1">
      <c r="A160" s="1766" t="s">
        <v>828</v>
      </c>
      <c r="B160" s="1767"/>
      <c r="C160" s="1767"/>
      <c r="D160" s="1767"/>
      <c r="E160" s="1767"/>
      <c r="F160" s="1768"/>
      <c r="G160" s="244" t="s">
        <v>822</v>
      </c>
      <c r="H160" s="339" t="s">
        <v>635</v>
      </c>
      <c r="I160" s="176" t="s">
        <v>821</v>
      </c>
      <c r="J160" s="1357" t="s">
        <v>137</v>
      </c>
      <c r="K160" s="261"/>
      <c r="L160" s="261"/>
      <c r="M160" s="261"/>
      <c r="N160" s="261"/>
      <c r="O160" s="261"/>
      <c r="P160" s="261"/>
      <c r="Q160" s="261"/>
      <c r="R160" s="261"/>
      <c r="S160" s="196"/>
    </row>
    <row r="161" spans="1:19" ht="21.75" customHeight="1">
      <c r="A161" s="343"/>
      <c r="B161" s="340"/>
      <c r="C161" s="340"/>
      <c r="D161" s="340"/>
      <c r="E161" s="340"/>
      <c r="F161" s="344"/>
      <c r="G161" s="341"/>
      <c r="H161" s="342"/>
      <c r="I161" s="342"/>
      <c r="J161" s="342"/>
      <c r="K161" s="116"/>
      <c r="L161" s="116"/>
      <c r="M161" s="116"/>
      <c r="N161" s="116"/>
      <c r="O161" s="116"/>
      <c r="P161" s="116"/>
      <c r="Q161" s="116"/>
      <c r="R161" s="116"/>
      <c r="S161" s="168"/>
    </row>
    <row r="162" spans="1:19" ht="15.6">
      <c r="A162" s="150">
        <v>35</v>
      </c>
      <c r="B162" s="140" t="s">
        <v>634</v>
      </c>
      <c r="E162" s="138"/>
      <c r="F162" s="381"/>
      <c r="G162" s="702">
        <v>0</v>
      </c>
      <c r="H162" s="703">
        <v>0</v>
      </c>
      <c r="I162" s="379">
        <f>G162-H162</f>
        <v>0</v>
      </c>
      <c r="J162" s="380">
        <f>(G162+I162)/2</f>
        <v>0</v>
      </c>
      <c r="K162" s="1769" t="s">
        <v>447</v>
      </c>
      <c r="L162" s="1770"/>
      <c r="M162" s="1770"/>
      <c r="N162" s="1770"/>
      <c r="O162" s="1770"/>
      <c r="P162" s="1770"/>
      <c r="Q162" s="1770"/>
      <c r="R162" s="1770"/>
      <c r="S162" s="1771"/>
    </row>
    <row r="163" spans="1:19" ht="14.4" thickBot="1">
      <c r="A163" s="128"/>
      <c r="B163" s="129"/>
      <c r="C163" s="129"/>
      <c r="D163" s="129"/>
      <c r="E163" s="129"/>
      <c r="F163" s="130"/>
      <c r="G163" s="173"/>
      <c r="H163" s="169"/>
      <c r="I163" s="169"/>
      <c r="J163" s="169"/>
      <c r="K163" s="169"/>
      <c r="L163" s="169"/>
      <c r="M163" s="169"/>
      <c r="N163" s="169"/>
      <c r="O163" s="169"/>
      <c r="P163" s="169"/>
      <c r="Q163" s="169"/>
      <c r="R163" s="169"/>
      <c r="S163" s="174"/>
    </row>
    <row r="164" spans="7:19" ht="13.8">
      <c r="G164" s="116"/>
      <c r="H164" s="116"/>
      <c r="I164" s="116"/>
      <c r="J164" s="116"/>
      <c r="K164" s="116"/>
      <c r="L164" s="116"/>
      <c r="M164" s="116"/>
      <c r="N164" s="116"/>
      <c r="O164" s="116"/>
      <c r="P164" s="116"/>
      <c r="Q164" s="116"/>
      <c r="R164" s="116"/>
      <c r="S164" s="116"/>
    </row>
    <row r="165" spans="1:19" ht="21.6" thickBot="1">
      <c r="A165" s="159" t="s">
        <v>302</v>
      </c>
      <c r="G165" s="116"/>
      <c r="H165" s="116"/>
      <c r="I165" s="116"/>
      <c r="J165" s="116"/>
      <c r="K165" s="116"/>
      <c r="L165" s="116"/>
      <c r="M165" s="116"/>
      <c r="N165" s="116"/>
      <c r="O165" s="116"/>
      <c r="P165" s="116"/>
      <c r="Q165" s="116"/>
      <c r="R165" s="116"/>
      <c r="S165" s="116"/>
    </row>
    <row r="166" spans="1:19" ht="17.4">
      <c r="A166" s="1766" t="s">
        <v>422</v>
      </c>
      <c r="B166" s="1767"/>
      <c r="C166" s="1767"/>
      <c r="D166" s="1767"/>
      <c r="E166" s="1767"/>
      <c r="F166" s="1768"/>
      <c r="G166" s="244" t="str">
        <f>+G151</f>
        <v>Beg of year</v>
      </c>
      <c r="H166" s="176" t="s">
        <v>847</v>
      </c>
      <c r="I166" s="176"/>
      <c r="J166" s="176"/>
      <c r="K166" s="1756" t="s">
        <v>805</v>
      </c>
      <c r="L166" s="1757"/>
      <c r="M166" s="1757"/>
      <c r="N166" s="1757"/>
      <c r="O166" s="1757"/>
      <c r="P166" s="1757"/>
      <c r="Q166" s="1757"/>
      <c r="R166" s="1757"/>
      <c r="S166" s="1758"/>
    </row>
    <row r="167" spans="1:19" ht="15.6">
      <c r="A167" s="150"/>
      <c r="B167" s="148" t="s">
        <v>458</v>
      </c>
      <c r="C167" s="95"/>
      <c r="D167" s="95"/>
      <c r="E167" s="139"/>
      <c r="F167" s="151"/>
      <c r="G167" s="170"/>
      <c r="H167" s="116"/>
      <c r="I167" s="116"/>
      <c r="J167" s="116"/>
      <c r="K167" s="1763"/>
      <c r="L167" s="1764"/>
      <c r="M167" s="1764"/>
      <c r="N167" s="1764"/>
      <c r="O167" s="1764"/>
      <c r="P167" s="1764"/>
      <c r="Q167" s="1764"/>
      <c r="R167" s="1764"/>
      <c r="S167" s="1765"/>
    </row>
    <row r="168" spans="1:19" ht="16.5" customHeight="1" thickBot="1">
      <c r="A168" s="156">
        <v>58</v>
      </c>
      <c r="B168" s="157"/>
      <c r="C168" s="161" t="s">
        <v>542</v>
      </c>
      <c r="D168" s="158"/>
      <c r="E168" s="162" t="s">
        <v>1407</v>
      </c>
      <c r="F168" s="163" t="s">
        <v>835</v>
      </c>
      <c r="G168" s="932">
        <v>0</v>
      </c>
      <c r="H168" s="933">
        <v>0</v>
      </c>
      <c r="I168" s="192"/>
      <c r="J168" s="192"/>
      <c r="K168" s="1782" t="s">
        <v>239</v>
      </c>
      <c r="L168" s="1783"/>
      <c r="M168" s="1783"/>
      <c r="N168" s="1783"/>
      <c r="O168" s="1783"/>
      <c r="P168" s="1783"/>
      <c r="Q168" s="1783"/>
      <c r="R168" s="1783"/>
      <c r="S168" s="1784"/>
    </row>
    <row r="169" spans="7:19" ht="13.8">
      <c r="G169" s="116"/>
      <c r="H169" s="116"/>
      <c r="I169" s="116"/>
      <c r="J169" s="116"/>
      <c r="K169" s="116"/>
      <c r="L169" s="116"/>
      <c r="M169" s="116"/>
      <c r="N169" s="116"/>
      <c r="O169" s="116"/>
      <c r="P169" s="116"/>
      <c r="Q169" s="116"/>
      <c r="R169" s="116"/>
      <c r="S169" s="116"/>
    </row>
    <row r="170" spans="1:19" ht="21.6" thickBot="1">
      <c r="A170" s="159" t="s">
        <v>303</v>
      </c>
      <c r="G170" s="116"/>
      <c r="H170" s="116"/>
      <c r="I170" s="116"/>
      <c r="J170" s="116"/>
      <c r="K170" s="116"/>
      <c r="L170" s="116"/>
      <c r="M170" s="116"/>
      <c r="N170" s="116"/>
      <c r="O170" s="116"/>
      <c r="P170" s="116"/>
      <c r="Q170" s="116"/>
      <c r="R170" s="116"/>
      <c r="S170" s="116"/>
    </row>
    <row r="171" spans="1:19" ht="61.5" customHeight="1">
      <c r="A171" s="1766" t="s">
        <v>828</v>
      </c>
      <c r="B171" s="1767"/>
      <c r="C171" s="1767"/>
      <c r="D171" s="1767"/>
      <c r="E171" s="1767"/>
      <c r="F171" s="1768"/>
      <c r="G171" s="244" t="s">
        <v>851</v>
      </c>
      <c r="H171" s="176" t="s">
        <v>853</v>
      </c>
      <c r="I171" s="176" t="s">
        <v>296</v>
      </c>
      <c r="J171" s="176"/>
      <c r="K171" s="1756" t="s">
        <v>805</v>
      </c>
      <c r="L171" s="1757"/>
      <c r="M171" s="1757"/>
      <c r="N171" s="1757"/>
      <c r="O171" s="1757"/>
      <c r="P171" s="1757"/>
      <c r="Q171" s="1757"/>
      <c r="R171" s="1757"/>
      <c r="S171" s="1758"/>
    </row>
    <row r="172" spans="1:19" ht="15.6">
      <c r="A172" s="150"/>
      <c r="B172" s="148" t="s">
        <v>457</v>
      </c>
      <c r="C172" s="143"/>
      <c r="D172" s="95"/>
      <c r="E172" s="142"/>
      <c r="F172" s="153"/>
      <c r="G172" s="262"/>
      <c r="H172" s="239"/>
      <c r="I172" s="135"/>
      <c r="J172" s="135"/>
      <c r="K172" s="116"/>
      <c r="L172" s="116"/>
      <c r="M172" s="116"/>
      <c r="N172" s="116"/>
      <c r="O172" s="116"/>
      <c r="P172" s="116"/>
      <c r="Q172" s="116"/>
      <c r="R172" s="116"/>
      <c r="S172" s="168"/>
    </row>
    <row r="173" spans="1:19" ht="28.5" customHeight="1" thickBot="1">
      <c r="A173" s="156">
        <v>62</v>
      </c>
      <c r="B173" s="160"/>
      <c r="C173" s="161" t="s">
        <v>558</v>
      </c>
      <c r="D173" s="162"/>
      <c r="E173" s="162" t="s">
        <v>1408</v>
      </c>
      <c r="F173" s="163" t="s">
        <v>161</v>
      </c>
      <c r="G173" s="934">
        <v>0</v>
      </c>
      <c r="H173" s="935">
        <v>0</v>
      </c>
      <c r="I173" s="513">
        <f>G173-H173</f>
        <v>0</v>
      </c>
      <c r="J173" s="450" t="s">
        <v>414</v>
      </c>
      <c r="K173" s="1785" t="s">
        <v>192</v>
      </c>
      <c r="L173" s="1786"/>
      <c r="M173" s="1786"/>
      <c r="N173" s="1786"/>
      <c r="O173" s="1786"/>
      <c r="P173" s="1786"/>
      <c r="Q173" s="1786"/>
      <c r="R173" s="1786"/>
      <c r="S173" s="1787"/>
    </row>
    <row r="174" spans="7:19" ht="13.8">
      <c r="G174" s="116"/>
      <c r="H174" s="116"/>
      <c r="I174" s="116"/>
      <c r="J174" s="116"/>
      <c r="K174" s="116"/>
      <c r="L174" s="116"/>
      <c r="M174" s="116"/>
      <c r="N174" s="116"/>
      <c r="O174" s="116"/>
      <c r="P174" s="116"/>
      <c r="Q174" s="116"/>
      <c r="R174" s="116"/>
      <c r="S174" s="116"/>
    </row>
    <row r="175" spans="1:19" ht="21.6" thickBot="1">
      <c r="A175" s="159" t="s">
        <v>304</v>
      </c>
      <c r="G175" s="116"/>
      <c r="H175" s="116"/>
      <c r="I175" s="116"/>
      <c r="J175" s="116"/>
      <c r="K175" s="116"/>
      <c r="L175" s="116"/>
      <c r="M175" s="116"/>
      <c r="N175" s="116"/>
      <c r="O175" s="116"/>
      <c r="P175" s="116"/>
      <c r="Q175" s="116"/>
      <c r="R175" s="116"/>
      <c r="S175" s="116"/>
    </row>
    <row r="176" spans="1:19" ht="42" customHeight="1">
      <c r="A176" s="1766" t="s">
        <v>828</v>
      </c>
      <c r="B176" s="1767"/>
      <c r="C176" s="1767"/>
      <c r="D176" s="1767"/>
      <c r="E176" s="1767"/>
      <c r="F176" s="1768"/>
      <c r="G176" s="244" t="s">
        <v>851</v>
      </c>
      <c r="H176" s="176" t="s">
        <v>855</v>
      </c>
      <c r="I176" s="176" t="s">
        <v>298</v>
      </c>
      <c r="J176" s="176"/>
      <c r="K176" s="1756" t="s">
        <v>805</v>
      </c>
      <c r="L176" s="1757"/>
      <c r="M176" s="1757"/>
      <c r="N176" s="1757"/>
      <c r="O176" s="1757"/>
      <c r="P176" s="1757"/>
      <c r="Q176" s="1757"/>
      <c r="R176" s="1757"/>
      <c r="S176" s="1758"/>
    </row>
    <row r="177" spans="1:19" ht="15.6">
      <c r="A177" s="150"/>
      <c r="B177" s="148" t="s">
        <v>457</v>
      </c>
      <c r="C177" s="95"/>
      <c r="D177" s="95"/>
      <c r="E177" s="139"/>
      <c r="F177" s="151"/>
      <c r="G177" s="170"/>
      <c r="H177" s="116"/>
      <c r="I177" s="116"/>
      <c r="K177" s="116"/>
      <c r="L177" s="116"/>
      <c r="M177" s="116"/>
      <c r="N177" s="116"/>
      <c r="O177" s="116"/>
      <c r="P177" s="116"/>
      <c r="Q177" s="116"/>
      <c r="R177" s="116"/>
      <c r="S177" s="168"/>
    </row>
    <row r="178" spans="1:19" ht="30.75" customHeight="1" thickBot="1">
      <c r="A178" s="156">
        <v>66</v>
      </c>
      <c r="B178" s="160"/>
      <c r="C178" s="161" t="s">
        <v>559</v>
      </c>
      <c r="D178" s="158"/>
      <c r="E178" s="162" t="s">
        <v>1409</v>
      </c>
      <c r="F178" s="163" t="s">
        <v>162</v>
      </c>
      <c r="G178" s="851">
        <v>0</v>
      </c>
      <c r="H178" s="852">
        <v>0</v>
      </c>
      <c r="I178" s="513">
        <v>0</v>
      </c>
      <c r="J178" s="450" t="s">
        <v>415</v>
      </c>
      <c r="K178" s="1782" t="s">
        <v>65</v>
      </c>
      <c r="L178" s="1783"/>
      <c r="M178" s="1783"/>
      <c r="N178" s="1783"/>
      <c r="O178" s="1783"/>
      <c r="P178" s="1783"/>
      <c r="Q178" s="1783"/>
      <c r="R178" s="1783"/>
      <c r="S178" s="1784"/>
    </row>
    <row r="179" spans="1:19" ht="15.6">
      <c r="A179" s="137"/>
      <c r="B179" s="152"/>
      <c r="C179" s="143"/>
      <c r="D179" s="95"/>
      <c r="E179" s="138"/>
      <c r="F179" s="143"/>
      <c r="G179" s="135"/>
      <c r="H179" s="135"/>
      <c r="I179" s="135"/>
      <c r="J179" s="135"/>
      <c r="K179" s="172"/>
      <c r="L179" s="171"/>
      <c r="M179" s="171"/>
      <c r="N179" s="171"/>
      <c r="O179" s="171"/>
      <c r="P179" s="171"/>
      <c r="Q179" s="171"/>
      <c r="R179" s="171"/>
      <c r="S179" s="171"/>
    </row>
    <row r="180" spans="1:19" ht="21.6" thickBot="1">
      <c r="A180" s="159" t="s">
        <v>849</v>
      </c>
      <c r="G180" s="116"/>
      <c r="H180" s="116"/>
      <c r="I180" s="116"/>
      <c r="J180" s="116"/>
      <c r="K180" s="116"/>
      <c r="L180" s="116"/>
      <c r="M180" s="116"/>
      <c r="N180" s="116"/>
      <c r="O180" s="116"/>
      <c r="P180" s="116"/>
      <c r="Q180" s="116"/>
      <c r="R180" s="116"/>
      <c r="S180" s="116"/>
    </row>
    <row r="181" spans="1:19" ht="17.4">
      <c r="A181" s="1766" t="s">
        <v>828</v>
      </c>
      <c r="B181" s="1767"/>
      <c r="C181" s="1767"/>
      <c r="D181" s="1767"/>
      <c r="E181" s="1767"/>
      <c r="F181" s="1768"/>
      <c r="G181" s="176" t="s">
        <v>856</v>
      </c>
      <c r="H181" s="176" t="s">
        <v>857</v>
      </c>
      <c r="I181" s="176"/>
      <c r="J181" s="176" t="s">
        <v>858</v>
      </c>
      <c r="K181" s="176" t="s">
        <v>859</v>
      </c>
      <c r="L181" s="176" t="s">
        <v>860</v>
      </c>
      <c r="M181" s="176"/>
      <c r="N181" s="1756" t="s">
        <v>805</v>
      </c>
      <c r="O181" s="1757"/>
      <c r="P181" s="1757"/>
      <c r="Q181" s="1757"/>
      <c r="R181" s="1757"/>
      <c r="S181" s="1758"/>
    </row>
    <row r="182" spans="1:19" ht="15.6">
      <c r="A182" s="150" t="s">
        <v>447</v>
      </c>
      <c r="B182" s="144" t="s">
        <v>500</v>
      </c>
      <c r="C182" s="95"/>
      <c r="D182" s="95"/>
      <c r="E182" s="139"/>
      <c r="F182" s="149"/>
      <c r="G182" s="116" t="s">
        <v>691</v>
      </c>
      <c r="H182" s="116" t="s">
        <v>999</v>
      </c>
      <c r="I182" s="116"/>
      <c r="J182" s="116" t="s">
        <v>1472</v>
      </c>
      <c r="K182" s="116" t="s">
        <v>33</v>
      </c>
      <c r="L182" s="116"/>
      <c r="M182" s="116"/>
      <c r="N182" s="116"/>
      <c r="O182" s="116"/>
      <c r="P182" s="116"/>
      <c r="Q182" s="116"/>
      <c r="R182" s="116"/>
      <c r="S182" s="168"/>
    </row>
    <row r="183" spans="1:19" ht="15.6">
      <c r="A183" s="150"/>
      <c r="B183" s="144"/>
      <c r="C183" s="95"/>
      <c r="D183" s="95"/>
      <c r="E183" s="592"/>
      <c r="F183" s="149"/>
      <c r="G183" s="135" t="s">
        <v>662</v>
      </c>
      <c r="H183" s="136" t="s">
        <v>692</v>
      </c>
      <c r="I183" s="135"/>
      <c r="J183" s="135"/>
      <c r="K183" s="135"/>
      <c r="L183" s="135"/>
      <c r="M183" s="135"/>
      <c r="N183" s="1763"/>
      <c r="O183" s="1764"/>
      <c r="P183" s="1764"/>
      <c r="Q183" s="1764"/>
      <c r="R183" s="1764"/>
      <c r="S183" s="1765"/>
    </row>
    <row r="184" spans="1:19" ht="16.2" thickBot="1">
      <c r="A184" s="156">
        <v>110</v>
      </c>
      <c r="B184" s="157"/>
      <c r="C184" s="161" t="s">
        <v>497</v>
      </c>
      <c r="D184" s="164"/>
      <c r="E184" s="162" t="s">
        <v>1410</v>
      </c>
      <c r="F184" s="588"/>
      <c r="G184" s="965">
        <v>0.072452659199999991</v>
      </c>
      <c r="H184" s="241"/>
      <c r="I184" s="241"/>
      <c r="J184" s="192"/>
      <c r="K184" s="192"/>
      <c r="L184" s="192"/>
      <c r="M184" s="192"/>
      <c r="N184" s="1754"/>
      <c r="O184" s="1754"/>
      <c r="P184" s="1754"/>
      <c r="Q184" s="1754"/>
      <c r="R184" s="1754"/>
      <c r="S184" s="1755"/>
    </row>
    <row r="185" spans="7:19" ht="13.8">
      <c r="G185" s="116"/>
      <c r="H185" s="116"/>
      <c r="I185" s="116"/>
      <c r="J185" s="116"/>
      <c r="K185" s="116"/>
      <c r="L185" s="116"/>
      <c r="M185" s="116"/>
      <c r="N185" s="116"/>
      <c r="O185" s="116"/>
      <c r="P185" s="116"/>
      <c r="Q185" s="116"/>
      <c r="R185" s="116"/>
      <c r="S185" s="116"/>
    </row>
    <row r="186" spans="1:19" ht="21.6" thickBot="1">
      <c r="A186" s="159" t="s">
        <v>305</v>
      </c>
      <c r="G186" s="116"/>
      <c r="H186" s="116"/>
      <c r="I186" s="116"/>
      <c r="J186" s="116"/>
      <c r="K186" s="116"/>
      <c r="L186" s="116"/>
      <c r="M186" s="116"/>
      <c r="N186" s="116"/>
      <c r="O186" s="116"/>
      <c r="P186" s="116"/>
      <c r="Q186" s="116"/>
      <c r="R186" s="116"/>
      <c r="S186" s="116"/>
    </row>
    <row r="187" spans="1:19" ht="17.4">
      <c r="A187" s="1766" t="s">
        <v>828</v>
      </c>
      <c r="B187" s="1767"/>
      <c r="C187" s="1767"/>
      <c r="D187" s="1767"/>
      <c r="E187" s="1767"/>
      <c r="F187" s="1768"/>
      <c r="G187" s="244" t="s">
        <v>851</v>
      </c>
      <c r="H187" s="176" t="s">
        <v>861</v>
      </c>
      <c r="I187" s="176"/>
      <c r="J187" s="176" t="s">
        <v>862</v>
      </c>
      <c r="K187" s="1756" t="s">
        <v>805</v>
      </c>
      <c r="L187" s="1757"/>
      <c r="M187" s="1757"/>
      <c r="N187" s="1757"/>
      <c r="O187" s="1757"/>
      <c r="P187" s="1757"/>
      <c r="Q187" s="1757"/>
      <c r="R187" s="1757"/>
      <c r="S187" s="1758"/>
    </row>
    <row r="188" spans="1:19" ht="15.6">
      <c r="A188" s="150"/>
      <c r="B188" s="148" t="s">
        <v>457</v>
      </c>
      <c r="C188" s="95"/>
      <c r="D188" s="95"/>
      <c r="E188" s="139"/>
      <c r="F188" s="151"/>
      <c r="G188" s="170"/>
      <c r="H188" s="116"/>
      <c r="I188" s="116"/>
      <c r="J188" s="116"/>
      <c r="K188" s="116"/>
      <c r="L188" s="116"/>
      <c r="M188" s="116"/>
      <c r="N188" s="116"/>
      <c r="O188" s="116"/>
      <c r="P188" s="116"/>
      <c r="Q188" s="116"/>
      <c r="R188" s="116"/>
      <c r="S188" s="168"/>
    </row>
    <row r="189" spans="1:19" ht="16.5" customHeight="1" thickBot="1">
      <c r="A189" s="156">
        <v>63</v>
      </c>
      <c r="B189" s="160"/>
      <c r="C189" s="161" t="s">
        <v>559</v>
      </c>
      <c r="D189" s="165"/>
      <c r="E189" s="162" t="s">
        <v>1411</v>
      </c>
      <c r="F189" s="163" t="s">
        <v>162</v>
      </c>
      <c r="G189" s="936">
        <v>0</v>
      </c>
      <c r="H189" s="937">
        <v>0</v>
      </c>
      <c r="I189" s="192"/>
      <c r="J189" s="243">
        <f>G189-H189</f>
        <v>0</v>
      </c>
      <c r="K189" s="1782" t="s">
        <v>239</v>
      </c>
      <c r="L189" s="1783"/>
      <c r="M189" s="1783"/>
      <c r="N189" s="1783"/>
      <c r="O189" s="1783"/>
      <c r="P189" s="1783"/>
      <c r="Q189" s="1783"/>
      <c r="R189" s="1783"/>
      <c r="S189" s="1784"/>
    </row>
    <row r="190" spans="7:19" ht="13.8">
      <c r="G190" s="116"/>
      <c r="H190" s="116"/>
      <c r="I190" s="116"/>
      <c r="J190" s="116"/>
      <c r="K190" s="116"/>
      <c r="L190" s="116"/>
      <c r="M190" s="116"/>
      <c r="N190" s="116"/>
      <c r="O190" s="116"/>
      <c r="P190" s="116"/>
      <c r="Q190" s="116"/>
      <c r="R190" s="116"/>
      <c r="S190" s="116"/>
    </row>
    <row r="191" spans="1:19" ht="21.6" thickBot="1">
      <c r="A191" s="159" t="s">
        <v>306</v>
      </c>
      <c r="G191" s="116"/>
      <c r="H191" s="116"/>
      <c r="I191" s="116"/>
      <c r="J191" s="116"/>
      <c r="K191" s="116"/>
      <c r="L191" s="116"/>
      <c r="M191" s="116"/>
      <c r="N191" s="116"/>
      <c r="O191" s="116"/>
      <c r="P191" s="116"/>
      <c r="Q191" s="116"/>
      <c r="R191" s="116"/>
      <c r="S191" s="116"/>
    </row>
    <row r="192" spans="1:19" ht="27.6">
      <c r="A192" s="1766" t="s">
        <v>828</v>
      </c>
      <c r="B192" s="1767"/>
      <c r="C192" s="1767"/>
      <c r="D192" s="1767"/>
      <c r="E192" s="1767"/>
      <c r="F192" s="1768"/>
      <c r="G192" s="244" t="str">
        <f>+C194</f>
        <v>Excluded Transmission Facilities</v>
      </c>
      <c r="H192" s="1756" t="s">
        <v>864</v>
      </c>
      <c r="I192" s="1756"/>
      <c r="J192" s="1792"/>
      <c r="K192" s="1792"/>
      <c r="L192" s="1792"/>
      <c r="M192" s="1792"/>
      <c r="N192" s="1792"/>
      <c r="O192" s="1792"/>
      <c r="P192" s="1792"/>
      <c r="Q192" s="1792"/>
      <c r="R192" s="1792"/>
      <c r="S192" s="1793"/>
    </row>
    <row r="193" spans="1:19" ht="18">
      <c r="A193" s="154"/>
      <c r="B193" s="136" t="s">
        <v>460</v>
      </c>
      <c r="C193" s="146"/>
      <c r="D193" s="146"/>
      <c r="E193" s="147"/>
      <c r="F193" s="272"/>
      <c r="G193" s="170"/>
      <c r="H193" s="116"/>
      <c r="I193" s="116"/>
      <c r="J193" s="116"/>
      <c r="K193" s="116"/>
      <c r="L193" s="116"/>
      <c r="M193" s="116"/>
      <c r="N193" s="116"/>
      <c r="O193" s="116"/>
      <c r="P193" s="116"/>
      <c r="Q193" s="116"/>
      <c r="R193" s="116"/>
      <c r="S193" s="168"/>
    </row>
    <row r="194" spans="1:19" ht="18">
      <c r="A194" s="150">
        <v>126</v>
      </c>
      <c r="B194" s="137"/>
      <c r="C194" s="143" t="s">
        <v>461</v>
      </c>
      <c r="D194" s="146"/>
      <c r="E194" s="138" t="s">
        <v>1412</v>
      </c>
      <c r="F194" s="143"/>
      <c r="G194" s="273"/>
      <c r="H194" s="1763" t="s">
        <v>866</v>
      </c>
      <c r="I194" s="1763"/>
      <c r="J194" s="1764"/>
      <c r="K194" s="1764"/>
      <c r="L194" s="1764"/>
      <c r="M194" s="1764"/>
      <c r="N194" s="1764"/>
      <c r="O194" s="1764"/>
      <c r="P194" s="1764"/>
      <c r="Q194" s="1764"/>
      <c r="R194" s="1764"/>
      <c r="S194" s="1765"/>
    </row>
    <row r="195" spans="1:19" ht="18">
      <c r="A195" s="150"/>
      <c r="B195" s="137"/>
      <c r="C195" s="143" t="s">
        <v>683</v>
      </c>
      <c r="D195" s="146"/>
      <c r="E195" s="138"/>
      <c r="F195" s="143"/>
      <c r="G195" s="319">
        <v>0</v>
      </c>
      <c r="H195" s="172"/>
      <c r="I195" s="172"/>
      <c r="J195" s="171"/>
      <c r="K195" s="171"/>
      <c r="L195" s="171"/>
      <c r="M195" s="171"/>
      <c r="N195" s="171"/>
      <c r="O195" s="171"/>
      <c r="P195" s="171"/>
      <c r="Q195" s="171"/>
      <c r="R195" s="171"/>
      <c r="S195" s="246"/>
    </row>
    <row r="196" spans="1:19" ht="18">
      <c r="A196" s="150"/>
      <c r="B196" s="137"/>
      <c r="C196" s="95"/>
      <c r="D196" s="146"/>
      <c r="E196" s="142"/>
      <c r="F196" s="141"/>
      <c r="G196" s="170"/>
      <c r="H196" s="116"/>
      <c r="I196" s="116"/>
      <c r="J196" s="116"/>
      <c r="K196" s="116"/>
      <c r="L196" s="116"/>
      <c r="M196" s="116"/>
      <c r="N196" s="116"/>
      <c r="O196" s="116"/>
      <c r="P196" s="116"/>
      <c r="Q196" s="135"/>
      <c r="R196" s="116"/>
      <c r="S196" s="168"/>
    </row>
    <row r="197" spans="1:19" ht="18">
      <c r="A197" s="150"/>
      <c r="B197" s="137"/>
      <c r="C197" s="95" t="s">
        <v>409</v>
      </c>
      <c r="D197" s="146"/>
      <c r="E197" s="142"/>
      <c r="F197" s="141"/>
      <c r="G197" s="262" t="s">
        <v>863</v>
      </c>
      <c r="H197" s="1763"/>
      <c r="I197" s="1763"/>
      <c r="J197" s="1764"/>
      <c r="K197" s="1764"/>
      <c r="L197" s="1764"/>
      <c r="M197" s="1764"/>
      <c r="N197" s="1764"/>
      <c r="O197" s="1764"/>
      <c r="P197" s="1764"/>
      <c r="Q197" s="1764"/>
      <c r="R197" s="1764"/>
      <c r="S197" s="1765"/>
    </row>
    <row r="198" spans="1:19" ht="18">
      <c r="A198" s="150"/>
      <c r="B198" s="137">
        <v>1</v>
      </c>
      <c r="C198" s="95" t="s">
        <v>574</v>
      </c>
      <c r="D198" s="146"/>
      <c r="E198" s="142"/>
      <c r="F198" s="141"/>
      <c r="G198" s="263"/>
      <c r="H198" s="1763"/>
      <c r="I198" s="1763"/>
      <c r="J198" s="1764"/>
      <c r="K198" s="1764"/>
      <c r="L198" s="1764"/>
      <c r="M198" s="1764"/>
      <c r="N198" s="1764"/>
      <c r="O198" s="1764"/>
      <c r="P198" s="1764"/>
      <c r="Q198" s="1764"/>
      <c r="R198" s="1764"/>
      <c r="S198" s="1765"/>
    </row>
    <row r="199" spans="1:19" ht="18">
      <c r="A199" s="150"/>
      <c r="B199" s="137"/>
      <c r="C199" s="95" t="s">
        <v>582</v>
      </c>
      <c r="D199" s="146"/>
      <c r="E199" s="142"/>
      <c r="F199" s="141"/>
      <c r="G199" s="263"/>
      <c r="H199" s="172"/>
      <c r="I199" s="172"/>
      <c r="J199" s="171"/>
      <c r="K199" s="171"/>
      <c r="L199" s="171"/>
      <c r="M199" s="171"/>
      <c r="N199" s="171"/>
      <c r="O199" s="171"/>
      <c r="P199" s="171"/>
      <c r="Q199" s="171"/>
      <c r="R199" s="171"/>
      <c r="S199" s="246"/>
    </row>
    <row r="200" spans="1:19" ht="18">
      <c r="A200" s="150"/>
      <c r="B200" s="137">
        <v>2</v>
      </c>
      <c r="C200" s="95" t="s">
        <v>411</v>
      </c>
      <c r="D200" s="146"/>
      <c r="E200" s="142"/>
      <c r="F200" s="141"/>
      <c r="G200" s="262" t="s">
        <v>412</v>
      </c>
      <c r="H200" s="1763"/>
      <c r="I200" s="1763"/>
      <c r="J200" s="1764"/>
      <c r="K200" s="1764"/>
      <c r="L200" s="1764"/>
      <c r="M200" s="1764"/>
      <c r="N200" s="1764"/>
      <c r="O200" s="1764"/>
      <c r="P200" s="1764"/>
      <c r="Q200" s="1764"/>
      <c r="R200" s="1764"/>
      <c r="S200" s="1765"/>
    </row>
    <row r="201" spans="1:19" ht="18">
      <c r="A201" s="150"/>
      <c r="B201" s="137"/>
      <c r="C201" s="95" t="s">
        <v>416</v>
      </c>
      <c r="D201" s="145" t="s">
        <v>417</v>
      </c>
      <c r="E201" s="142"/>
      <c r="F201" s="141"/>
      <c r="G201" s="262" t="str">
        <f>+G197</f>
        <v>Enter $</v>
      </c>
      <c r="H201" s="1763"/>
      <c r="I201" s="1763"/>
      <c r="J201" s="1764"/>
      <c r="K201" s="1764"/>
      <c r="L201" s="1764"/>
      <c r="M201" s="1764"/>
      <c r="N201" s="1764"/>
      <c r="O201" s="1764"/>
      <c r="P201" s="1764"/>
      <c r="Q201" s="1764"/>
      <c r="R201" s="1764"/>
      <c r="S201" s="1765"/>
    </row>
    <row r="202" spans="1:19" ht="15.6">
      <c r="A202" s="265"/>
      <c r="B202" s="118" t="s">
        <v>449</v>
      </c>
      <c r="C202" s="95" t="s">
        <v>418</v>
      </c>
      <c r="D202" s="268">
        <v>1000000</v>
      </c>
      <c r="G202" s="263"/>
      <c r="H202" s="1763"/>
      <c r="I202" s="1763"/>
      <c r="J202" s="1764"/>
      <c r="K202" s="1764"/>
      <c r="L202" s="1764"/>
      <c r="M202" s="1764"/>
      <c r="N202" s="1764"/>
      <c r="O202" s="1764"/>
      <c r="P202" s="1764"/>
      <c r="Q202" s="1764"/>
      <c r="R202" s="1764"/>
      <c r="S202" s="1765"/>
    </row>
    <row r="203" spans="1:19" ht="15.6">
      <c r="A203" s="265"/>
      <c r="B203" s="118" t="s">
        <v>525</v>
      </c>
      <c r="C203" s="95" t="s">
        <v>419</v>
      </c>
      <c r="D203" s="268">
        <v>500000</v>
      </c>
      <c r="G203" s="263"/>
      <c r="H203" s="1763"/>
      <c r="I203" s="1763"/>
      <c r="J203" s="1764"/>
      <c r="K203" s="1764"/>
      <c r="L203" s="1764"/>
      <c r="M203" s="1764"/>
      <c r="N203" s="1764"/>
      <c r="O203" s="1764"/>
      <c r="P203" s="1764"/>
      <c r="Q203" s="1764"/>
      <c r="R203" s="1764"/>
      <c r="S203" s="1765"/>
    </row>
    <row r="204" spans="1:19" ht="15.6">
      <c r="A204" s="265"/>
      <c r="B204" s="118" t="s">
        <v>432</v>
      </c>
      <c r="C204" s="95" t="s">
        <v>420</v>
      </c>
      <c r="D204" s="268">
        <v>400000</v>
      </c>
      <c r="G204" s="263"/>
      <c r="H204" s="1763"/>
      <c r="I204" s="1763"/>
      <c r="J204" s="1764"/>
      <c r="K204" s="1764"/>
      <c r="L204" s="1764"/>
      <c r="M204" s="1764"/>
      <c r="N204" s="1764"/>
      <c r="O204" s="1764"/>
      <c r="P204" s="1764"/>
      <c r="Q204" s="1764"/>
      <c r="R204" s="1764"/>
      <c r="S204" s="1765"/>
    </row>
    <row r="205" spans="1:19" ht="15.6">
      <c r="A205" s="265"/>
      <c r="B205" s="118" t="s">
        <v>450</v>
      </c>
      <c r="C205" s="95" t="s">
        <v>421</v>
      </c>
      <c r="D205" s="268">
        <f>+D202*(D204/(D203+D204))</f>
        <v>444444.44444444444</v>
      </c>
      <c r="G205" s="263"/>
      <c r="H205" s="1763"/>
      <c r="I205" s="1763"/>
      <c r="J205" s="1764"/>
      <c r="K205" s="1764"/>
      <c r="L205" s="1764"/>
      <c r="M205" s="1764"/>
      <c r="N205" s="1764"/>
      <c r="O205" s="1764"/>
      <c r="P205" s="1764"/>
      <c r="Q205" s="1764"/>
      <c r="R205" s="1764"/>
      <c r="S205" s="1765"/>
    </row>
    <row r="206" spans="1:19" ht="14.4" thickBot="1">
      <c r="A206" s="128"/>
      <c r="B206" s="129"/>
      <c r="C206" s="129"/>
      <c r="D206" s="129"/>
      <c r="E206" s="129"/>
      <c r="F206" s="129"/>
      <c r="G206" s="173"/>
      <c r="H206" s="169"/>
      <c r="I206" s="169"/>
      <c r="J206" s="169"/>
      <c r="K206" s="169"/>
      <c r="L206" s="177" t="s">
        <v>865</v>
      </c>
      <c r="M206" s="177"/>
      <c r="N206" s="169"/>
      <c r="O206" s="169"/>
      <c r="P206" s="169"/>
      <c r="Q206" s="169"/>
      <c r="R206" s="169"/>
      <c r="S206" s="174"/>
    </row>
    <row r="207" spans="7:19" ht="12.75" customHeight="1">
      <c r="G207" s="116"/>
      <c r="H207" s="116"/>
      <c r="I207" s="116"/>
      <c r="J207" s="116"/>
      <c r="K207" s="116"/>
      <c r="L207" s="117"/>
      <c r="M207" s="117"/>
      <c r="N207" s="116"/>
      <c r="O207" s="116"/>
      <c r="P207" s="116"/>
      <c r="Q207" s="116"/>
      <c r="R207" s="116"/>
      <c r="S207" s="116"/>
    </row>
    <row r="208" spans="1:19" ht="21.6" thickBot="1">
      <c r="A208" s="159" t="s">
        <v>470</v>
      </c>
      <c r="G208" s="116"/>
      <c r="H208" s="116"/>
      <c r="I208" s="116"/>
      <c r="J208" s="116"/>
      <c r="K208" s="116"/>
      <c r="L208" s="116"/>
      <c r="M208" s="116"/>
      <c r="N208" s="116"/>
      <c r="O208" s="116"/>
      <c r="P208" s="116"/>
      <c r="Q208" s="116"/>
      <c r="R208" s="116"/>
      <c r="S208" s="116"/>
    </row>
    <row r="209" spans="1:19" ht="57" customHeight="1">
      <c r="A209" s="1766" t="s">
        <v>828</v>
      </c>
      <c r="B209" s="1767"/>
      <c r="C209" s="1767"/>
      <c r="D209" s="1767"/>
      <c r="E209" s="1767"/>
      <c r="F209" s="1767"/>
      <c r="G209" s="1356" t="s">
        <v>9</v>
      </c>
      <c r="H209" s="1357" t="s">
        <v>10</v>
      </c>
      <c r="I209" s="1357"/>
      <c r="J209" s="1357" t="s">
        <v>317</v>
      </c>
      <c r="K209" s="176" t="s">
        <v>535</v>
      </c>
      <c r="L209" s="176" t="s">
        <v>853</v>
      </c>
      <c r="M209" s="176"/>
      <c r="N209" s="1756" t="s">
        <v>805</v>
      </c>
      <c r="O209" s="1756"/>
      <c r="P209" s="1756"/>
      <c r="Q209" s="1756"/>
      <c r="R209" s="1756"/>
      <c r="S209" s="1777"/>
    </row>
    <row r="210" spans="1:19" ht="15.6">
      <c r="A210" s="150">
        <v>36</v>
      </c>
      <c r="B210" s="140" t="s">
        <v>470</v>
      </c>
      <c r="C210" s="148"/>
      <c r="D210" s="140"/>
      <c r="E210" s="142"/>
      <c r="F210" s="360"/>
      <c r="G210" s="265"/>
      <c r="J210" s="252" t="s">
        <v>863</v>
      </c>
      <c r="K210" s="252"/>
      <c r="L210" s="252" t="s">
        <v>802</v>
      </c>
      <c r="M210" s="252"/>
      <c r="N210" s="116"/>
      <c r="O210" s="116"/>
      <c r="P210" s="116"/>
      <c r="Q210" s="116"/>
      <c r="R210" s="116"/>
      <c r="S210" s="168"/>
    </row>
    <row r="211" spans="1:19" ht="15.6">
      <c r="A211" s="150"/>
      <c r="B211" s="137"/>
      <c r="C211" t="s">
        <v>362</v>
      </c>
      <c r="D211" s="357"/>
      <c r="E211" s="358"/>
      <c r="F211" s="361" t="s">
        <v>840</v>
      </c>
      <c r="G211" s="1359">
        <v>1019124</v>
      </c>
      <c r="H211" s="1359">
        <v>1152574</v>
      </c>
      <c r="I211" s="1360"/>
      <c r="J211" s="1361">
        <f>AVERAGE(G211:H211)</f>
        <v>1085849</v>
      </c>
      <c r="K211" s="1362">
        <v>1</v>
      </c>
      <c r="L211" s="1361">
        <f>+J211*K211</f>
        <v>1085849</v>
      </c>
      <c r="M211" s="252"/>
      <c r="N211" s="820"/>
      <c r="O211" s="116"/>
      <c r="P211" s="116"/>
      <c r="Q211" s="116"/>
      <c r="R211" s="116"/>
      <c r="S211" s="168"/>
    </row>
    <row r="212" spans="1:19" ht="15.6">
      <c r="A212" s="150"/>
      <c r="B212" s="137"/>
      <c r="C212" s="299" t="s">
        <v>592</v>
      </c>
      <c r="D212" s="359"/>
      <c r="E212" s="358"/>
      <c r="F212" s="361"/>
      <c r="G212" s="1363">
        <v>0</v>
      </c>
      <c r="H212" s="1364">
        <v>0</v>
      </c>
      <c r="I212" s="1360"/>
      <c r="J212" s="1365">
        <f>AVERAGE(G212:H212)</f>
        <v>0</v>
      </c>
      <c r="K212" s="1362">
        <v>1</v>
      </c>
      <c r="L212" s="1365">
        <f>+J212*K212</f>
        <v>0</v>
      </c>
      <c r="M212" s="252"/>
      <c r="N212" s="116"/>
      <c r="O212" s="116"/>
      <c r="P212" s="116"/>
      <c r="Q212" s="116"/>
      <c r="R212" s="116"/>
      <c r="S212" s="168"/>
    </row>
    <row r="213" spans="1:19" ht="15.6">
      <c r="A213" s="150"/>
      <c r="B213" s="137"/>
      <c r="C213" s="229" t="s">
        <v>839</v>
      </c>
      <c r="D213" s="253"/>
      <c r="E213" s="253"/>
      <c r="G213" s="1366">
        <f>SUM(G211:G212)</f>
        <v>1019124</v>
      </c>
      <c r="H213" s="1367">
        <f>SUM(H211:H212)</f>
        <v>1152574</v>
      </c>
      <c r="I213" s="1368"/>
      <c r="J213" s="1369">
        <f>SUM(J211:J212)</f>
        <v>1085849</v>
      </c>
      <c r="K213" s="1370"/>
      <c r="L213" s="1371">
        <f>SUM(L211:L212)</f>
        <v>1085849</v>
      </c>
      <c r="M213" s="382"/>
      <c r="N213" s="383"/>
      <c r="O213" s="384"/>
      <c r="P213" s="171"/>
      <c r="Q213" s="171"/>
      <c r="R213" s="171"/>
      <c r="S213" s="246"/>
    </row>
    <row r="214" spans="1:19" ht="16.2" thickBot="1">
      <c r="A214" s="156"/>
      <c r="B214" s="157"/>
      <c r="C214" s="157"/>
      <c r="D214" s="157"/>
      <c r="E214" s="162"/>
      <c r="F214" s="157"/>
      <c r="G214" s="173"/>
      <c r="H214" s="169"/>
      <c r="I214" s="169"/>
      <c r="J214" s="169"/>
      <c r="K214" s="169"/>
      <c r="L214" s="177"/>
      <c r="M214" s="177"/>
      <c r="N214" s="169"/>
      <c r="O214" s="169"/>
      <c r="P214" s="169"/>
      <c r="Q214" s="169"/>
      <c r="R214" s="169"/>
      <c r="S214" s="174"/>
    </row>
    <row r="215" spans="7:19" ht="13.8">
      <c r="G215" s="116"/>
      <c r="H215" s="116"/>
      <c r="I215" s="116"/>
      <c r="J215" s="116"/>
      <c r="K215" s="116"/>
      <c r="L215" s="117"/>
      <c r="M215" s="117"/>
      <c r="N215" s="116"/>
      <c r="O215" s="116"/>
      <c r="P215" s="116"/>
      <c r="Q215" s="116"/>
      <c r="R215" s="116"/>
      <c r="S215" s="116"/>
    </row>
    <row r="216" spans="1:256" ht="21.6" thickBot="1">
      <c r="A216" s="159" t="s">
        <v>44</v>
      </c>
      <c r="B216" s="137"/>
      <c r="C216" s="137"/>
      <c r="D216" s="137"/>
      <c r="E216" s="138"/>
      <c r="F216" s="137"/>
      <c r="G216" s="116"/>
      <c r="H216" s="116"/>
      <c r="I216" s="116"/>
      <c r="J216" s="116"/>
      <c r="K216" s="116"/>
      <c r="L216" s="117"/>
      <c r="M216" s="117"/>
      <c r="N216" s="116"/>
      <c r="O216" s="116"/>
      <c r="P216" s="116"/>
      <c r="Q216" s="116"/>
      <c r="R216" s="116"/>
      <c r="S216" s="116"/>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7"/>
      <c r="AX216" s="137"/>
      <c r="AY216" s="137"/>
      <c r="AZ216" s="137"/>
      <c r="BA216" s="137"/>
      <c r="BB216" s="137"/>
      <c r="BC216" s="137"/>
      <c r="BD216" s="137"/>
      <c r="BE216" s="137"/>
      <c r="BF216" s="137"/>
      <c r="BG216" s="137"/>
      <c r="BH216" s="137"/>
      <c r="BI216" s="137"/>
      <c r="BJ216" s="137"/>
      <c r="BK216" s="137"/>
      <c r="BL216" s="137"/>
      <c r="BM216" s="137"/>
      <c r="BN216" s="137"/>
      <c r="BO216" s="137"/>
      <c r="BP216" s="143"/>
      <c r="BQ216" s="137"/>
      <c r="BR216" s="137"/>
      <c r="BS216" s="137"/>
      <c r="BT216" s="137"/>
      <c r="BU216" s="137"/>
      <c r="BV216" s="143"/>
      <c r="BW216" s="137"/>
      <c r="BX216" s="137"/>
      <c r="BY216" s="137"/>
      <c r="BZ216" s="137"/>
      <c r="CA216" s="137"/>
      <c r="CB216" s="143"/>
      <c r="CC216" s="137"/>
      <c r="CD216" s="137"/>
      <c r="CE216" s="137"/>
      <c r="CF216" s="137"/>
      <c r="CG216" s="137"/>
      <c r="CH216" s="143"/>
      <c r="CI216" s="137"/>
      <c r="CJ216" s="137"/>
      <c r="CK216" s="137"/>
      <c r="CL216" s="137"/>
      <c r="CM216" s="137"/>
      <c r="CN216" s="143"/>
      <c r="CO216" s="137"/>
      <c r="CP216" s="137"/>
      <c r="CQ216" s="137"/>
      <c r="CR216" s="137"/>
      <c r="CS216" s="137"/>
      <c r="CT216" s="143"/>
      <c r="CU216" s="137"/>
      <c r="CV216" s="137"/>
      <c r="CW216" s="137"/>
      <c r="CX216" s="137"/>
      <c r="CY216" s="137"/>
      <c r="CZ216" s="143"/>
      <c r="DA216" s="137"/>
      <c r="DB216" s="137"/>
      <c r="DC216" s="137"/>
      <c r="DD216" s="137"/>
      <c r="DE216" s="137"/>
      <c r="DF216" s="143"/>
      <c r="DG216" s="137"/>
      <c r="DH216" s="137"/>
      <c r="DI216" s="137"/>
      <c r="DJ216" s="137"/>
      <c r="DK216" s="137"/>
      <c r="DL216" s="143"/>
      <c r="DM216" s="137"/>
      <c r="DN216" s="137"/>
      <c r="DO216" s="137"/>
      <c r="DP216" s="137"/>
      <c r="DQ216" s="137"/>
      <c r="DR216" s="143"/>
      <c r="DS216" s="137"/>
      <c r="DT216" s="137"/>
      <c r="DU216" s="137"/>
      <c r="DV216" s="137"/>
      <c r="DW216" s="137"/>
      <c r="DX216" s="143"/>
      <c r="DY216" s="137"/>
      <c r="DZ216" s="137"/>
      <c r="EA216" s="137"/>
      <c r="EB216" s="137"/>
      <c r="EC216" s="137"/>
      <c r="ED216" s="143"/>
      <c r="EE216" s="137"/>
      <c r="EF216" s="137"/>
      <c r="EG216" s="137"/>
      <c r="EH216" s="137"/>
      <c r="EI216" s="137"/>
      <c r="EJ216" s="143"/>
      <c r="EK216" s="137"/>
      <c r="EL216" s="137"/>
      <c r="EM216" s="137"/>
      <c r="EN216" s="137"/>
      <c r="EO216" s="137"/>
      <c r="EP216" s="143"/>
      <c r="EQ216" s="137"/>
      <c r="ER216" s="137"/>
      <c r="ES216" s="137"/>
      <c r="ET216" s="137"/>
      <c r="EU216" s="137"/>
      <c r="EV216" s="143"/>
      <c r="EW216" s="137"/>
      <c r="EX216" s="137"/>
      <c r="EY216" s="137"/>
      <c r="EZ216" s="137"/>
      <c r="FA216" s="137"/>
      <c r="FB216" s="143"/>
      <c r="FC216" s="137"/>
      <c r="FD216" s="137"/>
      <c r="FE216" s="137"/>
      <c r="FF216" s="137"/>
      <c r="FG216" s="137"/>
      <c r="FH216" s="143"/>
      <c r="FI216" s="137"/>
      <c r="FJ216" s="137"/>
      <c r="FK216" s="137"/>
      <c r="FL216" s="137"/>
      <c r="FM216" s="137"/>
      <c r="FN216" s="143"/>
      <c r="FO216" s="137"/>
      <c r="FP216" s="137"/>
      <c r="FQ216" s="137"/>
      <c r="FR216" s="137"/>
      <c r="FS216" s="137"/>
      <c r="FT216" s="143"/>
      <c r="FU216" s="137"/>
      <c r="FV216" s="137"/>
      <c r="FW216" s="137"/>
      <c r="FX216" s="137"/>
      <c r="FY216" s="137"/>
      <c r="FZ216" s="143"/>
      <c r="GA216" s="137"/>
      <c r="GB216" s="137"/>
      <c r="GC216" s="137"/>
      <c r="GD216" s="137"/>
      <c r="GE216" s="137"/>
      <c r="GF216" s="143"/>
      <c r="GG216" s="137"/>
      <c r="GH216" s="137"/>
      <c r="GI216" s="137"/>
      <c r="GJ216" s="137"/>
      <c r="GK216" s="137"/>
      <c r="GL216" s="143"/>
      <c r="GM216" s="137"/>
      <c r="GN216" s="137"/>
      <c r="GO216" s="137"/>
      <c r="GP216" s="137"/>
      <c r="GQ216" s="137"/>
      <c r="GR216" s="143"/>
      <c r="GS216" s="137"/>
      <c r="GT216" s="137"/>
      <c r="GU216" s="137"/>
      <c r="GV216" s="137"/>
      <c r="GW216" s="137"/>
      <c r="GX216" s="143"/>
      <c r="GY216" s="137"/>
      <c r="GZ216" s="137"/>
      <c r="HA216" s="137"/>
      <c r="HB216" s="137"/>
      <c r="HC216" s="137"/>
      <c r="HD216" s="143"/>
      <c r="HE216" s="137"/>
      <c r="HF216" s="137"/>
      <c r="HG216" s="137"/>
      <c r="HH216" s="137"/>
      <c r="HI216" s="137"/>
      <c r="HJ216" s="143"/>
      <c r="HK216" s="137"/>
      <c r="HL216" s="137"/>
      <c r="HM216" s="137"/>
      <c r="HN216" s="137"/>
      <c r="HO216" s="137"/>
      <c r="HP216" s="143"/>
      <c r="HQ216" s="137"/>
      <c r="HR216" s="137"/>
      <c r="HS216" s="137"/>
      <c r="HT216" s="137"/>
      <c r="HU216" s="137"/>
      <c r="HV216" s="143"/>
      <c r="HW216" s="137"/>
      <c r="HX216" s="137"/>
      <c r="HY216" s="137"/>
      <c r="HZ216" s="137"/>
      <c r="IA216" s="137"/>
      <c r="IB216" s="143"/>
      <c r="IC216" s="137"/>
      <c r="ID216" s="137"/>
      <c r="IE216" s="137"/>
      <c r="IF216" s="137"/>
      <c r="IG216" s="137"/>
      <c r="IH216" s="143"/>
      <c r="II216" s="137"/>
      <c r="IJ216" s="137"/>
      <c r="IK216" s="137"/>
      <c r="IL216" s="137"/>
      <c r="IM216" s="137"/>
      <c r="IN216" s="143"/>
      <c r="IO216" s="137"/>
      <c r="IP216" s="137"/>
      <c r="IQ216" s="137"/>
      <c r="IR216" s="137"/>
      <c r="IS216" s="137"/>
      <c r="IT216" s="143"/>
      <c r="IU216" s="137"/>
      <c r="IV216" s="137"/>
    </row>
    <row r="217" spans="1:256" ht="17.4">
      <c r="A217" s="1788" t="s">
        <v>828</v>
      </c>
      <c r="B217" s="1789"/>
      <c r="C217" s="1789"/>
      <c r="D217" s="1789"/>
      <c r="E217" s="1789"/>
      <c r="F217" s="1790"/>
      <c r="G217" s="938" t="s">
        <v>524</v>
      </c>
      <c r="H217" s="176"/>
      <c r="I217" s="176"/>
      <c r="J217" s="176"/>
      <c r="K217" s="1756" t="s">
        <v>805</v>
      </c>
      <c r="L217" s="1757"/>
      <c r="M217" s="1757"/>
      <c r="N217" s="1757"/>
      <c r="O217" s="1757"/>
      <c r="P217" s="1757"/>
      <c r="Q217" s="1757"/>
      <c r="R217" s="1757"/>
      <c r="S217" s="1758"/>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c r="AW217" s="137"/>
      <c r="AX217" s="137"/>
      <c r="AY217" s="137"/>
      <c r="AZ217" s="137"/>
      <c r="BA217" s="137"/>
      <c r="BB217" s="137"/>
      <c r="BC217" s="137"/>
      <c r="BD217" s="137"/>
      <c r="BE217" s="137"/>
      <c r="BF217" s="137"/>
      <c r="BG217" s="137"/>
      <c r="BH217" s="137"/>
      <c r="BI217" s="137"/>
      <c r="BJ217" s="137"/>
      <c r="BK217" s="137"/>
      <c r="BL217" s="137"/>
      <c r="BM217" s="137"/>
      <c r="BN217" s="137"/>
      <c r="BO217" s="137"/>
      <c r="BP217" s="143"/>
      <c r="BQ217" s="137"/>
      <c r="BR217" s="137"/>
      <c r="BS217" s="137"/>
      <c r="BT217" s="137"/>
      <c r="BU217" s="137"/>
      <c r="BV217" s="143"/>
      <c r="BW217" s="137"/>
      <c r="BX217" s="137"/>
      <c r="BY217" s="137"/>
      <c r="BZ217" s="137"/>
      <c r="CA217" s="137"/>
      <c r="CB217" s="143"/>
      <c r="CC217" s="137"/>
      <c r="CD217" s="137"/>
      <c r="CE217" s="137"/>
      <c r="CF217" s="137"/>
      <c r="CG217" s="137"/>
      <c r="CH217" s="143"/>
      <c r="CI217" s="137"/>
      <c r="CJ217" s="137"/>
      <c r="CK217" s="137"/>
      <c r="CL217" s="137"/>
      <c r="CM217" s="137"/>
      <c r="CN217" s="143"/>
      <c r="CO217" s="137"/>
      <c r="CP217" s="137"/>
      <c r="CQ217" s="137"/>
      <c r="CR217" s="137"/>
      <c r="CS217" s="137"/>
      <c r="CT217" s="143"/>
      <c r="CU217" s="137"/>
      <c r="CV217" s="137"/>
      <c r="CW217" s="137"/>
      <c r="CX217" s="137"/>
      <c r="CY217" s="137"/>
      <c r="CZ217" s="143"/>
      <c r="DA217" s="137"/>
      <c r="DB217" s="137"/>
      <c r="DC217" s="137"/>
      <c r="DD217" s="137"/>
      <c r="DE217" s="137"/>
      <c r="DF217" s="143"/>
      <c r="DG217" s="137"/>
      <c r="DH217" s="137"/>
      <c r="DI217" s="137"/>
      <c r="DJ217" s="137"/>
      <c r="DK217" s="137"/>
      <c r="DL217" s="143"/>
      <c r="DM217" s="137"/>
      <c r="DN217" s="137"/>
      <c r="DO217" s="137"/>
      <c r="DP217" s="137"/>
      <c r="DQ217" s="137"/>
      <c r="DR217" s="143"/>
      <c r="DS217" s="137"/>
      <c r="DT217" s="137"/>
      <c r="DU217" s="137"/>
      <c r="DV217" s="137"/>
      <c r="DW217" s="137"/>
      <c r="DX217" s="143"/>
      <c r="DY217" s="137"/>
      <c r="DZ217" s="137"/>
      <c r="EA217" s="137"/>
      <c r="EB217" s="137"/>
      <c r="EC217" s="137"/>
      <c r="ED217" s="143"/>
      <c r="EE217" s="137"/>
      <c r="EF217" s="137"/>
      <c r="EG217" s="137"/>
      <c r="EH217" s="137"/>
      <c r="EI217" s="137"/>
      <c r="EJ217" s="143"/>
      <c r="EK217" s="137"/>
      <c r="EL217" s="137"/>
      <c r="EM217" s="137"/>
      <c r="EN217" s="137"/>
      <c r="EO217" s="137"/>
      <c r="EP217" s="143"/>
      <c r="EQ217" s="137"/>
      <c r="ER217" s="137"/>
      <c r="ES217" s="137"/>
      <c r="ET217" s="137"/>
      <c r="EU217" s="137"/>
      <c r="EV217" s="143"/>
      <c r="EW217" s="137"/>
      <c r="EX217" s="137"/>
      <c r="EY217" s="137"/>
      <c r="EZ217" s="137"/>
      <c r="FA217" s="137"/>
      <c r="FB217" s="143"/>
      <c r="FC217" s="137"/>
      <c r="FD217" s="137"/>
      <c r="FE217" s="137"/>
      <c r="FF217" s="137"/>
      <c r="FG217" s="137"/>
      <c r="FH217" s="143"/>
      <c r="FI217" s="137"/>
      <c r="FJ217" s="137"/>
      <c r="FK217" s="137"/>
      <c r="FL217" s="137"/>
      <c r="FM217" s="137"/>
      <c r="FN217" s="143"/>
      <c r="FO217" s="137"/>
      <c r="FP217" s="137"/>
      <c r="FQ217" s="137"/>
      <c r="FR217" s="137"/>
      <c r="FS217" s="137"/>
      <c r="FT217" s="143"/>
      <c r="FU217" s="137"/>
      <c r="FV217" s="137"/>
      <c r="FW217" s="137"/>
      <c r="FX217" s="137"/>
      <c r="FY217" s="137"/>
      <c r="FZ217" s="143"/>
      <c r="GA217" s="137"/>
      <c r="GB217" s="137"/>
      <c r="GC217" s="137"/>
      <c r="GD217" s="137"/>
      <c r="GE217" s="137"/>
      <c r="GF217" s="143"/>
      <c r="GG217" s="137"/>
      <c r="GH217" s="137"/>
      <c r="GI217" s="137"/>
      <c r="GJ217" s="137"/>
      <c r="GK217" s="137"/>
      <c r="GL217" s="143"/>
      <c r="GM217" s="137"/>
      <c r="GN217" s="137"/>
      <c r="GO217" s="137"/>
      <c r="GP217" s="137"/>
      <c r="GQ217" s="137"/>
      <c r="GR217" s="143"/>
      <c r="GS217" s="137"/>
      <c r="GT217" s="137"/>
      <c r="GU217" s="137"/>
      <c r="GV217" s="137"/>
      <c r="GW217" s="137"/>
      <c r="GX217" s="143"/>
      <c r="GY217" s="137"/>
      <c r="GZ217" s="137"/>
      <c r="HA217" s="137"/>
      <c r="HB217" s="137"/>
      <c r="HC217" s="137"/>
      <c r="HD217" s="143"/>
      <c r="HE217" s="137"/>
      <c r="HF217" s="137"/>
      <c r="HG217" s="137"/>
      <c r="HH217" s="137"/>
      <c r="HI217" s="137"/>
      <c r="HJ217" s="143"/>
      <c r="HK217" s="137"/>
      <c r="HL217" s="137"/>
      <c r="HM217" s="137"/>
      <c r="HN217" s="137"/>
      <c r="HO217" s="137"/>
      <c r="HP217" s="143"/>
      <c r="HQ217" s="137"/>
      <c r="HR217" s="137"/>
      <c r="HS217" s="137"/>
      <c r="HT217" s="137"/>
      <c r="HU217" s="137"/>
      <c r="HV217" s="143"/>
      <c r="HW217" s="137"/>
      <c r="HX217" s="137"/>
      <c r="HY217" s="137"/>
      <c r="HZ217" s="137"/>
      <c r="IA217" s="137"/>
      <c r="IB217" s="143"/>
      <c r="IC217" s="137"/>
      <c r="ID217" s="137"/>
      <c r="IE217" s="137"/>
      <c r="IF217" s="137"/>
      <c r="IG217" s="137"/>
      <c r="IH217" s="143"/>
      <c r="II217" s="137"/>
      <c r="IJ217" s="137"/>
      <c r="IK217" s="137"/>
      <c r="IL217" s="137"/>
      <c r="IM217" s="137"/>
      <c r="IN217" s="143"/>
      <c r="IO217" s="137"/>
      <c r="IP217" s="137"/>
      <c r="IQ217" s="137"/>
      <c r="IR217" s="137"/>
      <c r="IS217" s="137"/>
      <c r="IT217" s="143"/>
      <c r="IU217" s="137"/>
      <c r="IV217" s="137"/>
    </row>
    <row r="218" spans="1:256" ht="15.6">
      <c r="A218" s="150"/>
      <c r="B218" s="137"/>
      <c r="C218" s="143"/>
      <c r="D218" s="137"/>
      <c r="E218" s="137"/>
      <c r="F218" s="166"/>
      <c r="G218" s="150"/>
      <c r="H218" s="137"/>
      <c r="I218" s="137"/>
      <c r="J218" s="143"/>
      <c r="K218" s="137"/>
      <c r="L218" s="137"/>
      <c r="M218" s="137"/>
      <c r="N218" s="116"/>
      <c r="O218" s="116"/>
      <c r="P218" s="137"/>
      <c r="Q218" s="143"/>
      <c r="R218" s="137"/>
      <c r="S218" s="168"/>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7"/>
      <c r="AY218" s="137"/>
      <c r="AZ218" s="137"/>
      <c r="BA218" s="137"/>
      <c r="BB218" s="137"/>
      <c r="BC218" s="137"/>
      <c r="BD218" s="137"/>
      <c r="BE218" s="137"/>
      <c r="BF218" s="137"/>
      <c r="BG218" s="137"/>
      <c r="BH218" s="137"/>
      <c r="BI218" s="137"/>
      <c r="BJ218" s="137"/>
      <c r="BK218" s="137"/>
      <c r="BL218" s="137"/>
      <c r="BM218" s="137"/>
      <c r="BN218" s="137"/>
      <c r="BO218" s="137"/>
      <c r="BP218" s="143"/>
      <c r="BQ218" s="137"/>
      <c r="BR218" s="137"/>
      <c r="BS218" s="137"/>
      <c r="BT218" s="137"/>
      <c r="BU218" s="137"/>
      <c r="BV218" s="143"/>
      <c r="BW218" s="137"/>
      <c r="BX218" s="137"/>
      <c r="BY218" s="137"/>
      <c r="BZ218" s="137"/>
      <c r="CA218" s="137"/>
      <c r="CB218" s="143"/>
      <c r="CC218" s="137"/>
      <c r="CD218" s="137"/>
      <c r="CE218" s="137"/>
      <c r="CF218" s="137"/>
      <c r="CG218" s="137"/>
      <c r="CH218" s="143"/>
      <c r="CI218" s="137"/>
      <c r="CJ218" s="137"/>
      <c r="CK218" s="137"/>
      <c r="CL218" s="137"/>
      <c r="CM218" s="137"/>
      <c r="CN218" s="143"/>
      <c r="CO218" s="137"/>
      <c r="CP218" s="137"/>
      <c r="CQ218" s="137"/>
      <c r="CR218" s="137"/>
      <c r="CS218" s="137"/>
      <c r="CT218" s="143"/>
      <c r="CU218" s="137"/>
      <c r="CV218" s="137"/>
      <c r="CW218" s="137"/>
      <c r="CX218" s="137"/>
      <c r="CY218" s="137"/>
      <c r="CZ218" s="143"/>
      <c r="DA218" s="137"/>
      <c r="DB218" s="137"/>
      <c r="DC218" s="137"/>
      <c r="DD218" s="137"/>
      <c r="DE218" s="137"/>
      <c r="DF218" s="143"/>
      <c r="DG218" s="137"/>
      <c r="DH218" s="137"/>
      <c r="DI218" s="137"/>
      <c r="DJ218" s="137"/>
      <c r="DK218" s="137"/>
      <c r="DL218" s="143"/>
      <c r="DM218" s="137"/>
      <c r="DN218" s="137"/>
      <c r="DO218" s="137"/>
      <c r="DP218" s="137"/>
      <c r="DQ218" s="137"/>
      <c r="DR218" s="143"/>
      <c r="DS218" s="137"/>
      <c r="DT218" s="137"/>
      <c r="DU218" s="137"/>
      <c r="DV218" s="137"/>
      <c r="DW218" s="137"/>
      <c r="DX218" s="143"/>
      <c r="DY218" s="137"/>
      <c r="DZ218" s="137"/>
      <c r="EA218" s="137"/>
      <c r="EB218" s="137"/>
      <c r="EC218" s="137"/>
      <c r="ED218" s="143"/>
      <c r="EE218" s="137"/>
      <c r="EF218" s="137"/>
      <c r="EG218" s="137"/>
      <c r="EH218" s="137"/>
      <c r="EI218" s="137"/>
      <c r="EJ218" s="143"/>
      <c r="EK218" s="137"/>
      <c r="EL218" s="137"/>
      <c r="EM218" s="137"/>
      <c r="EN218" s="137"/>
      <c r="EO218" s="137"/>
      <c r="EP218" s="143"/>
      <c r="EQ218" s="137"/>
      <c r="ER218" s="137"/>
      <c r="ES218" s="137"/>
      <c r="ET218" s="137"/>
      <c r="EU218" s="137"/>
      <c r="EV218" s="143"/>
      <c r="EW218" s="137"/>
      <c r="EX218" s="137"/>
      <c r="EY218" s="137"/>
      <c r="EZ218" s="137"/>
      <c r="FA218" s="137"/>
      <c r="FB218" s="143"/>
      <c r="FC218" s="137"/>
      <c r="FD218" s="137"/>
      <c r="FE218" s="137"/>
      <c r="FF218" s="137"/>
      <c r="FG218" s="137"/>
      <c r="FH218" s="143"/>
      <c r="FI218" s="137"/>
      <c r="FJ218" s="137"/>
      <c r="FK218" s="137"/>
      <c r="FL218" s="137"/>
      <c r="FM218" s="137"/>
      <c r="FN218" s="143"/>
      <c r="FO218" s="137"/>
      <c r="FP218" s="137"/>
      <c r="FQ218" s="137"/>
      <c r="FR218" s="137"/>
      <c r="FS218" s="137"/>
      <c r="FT218" s="143"/>
      <c r="FU218" s="137"/>
      <c r="FV218" s="137"/>
      <c r="FW218" s="137"/>
      <c r="FX218" s="137"/>
      <c r="FY218" s="137"/>
      <c r="FZ218" s="143"/>
      <c r="GA218" s="137"/>
      <c r="GB218" s="137"/>
      <c r="GC218" s="137"/>
      <c r="GD218" s="137"/>
      <c r="GE218" s="137"/>
      <c r="GF218" s="143"/>
      <c r="GG218" s="137"/>
      <c r="GH218" s="137"/>
      <c r="GI218" s="137"/>
      <c r="GJ218" s="137"/>
      <c r="GK218" s="137"/>
      <c r="GL218" s="143"/>
      <c r="GM218" s="137"/>
      <c r="GN218" s="137"/>
      <c r="GO218" s="137"/>
      <c r="GP218" s="137"/>
      <c r="GQ218" s="137"/>
      <c r="GR218" s="143"/>
      <c r="GS218" s="137"/>
      <c r="GT218" s="137"/>
      <c r="GU218" s="137"/>
      <c r="GV218" s="137"/>
      <c r="GW218" s="137"/>
      <c r="GX218" s="143"/>
      <c r="GY218" s="137"/>
      <c r="GZ218" s="137"/>
      <c r="HA218" s="137"/>
      <c r="HB218" s="137"/>
      <c r="HC218" s="137"/>
      <c r="HD218" s="143"/>
      <c r="HE218" s="137"/>
      <c r="HF218" s="137"/>
      <c r="HG218" s="137"/>
      <c r="HH218" s="137"/>
      <c r="HI218" s="137"/>
      <c r="HJ218" s="143"/>
      <c r="HK218" s="137"/>
      <c r="HL218" s="137"/>
      <c r="HM218" s="137"/>
      <c r="HN218" s="137"/>
      <c r="HO218" s="137"/>
      <c r="HP218" s="143"/>
      <c r="HQ218" s="137"/>
      <c r="HR218" s="137"/>
      <c r="HS218" s="137"/>
      <c r="HT218" s="137"/>
      <c r="HU218" s="137"/>
      <c r="HV218" s="143"/>
      <c r="HW218" s="137"/>
      <c r="HX218" s="137"/>
      <c r="HY218" s="137"/>
      <c r="HZ218" s="137"/>
      <c r="IA218" s="137"/>
      <c r="IB218" s="143"/>
      <c r="IC218" s="137"/>
      <c r="ID218" s="137"/>
      <c r="IE218" s="137"/>
      <c r="IF218" s="137"/>
      <c r="IG218" s="137"/>
      <c r="IH218" s="143"/>
      <c r="II218" s="137"/>
      <c r="IJ218" s="137"/>
      <c r="IK218" s="137"/>
      <c r="IL218" s="137"/>
      <c r="IM218" s="137"/>
      <c r="IN218" s="143"/>
      <c r="IO218" s="137"/>
      <c r="IP218" s="137"/>
      <c r="IQ218" s="137"/>
      <c r="IR218" s="137"/>
      <c r="IS218" s="137"/>
      <c r="IT218" s="143"/>
      <c r="IU218" s="137"/>
      <c r="IV218" s="137"/>
    </row>
    <row r="219" spans="1:256" ht="15.6">
      <c r="A219" s="150">
        <v>70</v>
      </c>
      <c r="B219" s="137"/>
      <c r="C219" s="29" t="s">
        <v>648</v>
      </c>
      <c r="D219" s="137"/>
      <c r="E219" s="137"/>
      <c r="F219" s="166"/>
      <c r="G219" s="939">
        <v>0</v>
      </c>
      <c r="H219" s="140"/>
      <c r="I219" s="270"/>
      <c r="J219" s="143"/>
      <c r="K219" s="1791" t="s">
        <v>45</v>
      </c>
      <c r="L219" s="1791"/>
      <c r="M219" s="1791"/>
      <c r="N219" s="1791"/>
      <c r="O219" s="1791"/>
      <c r="P219" s="1791"/>
      <c r="Q219" s="1791"/>
      <c r="R219" s="137"/>
      <c r="S219" s="168"/>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7"/>
      <c r="AY219" s="137"/>
      <c r="AZ219" s="137"/>
      <c r="BA219" s="137"/>
      <c r="BB219" s="137"/>
      <c r="BC219" s="137"/>
      <c r="BD219" s="137"/>
      <c r="BE219" s="137"/>
      <c r="BF219" s="137"/>
      <c r="BG219" s="137"/>
      <c r="BH219" s="137"/>
      <c r="BI219" s="137"/>
      <c r="BJ219" s="137"/>
      <c r="BK219" s="137"/>
      <c r="BL219" s="137"/>
      <c r="BM219" s="137"/>
      <c r="BN219" s="137"/>
      <c r="BO219" s="137"/>
      <c r="BP219" s="143"/>
      <c r="BQ219" s="137"/>
      <c r="BR219" s="137"/>
      <c r="BS219" s="137"/>
      <c r="BT219" s="137"/>
      <c r="BU219" s="137"/>
      <c r="BV219" s="143"/>
      <c r="BW219" s="137"/>
      <c r="BX219" s="137"/>
      <c r="BY219" s="137"/>
      <c r="BZ219" s="137"/>
      <c r="CA219" s="137"/>
      <c r="CB219" s="143"/>
      <c r="CC219" s="137"/>
      <c r="CD219" s="137"/>
      <c r="CE219" s="137"/>
      <c r="CF219" s="137"/>
      <c r="CG219" s="137"/>
      <c r="CH219" s="143"/>
      <c r="CI219" s="137"/>
      <c r="CJ219" s="137"/>
      <c r="CK219" s="137"/>
      <c r="CL219" s="137"/>
      <c r="CM219" s="137"/>
      <c r="CN219" s="143"/>
      <c r="CO219" s="137"/>
      <c r="CP219" s="137"/>
      <c r="CQ219" s="137"/>
      <c r="CR219" s="137"/>
      <c r="CS219" s="137"/>
      <c r="CT219" s="143"/>
      <c r="CU219" s="137"/>
      <c r="CV219" s="137"/>
      <c r="CW219" s="137"/>
      <c r="CX219" s="137"/>
      <c r="CY219" s="137"/>
      <c r="CZ219" s="143"/>
      <c r="DA219" s="137"/>
      <c r="DB219" s="137"/>
      <c r="DC219" s="137"/>
      <c r="DD219" s="137"/>
      <c r="DE219" s="137"/>
      <c r="DF219" s="143"/>
      <c r="DG219" s="137"/>
      <c r="DH219" s="137"/>
      <c r="DI219" s="137"/>
      <c r="DJ219" s="137"/>
      <c r="DK219" s="137"/>
      <c r="DL219" s="143"/>
      <c r="DM219" s="137"/>
      <c r="DN219" s="137"/>
      <c r="DO219" s="137"/>
      <c r="DP219" s="137"/>
      <c r="DQ219" s="137"/>
      <c r="DR219" s="143"/>
      <c r="DS219" s="137"/>
      <c r="DT219" s="137"/>
      <c r="DU219" s="137"/>
      <c r="DV219" s="137"/>
      <c r="DW219" s="137"/>
      <c r="DX219" s="143"/>
      <c r="DY219" s="137"/>
      <c r="DZ219" s="137"/>
      <c r="EA219" s="137"/>
      <c r="EB219" s="137"/>
      <c r="EC219" s="137"/>
      <c r="ED219" s="143"/>
      <c r="EE219" s="137"/>
      <c r="EF219" s="137"/>
      <c r="EG219" s="137"/>
      <c r="EH219" s="137"/>
      <c r="EI219" s="137"/>
      <c r="EJ219" s="143"/>
      <c r="EK219" s="137"/>
      <c r="EL219" s="137"/>
      <c r="EM219" s="137"/>
      <c r="EN219" s="137"/>
      <c r="EO219" s="137"/>
      <c r="EP219" s="143"/>
      <c r="EQ219" s="137"/>
      <c r="ER219" s="137"/>
      <c r="ES219" s="137"/>
      <c r="ET219" s="137"/>
      <c r="EU219" s="137"/>
      <c r="EV219" s="143"/>
      <c r="EW219" s="137"/>
      <c r="EX219" s="137"/>
      <c r="EY219" s="137"/>
      <c r="EZ219" s="137"/>
      <c r="FA219" s="137"/>
      <c r="FB219" s="143"/>
      <c r="FC219" s="137"/>
      <c r="FD219" s="137"/>
      <c r="FE219" s="137"/>
      <c r="FF219" s="137"/>
      <c r="FG219" s="137"/>
      <c r="FH219" s="143"/>
      <c r="FI219" s="137"/>
      <c r="FJ219" s="137"/>
      <c r="FK219" s="137"/>
      <c r="FL219" s="137"/>
      <c r="FM219" s="137"/>
      <c r="FN219" s="143"/>
      <c r="FO219" s="137"/>
      <c r="FP219" s="137"/>
      <c r="FQ219" s="137"/>
      <c r="FR219" s="137"/>
      <c r="FS219" s="137"/>
      <c r="FT219" s="143"/>
      <c r="FU219" s="137"/>
      <c r="FV219" s="137"/>
      <c r="FW219" s="137"/>
      <c r="FX219" s="137"/>
      <c r="FY219" s="137"/>
      <c r="FZ219" s="143"/>
      <c r="GA219" s="137"/>
      <c r="GB219" s="137"/>
      <c r="GC219" s="137"/>
      <c r="GD219" s="137"/>
      <c r="GE219" s="137"/>
      <c r="GF219" s="143"/>
      <c r="GG219" s="137"/>
      <c r="GH219" s="137"/>
      <c r="GI219" s="137"/>
      <c r="GJ219" s="137"/>
      <c r="GK219" s="137"/>
      <c r="GL219" s="143"/>
      <c r="GM219" s="137"/>
      <c r="GN219" s="137"/>
      <c r="GO219" s="137"/>
      <c r="GP219" s="137"/>
      <c r="GQ219" s="137"/>
      <c r="GR219" s="143"/>
      <c r="GS219" s="137"/>
      <c r="GT219" s="137"/>
      <c r="GU219" s="137"/>
      <c r="GV219" s="137"/>
      <c r="GW219" s="137"/>
      <c r="GX219" s="143"/>
      <c r="GY219" s="137"/>
      <c r="GZ219" s="137"/>
      <c r="HA219" s="137"/>
      <c r="HB219" s="137"/>
      <c r="HC219" s="137"/>
      <c r="HD219" s="143"/>
      <c r="HE219" s="137"/>
      <c r="HF219" s="137"/>
      <c r="HG219" s="137"/>
      <c r="HH219" s="137"/>
      <c r="HI219" s="137"/>
      <c r="HJ219" s="143"/>
      <c r="HK219" s="137"/>
      <c r="HL219" s="137"/>
      <c r="HM219" s="137"/>
      <c r="HN219" s="137"/>
      <c r="HO219" s="137"/>
      <c r="HP219" s="143"/>
      <c r="HQ219" s="137"/>
      <c r="HR219" s="137"/>
      <c r="HS219" s="137"/>
      <c r="HT219" s="137"/>
      <c r="HU219" s="137"/>
      <c r="HV219" s="143"/>
      <c r="HW219" s="137"/>
      <c r="HX219" s="137"/>
      <c r="HY219" s="137"/>
      <c r="HZ219" s="137"/>
      <c r="IA219" s="137"/>
      <c r="IB219" s="143"/>
      <c r="IC219" s="137"/>
      <c r="ID219" s="137"/>
      <c r="IE219" s="137"/>
      <c r="IF219" s="137"/>
      <c r="IG219" s="137"/>
      <c r="IH219" s="143"/>
      <c r="II219" s="137"/>
      <c r="IJ219" s="137"/>
      <c r="IK219" s="137"/>
      <c r="IL219" s="137"/>
      <c r="IM219" s="137"/>
      <c r="IN219" s="143"/>
      <c r="IO219" s="137"/>
      <c r="IP219" s="137"/>
      <c r="IQ219" s="137"/>
      <c r="IR219" s="137"/>
      <c r="IS219" s="137"/>
      <c r="IT219" s="143"/>
      <c r="IU219" s="137"/>
      <c r="IV219" s="137"/>
    </row>
    <row r="220" spans="1:256" ht="15.6">
      <c r="A220" s="150">
        <v>71</v>
      </c>
      <c r="B220" s="137"/>
      <c r="C220" s="20" t="s">
        <v>700</v>
      </c>
      <c r="D220" s="137"/>
      <c r="E220" s="137"/>
      <c r="F220" s="166"/>
      <c r="G220" s="1372">
        <f>O230</f>
        <v>0</v>
      </c>
      <c r="H220" s="533"/>
      <c r="I220" s="270"/>
      <c r="J220" s="143"/>
      <c r="K220" s="137"/>
      <c r="L220" s="137"/>
      <c r="M220" s="137"/>
      <c r="N220" s="116"/>
      <c r="O220" s="116"/>
      <c r="P220" s="137"/>
      <c r="Q220" s="143"/>
      <c r="R220" s="137"/>
      <c r="S220" s="168"/>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7"/>
      <c r="AY220" s="137"/>
      <c r="AZ220" s="137"/>
      <c r="BA220" s="137"/>
      <c r="BB220" s="137"/>
      <c r="BC220" s="137"/>
      <c r="BD220" s="137"/>
      <c r="BE220" s="137"/>
      <c r="BF220" s="137"/>
      <c r="BG220" s="137"/>
      <c r="BH220" s="137"/>
      <c r="BI220" s="137"/>
      <c r="BJ220" s="137"/>
      <c r="BK220" s="137"/>
      <c r="BL220" s="137"/>
      <c r="BM220" s="137"/>
      <c r="BN220" s="137"/>
      <c r="BO220" s="137"/>
      <c r="BP220" s="143"/>
      <c r="BQ220" s="137"/>
      <c r="BR220" s="137"/>
      <c r="BS220" s="137"/>
      <c r="BT220" s="137"/>
      <c r="BU220" s="137"/>
      <c r="BV220" s="143"/>
      <c r="BW220" s="137"/>
      <c r="BX220" s="137"/>
      <c r="BY220" s="137"/>
      <c r="BZ220" s="137"/>
      <c r="CA220" s="137"/>
      <c r="CB220" s="143"/>
      <c r="CC220" s="137"/>
      <c r="CD220" s="137"/>
      <c r="CE220" s="137"/>
      <c r="CF220" s="137"/>
      <c r="CG220" s="137"/>
      <c r="CH220" s="143"/>
      <c r="CI220" s="137"/>
      <c r="CJ220" s="137"/>
      <c r="CK220" s="137"/>
      <c r="CL220" s="137"/>
      <c r="CM220" s="137"/>
      <c r="CN220" s="143"/>
      <c r="CO220" s="137"/>
      <c r="CP220" s="137"/>
      <c r="CQ220" s="137"/>
      <c r="CR220" s="137"/>
      <c r="CS220" s="137"/>
      <c r="CT220" s="143"/>
      <c r="CU220" s="137"/>
      <c r="CV220" s="137"/>
      <c r="CW220" s="137"/>
      <c r="CX220" s="137"/>
      <c r="CY220" s="137"/>
      <c r="CZ220" s="143"/>
      <c r="DA220" s="137"/>
      <c r="DB220" s="137"/>
      <c r="DC220" s="137"/>
      <c r="DD220" s="137"/>
      <c r="DE220" s="137"/>
      <c r="DF220" s="143"/>
      <c r="DG220" s="137"/>
      <c r="DH220" s="137"/>
      <c r="DI220" s="137"/>
      <c r="DJ220" s="137"/>
      <c r="DK220" s="137"/>
      <c r="DL220" s="143"/>
      <c r="DM220" s="137"/>
      <c r="DN220" s="137"/>
      <c r="DO220" s="137"/>
      <c r="DP220" s="137"/>
      <c r="DQ220" s="137"/>
      <c r="DR220" s="143"/>
      <c r="DS220" s="137"/>
      <c r="DT220" s="137"/>
      <c r="DU220" s="137"/>
      <c r="DV220" s="137"/>
      <c r="DW220" s="137"/>
      <c r="DX220" s="143"/>
      <c r="DY220" s="137"/>
      <c r="DZ220" s="137"/>
      <c r="EA220" s="137"/>
      <c r="EB220" s="137"/>
      <c r="EC220" s="137"/>
      <c r="ED220" s="143"/>
      <c r="EE220" s="137"/>
      <c r="EF220" s="137"/>
      <c r="EG220" s="137"/>
      <c r="EH220" s="137"/>
      <c r="EI220" s="137"/>
      <c r="EJ220" s="143"/>
      <c r="EK220" s="137"/>
      <c r="EL220" s="137"/>
      <c r="EM220" s="137"/>
      <c r="EN220" s="137"/>
      <c r="EO220" s="137"/>
      <c r="EP220" s="143"/>
      <c r="EQ220" s="137"/>
      <c r="ER220" s="137"/>
      <c r="ES220" s="137"/>
      <c r="ET220" s="137"/>
      <c r="EU220" s="137"/>
      <c r="EV220" s="143"/>
      <c r="EW220" s="137"/>
      <c r="EX220" s="137"/>
      <c r="EY220" s="137"/>
      <c r="EZ220" s="137"/>
      <c r="FA220" s="137"/>
      <c r="FB220" s="143"/>
      <c r="FC220" s="137"/>
      <c r="FD220" s="137"/>
      <c r="FE220" s="137"/>
      <c r="FF220" s="137"/>
      <c r="FG220" s="137"/>
      <c r="FH220" s="143"/>
      <c r="FI220" s="137"/>
      <c r="FJ220" s="137"/>
      <c r="FK220" s="137"/>
      <c r="FL220" s="137"/>
      <c r="FM220" s="137"/>
      <c r="FN220" s="143"/>
      <c r="FO220" s="137"/>
      <c r="FP220" s="137"/>
      <c r="FQ220" s="137"/>
      <c r="FR220" s="137"/>
      <c r="FS220" s="137"/>
      <c r="FT220" s="143"/>
      <c r="FU220" s="137"/>
      <c r="FV220" s="137"/>
      <c r="FW220" s="137"/>
      <c r="FX220" s="137"/>
      <c r="FY220" s="137"/>
      <c r="FZ220" s="143"/>
      <c r="GA220" s="137"/>
      <c r="GB220" s="137"/>
      <c r="GC220" s="137"/>
      <c r="GD220" s="137"/>
      <c r="GE220" s="137"/>
      <c r="GF220" s="143"/>
      <c r="GG220" s="137"/>
      <c r="GH220" s="137"/>
      <c r="GI220" s="137"/>
      <c r="GJ220" s="137"/>
      <c r="GK220" s="137"/>
      <c r="GL220" s="143"/>
      <c r="GM220" s="137"/>
      <c r="GN220" s="137"/>
      <c r="GO220" s="137"/>
      <c r="GP220" s="137"/>
      <c r="GQ220" s="137"/>
      <c r="GR220" s="143"/>
      <c r="GS220" s="137"/>
      <c r="GT220" s="137"/>
      <c r="GU220" s="137"/>
      <c r="GV220" s="137"/>
      <c r="GW220" s="137"/>
      <c r="GX220" s="143"/>
      <c r="GY220" s="137"/>
      <c r="GZ220" s="137"/>
      <c r="HA220" s="137"/>
      <c r="HB220" s="137"/>
      <c r="HC220" s="137"/>
      <c r="HD220" s="143"/>
      <c r="HE220" s="137"/>
      <c r="HF220" s="137"/>
      <c r="HG220" s="137"/>
      <c r="HH220" s="137"/>
      <c r="HI220" s="137"/>
      <c r="HJ220" s="143"/>
      <c r="HK220" s="137"/>
      <c r="HL220" s="137"/>
      <c r="HM220" s="137"/>
      <c r="HN220" s="137"/>
      <c r="HO220" s="137"/>
      <c r="HP220" s="143"/>
      <c r="HQ220" s="137"/>
      <c r="HR220" s="137"/>
      <c r="HS220" s="137"/>
      <c r="HT220" s="137"/>
      <c r="HU220" s="137"/>
      <c r="HV220" s="143"/>
      <c r="HW220" s="137"/>
      <c r="HX220" s="137"/>
      <c r="HY220" s="137"/>
      <c r="HZ220" s="137"/>
      <c r="IA220" s="137"/>
      <c r="IB220" s="143"/>
      <c r="IC220" s="137"/>
      <c r="ID220" s="137"/>
      <c r="IE220" s="137"/>
      <c r="IF220" s="137"/>
      <c r="IG220" s="137"/>
      <c r="IH220" s="143"/>
      <c r="II220" s="137"/>
      <c r="IJ220" s="137"/>
      <c r="IK220" s="137"/>
      <c r="IL220" s="137"/>
      <c r="IM220" s="137"/>
      <c r="IN220" s="143"/>
      <c r="IO220" s="137"/>
      <c r="IP220" s="137"/>
      <c r="IQ220" s="137"/>
      <c r="IR220" s="137"/>
      <c r="IS220" s="137"/>
      <c r="IT220" s="143"/>
      <c r="IU220" s="137"/>
      <c r="IV220" s="137"/>
    </row>
    <row r="221" spans="1:256" ht="15.6">
      <c r="A221" s="150">
        <v>72</v>
      </c>
      <c r="B221" s="137"/>
      <c r="C221" s="29" t="s">
        <v>46</v>
      </c>
      <c r="D221" s="143"/>
      <c r="E221" s="138"/>
      <c r="F221" s="166"/>
      <c r="G221" s="1373">
        <v>3411496</v>
      </c>
      <c r="H221" s="533"/>
      <c r="I221" s="270"/>
      <c r="J221" s="171"/>
      <c r="K221" s="140" t="s">
        <v>47</v>
      </c>
      <c r="L221" s="137"/>
      <c r="M221" s="137"/>
      <c r="N221" s="116"/>
      <c r="O221" s="135" t="s">
        <v>524</v>
      </c>
      <c r="P221" s="137"/>
      <c r="Q221" s="171"/>
      <c r="R221" s="171"/>
      <c r="S221" s="246"/>
      <c r="T221" s="171"/>
      <c r="U221" s="171"/>
      <c r="V221" s="171"/>
      <c r="W221" s="171"/>
      <c r="X221" s="171"/>
      <c r="Y221" s="171"/>
      <c r="Z221" s="171"/>
      <c r="AA221" s="171"/>
      <c r="AB221" s="171"/>
      <c r="AC221" s="171"/>
      <c r="AD221" s="171"/>
      <c r="AE221" s="171"/>
      <c r="AF221" s="171"/>
      <c r="AG221" s="171"/>
      <c r="AH221" s="171"/>
      <c r="AI221" s="171"/>
      <c r="AJ221" s="171"/>
      <c r="AK221" s="171"/>
      <c r="AL221" s="171"/>
      <c r="AM221" s="171"/>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37"/>
      <c r="BL221" s="137"/>
      <c r="BM221" s="137"/>
      <c r="BN221" s="137"/>
      <c r="BO221" s="137"/>
      <c r="BP221" s="143"/>
      <c r="BQ221" s="137"/>
      <c r="BR221" s="137"/>
      <c r="BS221" s="137"/>
      <c r="BT221" s="137"/>
      <c r="BU221" s="137"/>
      <c r="BV221" s="143"/>
      <c r="BW221" s="137"/>
      <c r="BX221" s="137"/>
      <c r="BY221" s="137"/>
      <c r="BZ221" s="137"/>
      <c r="CA221" s="137"/>
      <c r="CB221" s="143"/>
      <c r="CC221" s="137"/>
      <c r="CD221" s="137"/>
      <c r="CE221" s="137"/>
      <c r="CF221" s="137"/>
      <c r="CG221" s="137"/>
      <c r="CH221" s="143"/>
      <c r="CI221" s="137"/>
      <c r="CJ221" s="137"/>
      <c r="CK221" s="137"/>
      <c r="CL221" s="137"/>
      <c r="CM221" s="137"/>
      <c r="CN221" s="143"/>
      <c r="CO221" s="137"/>
      <c r="CP221" s="137"/>
      <c r="CQ221" s="137"/>
      <c r="CR221" s="137"/>
      <c r="CS221" s="137"/>
      <c r="CT221" s="143"/>
      <c r="CU221" s="137"/>
      <c r="CV221" s="137"/>
      <c r="CW221" s="137"/>
      <c r="CX221" s="137"/>
      <c r="CY221" s="137"/>
      <c r="CZ221" s="143"/>
      <c r="DA221" s="137"/>
      <c r="DB221" s="137"/>
      <c r="DC221" s="137"/>
      <c r="DD221" s="137"/>
      <c r="DE221" s="137"/>
      <c r="DF221" s="143"/>
      <c r="DG221" s="137"/>
      <c r="DH221" s="137"/>
      <c r="DI221" s="137"/>
      <c r="DJ221" s="137"/>
      <c r="DK221" s="137"/>
      <c r="DL221" s="143"/>
      <c r="DM221" s="137"/>
      <c r="DN221" s="137"/>
      <c r="DO221" s="137"/>
      <c r="DP221" s="137"/>
      <c r="DQ221" s="137"/>
      <c r="DR221" s="143"/>
      <c r="DS221" s="137"/>
      <c r="DT221" s="137"/>
      <c r="DU221" s="137"/>
      <c r="DV221" s="137"/>
      <c r="DW221" s="137"/>
      <c r="DX221" s="143"/>
      <c r="DY221" s="137"/>
      <c r="DZ221" s="137"/>
      <c r="EA221" s="137"/>
      <c r="EB221" s="137"/>
      <c r="EC221" s="137"/>
      <c r="ED221" s="143"/>
      <c r="EE221" s="137"/>
      <c r="EF221" s="137"/>
      <c r="EG221" s="137"/>
      <c r="EH221" s="137"/>
      <c r="EI221" s="137"/>
      <c r="EJ221" s="143"/>
      <c r="EK221" s="137"/>
      <c r="EL221" s="137"/>
      <c r="EM221" s="137"/>
      <c r="EN221" s="137"/>
      <c r="EO221" s="137"/>
      <c r="EP221" s="143"/>
      <c r="EQ221" s="137"/>
      <c r="ER221" s="137"/>
      <c r="ES221" s="137"/>
      <c r="ET221" s="137"/>
      <c r="EU221" s="137"/>
      <c r="EV221" s="143"/>
      <c r="EW221" s="137"/>
      <c r="EX221" s="137"/>
      <c r="EY221" s="137"/>
      <c r="EZ221" s="137"/>
      <c r="FA221" s="137"/>
      <c r="FB221" s="143"/>
      <c r="FC221" s="137"/>
      <c r="FD221" s="137"/>
      <c r="FE221" s="137"/>
      <c r="FF221" s="137"/>
      <c r="FG221" s="137"/>
      <c r="FH221" s="143"/>
      <c r="FI221" s="137"/>
      <c r="FJ221" s="137"/>
      <c r="FK221" s="137"/>
      <c r="FL221" s="137"/>
      <c r="FM221" s="137"/>
      <c r="FN221" s="143"/>
      <c r="FO221" s="137"/>
      <c r="FP221" s="137"/>
      <c r="FQ221" s="137"/>
      <c r="FR221" s="137"/>
      <c r="FS221" s="137"/>
      <c r="FT221" s="143"/>
      <c r="FU221" s="137"/>
      <c r="FV221" s="137"/>
      <c r="FW221" s="137"/>
      <c r="FX221" s="137"/>
      <c r="FY221" s="137"/>
      <c r="FZ221" s="143"/>
      <c r="GA221" s="137"/>
      <c r="GB221" s="137"/>
      <c r="GC221" s="137"/>
      <c r="GD221" s="137"/>
      <c r="GE221" s="137"/>
      <c r="GF221" s="143"/>
      <c r="GG221" s="137"/>
      <c r="GH221" s="137"/>
      <c r="GI221" s="137"/>
      <c r="GJ221" s="137"/>
      <c r="GK221" s="137"/>
      <c r="GL221" s="143"/>
      <c r="GM221" s="137"/>
      <c r="GN221" s="137"/>
      <c r="GO221" s="137"/>
      <c r="GP221" s="137"/>
      <c r="GQ221" s="137"/>
      <c r="GR221" s="143"/>
      <c r="GS221" s="137"/>
      <c r="GT221" s="137"/>
      <c r="GU221" s="137"/>
      <c r="GV221" s="137"/>
      <c r="GW221" s="137"/>
      <c r="GX221" s="143"/>
      <c r="GY221" s="137"/>
      <c r="GZ221" s="137"/>
      <c r="HA221" s="137"/>
      <c r="HB221" s="137"/>
      <c r="HC221" s="137"/>
      <c r="HD221" s="143"/>
      <c r="HE221" s="137"/>
      <c r="HF221" s="137"/>
      <c r="HG221" s="137"/>
      <c r="HH221" s="137"/>
      <c r="HI221" s="137"/>
      <c r="HJ221" s="143"/>
      <c r="HK221" s="137"/>
      <c r="HL221" s="137"/>
      <c r="HM221" s="137"/>
      <c r="HN221" s="137"/>
      <c r="HO221" s="137"/>
      <c r="HP221" s="143"/>
      <c r="HQ221" s="137"/>
      <c r="HR221" s="137"/>
      <c r="HS221" s="137"/>
      <c r="HT221" s="137"/>
      <c r="HU221" s="137"/>
      <c r="HV221" s="143"/>
      <c r="HW221" s="137"/>
      <c r="HX221" s="137"/>
      <c r="HY221" s="137"/>
      <c r="HZ221" s="137"/>
      <c r="IA221" s="137"/>
      <c r="IB221" s="143"/>
      <c r="IC221" s="137"/>
      <c r="ID221" s="137"/>
      <c r="IE221" s="137"/>
      <c r="IF221" s="137"/>
      <c r="IG221" s="137"/>
      <c r="IH221" s="143"/>
      <c r="II221" s="137"/>
      <c r="IJ221" s="137"/>
      <c r="IK221" s="137"/>
      <c r="IL221" s="137"/>
      <c r="IM221" s="137"/>
      <c r="IN221" s="143"/>
      <c r="IO221" s="137"/>
      <c r="IP221" s="137"/>
      <c r="IQ221" s="137"/>
      <c r="IR221" s="137"/>
      <c r="IS221" s="137"/>
      <c r="IT221" s="143"/>
      <c r="IU221" s="137"/>
      <c r="IV221" s="137"/>
    </row>
    <row r="222" spans="1:256" ht="15.6">
      <c r="A222" s="150"/>
      <c r="B222" s="137"/>
      <c r="C222" s="29" t="s">
        <v>48</v>
      </c>
      <c r="D222" s="137"/>
      <c r="E222" s="138"/>
      <c r="F222" s="153" t="s">
        <v>951</v>
      </c>
      <c r="G222" s="939">
        <f>SUM(G219:G221)</f>
        <v>3411496</v>
      </c>
      <c r="H222" s="172"/>
      <c r="I222" s="172"/>
      <c r="J222" s="171"/>
      <c r="K222" s="171"/>
      <c r="L222" s="171"/>
      <c r="M222" s="171"/>
      <c r="N222" s="171"/>
      <c r="O222" s="171"/>
      <c r="P222" s="171"/>
      <c r="Q222" s="171"/>
      <c r="R222" s="171"/>
      <c r="S222" s="246"/>
      <c r="T222" s="171"/>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43"/>
      <c r="BQ222" s="137"/>
      <c r="BR222" s="137"/>
      <c r="BS222" s="137"/>
      <c r="BT222" s="137"/>
      <c r="BU222" s="137"/>
      <c r="BV222" s="143"/>
      <c r="BW222" s="137"/>
      <c r="BX222" s="137"/>
      <c r="BY222" s="137"/>
      <c r="BZ222" s="137"/>
      <c r="CA222" s="137"/>
      <c r="CB222" s="143"/>
      <c r="CC222" s="137"/>
      <c r="CD222" s="137"/>
      <c r="CE222" s="137"/>
      <c r="CF222" s="137"/>
      <c r="CG222" s="137"/>
      <c r="CH222" s="143"/>
      <c r="CI222" s="137"/>
      <c r="CJ222" s="137"/>
      <c r="CK222" s="137"/>
      <c r="CL222" s="137"/>
      <c r="CM222" s="137"/>
      <c r="CN222" s="143"/>
      <c r="CO222" s="137"/>
      <c r="CP222" s="137"/>
      <c r="CQ222" s="137"/>
      <c r="CR222" s="137"/>
      <c r="CS222" s="137"/>
      <c r="CT222" s="143"/>
      <c r="CU222" s="137"/>
      <c r="CV222" s="137"/>
      <c r="CW222" s="137"/>
      <c r="CX222" s="137"/>
      <c r="CY222" s="137"/>
      <c r="CZ222" s="143"/>
      <c r="DA222" s="137"/>
      <c r="DB222" s="137"/>
      <c r="DC222" s="137"/>
      <c r="DD222" s="137"/>
      <c r="DE222" s="137"/>
      <c r="DF222" s="143"/>
      <c r="DG222" s="137"/>
      <c r="DH222" s="137"/>
      <c r="DI222" s="137"/>
      <c r="DJ222" s="137"/>
      <c r="DK222" s="137"/>
      <c r="DL222" s="143"/>
      <c r="DM222" s="137"/>
      <c r="DN222" s="137"/>
      <c r="DO222" s="137"/>
      <c r="DP222" s="137"/>
      <c r="DQ222" s="137"/>
      <c r="DR222" s="143"/>
      <c r="DS222" s="137"/>
      <c r="DT222" s="137"/>
      <c r="DU222" s="137"/>
      <c r="DV222" s="137"/>
      <c r="DW222" s="137"/>
      <c r="DX222" s="143"/>
      <c r="DY222" s="137"/>
      <c r="DZ222" s="137"/>
      <c r="EA222" s="137"/>
      <c r="EB222" s="137"/>
      <c r="EC222" s="137"/>
      <c r="ED222" s="143"/>
      <c r="EE222" s="137"/>
      <c r="EF222" s="137"/>
      <c r="EG222" s="137"/>
      <c r="EH222" s="137"/>
      <c r="EI222" s="137"/>
      <c r="EJ222" s="143"/>
      <c r="EK222" s="137"/>
      <c r="EL222" s="137"/>
      <c r="EM222" s="137"/>
      <c r="EN222" s="137"/>
      <c r="EO222" s="137"/>
      <c r="EP222" s="143"/>
      <c r="EQ222" s="137"/>
      <c r="ER222" s="137"/>
      <c r="ES222" s="137"/>
      <c r="ET222" s="137"/>
      <c r="EU222" s="137"/>
      <c r="EV222" s="143"/>
      <c r="EW222" s="137"/>
      <c r="EX222" s="137"/>
      <c r="EY222" s="137"/>
      <c r="EZ222" s="137"/>
      <c r="FA222" s="137"/>
      <c r="FB222" s="143"/>
      <c r="FC222" s="137"/>
      <c r="FD222" s="137"/>
      <c r="FE222" s="137"/>
      <c r="FF222" s="137"/>
      <c r="FG222" s="137"/>
      <c r="FH222" s="143"/>
      <c r="FI222" s="137"/>
      <c r="FJ222" s="137"/>
      <c r="FK222" s="137"/>
      <c r="FL222" s="137"/>
      <c r="FM222" s="137"/>
      <c r="FN222" s="143"/>
      <c r="FO222" s="137"/>
      <c r="FP222" s="137"/>
      <c r="FQ222" s="137"/>
      <c r="FR222" s="137"/>
      <c r="FS222" s="137"/>
      <c r="FT222" s="143"/>
      <c r="FU222" s="137"/>
      <c r="FV222" s="137"/>
      <c r="FW222" s="137"/>
      <c r="FX222" s="137"/>
      <c r="FY222" s="137"/>
      <c r="FZ222" s="143"/>
      <c r="GA222" s="137"/>
      <c r="GB222" s="137"/>
      <c r="GC222" s="137"/>
      <c r="GD222" s="137"/>
      <c r="GE222" s="137"/>
      <c r="GF222" s="143"/>
      <c r="GG222" s="137"/>
      <c r="GH222" s="137"/>
      <c r="GI222" s="137"/>
      <c r="GJ222" s="137"/>
      <c r="GK222" s="137"/>
      <c r="GL222" s="143"/>
      <c r="GM222" s="137"/>
      <c r="GN222" s="137"/>
      <c r="GO222" s="137"/>
      <c r="GP222" s="137"/>
      <c r="GQ222" s="137"/>
      <c r="GR222" s="143"/>
      <c r="GS222" s="137"/>
      <c r="GT222" s="137"/>
      <c r="GU222" s="137"/>
      <c r="GV222" s="137"/>
      <c r="GW222" s="137"/>
      <c r="GX222" s="143"/>
      <c r="GY222" s="137"/>
      <c r="GZ222" s="137"/>
      <c r="HA222" s="137"/>
      <c r="HB222" s="137"/>
      <c r="HC222" s="137"/>
      <c r="HD222" s="143"/>
      <c r="HE222" s="137"/>
      <c r="HF222" s="137"/>
      <c r="HG222" s="137"/>
      <c r="HH222" s="137"/>
      <c r="HI222" s="137"/>
      <c r="HJ222" s="143"/>
      <c r="HK222" s="137"/>
      <c r="HL222" s="137"/>
      <c r="HM222" s="137"/>
      <c r="HN222" s="137"/>
      <c r="HO222" s="137"/>
      <c r="HP222" s="143"/>
      <c r="HQ222" s="137"/>
      <c r="HR222" s="137"/>
      <c r="HS222" s="137"/>
      <c r="HT222" s="137"/>
      <c r="HU222" s="137"/>
      <c r="HV222" s="143"/>
      <c r="HW222" s="137"/>
      <c r="HX222" s="137"/>
      <c r="HY222" s="137"/>
      <c r="HZ222" s="137"/>
      <c r="IA222" s="137"/>
      <c r="IB222" s="143"/>
      <c r="IC222" s="137"/>
      <c r="ID222" s="137"/>
      <c r="IE222" s="137"/>
      <c r="IF222" s="137"/>
      <c r="IG222" s="137"/>
      <c r="IH222" s="143"/>
      <c r="II222" s="137"/>
      <c r="IJ222" s="137"/>
      <c r="IK222" s="137"/>
      <c r="IL222" s="137"/>
      <c r="IM222" s="137"/>
      <c r="IN222" s="143"/>
      <c r="IO222" s="137"/>
      <c r="IP222" s="137"/>
      <c r="IQ222" s="137"/>
      <c r="IR222" s="137"/>
      <c r="IS222" s="137"/>
      <c r="IT222" s="143"/>
      <c r="IU222" s="137"/>
      <c r="IV222" s="137"/>
    </row>
    <row r="223" spans="1:256" ht="15.6">
      <c r="A223" s="150"/>
      <c r="B223" s="137"/>
      <c r="C223" s="29"/>
      <c r="D223" s="137"/>
      <c r="E223" s="138"/>
      <c r="F223" s="153"/>
      <c r="G223" s="428"/>
      <c r="H223" s="172"/>
      <c r="I223" s="172"/>
      <c r="J223" s="171"/>
      <c r="K223" s="368" t="s">
        <v>49</v>
      </c>
      <c r="L223" s="171"/>
      <c r="M223" s="589"/>
      <c r="N223" s="171"/>
      <c r="O223" s="1374">
        <v>0</v>
      </c>
      <c r="P223" s="171"/>
      <c r="Q223" s="369"/>
      <c r="R223" s="171"/>
      <c r="S223" s="246"/>
      <c r="T223" s="137"/>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37"/>
      <c r="AV223" s="137"/>
      <c r="AW223" s="137"/>
      <c r="AX223" s="137"/>
      <c r="AY223" s="137"/>
      <c r="AZ223" s="137"/>
      <c r="BA223" s="137"/>
      <c r="BB223" s="137"/>
      <c r="BC223" s="137"/>
      <c r="BD223" s="137"/>
      <c r="BE223" s="137"/>
      <c r="BF223" s="137"/>
      <c r="BG223" s="137"/>
      <c r="BH223" s="137"/>
      <c r="BI223" s="137"/>
      <c r="BJ223" s="137"/>
      <c r="BK223" s="137"/>
      <c r="BL223" s="137"/>
      <c r="BM223" s="137"/>
      <c r="BN223" s="137"/>
      <c r="BO223" s="137"/>
      <c r="BP223" s="143"/>
      <c r="BQ223" s="137"/>
      <c r="BR223" s="137"/>
      <c r="BS223" s="137"/>
      <c r="BT223" s="137"/>
      <c r="BU223" s="137"/>
      <c r="BV223" s="143"/>
      <c r="BW223" s="137"/>
      <c r="BX223" s="137"/>
      <c r="BY223" s="137"/>
      <c r="BZ223" s="137"/>
      <c r="CA223" s="137"/>
      <c r="CB223" s="143"/>
      <c r="CC223" s="137"/>
      <c r="CD223" s="137"/>
      <c r="CE223" s="137"/>
      <c r="CF223" s="137"/>
      <c r="CG223" s="137"/>
      <c r="CH223" s="143"/>
      <c r="CI223" s="137"/>
      <c r="CJ223" s="137"/>
      <c r="CK223" s="137"/>
      <c r="CL223" s="137"/>
      <c r="CM223" s="137"/>
      <c r="CN223" s="143"/>
      <c r="CO223" s="137"/>
      <c r="CP223" s="137"/>
      <c r="CQ223" s="137"/>
      <c r="CR223" s="137"/>
      <c r="CS223" s="137"/>
      <c r="CT223" s="143"/>
      <c r="CU223" s="137"/>
      <c r="CV223" s="137"/>
      <c r="CW223" s="137"/>
      <c r="CX223" s="137"/>
      <c r="CY223" s="137"/>
      <c r="CZ223" s="143"/>
      <c r="DA223" s="137"/>
      <c r="DB223" s="137"/>
      <c r="DC223" s="137"/>
      <c r="DD223" s="137"/>
      <c r="DE223" s="137"/>
      <c r="DF223" s="143"/>
      <c r="DG223" s="137"/>
      <c r="DH223" s="137"/>
      <c r="DI223" s="137"/>
      <c r="DJ223" s="137"/>
      <c r="DK223" s="137"/>
      <c r="DL223" s="143"/>
      <c r="DM223" s="137"/>
      <c r="DN223" s="137"/>
      <c r="DO223" s="137"/>
      <c r="DP223" s="137"/>
      <c r="DQ223" s="137"/>
      <c r="DR223" s="143"/>
      <c r="DS223" s="137"/>
      <c r="DT223" s="137"/>
      <c r="DU223" s="137"/>
      <c r="DV223" s="137"/>
      <c r="DW223" s="137"/>
      <c r="DX223" s="143"/>
      <c r="DY223" s="137"/>
      <c r="DZ223" s="137"/>
      <c r="EA223" s="137"/>
      <c r="EB223" s="137"/>
      <c r="EC223" s="137"/>
      <c r="ED223" s="143"/>
      <c r="EE223" s="137"/>
      <c r="EF223" s="137"/>
      <c r="EG223" s="137"/>
      <c r="EH223" s="137"/>
      <c r="EI223" s="137"/>
      <c r="EJ223" s="143"/>
      <c r="EK223" s="137"/>
      <c r="EL223" s="137"/>
      <c r="EM223" s="137"/>
      <c r="EN223" s="137"/>
      <c r="EO223" s="137"/>
      <c r="EP223" s="143"/>
      <c r="EQ223" s="137"/>
      <c r="ER223" s="137"/>
      <c r="ES223" s="137"/>
      <c r="ET223" s="137"/>
      <c r="EU223" s="137"/>
      <c r="EV223" s="143"/>
      <c r="EW223" s="137"/>
      <c r="EX223" s="137"/>
      <c r="EY223" s="137"/>
      <c r="EZ223" s="137"/>
      <c r="FA223" s="137"/>
      <c r="FB223" s="143"/>
      <c r="FC223" s="137"/>
      <c r="FD223" s="137"/>
      <c r="FE223" s="137"/>
      <c r="FF223" s="137"/>
      <c r="FG223" s="137"/>
      <c r="FH223" s="143"/>
      <c r="FI223" s="137"/>
      <c r="FJ223" s="137"/>
      <c r="FK223" s="137"/>
      <c r="FL223" s="137"/>
      <c r="FM223" s="137"/>
      <c r="FN223" s="143"/>
      <c r="FO223" s="137"/>
      <c r="FP223" s="137"/>
      <c r="FQ223" s="137"/>
      <c r="FR223" s="137"/>
      <c r="FS223" s="137"/>
      <c r="FT223" s="143"/>
      <c r="FU223" s="137"/>
      <c r="FV223" s="137"/>
      <c r="FW223" s="137"/>
      <c r="FX223" s="137"/>
      <c r="FY223" s="137"/>
      <c r="FZ223" s="143"/>
      <c r="GA223" s="137"/>
      <c r="GB223" s="137"/>
      <c r="GC223" s="137"/>
      <c r="GD223" s="137"/>
      <c r="GE223" s="137"/>
      <c r="GF223" s="143"/>
      <c r="GG223" s="137"/>
      <c r="GH223" s="137"/>
      <c r="GI223" s="137"/>
      <c r="GJ223" s="137"/>
      <c r="GK223" s="137"/>
      <c r="GL223" s="143"/>
      <c r="GM223" s="137"/>
      <c r="GN223" s="137"/>
      <c r="GO223" s="137"/>
      <c r="GP223" s="137"/>
      <c r="GQ223" s="137"/>
      <c r="GR223" s="143"/>
      <c r="GS223" s="137"/>
      <c r="GT223" s="137"/>
      <c r="GU223" s="137"/>
      <c r="GV223" s="137"/>
      <c r="GW223" s="137"/>
      <c r="GX223" s="143"/>
      <c r="GY223" s="137"/>
      <c r="GZ223" s="137"/>
      <c r="HA223" s="137"/>
      <c r="HB223" s="137"/>
      <c r="HC223" s="137"/>
      <c r="HD223" s="143"/>
      <c r="HE223" s="137"/>
      <c r="HF223" s="137"/>
      <c r="HG223" s="137"/>
      <c r="HH223" s="137"/>
      <c r="HI223" s="137"/>
      <c r="HJ223" s="143"/>
      <c r="HK223" s="137"/>
      <c r="HL223" s="137"/>
      <c r="HM223" s="137"/>
      <c r="HN223" s="137"/>
      <c r="HO223" s="137"/>
      <c r="HP223" s="143"/>
      <c r="HQ223" s="137"/>
      <c r="HR223" s="137"/>
      <c r="HS223" s="137"/>
      <c r="HT223" s="137"/>
      <c r="HU223" s="137"/>
      <c r="HV223" s="143"/>
      <c r="HW223" s="137"/>
      <c r="HX223" s="137"/>
      <c r="HY223" s="137"/>
      <c r="HZ223" s="137"/>
      <c r="IA223" s="137"/>
      <c r="IB223" s="143"/>
      <c r="IC223" s="137"/>
      <c r="ID223" s="137"/>
      <c r="IE223" s="137"/>
      <c r="IF223" s="137"/>
      <c r="IG223" s="137"/>
      <c r="IH223" s="143"/>
      <c r="II223" s="137"/>
      <c r="IJ223" s="137"/>
      <c r="IK223" s="137"/>
      <c r="IL223" s="137"/>
      <c r="IM223" s="137"/>
      <c r="IN223" s="143"/>
      <c r="IO223" s="137"/>
      <c r="IP223" s="137"/>
      <c r="IQ223" s="137"/>
      <c r="IR223" s="137"/>
      <c r="IS223" s="137"/>
      <c r="IT223" s="143"/>
      <c r="IU223" s="137"/>
      <c r="IV223" s="137"/>
    </row>
    <row r="224" spans="1:256" ht="15.6">
      <c r="A224" s="150"/>
      <c r="B224" s="137"/>
      <c r="C224" s="29"/>
      <c r="D224" s="137"/>
      <c r="E224" s="138"/>
      <c r="F224" s="153"/>
      <c r="G224" s="428"/>
      <c r="H224" s="172"/>
      <c r="I224" s="172"/>
      <c r="J224" s="171"/>
      <c r="K224" s="368" t="s">
        <v>50</v>
      </c>
      <c r="L224" s="171"/>
      <c r="M224" s="589"/>
      <c r="N224" s="171"/>
      <c r="O224" s="1374">
        <v>0</v>
      </c>
      <c r="P224" s="171"/>
      <c r="Q224" s="369"/>
      <c r="R224" s="171"/>
      <c r="S224" s="246"/>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c r="AV224" s="137"/>
      <c r="AW224" s="137"/>
      <c r="AX224" s="137"/>
      <c r="AY224" s="137"/>
      <c r="AZ224" s="137"/>
      <c r="BA224" s="137"/>
      <c r="BB224" s="137"/>
      <c r="BC224" s="137"/>
      <c r="BD224" s="137"/>
      <c r="BE224" s="137"/>
      <c r="BF224" s="137"/>
      <c r="BG224" s="137"/>
      <c r="BH224" s="137"/>
      <c r="BI224" s="137"/>
      <c r="BJ224" s="137"/>
      <c r="BK224" s="137"/>
      <c r="BL224" s="137"/>
      <c r="BM224" s="137"/>
      <c r="BN224" s="137"/>
      <c r="BO224" s="137"/>
      <c r="BP224" s="143"/>
      <c r="BQ224" s="137"/>
      <c r="BR224" s="137"/>
      <c r="BS224" s="137"/>
      <c r="BT224" s="137"/>
      <c r="BU224" s="137"/>
      <c r="BV224" s="143"/>
      <c r="BW224" s="137"/>
      <c r="BX224" s="137"/>
      <c r="BY224" s="137"/>
      <c r="BZ224" s="137"/>
      <c r="CA224" s="137"/>
      <c r="CB224" s="143"/>
      <c r="CC224" s="137"/>
      <c r="CD224" s="137"/>
      <c r="CE224" s="137"/>
      <c r="CF224" s="137"/>
      <c r="CG224" s="137"/>
      <c r="CH224" s="143"/>
      <c r="CI224" s="137"/>
      <c r="CJ224" s="137"/>
      <c r="CK224" s="137"/>
      <c r="CL224" s="137"/>
      <c r="CM224" s="137"/>
      <c r="CN224" s="143"/>
      <c r="CO224" s="137"/>
      <c r="CP224" s="137"/>
      <c r="CQ224" s="137"/>
      <c r="CR224" s="137"/>
      <c r="CS224" s="137"/>
      <c r="CT224" s="143"/>
      <c r="CU224" s="137"/>
      <c r="CV224" s="137"/>
      <c r="CW224" s="137"/>
      <c r="CX224" s="137"/>
      <c r="CY224" s="137"/>
      <c r="CZ224" s="143"/>
      <c r="DA224" s="137"/>
      <c r="DB224" s="137"/>
      <c r="DC224" s="137"/>
      <c r="DD224" s="137"/>
      <c r="DE224" s="137"/>
      <c r="DF224" s="143"/>
      <c r="DG224" s="137"/>
      <c r="DH224" s="137"/>
      <c r="DI224" s="137"/>
      <c r="DJ224" s="137"/>
      <c r="DK224" s="137"/>
      <c r="DL224" s="143"/>
      <c r="DM224" s="137"/>
      <c r="DN224" s="137"/>
      <c r="DO224" s="137"/>
      <c r="DP224" s="137"/>
      <c r="DQ224" s="137"/>
      <c r="DR224" s="143"/>
      <c r="DS224" s="137"/>
      <c r="DT224" s="137"/>
      <c r="DU224" s="137"/>
      <c r="DV224" s="137"/>
      <c r="DW224" s="137"/>
      <c r="DX224" s="143"/>
      <c r="DY224" s="137"/>
      <c r="DZ224" s="137"/>
      <c r="EA224" s="137"/>
      <c r="EB224" s="137"/>
      <c r="EC224" s="137"/>
      <c r="ED224" s="143"/>
      <c r="EE224" s="137"/>
      <c r="EF224" s="137"/>
      <c r="EG224" s="137"/>
      <c r="EH224" s="137"/>
      <c r="EI224" s="137"/>
      <c r="EJ224" s="143"/>
      <c r="EK224" s="137"/>
      <c r="EL224" s="137"/>
      <c r="EM224" s="137"/>
      <c r="EN224" s="137"/>
      <c r="EO224" s="137"/>
      <c r="EP224" s="143"/>
      <c r="EQ224" s="137"/>
      <c r="ER224" s="137"/>
      <c r="ES224" s="137"/>
      <c r="ET224" s="137"/>
      <c r="EU224" s="137"/>
      <c r="EV224" s="143"/>
      <c r="EW224" s="137"/>
      <c r="EX224" s="137"/>
      <c r="EY224" s="137"/>
      <c r="EZ224" s="137"/>
      <c r="FA224" s="137"/>
      <c r="FB224" s="143"/>
      <c r="FC224" s="137"/>
      <c r="FD224" s="137"/>
      <c r="FE224" s="137"/>
      <c r="FF224" s="137"/>
      <c r="FG224" s="137"/>
      <c r="FH224" s="143"/>
      <c r="FI224" s="137"/>
      <c r="FJ224" s="137"/>
      <c r="FK224" s="137"/>
      <c r="FL224" s="137"/>
      <c r="FM224" s="137"/>
      <c r="FN224" s="143"/>
      <c r="FO224" s="137"/>
      <c r="FP224" s="137"/>
      <c r="FQ224" s="137"/>
      <c r="FR224" s="137"/>
      <c r="FS224" s="137"/>
      <c r="FT224" s="143"/>
      <c r="FU224" s="137"/>
      <c r="FV224" s="137"/>
      <c r="FW224" s="137"/>
      <c r="FX224" s="137"/>
      <c r="FY224" s="137"/>
      <c r="FZ224" s="143"/>
      <c r="GA224" s="137"/>
      <c r="GB224" s="137"/>
      <c r="GC224" s="137"/>
      <c r="GD224" s="137"/>
      <c r="GE224" s="137"/>
      <c r="GF224" s="143"/>
      <c r="GG224" s="137"/>
      <c r="GH224" s="137"/>
      <c r="GI224" s="137"/>
      <c r="GJ224" s="137"/>
      <c r="GK224" s="137"/>
      <c r="GL224" s="143"/>
      <c r="GM224" s="137"/>
      <c r="GN224" s="137"/>
      <c r="GO224" s="137"/>
      <c r="GP224" s="137"/>
      <c r="GQ224" s="137"/>
      <c r="GR224" s="143"/>
      <c r="GS224" s="137"/>
      <c r="GT224" s="137"/>
      <c r="GU224" s="137"/>
      <c r="GV224" s="137"/>
      <c r="GW224" s="137"/>
      <c r="GX224" s="143"/>
      <c r="GY224" s="137"/>
      <c r="GZ224" s="137"/>
      <c r="HA224" s="137"/>
      <c r="HB224" s="137"/>
      <c r="HC224" s="137"/>
      <c r="HD224" s="143"/>
      <c r="HE224" s="137"/>
      <c r="HF224" s="137"/>
      <c r="HG224" s="137"/>
      <c r="HH224" s="137"/>
      <c r="HI224" s="137"/>
      <c r="HJ224" s="143"/>
      <c r="HK224" s="137"/>
      <c r="HL224" s="137"/>
      <c r="HM224" s="137"/>
      <c r="HN224" s="137"/>
      <c r="HO224" s="137"/>
      <c r="HP224" s="143"/>
      <c r="HQ224" s="137"/>
      <c r="HR224" s="137"/>
      <c r="HS224" s="137"/>
      <c r="HT224" s="137"/>
      <c r="HU224" s="137"/>
      <c r="HV224" s="143"/>
      <c r="HW224" s="137"/>
      <c r="HX224" s="137"/>
      <c r="HY224" s="137"/>
      <c r="HZ224" s="137"/>
      <c r="IA224" s="137"/>
      <c r="IB224" s="143"/>
      <c r="IC224" s="137"/>
      <c r="ID224" s="137"/>
      <c r="IE224" s="137"/>
      <c r="IF224" s="137"/>
      <c r="IG224" s="137"/>
      <c r="IH224" s="143"/>
      <c r="II224" s="137"/>
      <c r="IJ224" s="137"/>
      <c r="IK224" s="137"/>
      <c r="IL224" s="137"/>
      <c r="IM224" s="137"/>
      <c r="IN224" s="143"/>
      <c r="IO224" s="137"/>
      <c r="IP224" s="137"/>
      <c r="IQ224" s="137"/>
      <c r="IR224" s="137"/>
      <c r="IS224" s="137"/>
      <c r="IT224" s="143"/>
      <c r="IU224" s="137"/>
      <c r="IV224" s="137"/>
    </row>
    <row r="225" spans="1:256" ht="15.6">
      <c r="A225" s="150"/>
      <c r="B225" s="137"/>
      <c r="C225" s="29"/>
      <c r="D225" s="137"/>
      <c r="E225" s="138"/>
      <c r="F225" s="153"/>
      <c r="G225" s="428"/>
      <c r="H225" s="172"/>
      <c r="I225" s="172"/>
      <c r="J225" s="171"/>
      <c r="K225" s="368" t="s">
        <v>51</v>
      </c>
      <c r="L225" s="171"/>
      <c r="M225" s="589"/>
      <c r="N225" s="171"/>
      <c r="O225" s="1374">
        <v>0</v>
      </c>
      <c r="P225" s="171"/>
      <c r="Q225" s="369"/>
      <c r="R225" s="171"/>
      <c r="S225" s="246"/>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c r="AV225" s="137"/>
      <c r="AW225" s="137"/>
      <c r="AX225" s="137"/>
      <c r="AY225" s="137"/>
      <c r="AZ225" s="137"/>
      <c r="BA225" s="137"/>
      <c r="BB225" s="137"/>
      <c r="BC225" s="137"/>
      <c r="BD225" s="137"/>
      <c r="BE225" s="137"/>
      <c r="BF225" s="137"/>
      <c r="BG225" s="137"/>
      <c r="BH225" s="137"/>
      <c r="BI225" s="137"/>
      <c r="BJ225" s="137"/>
      <c r="BK225" s="137"/>
      <c r="BL225" s="137"/>
      <c r="BM225" s="137"/>
      <c r="BN225" s="137"/>
      <c r="BO225" s="137"/>
      <c r="BP225" s="143"/>
      <c r="BQ225" s="137"/>
      <c r="BR225" s="137"/>
      <c r="BS225" s="137"/>
      <c r="BT225" s="137"/>
      <c r="BU225" s="137"/>
      <c r="BV225" s="143"/>
      <c r="BW225" s="137"/>
      <c r="BX225" s="137"/>
      <c r="BY225" s="137"/>
      <c r="BZ225" s="137"/>
      <c r="CA225" s="137"/>
      <c r="CB225" s="143"/>
      <c r="CC225" s="137"/>
      <c r="CD225" s="137"/>
      <c r="CE225" s="137"/>
      <c r="CF225" s="137"/>
      <c r="CG225" s="137"/>
      <c r="CH225" s="143"/>
      <c r="CI225" s="137"/>
      <c r="CJ225" s="137"/>
      <c r="CK225" s="137"/>
      <c r="CL225" s="137"/>
      <c r="CM225" s="137"/>
      <c r="CN225" s="143"/>
      <c r="CO225" s="137"/>
      <c r="CP225" s="137"/>
      <c r="CQ225" s="137"/>
      <c r="CR225" s="137"/>
      <c r="CS225" s="137"/>
      <c r="CT225" s="143"/>
      <c r="CU225" s="137"/>
      <c r="CV225" s="137"/>
      <c r="CW225" s="137"/>
      <c r="CX225" s="137"/>
      <c r="CY225" s="137"/>
      <c r="CZ225" s="143"/>
      <c r="DA225" s="137"/>
      <c r="DB225" s="137"/>
      <c r="DC225" s="137"/>
      <c r="DD225" s="137"/>
      <c r="DE225" s="137"/>
      <c r="DF225" s="143"/>
      <c r="DG225" s="137"/>
      <c r="DH225" s="137"/>
      <c r="DI225" s="137"/>
      <c r="DJ225" s="137"/>
      <c r="DK225" s="137"/>
      <c r="DL225" s="143"/>
      <c r="DM225" s="137"/>
      <c r="DN225" s="137"/>
      <c r="DO225" s="137"/>
      <c r="DP225" s="137"/>
      <c r="DQ225" s="137"/>
      <c r="DR225" s="143"/>
      <c r="DS225" s="137"/>
      <c r="DT225" s="137"/>
      <c r="DU225" s="137"/>
      <c r="DV225" s="137"/>
      <c r="DW225" s="137"/>
      <c r="DX225" s="143"/>
      <c r="DY225" s="137"/>
      <c r="DZ225" s="137"/>
      <c r="EA225" s="137"/>
      <c r="EB225" s="137"/>
      <c r="EC225" s="137"/>
      <c r="ED225" s="143"/>
      <c r="EE225" s="137"/>
      <c r="EF225" s="137"/>
      <c r="EG225" s="137"/>
      <c r="EH225" s="137"/>
      <c r="EI225" s="137"/>
      <c r="EJ225" s="143"/>
      <c r="EK225" s="137"/>
      <c r="EL225" s="137"/>
      <c r="EM225" s="137"/>
      <c r="EN225" s="137"/>
      <c r="EO225" s="137"/>
      <c r="EP225" s="143"/>
      <c r="EQ225" s="137"/>
      <c r="ER225" s="137"/>
      <c r="ES225" s="137"/>
      <c r="ET225" s="137"/>
      <c r="EU225" s="137"/>
      <c r="EV225" s="143"/>
      <c r="EW225" s="137"/>
      <c r="EX225" s="137"/>
      <c r="EY225" s="137"/>
      <c r="EZ225" s="137"/>
      <c r="FA225" s="137"/>
      <c r="FB225" s="143"/>
      <c r="FC225" s="137"/>
      <c r="FD225" s="137"/>
      <c r="FE225" s="137"/>
      <c r="FF225" s="137"/>
      <c r="FG225" s="137"/>
      <c r="FH225" s="143"/>
      <c r="FI225" s="137"/>
      <c r="FJ225" s="137"/>
      <c r="FK225" s="137"/>
      <c r="FL225" s="137"/>
      <c r="FM225" s="137"/>
      <c r="FN225" s="143"/>
      <c r="FO225" s="137"/>
      <c r="FP225" s="137"/>
      <c r="FQ225" s="137"/>
      <c r="FR225" s="137"/>
      <c r="FS225" s="137"/>
      <c r="FT225" s="143"/>
      <c r="FU225" s="137"/>
      <c r="FV225" s="137"/>
      <c r="FW225" s="137"/>
      <c r="FX225" s="137"/>
      <c r="FY225" s="137"/>
      <c r="FZ225" s="143"/>
      <c r="GA225" s="137"/>
      <c r="GB225" s="137"/>
      <c r="GC225" s="137"/>
      <c r="GD225" s="137"/>
      <c r="GE225" s="137"/>
      <c r="GF225" s="143"/>
      <c r="GG225" s="137"/>
      <c r="GH225" s="137"/>
      <c r="GI225" s="137"/>
      <c r="GJ225" s="137"/>
      <c r="GK225" s="137"/>
      <c r="GL225" s="143"/>
      <c r="GM225" s="137"/>
      <c r="GN225" s="137"/>
      <c r="GO225" s="137"/>
      <c r="GP225" s="137"/>
      <c r="GQ225" s="137"/>
      <c r="GR225" s="143"/>
      <c r="GS225" s="137"/>
      <c r="GT225" s="137"/>
      <c r="GU225" s="137"/>
      <c r="GV225" s="137"/>
      <c r="GW225" s="137"/>
      <c r="GX225" s="143"/>
      <c r="GY225" s="137"/>
      <c r="GZ225" s="137"/>
      <c r="HA225" s="137"/>
      <c r="HB225" s="137"/>
      <c r="HC225" s="137"/>
      <c r="HD225" s="143"/>
      <c r="HE225" s="137"/>
      <c r="HF225" s="137"/>
      <c r="HG225" s="137"/>
      <c r="HH225" s="137"/>
      <c r="HI225" s="137"/>
      <c r="HJ225" s="143"/>
      <c r="HK225" s="137"/>
      <c r="HL225" s="137"/>
      <c r="HM225" s="137"/>
      <c r="HN225" s="137"/>
      <c r="HO225" s="137"/>
      <c r="HP225" s="143"/>
      <c r="HQ225" s="137"/>
      <c r="HR225" s="137"/>
      <c r="HS225" s="137"/>
      <c r="HT225" s="137"/>
      <c r="HU225" s="137"/>
      <c r="HV225" s="143"/>
      <c r="HW225" s="137"/>
      <c r="HX225" s="137"/>
      <c r="HY225" s="137"/>
      <c r="HZ225" s="137"/>
      <c r="IA225" s="137"/>
      <c r="IB225" s="143"/>
      <c r="IC225" s="137"/>
      <c r="ID225" s="137"/>
      <c r="IE225" s="137"/>
      <c r="IF225" s="137"/>
      <c r="IG225" s="137"/>
      <c r="IH225" s="143"/>
      <c r="II225" s="137"/>
      <c r="IJ225" s="137"/>
      <c r="IK225" s="137"/>
      <c r="IL225" s="137"/>
      <c r="IM225" s="137"/>
      <c r="IN225" s="143"/>
      <c r="IO225" s="137"/>
      <c r="IP225" s="137"/>
      <c r="IQ225" s="137"/>
      <c r="IR225" s="137"/>
      <c r="IS225" s="137"/>
      <c r="IT225" s="143"/>
      <c r="IU225" s="137"/>
      <c r="IV225" s="137"/>
    </row>
    <row r="226" spans="1:256" ht="15.6">
      <c r="A226" s="150"/>
      <c r="B226" s="137"/>
      <c r="C226" s="29"/>
      <c r="D226" s="137"/>
      <c r="E226" s="138"/>
      <c r="F226" s="153"/>
      <c r="G226" s="428"/>
      <c r="H226" s="172"/>
      <c r="I226" s="172"/>
      <c r="J226" s="171"/>
      <c r="K226" s="368" t="s">
        <v>52</v>
      </c>
      <c r="L226" s="171"/>
      <c r="M226" s="589"/>
      <c r="N226" s="171"/>
      <c r="O226" s="1374">
        <v>0</v>
      </c>
      <c r="P226" s="171"/>
      <c r="Q226" s="369"/>
      <c r="R226" s="171"/>
      <c r="S226" s="246"/>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37"/>
      <c r="AW226" s="137"/>
      <c r="AX226" s="137"/>
      <c r="AY226" s="137"/>
      <c r="AZ226" s="137"/>
      <c r="BA226" s="137"/>
      <c r="BB226" s="137"/>
      <c r="BC226" s="137"/>
      <c r="BD226" s="137"/>
      <c r="BE226" s="137"/>
      <c r="BF226" s="137"/>
      <c r="BG226" s="137"/>
      <c r="BH226" s="137"/>
      <c r="BI226" s="137"/>
      <c r="BJ226" s="137"/>
      <c r="BK226" s="137"/>
      <c r="BL226" s="137"/>
      <c r="BM226" s="137"/>
      <c r="BN226" s="137"/>
      <c r="BO226" s="137"/>
      <c r="BP226" s="143"/>
      <c r="BQ226" s="137"/>
      <c r="BR226" s="137"/>
      <c r="BS226" s="137"/>
      <c r="BT226" s="137"/>
      <c r="BU226" s="137"/>
      <c r="BV226" s="143"/>
      <c r="BW226" s="137"/>
      <c r="BX226" s="137"/>
      <c r="BY226" s="137"/>
      <c r="BZ226" s="137"/>
      <c r="CA226" s="137"/>
      <c r="CB226" s="143"/>
      <c r="CC226" s="137"/>
      <c r="CD226" s="137"/>
      <c r="CE226" s="137"/>
      <c r="CF226" s="137"/>
      <c r="CG226" s="137"/>
      <c r="CH226" s="143"/>
      <c r="CI226" s="137"/>
      <c r="CJ226" s="137"/>
      <c r="CK226" s="137"/>
      <c r="CL226" s="137"/>
      <c r="CM226" s="137"/>
      <c r="CN226" s="143"/>
      <c r="CO226" s="137"/>
      <c r="CP226" s="137"/>
      <c r="CQ226" s="137"/>
      <c r="CR226" s="137"/>
      <c r="CS226" s="137"/>
      <c r="CT226" s="143"/>
      <c r="CU226" s="137"/>
      <c r="CV226" s="137"/>
      <c r="CW226" s="137"/>
      <c r="CX226" s="137"/>
      <c r="CY226" s="137"/>
      <c r="CZ226" s="143"/>
      <c r="DA226" s="137"/>
      <c r="DB226" s="137"/>
      <c r="DC226" s="137"/>
      <c r="DD226" s="137"/>
      <c r="DE226" s="137"/>
      <c r="DF226" s="143"/>
      <c r="DG226" s="137"/>
      <c r="DH226" s="137"/>
      <c r="DI226" s="137"/>
      <c r="DJ226" s="137"/>
      <c r="DK226" s="137"/>
      <c r="DL226" s="143"/>
      <c r="DM226" s="137"/>
      <c r="DN226" s="137"/>
      <c r="DO226" s="137"/>
      <c r="DP226" s="137"/>
      <c r="DQ226" s="137"/>
      <c r="DR226" s="143"/>
      <c r="DS226" s="137"/>
      <c r="DT226" s="137"/>
      <c r="DU226" s="137"/>
      <c r="DV226" s="137"/>
      <c r="DW226" s="137"/>
      <c r="DX226" s="143"/>
      <c r="DY226" s="137"/>
      <c r="DZ226" s="137"/>
      <c r="EA226" s="137"/>
      <c r="EB226" s="137"/>
      <c r="EC226" s="137"/>
      <c r="ED226" s="143"/>
      <c r="EE226" s="137"/>
      <c r="EF226" s="137"/>
      <c r="EG226" s="137"/>
      <c r="EH226" s="137"/>
      <c r="EI226" s="137"/>
      <c r="EJ226" s="143"/>
      <c r="EK226" s="137"/>
      <c r="EL226" s="137"/>
      <c r="EM226" s="137"/>
      <c r="EN226" s="137"/>
      <c r="EO226" s="137"/>
      <c r="EP226" s="143"/>
      <c r="EQ226" s="137"/>
      <c r="ER226" s="137"/>
      <c r="ES226" s="137"/>
      <c r="ET226" s="137"/>
      <c r="EU226" s="137"/>
      <c r="EV226" s="143"/>
      <c r="EW226" s="137"/>
      <c r="EX226" s="137"/>
      <c r="EY226" s="137"/>
      <c r="EZ226" s="137"/>
      <c r="FA226" s="137"/>
      <c r="FB226" s="143"/>
      <c r="FC226" s="137"/>
      <c r="FD226" s="137"/>
      <c r="FE226" s="137"/>
      <c r="FF226" s="137"/>
      <c r="FG226" s="137"/>
      <c r="FH226" s="143"/>
      <c r="FI226" s="137"/>
      <c r="FJ226" s="137"/>
      <c r="FK226" s="137"/>
      <c r="FL226" s="137"/>
      <c r="FM226" s="137"/>
      <c r="FN226" s="143"/>
      <c r="FO226" s="137"/>
      <c r="FP226" s="137"/>
      <c r="FQ226" s="137"/>
      <c r="FR226" s="137"/>
      <c r="FS226" s="137"/>
      <c r="FT226" s="143"/>
      <c r="FU226" s="137"/>
      <c r="FV226" s="137"/>
      <c r="FW226" s="137"/>
      <c r="FX226" s="137"/>
      <c r="FY226" s="137"/>
      <c r="FZ226" s="143"/>
      <c r="GA226" s="137"/>
      <c r="GB226" s="137"/>
      <c r="GC226" s="137"/>
      <c r="GD226" s="137"/>
      <c r="GE226" s="137"/>
      <c r="GF226" s="143"/>
      <c r="GG226" s="137"/>
      <c r="GH226" s="137"/>
      <c r="GI226" s="137"/>
      <c r="GJ226" s="137"/>
      <c r="GK226" s="137"/>
      <c r="GL226" s="143"/>
      <c r="GM226" s="137"/>
      <c r="GN226" s="137"/>
      <c r="GO226" s="137"/>
      <c r="GP226" s="137"/>
      <c r="GQ226" s="137"/>
      <c r="GR226" s="143"/>
      <c r="GS226" s="137"/>
      <c r="GT226" s="137"/>
      <c r="GU226" s="137"/>
      <c r="GV226" s="137"/>
      <c r="GW226" s="137"/>
      <c r="GX226" s="143"/>
      <c r="GY226" s="137"/>
      <c r="GZ226" s="137"/>
      <c r="HA226" s="137"/>
      <c r="HB226" s="137"/>
      <c r="HC226" s="137"/>
      <c r="HD226" s="143"/>
      <c r="HE226" s="137"/>
      <c r="HF226" s="137"/>
      <c r="HG226" s="137"/>
      <c r="HH226" s="137"/>
      <c r="HI226" s="137"/>
      <c r="HJ226" s="143"/>
      <c r="HK226" s="137"/>
      <c r="HL226" s="137"/>
      <c r="HM226" s="137"/>
      <c r="HN226" s="137"/>
      <c r="HO226" s="137"/>
      <c r="HP226" s="143"/>
      <c r="HQ226" s="137"/>
      <c r="HR226" s="137"/>
      <c r="HS226" s="137"/>
      <c r="HT226" s="137"/>
      <c r="HU226" s="137"/>
      <c r="HV226" s="143"/>
      <c r="HW226" s="137"/>
      <c r="HX226" s="137"/>
      <c r="HY226" s="137"/>
      <c r="HZ226" s="137"/>
      <c r="IA226" s="137"/>
      <c r="IB226" s="143"/>
      <c r="IC226" s="137"/>
      <c r="ID226" s="137"/>
      <c r="IE226" s="137"/>
      <c r="IF226" s="137"/>
      <c r="IG226" s="137"/>
      <c r="IH226" s="143"/>
      <c r="II226" s="137"/>
      <c r="IJ226" s="137"/>
      <c r="IK226" s="137"/>
      <c r="IL226" s="137"/>
      <c r="IM226" s="137"/>
      <c r="IN226" s="143"/>
      <c r="IO226" s="137"/>
      <c r="IP226" s="137"/>
      <c r="IQ226" s="137"/>
      <c r="IR226" s="137"/>
      <c r="IS226" s="137"/>
      <c r="IT226" s="143"/>
      <c r="IU226" s="137"/>
      <c r="IV226" s="137"/>
    </row>
    <row r="227" spans="1:256" ht="15.6">
      <c r="A227" s="150"/>
      <c r="B227" s="137"/>
      <c r="C227" s="29"/>
      <c r="D227" s="137"/>
      <c r="E227" s="138"/>
      <c r="F227" s="153"/>
      <c r="G227" s="428"/>
      <c r="H227" s="172"/>
      <c r="I227" s="172"/>
      <c r="J227" s="171"/>
      <c r="K227" s="368" t="s">
        <v>53</v>
      </c>
      <c r="L227" s="171"/>
      <c r="M227" s="589"/>
      <c r="N227" s="171"/>
      <c r="O227" s="1374">
        <v>0</v>
      </c>
      <c r="P227" s="171"/>
      <c r="Q227" s="369"/>
      <c r="R227" s="171"/>
      <c r="S227" s="246"/>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37"/>
      <c r="AW227" s="137"/>
      <c r="AX227" s="137"/>
      <c r="AY227" s="137"/>
      <c r="AZ227" s="137"/>
      <c r="BA227" s="137"/>
      <c r="BB227" s="137"/>
      <c r="BC227" s="137"/>
      <c r="BD227" s="137"/>
      <c r="BE227" s="137"/>
      <c r="BF227" s="137"/>
      <c r="BG227" s="137"/>
      <c r="BH227" s="137"/>
      <c r="BI227" s="137"/>
      <c r="BJ227" s="137"/>
      <c r="BK227" s="137"/>
      <c r="BL227" s="137"/>
      <c r="BM227" s="137"/>
      <c r="BN227" s="137"/>
      <c r="BO227" s="137"/>
      <c r="BP227" s="143"/>
      <c r="BQ227" s="137"/>
      <c r="BR227" s="137"/>
      <c r="BS227" s="137"/>
      <c r="BT227" s="137"/>
      <c r="BU227" s="137"/>
      <c r="BV227" s="143"/>
      <c r="BW227" s="137"/>
      <c r="BX227" s="137"/>
      <c r="BY227" s="137"/>
      <c r="BZ227" s="137"/>
      <c r="CA227" s="137"/>
      <c r="CB227" s="143"/>
      <c r="CC227" s="137"/>
      <c r="CD227" s="137"/>
      <c r="CE227" s="137"/>
      <c r="CF227" s="137"/>
      <c r="CG227" s="137"/>
      <c r="CH227" s="143"/>
      <c r="CI227" s="137"/>
      <c r="CJ227" s="137"/>
      <c r="CK227" s="137"/>
      <c r="CL227" s="137"/>
      <c r="CM227" s="137"/>
      <c r="CN227" s="143"/>
      <c r="CO227" s="137"/>
      <c r="CP227" s="137"/>
      <c r="CQ227" s="137"/>
      <c r="CR227" s="137"/>
      <c r="CS227" s="137"/>
      <c r="CT227" s="143"/>
      <c r="CU227" s="137"/>
      <c r="CV227" s="137"/>
      <c r="CW227" s="137"/>
      <c r="CX227" s="137"/>
      <c r="CY227" s="137"/>
      <c r="CZ227" s="143"/>
      <c r="DA227" s="137"/>
      <c r="DB227" s="137"/>
      <c r="DC227" s="137"/>
      <c r="DD227" s="137"/>
      <c r="DE227" s="137"/>
      <c r="DF227" s="143"/>
      <c r="DG227" s="137"/>
      <c r="DH227" s="137"/>
      <c r="DI227" s="137"/>
      <c r="DJ227" s="137"/>
      <c r="DK227" s="137"/>
      <c r="DL227" s="143"/>
      <c r="DM227" s="137"/>
      <c r="DN227" s="137"/>
      <c r="DO227" s="137"/>
      <c r="DP227" s="137"/>
      <c r="DQ227" s="137"/>
      <c r="DR227" s="143"/>
      <c r="DS227" s="137"/>
      <c r="DT227" s="137"/>
      <c r="DU227" s="137"/>
      <c r="DV227" s="137"/>
      <c r="DW227" s="137"/>
      <c r="DX227" s="143"/>
      <c r="DY227" s="137"/>
      <c r="DZ227" s="137"/>
      <c r="EA227" s="137"/>
      <c r="EB227" s="137"/>
      <c r="EC227" s="137"/>
      <c r="ED227" s="143"/>
      <c r="EE227" s="137"/>
      <c r="EF227" s="137"/>
      <c r="EG227" s="137"/>
      <c r="EH227" s="137"/>
      <c r="EI227" s="137"/>
      <c r="EJ227" s="143"/>
      <c r="EK227" s="137"/>
      <c r="EL227" s="137"/>
      <c r="EM227" s="137"/>
      <c r="EN227" s="137"/>
      <c r="EO227" s="137"/>
      <c r="EP227" s="143"/>
      <c r="EQ227" s="137"/>
      <c r="ER227" s="137"/>
      <c r="ES227" s="137"/>
      <c r="ET227" s="137"/>
      <c r="EU227" s="137"/>
      <c r="EV227" s="143"/>
      <c r="EW227" s="137"/>
      <c r="EX227" s="137"/>
      <c r="EY227" s="137"/>
      <c r="EZ227" s="137"/>
      <c r="FA227" s="137"/>
      <c r="FB227" s="143"/>
      <c r="FC227" s="137"/>
      <c r="FD227" s="137"/>
      <c r="FE227" s="137"/>
      <c r="FF227" s="137"/>
      <c r="FG227" s="137"/>
      <c r="FH227" s="143"/>
      <c r="FI227" s="137"/>
      <c r="FJ227" s="137"/>
      <c r="FK227" s="137"/>
      <c r="FL227" s="137"/>
      <c r="FM227" s="137"/>
      <c r="FN227" s="143"/>
      <c r="FO227" s="137"/>
      <c r="FP227" s="137"/>
      <c r="FQ227" s="137"/>
      <c r="FR227" s="137"/>
      <c r="FS227" s="137"/>
      <c r="FT227" s="143"/>
      <c r="FU227" s="137"/>
      <c r="FV227" s="137"/>
      <c r="FW227" s="137"/>
      <c r="FX227" s="137"/>
      <c r="FY227" s="137"/>
      <c r="FZ227" s="143"/>
      <c r="GA227" s="137"/>
      <c r="GB227" s="137"/>
      <c r="GC227" s="137"/>
      <c r="GD227" s="137"/>
      <c r="GE227" s="137"/>
      <c r="GF227" s="143"/>
      <c r="GG227" s="137"/>
      <c r="GH227" s="137"/>
      <c r="GI227" s="137"/>
      <c r="GJ227" s="137"/>
      <c r="GK227" s="137"/>
      <c r="GL227" s="143"/>
      <c r="GM227" s="137"/>
      <c r="GN227" s="137"/>
      <c r="GO227" s="137"/>
      <c r="GP227" s="137"/>
      <c r="GQ227" s="137"/>
      <c r="GR227" s="143"/>
      <c r="GS227" s="137"/>
      <c r="GT227" s="137"/>
      <c r="GU227" s="137"/>
      <c r="GV227" s="137"/>
      <c r="GW227" s="137"/>
      <c r="GX227" s="143"/>
      <c r="GY227" s="137"/>
      <c r="GZ227" s="137"/>
      <c r="HA227" s="137"/>
      <c r="HB227" s="137"/>
      <c r="HC227" s="137"/>
      <c r="HD227" s="143"/>
      <c r="HE227" s="137"/>
      <c r="HF227" s="137"/>
      <c r="HG227" s="137"/>
      <c r="HH227" s="137"/>
      <c r="HI227" s="137"/>
      <c r="HJ227" s="143"/>
      <c r="HK227" s="137"/>
      <c r="HL227" s="137"/>
      <c r="HM227" s="137"/>
      <c r="HN227" s="137"/>
      <c r="HO227" s="137"/>
      <c r="HP227" s="143"/>
      <c r="HQ227" s="137"/>
      <c r="HR227" s="137"/>
      <c r="HS227" s="137"/>
      <c r="HT227" s="137"/>
      <c r="HU227" s="137"/>
      <c r="HV227" s="143"/>
      <c r="HW227" s="137"/>
      <c r="HX227" s="137"/>
      <c r="HY227" s="137"/>
      <c r="HZ227" s="137"/>
      <c r="IA227" s="137"/>
      <c r="IB227" s="143"/>
      <c r="IC227" s="137"/>
      <c r="ID227" s="137"/>
      <c r="IE227" s="137"/>
      <c r="IF227" s="137"/>
      <c r="IG227" s="137"/>
      <c r="IH227" s="143"/>
      <c r="II227" s="137"/>
      <c r="IJ227" s="137"/>
      <c r="IK227" s="137"/>
      <c r="IL227" s="137"/>
      <c r="IM227" s="137"/>
      <c r="IN227" s="143"/>
      <c r="IO227" s="137"/>
      <c r="IP227" s="137"/>
      <c r="IQ227" s="137"/>
      <c r="IR227" s="137"/>
      <c r="IS227" s="137"/>
      <c r="IT227" s="143"/>
      <c r="IU227" s="137"/>
      <c r="IV227" s="137"/>
    </row>
    <row r="228" spans="1:256" ht="15.6">
      <c r="A228" s="150"/>
      <c r="B228" s="137"/>
      <c r="C228" s="29"/>
      <c r="D228" s="137"/>
      <c r="E228" s="138"/>
      <c r="F228" s="153"/>
      <c r="G228" s="428"/>
      <c r="H228" s="172"/>
      <c r="I228" s="172"/>
      <c r="J228" s="171"/>
      <c r="K228" s="368" t="s">
        <v>54</v>
      </c>
      <c r="L228" s="171"/>
      <c r="M228" s="171"/>
      <c r="N228" s="171"/>
      <c r="O228" s="1374">
        <v>0</v>
      </c>
      <c r="P228" s="171"/>
      <c r="Q228" s="369"/>
      <c r="R228" s="171"/>
      <c r="S228" s="246"/>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7"/>
      <c r="AY228" s="137"/>
      <c r="AZ228" s="137"/>
      <c r="BA228" s="137"/>
      <c r="BB228" s="137"/>
      <c r="BC228" s="137"/>
      <c r="BD228" s="137"/>
      <c r="BE228" s="137"/>
      <c r="BF228" s="137"/>
      <c r="BG228" s="137"/>
      <c r="BH228" s="137"/>
      <c r="BI228" s="137"/>
      <c r="BJ228" s="137"/>
      <c r="BK228" s="137"/>
      <c r="BL228" s="137"/>
      <c r="BM228" s="137"/>
      <c r="BN228" s="137"/>
      <c r="BO228" s="137"/>
      <c r="BP228" s="143"/>
      <c r="BQ228" s="137"/>
      <c r="BR228" s="137"/>
      <c r="BS228" s="137"/>
      <c r="BT228" s="137"/>
      <c r="BU228" s="137"/>
      <c r="BV228" s="143"/>
      <c r="BW228" s="137"/>
      <c r="BX228" s="137"/>
      <c r="BY228" s="137"/>
      <c r="BZ228" s="137"/>
      <c r="CA228" s="137"/>
      <c r="CB228" s="143"/>
      <c r="CC228" s="137"/>
      <c r="CD228" s="137"/>
      <c r="CE228" s="137"/>
      <c r="CF228" s="137"/>
      <c r="CG228" s="137"/>
      <c r="CH228" s="143"/>
      <c r="CI228" s="137"/>
      <c r="CJ228" s="137"/>
      <c r="CK228" s="137"/>
      <c r="CL228" s="137"/>
      <c r="CM228" s="137"/>
      <c r="CN228" s="143"/>
      <c r="CO228" s="137"/>
      <c r="CP228" s="137"/>
      <c r="CQ228" s="137"/>
      <c r="CR228" s="137"/>
      <c r="CS228" s="137"/>
      <c r="CT228" s="143"/>
      <c r="CU228" s="137"/>
      <c r="CV228" s="137"/>
      <c r="CW228" s="137"/>
      <c r="CX228" s="137"/>
      <c r="CY228" s="137"/>
      <c r="CZ228" s="143"/>
      <c r="DA228" s="137"/>
      <c r="DB228" s="137"/>
      <c r="DC228" s="137"/>
      <c r="DD228" s="137"/>
      <c r="DE228" s="137"/>
      <c r="DF228" s="143"/>
      <c r="DG228" s="137"/>
      <c r="DH228" s="137"/>
      <c r="DI228" s="137"/>
      <c r="DJ228" s="137"/>
      <c r="DK228" s="137"/>
      <c r="DL228" s="143"/>
      <c r="DM228" s="137"/>
      <c r="DN228" s="137"/>
      <c r="DO228" s="137"/>
      <c r="DP228" s="137"/>
      <c r="DQ228" s="137"/>
      <c r="DR228" s="143"/>
      <c r="DS228" s="137"/>
      <c r="DT228" s="137"/>
      <c r="DU228" s="137"/>
      <c r="DV228" s="137"/>
      <c r="DW228" s="137"/>
      <c r="DX228" s="143"/>
      <c r="DY228" s="137"/>
      <c r="DZ228" s="137"/>
      <c r="EA228" s="137"/>
      <c r="EB228" s="137"/>
      <c r="EC228" s="137"/>
      <c r="ED228" s="143"/>
      <c r="EE228" s="137"/>
      <c r="EF228" s="137"/>
      <c r="EG228" s="137"/>
      <c r="EH228" s="137"/>
      <c r="EI228" s="137"/>
      <c r="EJ228" s="143"/>
      <c r="EK228" s="137"/>
      <c r="EL228" s="137"/>
      <c r="EM228" s="137"/>
      <c r="EN228" s="137"/>
      <c r="EO228" s="137"/>
      <c r="EP228" s="143"/>
      <c r="EQ228" s="137"/>
      <c r="ER228" s="137"/>
      <c r="ES228" s="137"/>
      <c r="ET228" s="137"/>
      <c r="EU228" s="137"/>
      <c r="EV228" s="143"/>
      <c r="EW228" s="137"/>
      <c r="EX228" s="137"/>
      <c r="EY228" s="137"/>
      <c r="EZ228" s="137"/>
      <c r="FA228" s="137"/>
      <c r="FB228" s="143"/>
      <c r="FC228" s="137"/>
      <c r="FD228" s="137"/>
      <c r="FE228" s="137"/>
      <c r="FF228" s="137"/>
      <c r="FG228" s="137"/>
      <c r="FH228" s="143"/>
      <c r="FI228" s="137"/>
      <c r="FJ228" s="137"/>
      <c r="FK228" s="137"/>
      <c r="FL228" s="137"/>
      <c r="FM228" s="137"/>
      <c r="FN228" s="143"/>
      <c r="FO228" s="137"/>
      <c r="FP228" s="137"/>
      <c r="FQ228" s="137"/>
      <c r="FR228" s="137"/>
      <c r="FS228" s="137"/>
      <c r="FT228" s="143"/>
      <c r="FU228" s="137"/>
      <c r="FV228" s="137"/>
      <c r="FW228" s="137"/>
      <c r="FX228" s="137"/>
      <c r="FY228" s="137"/>
      <c r="FZ228" s="143"/>
      <c r="GA228" s="137"/>
      <c r="GB228" s="137"/>
      <c r="GC228" s="137"/>
      <c r="GD228" s="137"/>
      <c r="GE228" s="137"/>
      <c r="GF228" s="143"/>
      <c r="GG228" s="137"/>
      <c r="GH228" s="137"/>
      <c r="GI228" s="137"/>
      <c r="GJ228" s="137"/>
      <c r="GK228" s="137"/>
      <c r="GL228" s="143"/>
      <c r="GM228" s="137"/>
      <c r="GN228" s="137"/>
      <c r="GO228" s="137"/>
      <c r="GP228" s="137"/>
      <c r="GQ228" s="137"/>
      <c r="GR228" s="143"/>
      <c r="GS228" s="137"/>
      <c r="GT228" s="137"/>
      <c r="GU228" s="137"/>
      <c r="GV228" s="137"/>
      <c r="GW228" s="137"/>
      <c r="GX228" s="143"/>
      <c r="GY228" s="137"/>
      <c r="GZ228" s="137"/>
      <c r="HA228" s="137"/>
      <c r="HB228" s="137"/>
      <c r="HC228" s="137"/>
      <c r="HD228" s="143"/>
      <c r="HE228" s="137"/>
      <c r="HF228" s="137"/>
      <c r="HG228" s="137"/>
      <c r="HH228" s="137"/>
      <c r="HI228" s="137"/>
      <c r="HJ228" s="143"/>
      <c r="HK228" s="137"/>
      <c r="HL228" s="137"/>
      <c r="HM228" s="137"/>
      <c r="HN228" s="137"/>
      <c r="HO228" s="137"/>
      <c r="HP228" s="143"/>
      <c r="HQ228" s="137"/>
      <c r="HR228" s="137"/>
      <c r="HS228" s="137"/>
      <c r="HT228" s="137"/>
      <c r="HU228" s="137"/>
      <c r="HV228" s="143"/>
      <c r="HW228" s="137"/>
      <c r="HX228" s="137"/>
      <c r="HY228" s="137"/>
      <c r="HZ228" s="137"/>
      <c r="IA228" s="137"/>
      <c r="IB228" s="143"/>
      <c r="IC228" s="137"/>
      <c r="ID228" s="137"/>
      <c r="IE228" s="137"/>
      <c r="IF228" s="137"/>
      <c r="IG228" s="137"/>
      <c r="IH228" s="143"/>
      <c r="II228" s="137"/>
      <c r="IJ228" s="137"/>
      <c r="IK228" s="137"/>
      <c r="IL228" s="137"/>
      <c r="IM228" s="137"/>
      <c r="IN228" s="143"/>
      <c r="IO228" s="137"/>
      <c r="IP228" s="137"/>
      <c r="IQ228" s="137"/>
      <c r="IR228" s="137"/>
      <c r="IS228" s="137"/>
      <c r="IT228" s="143"/>
      <c r="IU228" s="137"/>
      <c r="IV228" s="137"/>
    </row>
    <row r="229" spans="1:256" ht="15.6">
      <c r="A229" s="150"/>
      <c r="B229" s="137"/>
      <c r="C229" s="29"/>
      <c r="D229" s="137"/>
      <c r="E229" s="138"/>
      <c r="F229" s="153"/>
      <c r="G229" s="428"/>
      <c r="H229" s="172"/>
      <c r="I229" s="172"/>
      <c r="J229" s="171"/>
      <c r="K229" s="368" t="s">
        <v>55</v>
      </c>
      <c r="L229" s="171"/>
      <c r="M229" s="171"/>
      <c r="N229" s="171"/>
      <c r="O229" s="1375">
        <v>0</v>
      </c>
      <c r="P229" s="171"/>
      <c r="Q229" s="369"/>
      <c r="R229" s="171"/>
      <c r="S229" s="246"/>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43"/>
      <c r="BQ229" s="137"/>
      <c r="BR229" s="137"/>
      <c r="BS229" s="137"/>
      <c r="BT229" s="137"/>
      <c r="BU229" s="137"/>
      <c r="BV229" s="143"/>
      <c r="BW229" s="137"/>
      <c r="BX229" s="137"/>
      <c r="BY229" s="137"/>
      <c r="BZ229" s="137"/>
      <c r="CA229" s="137"/>
      <c r="CB229" s="143"/>
      <c r="CC229" s="137"/>
      <c r="CD229" s="137"/>
      <c r="CE229" s="137"/>
      <c r="CF229" s="137"/>
      <c r="CG229" s="137"/>
      <c r="CH229" s="143"/>
      <c r="CI229" s="137"/>
      <c r="CJ229" s="137"/>
      <c r="CK229" s="137"/>
      <c r="CL229" s="137"/>
      <c r="CM229" s="137"/>
      <c r="CN229" s="143"/>
      <c r="CO229" s="137"/>
      <c r="CP229" s="137"/>
      <c r="CQ229" s="137"/>
      <c r="CR229" s="137"/>
      <c r="CS229" s="137"/>
      <c r="CT229" s="143"/>
      <c r="CU229" s="137"/>
      <c r="CV229" s="137"/>
      <c r="CW229" s="137"/>
      <c r="CX229" s="137"/>
      <c r="CY229" s="137"/>
      <c r="CZ229" s="143"/>
      <c r="DA229" s="137"/>
      <c r="DB229" s="137"/>
      <c r="DC229" s="137"/>
      <c r="DD229" s="137"/>
      <c r="DE229" s="137"/>
      <c r="DF229" s="143"/>
      <c r="DG229" s="137"/>
      <c r="DH229" s="137"/>
      <c r="DI229" s="137"/>
      <c r="DJ229" s="137"/>
      <c r="DK229" s="137"/>
      <c r="DL229" s="143"/>
      <c r="DM229" s="137"/>
      <c r="DN229" s="137"/>
      <c r="DO229" s="137"/>
      <c r="DP229" s="137"/>
      <c r="DQ229" s="137"/>
      <c r="DR229" s="143"/>
      <c r="DS229" s="137"/>
      <c r="DT229" s="137"/>
      <c r="DU229" s="137"/>
      <c r="DV229" s="137"/>
      <c r="DW229" s="137"/>
      <c r="DX229" s="143"/>
      <c r="DY229" s="137"/>
      <c r="DZ229" s="137"/>
      <c r="EA229" s="137"/>
      <c r="EB229" s="137"/>
      <c r="EC229" s="137"/>
      <c r="ED229" s="143"/>
      <c r="EE229" s="137"/>
      <c r="EF229" s="137"/>
      <c r="EG229" s="137"/>
      <c r="EH229" s="137"/>
      <c r="EI229" s="137"/>
      <c r="EJ229" s="143"/>
      <c r="EK229" s="137"/>
      <c r="EL229" s="137"/>
      <c r="EM229" s="137"/>
      <c r="EN229" s="137"/>
      <c r="EO229" s="137"/>
      <c r="EP229" s="143"/>
      <c r="EQ229" s="137"/>
      <c r="ER229" s="137"/>
      <c r="ES229" s="137"/>
      <c r="ET229" s="137"/>
      <c r="EU229" s="137"/>
      <c r="EV229" s="143"/>
      <c r="EW229" s="137"/>
      <c r="EX229" s="137"/>
      <c r="EY229" s="137"/>
      <c r="EZ229" s="137"/>
      <c r="FA229" s="137"/>
      <c r="FB229" s="143"/>
      <c r="FC229" s="137"/>
      <c r="FD229" s="137"/>
      <c r="FE229" s="137"/>
      <c r="FF229" s="137"/>
      <c r="FG229" s="137"/>
      <c r="FH229" s="143"/>
      <c r="FI229" s="137"/>
      <c r="FJ229" s="137"/>
      <c r="FK229" s="137"/>
      <c r="FL229" s="137"/>
      <c r="FM229" s="137"/>
      <c r="FN229" s="143"/>
      <c r="FO229" s="137"/>
      <c r="FP229" s="137"/>
      <c r="FQ229" s="137"/>
      <c r="FR229" s="137"/>
      <c r="FS229" s="137"/>
      <c r="FT229" s="143"/>
      <c r="FU229" s="137"/>
      <c r="FV229" s="137"/>
      <c r="FW229" s="137"/>
      <c r="FX229" s="137"/>
      <c r="FY229" s="137"/>
      <c r="FZ229" s="143"/>
      <c r="GA229" s="137"/>
      <c r="GB229" s="137"/>
      <c r="GC229" s="137"/>
      <c r="GD229" s="137"/>
      <c r="GE229" s="137"/>
      <c r="GF229" s="143"/>
      <c r="GG229" s="137"/>
      <c r="GH229" s="137"/>
      <c r="GI229" s="137"/>
      <c r="GJ229" s="137"/>
      <c r="GK229" s="137"/>
      <c r="GL229" s="143"/>
      <c r="GM229" s="137"/>
      <c r="GN229" s="137"/>
      <c r="GO229" s="137"/>
      <c r="GP229" s="137"/>
      <c r="GQ229" s="137"/>
      <c r="GR229" s="143"/>
      <c r="GS229" s="137"/>
      <c r="GT229" s="137"/>
      <c r="GU229" s="137"/>
      <c r="GV229" s="137"/>
      <c r="GW229" s="137"/>
      <c r="GX229" s="143"/>
      <c r="GY229" s="137"/>
      <c r="GZ229" s="137"/>
      <c r="HA229" s="137"/>
      <c r="HB229" s="137"/>
      <c r="HC229" s="137"/>
      <c r="HD229" s="143"/>
      <c r="HE229" s="137"/>
      <c r="HF229" s="137"/>
      <c r="HG229" s="137"/>
      <c r="HH229" s="137"/>
      <c r="HI229" s="137"/>
      <c r="HJ229" s="143"/>
      <c r="HK229" s="137"/>
      <c r="HL229" s="137"/>
      <c r="HM229" s="137"/>
      <c r="HN229" s="137"/>
      <c r="HO229" s="137"/>
      <c r="HP229" s="143"/>
      <c r="HQ229" s="137"/>
      <c r="HR229" s="137"/>
      <c r="HS229" s="137"/>
      <c r="HT229" s="137"/>
      <c r="HU229" s="137"/>
      <c r="HV229" s="143"/>
      <c r="HW229" s="137"/>
      <c r="HX229" s="137"/>
      <c r="HY229" s="137"/>
      <c r="HZ229" s="137"/>
      <c r="IA229" s="137"/>
      <c r="IB229" s="143"/>
      <c r="IC229" s="137"/>
      <c r="ID229" s="137"/>
      <c r="IE229" s="137"/>
      <c r="IF229" s="137"/>
      <c r="IG229" s="137"/>
      <c r="IH229" s="143"/>
      <c r="II229" s="137"/>
      <c r="IJ229" s="137"/>
      <c r="IK229" s="137"/>
      <c r="IL229" s="137"/>
      <c r="IM229" s="137"/>
      <c r="IN229" s="143"/>
      <c r="IO229" s="137"/>
      <c r="IP229" s="137"/>
      <c r="IQ229" s="137"/>
      <c r="IR229" s="137"/>
      <c r="IS229" s="137"/>
      <c r="IT229" s="143"/>
      <c r="IU229" s="137"/>
      <c r="IV229" s="137"/>
    </row>
    <row r="230" spans="1:256" ht="15.6">
      <c r="A230" s="150"/>
      <c r="B230" s="137"/>
      <c r="C230" s="29"/>
      <c r="D230" s="137"/>
      <c r="E230" s="138"/>
      <c r="F230" s="153"/>
      <c r="G230" s="428"/>
      <c r="H230" s="172"/>
      <c r="I230" s="172"/>
      <c r="J230" s="171"/>
      <c r="K230" s="183" t="s">
        <v>524</v>
      </c>
      <c r="L230" s="171"/>
      <c r="M230" s="171"/>
      <c r="N230" s="171"/>
      <c r="O230" s="260">
        <f>SUM(O223:O229)</f>
        <v>0</v>
      </c>
      <c r="P230" s="171"/>
      <c r="Q230" s="369"/>
      <c r="R230" s="171"/>
      <c r="S230" s="246"/>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7"/>
      <c r="AY230" s="137"/>
      <c r="AZ230" s="137"/>
      <c r="BA230" s="137"/>
      <c r="BB230" s="137"/>
      <c r="BC230" s="137"/>
      <c r="BD230" s="137"/>
      <c r="BE230" s="137"/>
      <c r="BF230" s="137"/>
      <c r="BG230" s="137"/>
      <c r="BH230" s="137"/>
      <c r="BI230" s="137"/>
      <c r="BJ230" s="137"/>
      <c r="BK230" s="137"/>
      <c r="BL230" s="137"/>
      <c r="BM230" s="137"/>
      <c r="BN230" s="137"/>
      <c r="BO230" s="137"/>
      <c r="BP230" s="143"/>
      <c r="BQ230" s="137"/>
      <c r="BR230" s="137"/>
      <c r="BS230" s="137"/>
      <c r="BT230" s="137"/>
      <c r="BU230" s="137"/>
      <c r="BV230" s="143"/>
      <c r="BW230" s="137"/>
      <c r="BX230" s="137"/>
      <c r="BY230" s="137"/>
      <c r="BZ230" s="137"/>
      <c r="CA230" s="137"/>
      <c r="CB230" s="143"/>
      <c r="CC230" s="137"/>
      <c r="CD230" s="137"/>
      <c r="CE230" s="137"/>
      <c r="CF230" s="137"/>
      <c r="CG230" s="137"/>
      <c r="CH230" s="143"/>
      <c r="CI230" s="137"/>
      <c r="CJ230" s="137"/>
      <c r="CK230" s="137"/>
      <c r="CL230" s="137"/>
      <c r="CM230" s="137"/>
      <c r="CN230" s="143"/>
      <c r="CO230" s="137"/>
      <c r="CP230" s="137"/>
      <c r="CQ230" s="137"/>
      <c r="CR230" s="137"/>
      <c r="CS230" s="137"/>
      <c r="CT230" s="143"/>
      <c r="CU230" s="137"/>
      <c r="CV230" s="137"/>
      <c r="CW230" s="137"/>
      <c r="CX230" s="137"/>
      <c r="CY230" s="137"/>
      <c r="CZ230" s="143"/>
      <c r="DA230" s="137"/>
      <c r="DB230" s="137"/>
      <c r="DC230" s="137"/>
      <c r="DD230" s="137"/>
      <c r="DE230" s="137"/>
      <c r="DF230" s="143"/>
      <c r="DG230" s="137"/>
      <c r="DH230" s="137"/>
      <c r="DI230" s="137"/>
      <c r="DJ230" s="137"/>
      <c r="DK230" s="137"/>
      <c r="DL230" s="143"/>
      <c r="DM230" s="137"/>
      <c r="DN230" s="137"/>
      <c r="DO230" s="137"/>
      <c r="DP230" s="137"/>
      <c r="DQ230" s="137"/>
      <c r="DR230" s="143"/>
      <c r="DS230" s="137"/>
      <c r="DT230" s="137"/>
      <c r="DU230" s="137"/>
      <c r="DV230" s="137"/>
      <c r="DW230" s="137"/>
      <c r="DX230" s="143"/>
      <c r="DY230" s="137"/>
      <c r="DZ230" s="137"/>
      <c r="EA230" s="137"/>
      <c r="EB230" s="137"/>
      <c r="EC230" s="137"/>
      <c r="ED230" s="143"/>
      <c r="EE230" s="137"/>
      <c r="EF230" s="137"/>
      <c r="EG230" s="137"/>
      <c r="EH230" s="137"/>
      <c r="EI230" s="137"/>
      <c r="EJ230" s="143"/>
      <c r="EK230" s="137"/>
      <c r="EL230" s="137"/>
      <c r="EM230" s="137"/>
      <c r="EN230" s="137"/>
      <c r="EO230" s="137"/>
      <c r="EP230" s="143"/>
      <c r="EQ230" s="137"/>
      <c r="ER230" s="137"/>
      <c r="ES230" s="137"/>
      <c r="ET230" s="137"/>
      <c r="EU230" s="137"/>
      <c r="EV230" s="143"/>
      <c r="EW230" s="137"/>
      <c r="EX230" s="137"/>
      <c r="EY230" s="137"/>
      <c r="EZ230" s="137"/>
      <c r="FA230" s="137"/>
      <c r="FB230" s="143"/>
      <c r="FC230" s="137"/>
      <c r="FD230" s="137"/>
      <c r="FE230" s="137"/>
      <c r="FF230" s="137"/>
      <c r="FG230" s="137"/>
      <c r="FH230" s="143"/>
      <c r="FI230" s="137"/>
      <c r="FJ230" s="137"/>
      <c r="FK230" s="137"/>
      <c r="FL230" s="137"/>
      <c r="FM230" s="137"/>
      <c r="FN230" s="143"/>
      <c r="FO230" s="137"/>
      <c r="FP230" s="137"/>
      <c r="FQ230" s="137"/>
      <c r="FR230" s="137"/>
      <c r="FS230" s="137"/>
      <c r="FT230" s="143"/>
      <c r="FU230" s="137"/>
      <c r="FV230" s="137"/>
      <c r="FW230" s="137"/>
      <c r="FX230" s="137"/>
      <c r="FY230" s="137"/>
      <c r="FZ230" s="143"/>
      <c r="GA230" s="137"/>
      <c r="GB230" s="137"/>
      <c r="GC230" s="137"/>
      <c r="GD230" s="137"/>
      <c r="GE230" s="137"/>
      <c r="GF230" s="143"/>
      <c r="GG230" s="137"/>
      <c r="GH230" s="137"/>
      <c r="GI230" s="137"/>
      <c r="GJ230" s="137"/>
      <c r="GK230" s="137"/>
      <c r="GL230" s="143"/>
      <c r="GM230" s="137"/>
      <c r="GN230" s="137"/>
      <c r="GO230" s="137"/>
      <c r="GP230" s="137"/>
      <c r="GQ230" s="137"/>
      <c r="GR230" s="143"/>
      <c r="GS230" s="137"/>
      <c r="GT230" s="137"/>
      <c r="GU230" s="137"/>
      <c r="GV230" s="137"/>
      <c r="GW230" s="137"/>
      <c r="GX230" s="143"/>
      <c r="GY230" s="137"/>
      <c r="GZ230" s="137"/>
      <c r="HA230" s="137"/>
      <c r="HB230" s="137"/>
      <c r="HC230" s="137"/>
      <c r="HD230" s="143"/>
      <c r="HE230" s="137"/>
      <c r="HF230" s="137"/>
      <c r="HG230" s="137"/>
      <c r="HH230" s="137"/>
      <c r="HI230" s="137"/>
      <c r="HJ230" s="143"/>
      <c r="HK230" s="137"/>
      <c r="HL230" s="137"/>
      <c r="HM230" s="137"/>
      <c r="HN230" s="137"/>
      <c r="HO230" s="137"/>
      <c r="HP230" s="143"/>
      <c r="HQ230" s="137"/>
      <c r="HR230" s="137"/>
      <c r="HS230" s="137"/>
      <c r="HT230" s="137"/>
      <c r="HU230" s="137"/>
      <c r="HV230" s="143"/>
      <c r="HW230" s="137"/>
      <c r="HX230" s="137"/>
      <c r="HY230" s="137"/>
      <c r="HZ230" s="137"/>
      <c r="IA230" s="137"/>
      <c r="IB230" s="143"/>
      <c r="IC230" s="137"/>
      <c r="ID230" s="137"/>
      <c r="IE230" s="137"/>
      <c r="IF230" s="137"/>
      <c r="IG230" s="137"/>
      <c r="IH230" s="143"/>
      <c r="II230" s="137"/>
      <c r="IJ230" s="137"/>
      <c r="IK230" s="137"/>
      <c r="IL230" s="137"/>
      <c r="IM230" s="137"/>
      <c r="IN230" s="143"/>
      <c r="IO230" s="137"/>
      <c r="IP230" s="137"/>
      <c r="IQ230" s="137"/>
      <c r="IR230" s="137"/>
      <c r="IS230" s="137"/>
      <c r="IT230" s="143"/>
      <c r="IU230" s="137"/>
      <c r="IV230" s="137"/>
    </row>
    <row r="231" spans="1:256" ht="15.6">
      <c r="A231" s="150"/>
      <c r="B231" s="137"/>
      <c r="C231" s="29"/>
      <c r="D231" s="137"/>
      <c r="E231" s="138"/>
      <c r="F231" s="153"/>
      <c r="G231" s="428"/>
      <c r="H231" s="172"/>
      <c r="I231" s="172"/>
      <c r="J231" s="171"/>
      <c r="K231" s="183"/>
      <c r="L231" s="171"/>
      <c r="M231" s="171"/>
      <c r="N231" s="171"/>
      <c r="O231" s="370"/>
      <c r="P231" s="171"/>
      <c r="Q231" s="171"/>
      <c r="R231" s="171"/>
      <c r="S231" s="246"/>
      <c r="T231" s="137"/>
      <c r="U231" s="137"/>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c r="AU231" s="137"/>
      <c r="AV231" s="137"/>
      <c r="AW231" s="137"/>
      <c r="AX231" s="137"/>
      <c r="AY231" s="137"/>
      <c r="AZ231" s="137"/>
      <c r="BA231" s="137"/>
      <c r="BB231" s="137"/>
      <c r="BC231" s="137"/>
      <c r="BD231" s="137"/>
      <c r="BE231" s="137"/>
      <c r="BF231" s="137"/>
      <c r="BG231" s="137"/>
      <c r="BH231" s="137"/>
      <c r="BI231" s="137"/>
      <c r="BJ231" s="137"/>
      <c r="BK231" s="137"/>
      <c r="BL231" s="137"/>
      <c r="BM231" s="137"/>
      <c r="BN231" s="137"/>
      <c r="BO231" s="137"/>
      <c r="BP231" s="143"/>
      <c r="BQ231" s="137"/>
      <c r="BR231" s="137"/>
      <c r="BS231" s="137"/>
      <c r="BT231" s="137"/>
      <c r="BU231" s="137"/>
      <c r="BV231" s="143"/>
      <c r="BW231" s="137"/>
      <c r="BX231" s="137"/>
      <c r="BY231" s="137"/>
      <c r="BZ231" s="137"/>
      <c r="CA231" s="137"/>
      <c r="CB231" s="143"/>
      <c r="CC231" s="137"/>
      <c r="CD231" s="137"/>
      <c r="CE231" s="137"/>
      <c r="CF231" s="137"/>
      <c r="CG231" s="137"/>
      <c r="CH231" s="143"/>
      <c r="CI231" s="137"/>
      <c r="CJ231" s="137"/>
      <c r="CK231" s="137"/>
      <c r="CL231" s="137"/>
      <c r="CM231" s="137"/>
      <c r="CN231" s="143"/>
      <c r="CO231" s="137"/>
      <c r="CP231" s="137"/>
      <c r="CQ231" s="137"/>
      <c r="CR231" s="137"/>
      <c r="CS231" s="137"/>
      <c r="CT231" s="143"/>
      <c r="CU231" s="137"/>
      <c r="CV231" s="137"/>
      <c r="CW231" s="137"/>
      <c r="CX231" s="137"/>
      <c r="CY231" s="137"/>
      <c r="CZ231" s="143"/>
      <c r="DA231" s="137"/>
      <c r="DB231" s="137"/>
      <c r="DC231" s="137"/>
      <c r="DD231" s="137"/>
      <c r="DE231" s="137"/>
      <c r="DF231" s="143"/>
      <c r="DG231" s="137"/>
      <c r="DH231" s="137"/>
      <c r="DI231" s="137"/>
      <c r="DJ231" s="137"/>
      <c r="DK231" s="137"/>
      <c r="DL231" s="143"/>
      <c r="DM231" s="137"/>
      <c r="DN231" s="137"/>
      <c r="DO231" s="137"/>
      <c r="DP231" s="137"/>
      <c r="DQ231" s="137"/>
      <c r="DR231" s="143"/>
      <c r="DS231" s="137"/>
      <c r="DT231" s="137"/>
      <c r="DU231" s="137"/>
      <c r="DV231" s="137"/>
      <c r="DW231" s="137"/>
      <c r="DX231" s="143"/>
      <c r="DY231" s="137"/>
      <c r="DZ231" s="137"/>
      <c r="EA231" s="137"/>
      <c r="EB231" s="137"/>
      <c r="EC231" s="137"/>
      <c r="ED231" s="143"/>
      <c r="EE231" s="137"/>
      <c r="EF231" s="137"/>
      <c r="EG231" s="137"/>
      <c r="EH231" s="137"/>
      <c r="EI231" s="137"/>
      <c r="EJ231" s="143"/>
      <c r="EK231" s="137"/>
      <c r="EL231" s="137"/>
      <c r="EM231" s="137"/>
      <c r="EN231" s="137"/>
      <c r="EO231" s="137"/>
      <c r="EP231" s="143"/>
      <c r="EQ231" s="137"/>
      <c r="ER231" s="137"/>
      <c r="ES231" s="137"/>
      <c r="ET231" s="137"/>
      <c r="EU231" s="137"/>
      <c r="EV231" s="143"/>
      <c r="EW231" s="137"/>
      <c r="EX231" s="137"/>
      <c r="EY231" s="137"/>
      <c r="EZ231" s="137"/>
      <c r="FA231" s="137"/>
      <c r="FB231" s="143"/>
      <c r="FC231" s="137"/>
      <c r="FD231" s="137"/>
      <c r="FE231" s="137"/>
      <c r="FF231" s="137"/>
      <c r="FG231" s="137"/>
      <c r="FH231" s="143"/>
      <c r="FI231" s="137"/>
      <c r="FJ231" s="137"/>
      <c r="FK231" s="137"/>
      <c r="FL231" s="137"/>
      <c r="FM231" s="137"/>
      <c r="FN231" s="143"/>
      <c r="FO231" s="137"/>
      <c r="FP231" s="137"/>
      <c r="FQ231" s="137"/>
      <c r="FR231" s="137"/>
      <c r="FS231" s="137"/>
      <c r="FT231" s="143"/>
      <c r="FU231" s="137"/>
      <c r="FV231" s="137"/>
      <c r="FW231" s="137"/>
      <c r="FX231" s="137"/>
      <c r="FY231" s="137"/>
      <c r="FZ231" s="143"/>
      <c r="GA231" s="137"/>
      <c r="GB231" s="137"/>
      <c r="GC231" s="137"/>
      <c r="GD231" s="137"/>
      <c r="GE231" s="137"/>
      <c r="GF231" s="143"/>
      <c r="GG231" s="137"/>
      <c r="GH231" s="137"/>
      <c r="GI231" s="137"/>
      <c r="GJ231" s="137"/>
      <c r="GK231" s="137"/>
      <c r="GL231" s="143"/>
      <c r="GM231" s="137"/>
      <c r="GN231" s="137"/>
      <c r="GO231" s="137"/>
      <c r="GP231" s="137"/>
      <c r="GQ231" s="137"/>
      <c r="GR231" s="143"/>
      <c r="GS231" s="137"/>
      <c r="GT231" s="137"/>
      <c r="GU231" s="137"/>
      <c r="GV231" s="137"/>
      <c r="GW231" s="137"/>
      <c r="GX231" s="143"/>
      <c r="GY231" s="137"/>
      <c r="GZ231" s="137"/>
      <c r="HA231" s="137"/>
      <c r="HB231" s="137"/>
      <c r="HC231" s="137"/>
      <c r="HD231" s="143"/>
      <c r="HE231" s="137"/>
      <c r="HF231" s="137"/>
      <c r="HG231" s="137"/>
      <c r="HH231" s="137"/>
      <c r="HI231" s="137"/>
      <c r="HJ231" s="143"/>
      <c r="HK231" s="137"/>
      <c r="HL231" s="137"/>
      <c r="HM231" s="137"/>
      <c r="HN231" s="137"/>
      <c r="HO231" s="137"/>
      <c r="HP231" s="143"/>
      <c r="HQ231" s="137"/>
      <c r="HR231" s="137"/>
      <c r="HS231" s="137"/>
      <c r="HT231" s="137"/>
      <c r="HU231" s="137"/>
      <c r="HV231" s="143"/>
      <c r="HW231" s="137"/>
      <c r="HX231" s="137"/>
      <c r="HY231" s="137"/>
      <c r="HZ231" s="137"/>
      <c r="IA231" s="137"/>
      <c r="IB231" s="143"/>
      <c r="IC231" s="137"/>
      <c r="ID231" s="137"/>
      <c r="IE231" s="137"/>
      <c r="IF231" s="137"/>
      <c r="IG231" s="137"/>
      <c r="IH231" s="143"/>
      <c r="II231" s="137"/>
      <c r="IJ231" s="137"/>
      <c r="IK231" s="137"/>
      <c r="IL231" s="137"/>
      <c r="IM231" s="137"/>
      <c r="IN231" s="143"/>
      <c r="IO231" s="137"/>
      <c r="IP231" s="137"/>
      <c r="IQ231" s="137"/>
      <c r="IR231" s="137"/>
      <c r="IS231" s="137"/>
      <c r="IT231" s="143"/>
      <c r="IU231" s="137"/>
      <c r="IV231" s="137"/>
    </row>
    <row r="232" spans="1:256" ht="15.6">
      <c r="A232" s="150"/>
      <c r="B232" s="137"/>
      <c r="C232" s="29"/>
      <c r="D232" s="137"/>
      <c r="E232" s="138"/>
      <c r="F232" s="153"/>
      <c r="G232" s="428"/>
      <c r="H232" s="172"/>
      <c r="I232" s="172"/>
      <c r="J232" s="171"/>
      <c r="K232" s="368" t="s">
        <v>56</v>
      </c>
      <c r="L232" s="171"/>
      <c r="M232" s="171"/>
      <c r="N232" s="171"/>
      <c r="O232" s="370"/>
      <c r="P232" s="171"/>
      <c r="Q232" s="171"/>
      <c r="R232" s="171"/>
      <c r="S232" s="246"/>
      <c r="T232" s="137"/>
      <c r="U232" s="137"/>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37"/>
      <c r="AR232" s="137"/>
      <c r="AS232" s="137"/>
      <c r="AT232" s="137"/>
      <c r="AU232" s="137"/>
      <c r="AV232" s="137"/>
      <c r="AW232" s="137"/>
      <c r="AX232" s="137"/>
      <c r="AY232" s="137"/>
      <c r="AZ232" s="137"/>
      <c r="BA232" s="137"/>
      <c r="BB232" s="137"/>
      <c r="BC232" s="137"/>
      <c r="BD232" s="137"/>
      <c r="BE232" s="137"/>
      <c r="BF232" s="137"/>
      <c r="BG232" s="137"/>
      <c r="BH232" s="137"/>
      <c r="BI232" s="137"/>
      <c r="BJ232" s="137"/>
      <c r="BK232" s="137"/>
      <c r="BL232" s="137"/>
      <c r="BM232" s="137"/>
      <c r="BN232" s="137"/>
      <c r="BO232" s="137"/>
      <c r="BP232" s="143"/>
      <c r="BQ232" s="137"/>
      <c r="BR232" s="137"/>
      <c r="BS232" s="137"/>
      <c r="BT232" s="137"/>
      <c r="BU232" s="137"/>
      <c r="BV232" s="143"/>
      <c r="BW232" s="137"/>
      <c r="BX232" s="137"/>
      <c r="BY232" s="137"/>
      <c r="BZ232" s="137"/>
      <c r="CA232" s="137"/>
      <c r="CB232" s="143"/>
      <c r="CC232" s="137"/>
      <c r="CD232" s="137"/>
      <c r="CE232" s="137"/>
      <c r="CF232" s="137"/>
      <c r="CG232" s="137"/>
      <c r="CH232" s="143"/>
      <c r="CI232" s="137"/>
      <c r="CJ232" s="137"/>
      <c r="CK232" s="137"/>
      <c r="CL232" s="137"/>
      <c r="CM232" s="137"/>
      <c r="CN232" s="143"/>
      <c r="CO232" s="137"/>
      <c r="CP232" s="137"/>
      <c r="CQ232" s="137"/>
      <c r="CR232" s="137"/>
      <c r="CS232" s="137"/>
      <c r="CT232" s="143"/>
      <c r="CU232" s="137"/>
      <c r="CV232" s="137"/>
      <c r="CW232" s="137"/>
      <c r="CX232" s="137"/>
      <c r="CY232" s="137"/>
      <c r="CZ232" s="143"/>
      <c r="DA232" s="137"/>
      <c r="DB232" s="137"/>
      <c r="DC232" s="137"/>
      <c r="DD232" s="137"/>
      <c r="DE232" s="137"/>
      <c r="DF232" s="143"/>
      <c r="DG232" s="137"/>
      <c r="DH232" s="137"/>
      <c r="DI232" s="137"/>
      <c r="DJ232" s="137"/>
      <c r="DK232" s="137"/>
      <c r="DL232" s="143"/>
      <c r="DM232" s="137"/>
      <c r="DN232" s="137"/>
      <c r="DO232" s="137"/>
      <c r="DP232" s="137"/>
      <c r="DQ232" s="137"/>
      <c r="DR232" s="143"/>
      <c r="DS232" s="137"/>
      <c r="DT232" s="137"/>
      <c r="DU232" s="137"/>
      <c r="DV232" s="137"/>
      <c r="DW232" s="137"/>
      <c r="DX232" s="143"/>
      <c r="DY232" s="137"/>
      <c r="DZ232" s="137"/>
      <c r="EA232" s="137"/>
      <c r="EB232" s="137"/>
      <c r="EC232" s="137"/>
      <c r="ED232" s="143"/>
      <c r="EE232" s="137"/>
      <c r="EF232" s="137"/>
      <c r="EG232" s="137"/>
      <c r="EH232" s="137"/>
      <c r="EI232" s="137"/>
      <c r="EJ232" s="143"/>
      <c r="EK232" s="137"/>
      <c r="EL232" s="137"/>
      <c r="EM232" s="137"/>
      <c r="EN232" s="137"/>
      <c r="EO232" s="137"/>
      <c r="EP232" s="143"/>
      <c r="EQ232" s="137"/>
      <c r="ER232" s="137"/>
      <c r="ES232" s="137"/>
      <c r="ET232" s="137"/>
      <c r="EU232" s="137"/>
      <c r="EV232" s="143"/>
      <c r="EW232" s="137"/>
      <c r="EX232" s="137"/>
      <c r="EY232" s="137"/>
      <c r="EZ232" s="137"/>
      <c r="FA232" s="137"/>
      <c r="FB232" s="143"/>
      <c r="FC232" s="137"/>
      <c r="FD232" s="137"/>
      <c r="FE232" s="137"/>
      <c r="FF232" s="137"/>
      <c r="FG232" s="137"/>
      <c r="FH232" s="143"/>
      <c r="FI232" s="137"/>
      <c r="FJ232" s="137"/>
      <c r="FK232" s="137"/>
      <c r="FL232" s="137"/>
      <c r="FM232" s="137"/>
      <c r="FN232" s="143"/>
      <c r="FO232" s="137"/>
      <c r="FP232" s="137"/>
      <c r="FQ232" s="137"/>
      <c r="FR232" s="137"/>
      <c r="FS232" s="137"/>
      <c r="FT232" s="143"/>
      <c r="FU232" s="137"/>
      <c r="FV232" s="137"/>
      <c r="FW232" s="137"/>
      <c r="FX232" s="137"/>
      <c r="FY232" s="137"/>
      <c r="FZ232" s="143"/>
      <c r="GA232" s="137"/>
      <c r="GB232" s="137"/>
      <c r="GC232" s="137"/>
      <c r="GD232" s="137"/>
      <c r="GE232" s="137"/>
      <c r="GF232" s="143"/>
      <c r="GG232" s="137"/>
      <c r="GH232" s="137"/>
      <c r="GI232" s="137"/>
      <c r="GJ232" s="137"/>
      <c r="GK232" s="137"/>
      <c r="GL232" s="143"/>
      <c r="GM232" s="137"/>
      <c r="GN232" s="137"/>
      <c r="GO232" s="137"/>
      <c r="GP232" s="137"/>
      <c r="GQ232" s="137"/>
      <c r="GR232" s="143"/>
      <c r="GS232" s="137"/>
      <c r="GT232" s="137"/>
      <c r="GU232" s="137"/>
      <c r="GV232" s="137"/>
      <c r="GW232" s="137"/>
      <c r="GX232" s="143"/>
      <c r="GY232" s="137"/>
      <c r="GZ232" s="137"/>
      <c r="HA232" s="137"/>
      <c r="HB232" s="137"/>
      <c r="HC232" s="137"/>
      <c r="HD232" s="143"/>
      <c r="HE232" s="137"/>
      <c r="HF232" s="137"/>
      <c r="HG232" s="137"/>
      <c r="HH232" s="137"/>
      <c r="HI232" s="137"/>
      <c r="HJ232" s="143"/>
      <c r="HK232" s="137"/>
      <c r="HL232" s="137"/>
      <c r="HM232" s="137"/>
      <c r="HN232" s="137"/>
      <c r="HO232" s="137"/>
      <c r="HP232" s="143"/>
      <c r="HQ232" s="137"/>
      <c r="HR232" s="137"/>
      <c r="HS232" s="137"/>
      <c r="HT232" s="137"/>
      <c r="HU232" s="137"/>
      <c r="HV232" s="143"/>
      <c r="HW232" s="137"/>
      <c r="HX232" s="137"/>
      <c r="HY232" s="137"/>
      <c r="HZ232" s="137"/>
      <c r="IA232" s="137"/>
      <c r="IB232" s="143"/>
      <c r="IC232" s="137"/>
      <c r="ID232" s="137"/>
      <c r="IE232" s="137"/>
      <c r="IF232" s="137"/>
      <c r="IG232" s="137"/>
      <c r="IH232" s="143"/>
      <c r="II232" s="137"/>
      <c r="IJ232" s="137"/>
      <c r="IK232" s="137"/>
      <c r="IL232" s="137"/>
      <c r="IM232" s="137"/>
      <c r="IN232" s="143"/>
      <c r="IO232" s="137"/>
      <c r="IP232" s="137"/>
      <c r="IQ232" s="137"/>
      <c r="IR232" s="137"/>
      <c r="IS232" s="137"/>
      <c r="IT232" s="143"/>
      <c r="IU232" s="137"/>
      <c r="IV232" s="137"/>
    </row>
    <row r="233" spans="1:256" ht="15.6">
      <c r="A233" s="150"/>
      <c r="B233" s="137"/>
      <c r="C233" s="29"/>
      <c r="D233" s="137"/>
      <c r="E233" s="138"/>
      <c r="F233" s="153"/>
      <c r="G233" s="428"/>
      <c r="H233" s="172"/>
      <c r="I233" s="172"/>
      <c r="J233" s="171"/>
      <c r="K233" s="368" t="s">
        <v>57</v>
      </c>
      <c r="L233" s="171"/>
      <c r="M233" s="171"/>
      <c r="N233" s="171"/>
      <c r="O233" s="171"/>
      <c r="P233" s="171"/>
      <c r="Q233" s="171"/>
      <c r="R233" s="171"/>
      <c r="S233" s="246"/>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7"/>
      <c r="AX233" s="137"/>
      <c r="AY233" s="137"/>
      <c r="AZ233" s="137"/>
      <c r="BA233" s="137"/>
      <c r="BB233" s="137"/>
      <c r="BC233" s="137"/>
      <c r="BD233" s="137"/>
      <c r="BE233" s="137"/>
      <c r="BF233" s="137"/>
      <c r="BG233" s="137"/>
      <c r="BH233" s="137"/>
      <c r="BI233" s="137"/>
      <c r="BJ233" s="137"/>
      <c r="BK233" s="137"/>
      <c r="BL233" s="137"/>
      <c r="BM233" s="137"/>
      <c r="BN233" s="137"/>
      <c r="BO233" s="137"/>
      <c r="BP233" s="143"/>
      <c r="BQ233" s="137"/>
      <c r="BR233" s="137"/>
      <c r="BS233" s="137"/>
      <c r="BT233" s="137"/>
      <c r="BU233" s="137"/>
      <c r="BV233" s="143"/>
      <c r="BW233" s="137"/>
      <c r="BX233" s="137"/>
      <c r="BY233" s="137"/>
      <c r="BZ233" s="137"/>
      <c r="CA233" s="137"/>
      <c r="CB233" s="143"/>
      <c r="CC233" s="137"/>
      <c r="CD233" s="137"/>
      <c r="CE233" s="137"/>
      <c r="CF233" s="137"/>
      <c r="CG233" s="137"/>
      <c r="CH233" s="143"/>
      <c r="CI233" s="137"/>
      <c r="CJ233" s="137"/>
      <c r="CK233" s="137"/>
      <c r="CL233" s="137"/>
      <c r="CM233" s="137"/>
      <c r="CN233" s="143"/>
      <c r="CO233" s="137"/>
      <c r="CP233" s="137"/>
      <c r="CQ233" s="137"/>
      <c r="CR233" s="137"/>
      <c r="CS233" s="137"/>
      <c r="CT233" s="143"/>
      <c r="CU233" s="137"/>
      <c r="CV233" s="137"/>
      <c r="CW233" s="137"/>
      <c r="CX233" s="137"/>
      <c r="CY233" s="137"/>
      <c r="CZ233" s="143"/>
      <c r="DA233" s="137"/>
      <c r="DB233" s="137"/>
      <c r="DC233" s="137"/>
      <c r="DD233" s="137"/>
      <c r="DE233" s="137"/>
      <c r="DF233" s="143"/>
      <c r="DG233" s="137"/>
      <c r="DH233" s="137"/>
      <c r="DI233" s="137"/>
      <c r="DJ233" s="137"/>
      <c r="DK233" s="137"/>
      <c r="DL233" s="143"/>
      <c r="DM233" s="137"/>
      <c r="DN233" s="137"/>
      <c r="DO233" s="137"/>
      <c r="DP233" s="137"/>
      <c r="DQ233" s="137"/>
      <c r="DR233" s="143"/>
      <c r="DS233" s="137"/>
      <c r="DT233" s="137"/>
      <c r="DU233" s="137"/>
      <c r="DV233" s="137"/>
      <c r="DW233" s="137"/>
      <c r="DX233" s="143"/>
      <c r="DY233" s="137"/>
      <c r="DZ233" s="137"/>
      <c r="EA233" s="137"/>
      <c r="EB233" s="137"/>
      <c r="EC233" s="137"/>
      <c r="ED233" s="143"/>
      <c r="EE233" s="137"/>
      <c r="EF233" s="137"/>
      <c r="EG233" s="137"/>
      <c r="EH233" s="137"/>
      <c r="EI233" s="137"/>
      <c r="EJ233" s="143"/>
      <c r="EK233" s="137"/>
      <c r="EL233" s="137"/>
      <c r="EM233" s="137"/>
      <c r="EN233" s="137"/>
      <c r="EO233" s="137"/>
      <c r="EP233" s="143"/>
      <c r="EQ233" s="137"/>
      <c r="ER233" s="137"/>
      <c r="ES233" s="137"/>
      <c r="ET233" s="137"/>
      <c r="EU233" s="137"/>
      <c r="EV233" s="143"/>
      <c r="EW233" s="137"/>
      <c r="EX233" s="137"/>
      <c r="EY233" s="137"/>
      <c r="EZ233" s="137"/>
      <c r="FA233" s="137"/>
      <c r="FB233" s="143"/>
      <c r="FC233" s="137"/>
      <c r="FD233" s="137"/>
      <c r="FE233" s="137"/>
      <c r="FF233" s="137"/>
      <c r="FG233" s="137"/>
      <c r="FH233" s="143"/>
      <c r="FI233" s="137"/>
      <c r="FJ233" s="137"/>
      <c r="FK233" s="137"/>
      <c r="FL233" s="137"/>
      <c r="FM233" s="137"/>
      <c r="FN233" s="143"/>
      <c r="FO233" s="137"/>
      <c r="FP233" s="137"/>
      <c r="FQ233" s="137"/>
      <c r="FR233" s="137"/>
      <c r="FS233" s="137"/>
      <c r="FT233" s="143"/>
      <c r="FU233" s="137"/>
      <c r="FV233" s="137"/>
      <c r="FW233" s="137"/>
      <c r="FX233" s="137"/>
      <c r="FY233" s="137"/>
      <c r="FZ233" s="143"/>
      <c r="GA233" s="137"/>
      <c r="GB233" s="137"/>
      <c r="GC233" s="137"/>
      <c r="GD233" s="137"/>
      <c r="GE233" s="137"/>
      <c r="GF233" s="143"/>
      <c r="GG233" s="137"/>
      <c r="GH233" s="137"/>
      <c r="GI233" s="137"/>
      <c r="GJ233" s="137"/>
      <c r="GK233" s="137"/>
      <c r="GL233" s="143"/>
      <c r="GM233" s="137"/>
      <c r="GN233" s="137"/>
      <c r="GO233" s="137"/>
      <c r="GP233" s="137"/>
      <c r="GQ233" s="137"/>
      <c r="GR233" s="143"/>
      <c r="GS233" s="137"/>
      <c r="GT233" s="137"/>
      <c r="GU233" s="137"/>
      <c r="GV233" s="137"/>
      <c r="GW233" s="137"/>
      <c r="GX233" s="143"/>
      <c r="GY233" s="137"/>
      <c r="GZ233" s="137"/>
      <c r="HA233" s="137"/>
      <c r="HB233" s="137"/>
      <c r="HC233" s="137"/>
      <c r="HD233" s="143"/>
      <c r="HE233" s="137"/>
      <c r="HF233" s="137"/>
      <c r="HG233" s="137"/>
      <c r="HH233" s="137"/>
      <c r="HI233" s="137"/>
      <c r="HJ233" s="143"/>
      <c r="HK233" s="137"/>
      <c r="HL233" s="137"/>
      <c r="HM233" s="137"/>
      <c r="HN233" s="137"/>
      <c r="HO233" s="137"/>
      <c r="HP233" s="143"/>
      <c r="HQ233" s="137"/>
      <c r="HR233" s="137"/>
      <c r="HS233" s="137"/>
      <c r="HT233" s="137"/>
      <c r="HU233" s="137"/>
      <c r="HV233" s="143"/>
      <c r="HW233" s="137"/>
      <c r="HX233" s="137"/>
      <c r="HY233" s="137"/>
      <c r="HZ233" s="137"/>
      <c r="IA233" s="137"/>
      <c r="IB233" s="143"/>
      <c r="IC233" s="137"/>
      <c r="ID233" s="137"/>
      <c r="IE233" s="137"/>
      <c r="IF233" s="137"/>
      <c r="IG233" s="137"/>
      <c r="IH233" s="143"/>
      <c r="II233" s="137"/>
      <c r="IJ233" s="137"/>
      <c r="IK233" s="137"/>
      <c r="IL233" s="137"/>
      <c r="IM233" s="137"/>
      <c r="IN233" s="143"/>
      <c r="IO233" s="137"/>
      <c r="IP233" s="137"/>
      <c r="IQ233" s="137"/>
      <c r="IR233" s="137"/>
      <c r="IS233" s="137"/>
      <c r="IT233" s="143"/>
      <c r="IU233" s="137"/>
      <c r="IV233" s="137"/>
    </row>
    <row r="234" spans="1:256" ht="15.6">
      <c r="A234" s="150"/>
      <c r="B234" s="137"/>
      <c r="C234" s="29"/>
      <c r="D234" s="137"/>
      <c r="E234" s="138"/>
      <c r="F234" s="153"/>
      <c r="G234" s="428"/>
      <c r="H234" s="172"/>
      <c r="I234" s="172"/>
      <c r="J234" s="171"/>
      <c r="K234" s="368" t="s">
        <v>58</v>
      </c>
      <c r="L234" s="171"/>
      <c r="M234" s="171"/>
      <c r="N234" s="171"/>
      <c r="O234" s="171"/>
      <c r="P234" s="171"/>
      <c r="Q234" s="171"/>
      <c r="R234" s="171"/>
      <c r="S234" s="246"/>
      <c r="T234" s="137"/>
      <c r="U234" s="137"/>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c r="AV234" s="137"/>
      <c r="AW234" s="137"/>
      <c r="AX234" s="137"/>
      <c r="AY234" s="137"/>
      <c r="AZ234" s="137"/>
      <c r="BA234" s="137"/>
      <c r="BB234" s="137"/>
      <c r="BC234" s="137"/>
      <c r="BD234" s="137"/>
      <c r="BE234" s="137"/>
      <c r="BF234" s="137"/>
      <c r="BG234" s="137"/>
      <c r="BH234" s="137"/>
      <c r="BI234" s="137"/>
      <c r="BJ234" s="137"/>
      <c r="BK234" s="137"/>
      <c r="BL234" s="137"/>
      <c r="BM234" s="137"/>
      <c r="BN234" s="137"/>
      <c r="BO234" s="137"/>
      <c r="BP234" s="143"/>
      <c r="BQ234" s="137"/>
      <c r="BR234" s="137"/>
      <c r="BS234" s="137"/>
      <c r="BT234" s="137"/>
      <c r="BU234" s="137"/>
      <c r="BV234" s="143"/>
      <c r="BW234" s="137"/>
      <c r="BX234" s="137"/>
      <c r="BY234" s="137"/>
      <c r="BZ234" s="137"/>
      <c r="CA234" s="137"/>
      <c r="CB234" s="143"/>
      <c r="CC234" s="137"/>
      <c r="CD234" s="137"/>
      <c r="CE234" s="137"/>
      <c r="CF234" s="137"/>
      <c r="CG234" s="137"/>
      <c r="CH234" s="143"/>
      <c r="CI234" s="137"/>
      <c r="CJ234" s="137"/>
      <c r="CK234" s="137"/>
      <c r="CL234" s="137"/>
      <c r="CM234" s="137"/>
      <c r="CN234" s="143"/>
      <c r="CO234" s="137"/>
      <c r="CP234" s="137"/>
      <c r="CQ234" s="137"/>
      <c r="CR234" s="137"/>
      <c r="CS234" s="137"/>
      <c r="CT234" s="143"/>
      <c r="CU234" s="137"/>
      <c r="CV234" s="137"/>
      <c r="CW234" s="137"/>
      <c r="CX234" s="137"/>
      <c r="CY234" s="137"/>
      <c r="CZ234" s="143"/>
      <c r="DA234" s="137"/>
      <c r="DB234" s="137"/>
      <c r="DC234" s="137"/>
      <c r="DD234" s="137"/>
      <c r="DE234" s="137"/>
      <c r="DF234" s="143"/>
      <c r="DG234" s="137"/>
      <c r="DH234" s="137"/>
      <c r="DI234" s="137"/>
      <c r="DJ234" s="137"/>
      <c r="DK234" s="137"/>
      <c r="DL234" s="143"/>
      <c r="DM234" s="137"/>
      <c r="DN234" s="137"/>
      <c r="DO234" s="137"/>
      <c r="DP234" s="137"/>
      <c r="DQ234" s="137"/>
      <c r="DR234" s="143"/>
      <c r="DS234" s="137"/>
      <c r="DT234" s="137"/>
      <c r="DU234" s="137"/>
      <c r="DV234" s="137"/>
      <c r="DW234" s="137"/>
      <c r="DX234" s="143"/>
      <c r="DY234" s="137"/>
      <c r="DZ234" s="137"/>
      <c r="EA234" s="137"/>
      <c r="EB234" s="137"/>
      <c r="EC234" s="137"/>
      <c r="ED234" s="143"/>
      <c r="EE234" s="137"/>
      <c r="EF234" s="137"/>
      <c r="EG234" s="137"/>
      <c r="EH234" s="137"/>
      <c r="EI234" s="137"/>
      <c r="EJ234" s="143"/>
      <c r="EK234" s="137"/>
      <c r="EL234" s="137"/>
      <c r="EM234" s="137"/>
      <c r="EN234" s="137"/>
      <c r="EO234" s="137"/>
      <c r="EP234" s="143"/>
      <c r="EQ234" s="137"/>
      <c r="ER234" s="137"/>
      <c r="ES234" s="137"/>
      <c r="ET234" s="137"/>
      <c r="EU234" s="137"/>
      <c r="EV234" s="143"/>
      <c r="EW234" s="137"/>
      <c r="EX234" s="137"/>
      <c r="EY234" s="137"/>
      <c r="EZ234" s="137"/>
      <c r="FA234" s="137"/>
      <c r="FB234" s="143"/>
      <c r="FC234" s="137"/>
      <c r="FD234" s="137"/>
      <c r="FE234" s="137"/>
      <c r="FF234" s="137"/>
      <c r="FG234" s="137"/>
      <c r="FH234" s="143"/>
      <c r="FI234" s="137"/>
      <c r="FJ234" s="137"/>
      <c r="FK234" s="137"/>
      <c r="FL234" s="137"/>
      <c r="FM234" s="137"/>
      <c r="FN234" s="143"/>
      <c r="FO234" s="137"/>
      <c r="FP234" s="137"/>
      <c r="FQ234" s="137"/>
      <c r="FR234" s="137"/>
      <c r="FS234" s="137"/>
      <c r="FT234" s="143"/>
      <c r="FU234" s="137"/>
      <c r="FV234" s="137"/>
      <c r="FW234" s="137"/>
      <c r="FX234" s="137"/>
      <c r="FY234" s="137"/>
      <c r="FZ234" s="143"/>
      <c r="GA234" s="137"/>
      <c r="GB234" s="137"/>
      <c r="GC234" s="137"/>
      <c r="GD234" s="137"/>
      <c r="GE234" s="137"/>
      <c r="GF234" s="143"/>
      <c r="GG234" s="137"/>
      <c r="GH234" s="137"/>
      <c r="GI234" s="137"/>
      <c r="GJ234" s="137"/>
      <c r="GK234" s="137"/>
      <c r="GL234" s="143"/>
      <c r="GM234" s="137"/>
      <c r="GN234" s="137"/>
      <c r="GO234" s="137"/>
      <c r="GP234" s="137"/>
      <c r="GQ234" s="137"/>
      <c r="GR234" s="143"/>
      <c r="GS234" s="137"/>
      <c r="GT234" s="137"/>
      <c r="GU234" s="137"/>
      <c r="GV234" s="137"/>
      <c r="GW234" s="137"/>
      <c r="GX234" s="143"/>
      <c r="GY234" s="137"/>
      <c r="GZ234" s="137"/>
      <c r="HA234" s="137"/>
      <c r="HB234" s="137"/>
      <c r="HC234" s="137"/>
      <c r="HD234" s="143"/>
      <c r="HE234" s="137"/>
      <c r="HF234" s="137"/>
      <c r="HG234" s="137"/>
      <c r="HH234" s="137"/>
      <c r="HI234" s="137"/>
      <c r="HJ234" s="143"/>
      <c r="HK234" s="137"/>
      <c r="HL234" s="137"/>
      <c r="HM234" s="137"/>
      <c r="HN234" s="137"/>
      <c r="HO234" s="137"/>
      <c r="HP234" s="143"/>
      <c r="HQ234" s="137"/>
      <c r="HR234" s="137"/>
      <c r="HS234" s="137"/>
      <c r="HT234" s="137"/>
      <c r="HU234" s="137"/>
      <c r="HV234" s="143"/>
      <c r="HW234" s="137"/>
      <c r="HX234" s="137"/>
      <c r="HY234" s="137"/>
      <c r="HZ234" s="137"/>
      <c r="IA234" s="137"/>
      <c r="IB234" s="143"/>
      <c r="IC234" s="137"/>
      <c r="ID234" s="137"/>
      <c r="IE234" s="137"/>
      <c r="IF234" s="137"/>
      <c r="IG234" s="137"/>
      <c r="IH234" s="143"/>
      <c r="II234" s="137"/>
      <c r="IJ234" s="137"/>
      <c r="IK234" s="137"/>
      <c r="IL234" s="137"/>
      <c r="IM234" s="137"/>
      <c r="IN234" s="143"/>
      <c r="IO234" s="137"/>
      <c r="IP234" s="137"/>
      <c r="IQ234" s="137"/>
      <c r="IR234" s="137"/>
      <c r="IS234" s="137"/>
      <c r="IT234" s="143"/>
      <c r="IU234" s="137"/>
      <c r="IV234" s="137"/>
    </row>
    <row r="235" spans="1:256" ht="15.6">
      <c r="A235" s="150"/>
      <c r="B235" s="137"/>
      <c r="C235" s="29"/>
      <c r="D235" s="137"/>
      <c r="E235" s="138"/>
      <c r="F235" s="153"/>
      <c r="G235" s="428"/>
      <c r="H235" s="172"/>
      <c r="I235" s="172"/>
      <c r="J235" s="171"/>
      <c r="K235" s="368" t="s">
        <v>59</v>
      </c>
      <c r="L235" s="171"/>
      <c r="M235" s="171"/>
      <c r="N235" s="171"/>
      <c r="O235" s="171"/>
      <c r="P235" s="171"/>
      <c r="Q235" s="171"/>
      <c r="R235" s="171"/>
      <c r="S235" s="246"/>
      <c r="T235" s="137"/>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c r="AV235" s="137"/>
      <c r="AW235" s="137"/>
      <c r="AX235" s="137"/>
      <c r="AY235" s="137"/>
      <c r="AZ235" s="137"/>
      <c r="BA235" s="137"/>
      <c r="BB235" s="137"/>
      <c r="BC235" s="137"/>
      <c r="BD235" s="137"/>
      <c r="BE235" s="137"/>
      <c r="BF235" s="137"/>
      <c r="BG235" s="137"/>
      <c r="BH235" s="137"/>
      <c r="BI235" s="137"/>
      <c r="BJ235" s="137"/>
      <c r="BK235" s="137"/>
      <c r="BL235" s="137"/>
      <c r="BM235" s="137"/>
      <c r="BN235" s="137"/>
      <c r="BO235" s="137"/>
      <c r="BP235" s="143"/>
      <c r="BQ235" s="137"/>
      <c r="BR235" s="137"/>
      <c r="BS235" s="137"/>
      <c r="BT235" s="137"/>
      <c r="BU235" s="137"/>
      <c r="BV235" s="143"/>
      <c r="BW235" s="137"/>
      <c r="BX235" s="137"/>
      <c r="BY235" s="137"/>
      <c r="BZ235" s="137"/>
      <c r="CA235" s="137"/>
      <c r="CB235" s="143"/>
      <c r="CC235" s="137"/>
      <c r="CD235" s="137"/>
      <c r="CE235" s="137"/>
      <c r="CF235" s="137"/>
      <c r="CG235" s="137"/>
      <c r="CH235" s="143"/>
      <c r="CI235" s="137"/>
      <c r="CJ235" s="137"/>
      <c r="CK235" s="137"/>
      <c r="CL235" s="137"/>
      <c r="CM235" s="137"/>
      <c r="CN235" s="143"/>
      <c r="CO235" s="137"/>
      <c r="CP235" s="137"/>
      <c r="CQ235" s="137"/>
      <c r="CR235" s="137"/>
      <c r="CS235" s="137"/>
      <c r="CT235" s="143"/>
      <c r="CU235" s="137"/>
      <c r="CV235" s="137"/>
      <c r="CW235" s="137"/>
      <c r="CX235" s="137"/>
      <c r="CY235" s="137"/>
      <c r="CZ235" s="143"/>
      <c r="DA235" s="137"/>
      <c r="DB235" s="137"/>
      <c r="DC235" s="137"/>
      <c r="DD235" s="137"/>
      <c r="DE235" s="137"/>
      <c r="DF235" s="143"/>
      <c r="DG235" s="137"/>
      <c r="DH235" s="137"/>
      <c r="DI235" s="137"/>
      <c r="DJ235" s="137"/>
      <c r="DK235" s="137"/>
      <c r="DL235" s="143"/>
      <c r="DM235" s="137"/>
      <c r="DN235" s="137"/>
      <c r="DO235" s="137"/>
      <c r="DP235" s="137"/>
      <c r="DQ235" s="137"/>
      <c r="DR235" s="143"/>
      <c r="DS235" s="137"/>
      <c r="DT235" s="137"/>
      <c r="DU235" s="137"/>
      <c r="DV235" s="137"/>
      <c r="DW235" s="137"/>
      <c r="DX235" s="143"/>
      <c r="DY235" s="137"/>
      <c r="DZ235" s="137"/>
      <c r="EA235" s="137"/>
      <c r="EB235" s="137"/>
      <c r="EC235" s="137"/>
      <c r="ED235" s="143"/>
      <c r="EE235" s="137"/>
      <c r="EF235" s="137"/>
      <c r="EG235" s="137"/>
      <c r="EH235" s="137"/>
      <c r="EI235" s="137"/>
      <c r="EJ235" s="143"/>
      <c r="EK235" s="137"/>
      <c r="EL235" s="137"/>
      <c r="EM235" s="137"/>
      <c r="EN235" s="137"/>
      <c r="EO235" s="137"/>
      <c r="EP235" s="143"/>
      <c r="EQ235" s="137"/>
      <c r="ER235" s="137"/>
      <c r="ES235" s="137"/>
      <c r="ET235" s="137"/>
      <c r="EU235" s="137"/>
      <c r="EV235" s="143"/>
      <c r="EW235" s="137"/>
      <c r="EX235" s="137"/>
      <c r="EY235" s="137"/>
      <c r="EZ235" s="137"/>
      <c r="FA235" s="137"/>
      <c r="FB235" s="143"/>
      <c r="FC235" s="137"/>
      <c r="FD235" s="137"/>
      <c r="FE235" s="137"/>
      <c r="FF235" s="137"/>
      <c r="FG235" s="137"/>
      <c r="FH235" s="143"/>
      <c r="FI235" s="137"/>
      <c r="FJ235" s="137"/>
      <c r="FK235" s="137"/>
      <c r="FL235" s="137"/>
      <c r="FM235" s="137"/>
      <c r="FN235" s="143"/>
      <c r="FO235" s="137"/>
      <c r="FP235" s="137"/>
      <c r="FQ235" s="137"/>
      <c r="FR235" s="137"/>
      <c r="FS235" s="137"/>
      <c r="FT235" s="143"/>
      <c r="FU235" s="137"/>
      <c r="FV235" s="137"/>
      <c r="FW235" s="137"/>
      <c r="FX235" s="137"/>
      <c r="FY235" s="137"/>
      <c r="FZ235" s="143"/>
      <c r="GA235" s="137"/>
      <c r="GB235" s="137"/>
      <c r="GC235" s="137"/>
      <c r="GD235" s="137"/>
      <c r="GE235" s="137"/>
      <c r="GF235" s="143"/>
      <c r="GG235" s="137"/>
      <c r="GH235" s="137"/>
      <c r="GI235" s="137"/>
      <c r="GJ235" s="137"/>
      <c r="GK235" s="137"/>
      <c r="GL235" s="143"/>
      <c r="GM235" s="137"/>
      <c r="GN235" s="137"/>
      <c r="GO235" s="137"/>
      <c r="GP235" s="137"/>
      <c r="GQ235" s="137"/>
      <c r="GR235" s="143"/>
      <c r="GS235" s="137"/>
      <c r="GT235" s="137"/>
      <c r="GU235" s="137"/>
      <c r="GV235" s="137"/>
      <c r="GW235" s="137"/>
      <c r="GX235" s="143"/>
      <c r="GY235" s="137"/>
      <c r="GZ235" s="137"/>
      <c r="HA235" s="137"/>
      <c r="HB235" s="137"/>
      <c r="HC235" s="137"/>
      <c r="HD235" s="143"/>
      <c r="HE235" s="137"/>
      <c r="HF235" s="137"/>
      <c r="HG235" s="137"/>
      <c r="HH235" s="137"/>
      <c r="HI235" s="137"/>
      <c r="HJ235" s="143"/>
      <c r="HK235" s="137"/>
      <c r="HL235" s="137"/>
      <c r="HM235" s="137"/>
      <c r="HN235" s="137"/>
      <c r="HO235" s="137"/>
      <c r="HP235" s="143"/>
      <c r="HQ235" s="137"/>
      <c r="HR235" s="137"/>
      <c r="HS235" s="137"/>
      <c r="HT235" s="137"/>
      <c r="HU235" s="137"/>
      <c r="HV235" s="143"/>
      <c r="HW235" s="137"/>
      <c r="HX235" s="137"/>
      <c r="HY235" s="137"/>
      <c r="HZ235" s="137"/>
      <c r="IA235" s="137"/>
      <c r="IB235" s="143"/>
      <c r="IC235" s="137"/>
      <c r="ID235" s="137"/>
      <c r="IE235" s="137"/>
      <c r="IF235" s="137"/>
      <c r="IG235" s="137"/>
      <c r="IH235" s="143"/>
      <c r="II235" s="137"/>
      <c r="IJ235" s="137"/>
      <c r="IK235" s="137"/>
      <c r="IL235" s="137"/>
      <c r="IM235" s="137"/>
      <c r="IN235" s="143"/>
      <c r="IO235" s="137"/>
      <c r="IP235" s="137"/>
      <c r="IQ235" s="137"/>
      <c r="IR235" s="137"/>
      <c r="IS235" s="137"/>
      <c r="IT235" s="143"/>
      <c r="IU235" s="137"/>
      <c r="IV235" s="137"/>
    </row>
    <row r="236" spans="1:256" ht="15.6">
      <c r="A236" s="150"/>
      <c r="B236" s="137"/>
      <c r="C236" s="29"/>
      <c r="D236" s="137"/>
      <c r="E236" s="138"/>
      <c r="F236" s="153"/>
      <c r="G236" s="428"/>
      <c r="H236" s="172"/>
      <c r="I236" s="172"/>
      <c r="J236" s="171"/>
      <c r="K236" s="368" t="s">
        <v>60</v>
      </c>
      <c r="L236" s="171"/>
      <c r="M236" s="171"/>
      <c r="N236" s="171"/>
      <c r="O236" s="171"/>
      <c r="P236" s="171"/>
      <c r="Q236" s="171"/>
      <c r="R236" s="171"/>
      <c r="S236" s="246"/>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7"/>
      <c r="AX236" s="137"/>
      <c r="AY236" s="137"/>
      <c r="AZ236" s="137"/>
      <c r="BA236" s="137"/>
      <c r="BB236" s="137"/>
      <c r="BC236" s="137"/>
      <c r="BD236" s="137"/>
      <c r="BE236" s="137"/>
      <c r="BF236" s="137"/>
      <c r="BG236" s="137"/>
      <c r="BH236" s="137"/>
      <c r="BI236" s="137"/>
      <c r="BJ236" s="137"/>
      <c r="BK236" s="137"/>
      <c r="BL236" s="137"/>
      <c r="BM236" s="137"/>
      <c r="BN236" s="137"/>
      <c r="BO236" s="137"/>
      <c r="BP236" s="143"/>
      <c r="BQ236" s="137"/>
      <c r="BR236" s="137"/>
      <c r="BS236" s="137"/>
      <c r="BT236" s="137"/>
      <c r="BU236" s="137"/>
      <c r="BV236" s="143"/>
      <c r="BW236" s="137"/>
      <c r="BX236" s="137"/>
      <c r="BY236" s="137"/>
      <c r="BZ236" s="137"/>
      <c r="CA236" s="137"/>
      <c r="CB236" s="143"/>
      <c r="CC236" s="137"/>
      <c r="CD236" s="137"/>
      <c r="CE236" s="137"/>
      <c r="CF236" s="137"/>
      <c r="CG236" s="137"/>
      <c r="CH236" s="143"/>
      <c r="CI236" s="137"/>
      <c r="CJ236" s="137"/>
      <c r="CK236" s="137"/>
      <c r="CL236" s="137"/>
      <c r="CM236" s="137"/>
      <c r="CN236" s="143"/>
      <c r="CO236" s="137"/>
      <c r="CP236" s="137"/>
      <c r="CQ236" s="137"/>
      <c r="CR236" s="137"/>
      <c r="CS236" s="137"/>
      <c r="CT236" s="143"/>
      <c r="CU236" s="137"/>
      <c r="CV236" s="137"/>
      <c r="CW236" s="137"/>
      <c r="CX236" s="137"/>
      <c r="CY236" s="137"/>
      <c r="CZ236" s="143"/>
      <c r="DA236" s="137"/>
      <c r="DB236" s="137"/>
      <c r="DC236" s="137"/>
      <c r="DD236" s="137"/>
      <c r="DE236" s="137"/>
      <c r="DF236" s="143"/>
      <c r="DG236" s="137"/>
      <c r="DH236" s="137"/>
      <c r="DI236" s="137"/>
      <c r="DJ236" s="137"/>
      <c r="DK236" s="137"/>
      <c r="DL236" s="143"/>
      <c r="DM236" s="137"/>
      <c r="DN236" s="137"/>
      <c r="DO236" s="137"/>
      <c r="DP236" s="137"/>
      <c r="DQ236" s="137"/>
      <c r="DR236" s="143"/>
      <c r="DS236" s="137"/>
      <c r="DT236" s="137"/>
      <c r="DU236" s="137"/>
      <c r="DV236" s="137"/>
      <c r="DW236" s="137"/>
      <c r="DX236" s="143"/>
      <c r="DY236" s="137"/>
      <c r="DZ236" s="137"/>
      <c r="EA236" s="137"/>
      <c r="EB236" s="137"/>
      <c r="EC236" s="137"/>
      <c r="ED236" s="143"/>
      <c r="EE236" s="137"/>
      <c r="EF236" s="137"/>
      <c r="EG236" s="137"/>
      <c r="EH236" s="137"/>
      <c r="EI236" s="137"/>
      <c r="EJ236" s="143"/>
      <c r="EK236" s="137"/>
      <c r="EL236" s="137"/>
      <c r="EM236" s="137"/>
      <c r="EN236" s="137"/>
      <c r="EO236" s="137"/>
      <c r="EP236" s="143"/>
      <c r="EQ236" s="137"/>
      <c r="ER236" s="137"/>
      <c r="ES236" s="137"/>
      <c r="ET236" s="137"/>
      <c r="EU236" s="137"/>
      <c r="EV236" s="143"/>
      <c r="EW236" s="137"/>
      <c r="EX236" s="137"/>
      <c r="EY236" s="137"/>
      <c r="EZ236" s="137"/>
      <c r="FA236" s="137"/>
      <c r="FB236" s="143"/>
      <c r="FC236" s="137"/>
      <c r="FD236" s="137"/>
      <c r="FE236" s="137"/>
      <c r="FF236" s="137"/>
      <c r="FG236" s="137"/>
      <c r="FH236" s="143"/>
      <c r="FI236" s="137"/>
      <c r="FJ236" s="137"/>
      <c r="FK236" s="137"/>
      <c r="FL236" s="137"/>
      <c r="FM236" s="137"/>
      <c r="FN236" s="143"/>
      <c r="FO236" s="137"/>
      <c r="FP236" s="137"/>
      <c r="FQ236" s="137"/>
      <c r="FR236" s="137"/>
      <c r="FS236" s="137"/>
      <c r="FT236" s="143"/>
      <c r="FU236" s="137"/>
      <c r="FV236" s="137"/>
      <c r="FW236" s="137"/>
      <c r="FX236" s="137"/>
      <c r="FY236" s="137"/>
      <c r="FZ236" s="143"/>
      <c r="GA236" s="137"/>
      <c r="GB236" s="137"/>
      <c r="GC236" s="137"/>
      <c r="GD236" s="137"/>
      <c r="GE236" s="137"/>
      <c r="GF236" s="143"/>
      <c r="GG236" s="137"/>
      <c r="GH236" s="137"/>
      <c r="GI236" s="137"/>
      <c r="GJ236" s="137"/>
      <c r="GK236" s="137"/>
      <c r="GL236" s="143"/>
      <c r="GM236" s="137"/>
      <c r="GN236" s="137"/>
      <c r="GO236" s="137"/>
      <c r="GP236" s="137"/>
      <c r="GQ236" s="137"/>
      <c r="GR236" s="143"/>
      <c r="GS236" s="137"/>
      <c r="GT236" s="137"/>
      <c r="GU236" s="137"/>
      <c r="GV236" s="137"/>
      <c r="GW236" s="137"/>
      <c r="GX236" s="143"/>
      <c r="GY236" s="137"/>
      <c r="GZ236" s="137"/>
      <c r="HA236" s="137"/>
      <c r="HB236" s="137"/>
      <c r="HC236" s="137"/>
      <c r="HD236" s="143"/>
      <c r="HE236" s="137"/>
      <c r="HF236" s="137"/>
      <c r="HG236" s="137"/>
      <c r="HH236" s="137"/>
      <c r="HI236" s="137"/>
      <c r="HJ236" s="143"/>
      <c r="HK236" s="137"/>
      <c r="HL236" s="137"/>
      <c r="HM236" s="137"/>
      <c r="HN236" s="137"/>
      <c r="HO236" s="137"/>
      <c r="HP236" s="143"/>
      <c r="HQ236" s="137"/>
      <c r="HR236" s="137"/>
      <c r="HS236" s="137"/>
      <c r="HT236" s="137"/>
      <c r="HU236" s="137"/>
      <c r="HV236" s="143"/>
      <c r="HW236" s="137"/>
      <c r="HX236" s="137"/>
      <c r="HY236" s="137"/>
      <c r="HZ236" s="137"/>
      <c r="IA236" s="137"/>
      <c r="IB236" s="143"/>
      <c r="IC236" s="137"/>
      <c r="ID236" s="137"/>
      <c r="IE236" s="137"/>
      <c r="IF236" s="137"/>
      <c r="IG236" s="137"/>
      <c r="IH236" s="143"/>
      <c r="II236" s="137"/>
      <c r="IJ236" s="137"/>
      <c r="IK236" s="137"/>
      <c r="IL236" s="137"/>
      <c r="IM236" s="137"/>
      <c r="IN236" s="143"/>
      <c r="IO236" s="137"/>
      <c r="IP236" s="137"/>
      <c r="IQ236" s="137"/>
      <c r="IR236" s="137"/>
      <c r="IS236" s="137"/>
      <c r="IT236" s="143"/>
      <c r="IU236" s="137"/>
      <c r="IV236" s="137"/>
    </row>
    <row r="237" spans="1:256" ht="15.6">
      <c r="A237" s="150"/>
      <c r="B237" s="137"/>
      <c r="C237" s="29"/>
      <c r="D237" s="137"/>
      <c r="E237" s="138"/>
      <c r="F237" s="153"/>
      <c r="G237" s="428"/>
      <c r="H237" s="172"/>
      <c r="I237" s="172"/>
      <c r="J237" s="171"/>
      <c r="K237" s="368" t="s">
        <v>61</v>
      </c>
      <c r="L237" s="171"/>
      <c r="M237" s="171"/>
      <c r="N237" s="171"/>
      <c r="O237" s="171"/>
      <c r="P237" s="171"/>
      <c r="Q237" s="171"/>
      <c r="R237" s="171"/>
      <c r="S237" s="246"/>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7"/>
      <c r="AY237" s="137"/>
      <c r="AZ237" s="137"/>
      <c r="BA237" s="137"/>
      <c r="BB237" s="137"/>
      <c r="BC237" s="137"/>
      <c r="BD237" s="137"/>
      <c r="BE237" s="137"/>
      <c r="BF237" s="137"/>
      <c r="BG237" s="137"/>
      <c r="BH237" s="137"/>
      <c r="BI237" s="137"/>
      <c r="BJ237" s="137"/>
      <c r="BK237" s="137"/>
      <c r="BL237" s="137"/>
      <c r="BM237" s="137"/>
      <c r="BN237" s="137"/>
      <c r="BO237" s="137"/>
      <c r="BP237" s="143"/>
      <c r="BQ237" s="137"/>
      <c r="BR237" s="137"/>
      <c r="BS237" s="137"/>
      <c r="BT237" s="137"/>
      <c r="BU237" s="137"/>
      <c r="BV237" s="143"/>
      <c r="BW237" s="137"/>
      <c r="BX237" s="137"/>
      <c r="BY237" s="137"/>
      <c r="BZ237" s="137"/>
      <c r="CA237" s="137"/>
      <c r="CB237" s="143"/>
      <c r="CC237" s="137"/>
      <c r="CD237" s="137"/>
      <c r="CE237" s="137"/>
      <c r="CF237" s="137"/>
      <c r="CG237" s="137"/>
      <c r="CH237" s="143"/>
      <c r="CI237" s="137"/>
      <c r="CJ237" s="137"/>
      <c r="CK237" s="137"/>
      <c r="CL237" s="137"/>
      <c r="CM237" s="137"/>
      <c r="CN237" s="143"/>
      <c r="CO237" s="137"/>
      <c r="CP237" s="137"/>
      <c r="CQ237" s="137"/>
      <c r="CR237" s="137"/>
      <c r="CS237" s="137"/>
      <c r="CT237" s="143"/>
      <c r="CU237" s="137"/>
      <c r="CV237" s="137"/>
      <c r="CW237" s="137"/>
      <c r="CX237" s="137"/>
      <c r="CY237" s="137"/>
      <c r="CZ237" s="143"/>
      <c r="DA237" s="137"/>
      <c r="DB237" s="137"/>
      <c r="DC237" s="137"/>
      <c r="DD237" s="137"/>
      <c r="DE237" s="137"/>
      <c r="DF237" s="143"/>
      <c r="DG237" s="137"/>
      <c r="DH237" s="137"/>
      <c r="DI237" s="137"/>
      <c r="DJ237" s="137"/>
      <c r="DK237" s="137"/>
      <c r="DL237" s="143"/>
      <c r="DM237" s="137"/>
      <c r="DN237" s="137"/>
      <c r="DO237" s="137"/>
      <c r="DP237" s="137"/>
      <c r="DQ237" s="137"/>
      <c r="DR237" s="143"/>
      <c r="DS237" s="137"/>
      <c r="DT237" s="137"/>
      <c r="DU237" s="137"/>
      <c r="DV237" s="137"/>
      <c r="DW237" s="137"/>
      <c r="DX237" s="143"/>
      <c r="DY237" s="137"/>
      <c r="DZ237" s="137"/>
      <c r="EA237" s="137"/>
      <c r="EB237" s="137"/>
      <c r="EC237" s="137"/>
      <c r="ED237" s="143"/>
      <c r="EE237" s="137"/>
      <c r="EF237" s="137"/>
      <c r="EG237" s="137"/>
      <c r="EH237" s="137"/>
      <c r="EI237" s="137"/>
      <c r="EJ237" s="143"/>
      <c r="EK237" s="137"/>
      <c r="EL237" s="137"/>
      <c r="EM237" s="137"/>
      <c r="EN237" s="137"/>
      <c r="EO237" s="137"/>
      <c r="EP237" s="143"/>
      <c r="EQ237" s="137"/>
      <c r="ER237" s="137"/>
      <c r="ES237" s="137"/>
      <c r="ET237" s="137"/>
      <c r="EU237" s="137"/>
      <c r="EV237" s="143"/>
      <c r="EW237" s="137"/>
      <c r="EX237" s="137"/>
      <c r="EY237" s="137"/>
      <c r="EZ237" s="137"/>
      <c r="FA237" s="137"/>
      <c r="FB237" s="143"/>
      <c r="FC237" s="137"/>
      <c r="FD237" s="137"/>
      <c r="FE237" s="137"/>
      <c r="FF237" s="137"/>
      <c r="FG237" s="137"/>
      <c r="FH237" s="143"/>
      <c r="FI237" s="137"/>
      <c r="FJ237" s="137"/>
      <c r="FK237" s="137"/>
      <c r="FL237" s="137"/>
      <c r="FM237" s="137"/>
      <c r="FN237" s="143"/>
      <c r="FO237" s="137"/>
      <c r="FP237" s="137"/>
      <c r="FQ237" s="137"/>
      <c r="FR237" s="137"/>
      <c r="FS237" s="137"/>
      <c r="FT237" s="143"/>
      <c r="FU237" s="137"/>
      <c r="FV237" s="137"/>
      <c r="FW237" s="137"/>
      <c r="FX237" s="137"/>
      <c r="FY237" s="137"/>
      <c r="FZ237" s="143"/>
      <c r="GA237" s="137"/>
      <c r="GB237" s="137"/>
      <c r="GC237" s="137"/>
      <c r="GD237" s="137"/>
      <c r="GE237" s="137"/>
      <c r="GF237" s="143"/>
      <c r="GG237" s="137"/>
      <c r="GH237" s="137"/>
      <c r="GI237" s="137"/>
      <c r="GJ237" s="137"/>
      <c r="GK237" s="137"/>
      <c r="GL237" s="143"/>
      <c r="GM237" s="137"/>
      <c r="GN237" s="137"/>
      <c r="GO237" s="137"/>
      <c r="GP237" s="137"/>
      <c r="GQ237" s="137"/>
      <c r="GR237" s="143"/>
      <c r="GS237" s="137"/>
      <c r="GT237" s="137"/>
      <c r="GU237" s="137"/>
      <c r="GV237" s="137"/>
      <c r="GW237" s="137"/>
      <c r="GX237" s="143"/>
      <c r="GY237" s="137"/>
      <c r="GZ237" s="137"/>
      <c r="HA237" s="137"/>
      <c r="HB237" s="137"/>
      <c r="HC237" s="137"/>
      <c r="HD237" s="143"/>
      <c r="HE237" s="137"/>
      <c r="HF237" s="137"/>
      <c r="HG237" s="137"/>
      <c r="HH237" s="137"/>
      <c r="HI237" s="137"/>
      <c r="HJ237" s="143"/>
      <c r="HK237" s="137"/>
      <c r="HL237" s="137"/>
      <c r="HM237" s="137"/>
      <c r="HN237" s="137"/>
      <c r="HO237" s="137"/>
      <c r="HP237" s="143"/>
      <c r="HQ237" s="137"/>
      <c r="HR237" s="137"/>
      <c r="HS237" s="137"/>
      <c r="HT237" s="137"/>
      <c r="HU237" s="137"/>
      <c r="HV237" s="143"/>
      <c r="HW237" s="137"/>
      <c r="HX237" s="137"/>
      <c r="HY237" s="137"/>
      <c r="HZ237" s="137"/>
      <c r="IA237" s="137"/>
      <c r="IB237" s="143"/>
      <c r="IC237" s="137"/>
      <c r="ID237" s="137"/>
      <c r="IE237" s="137"/>
      <c r="IF237" s="137"/>
      <c r="IG237" s="137"/>
      <c r="IH237" s="143"/>
      <c r="II237" s="137"/>
      <c r="IJ237" s="137"/>
      <c r="IK237" s="137"/>
      <c r="IL237" s="137"/>
      <c r="IM237" s="137"/>
      <c r="IN237" s="143"/>
      <c r="IO237" s="137"/>
      <c r="IP237" s="137"/>
      <c r="IQ237" s="137"/>
      <c r="IR237" s="137"/>
      <c r="IS237" s="137"/>
      <c r="IT237" s="143"/>
      <c r="IU237" s="137"/>
      <c r="IV237" s="137"/>
    </row>
    <row r="238" spans="1:256" ht="15.6">
      <c r="A238" s="150"/>
      <c r="B238" s="137"/>
      <c r="C238" s="29"/>
      <c r="D238" s="137"/>
      <c r="E238" s="138"/>
      <c r="F238" s="153"/>
      <c r="G238" s="428"/>
      <c r="H238" s="172"/>
      <c r="I238" s="172"/>
      <c r="J238" s="171"/>
      <c r="K238" s="368" t="s">
        <v>62</v>
      </c>
      <c r="L238" s="171"/>
      <c r="M238" s="171"/>
      <c r="N238" s="171"/>
      <c r="O238" s="171"/>
      <c r="P238" s="171"/>
      <c r="Q238" s="171"/>
      <c r="R238" s="171"/>
      <c r="S238" s="246"/>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7"/>
      <c r="AY238" s="137"/>
      <c r="AZ238" s="137"/>
      <c r="BA238" s="137"/>
      <c r="BB238" s="137"/>
      <c r="BC238" s="137"/>
      <c r="BD238" s="137"/>
      <c r="BE238" s="137"/>
      <c r="BF238" s="137"/>
      <c r="BG238" s="137"/>
      <c r="BH238" s="137"/>
      <c r="BI238" s="137"/>
      <c r="BJ238" s="137"/>
      <c r="BK238" s="137"/>
      <c r="BL238" s="137"/>
      <c r="BM238" s="137"/>
      <c r="BN238" s="137"/>
      <c r="BO238" s="137"/>
      <c r="BP238" s="143"/>
      <c r="BQ238" s="137"/>
      <c r="BR238" s="137"/>
      <c r="BS238" s="137"/>
      <c r="BT238" s="137"/>
      <c r="BU238" s="137"/>
      <c r="BV238" s="143"/>
      <c r="BW238" s="137"/>
      <c r="BX238" s="137"/>
      <c r="BY238" s="137"/>
      <c r="BZ238" s="137"/>
      <c r="CA238" s="137"/>
      <c r="CB238" s="143"/>
      <c r="CC238" s="137"/>
      <c r="CD238" s="137"/>
      <c r="CE238" s="137"/>
      <c r="CF238" s="137"/>
      <c r="CG238" s="137"/>
      <c r="CH238" s="143"/>
      <c r="CI238" s="137"/>
      <c r="CJ238" s="137"/>
      <c r="CK238" s="137"/>
      <c r="CL238" s="137"/>
      <c r="CM238" s="137"/>
      <c r="CN238" s="143"/>
      <c r="CO238" s="137"/>
      <c r="CP238" s="137"/>
      <c r="CQ238" s="137"/>
      <c r="CR238" s="137"/>
      <c r="CS238" s="137"/>
      <c r="CT238" s="143"/>
      <c r="CU238" s="137"/>
      <c r="CV238" s="137"/>
      <c r="CW238" s="137"/>
      <c r="CX238" s="137"/>
      <c r="CY238" s="137"/>
      <c r="CZ238" s="143"/>
      <c r="DA238" s="137"/>
      <c r="DB238" s="137"/>
      <c r="DC238" s="137"/>
      <c r="DD238" s="137"/>
      <c r="DE238" s="137"/>
      <c r="DF238" s="143"/>
      <c r="DG238" s="137"/>
      <c r="DH238" s="137"/>
      <c r="DI238" s="137"/>
      <c r="DJ238" s="137"/>
      <c r="DK238" s="137"/>
      <c r="DL238" s="143"/>
      <c r="DM238" s="137"/>
      <c r="DN238" s="137"/>
      <c r="DO238" s="137"/>
      <c r="DP238" s="137"/>
      <c r="DQ238" s="137"/>
      <c r="DR238" s="143"/>
      <c r="DS238" s="137"/>
      <c r="DT238" s="137"/>
      <c r="DU238" s="137"/>
      <c r="DV238" s="137"/>
      <c r="DW238" s="137"/>
      <c r="DX238" s="143"/>
      <c r="DY238" s="137"/>
      <c r="DZ238" s="137"/>
      <c r="EA238" s="137"/>
      <c r="EB238" s="137"/>
      <c r="EC238" s="137"/>
      <c r="ED238" s="143"/>
      <c r="EE238" s="137"/>
      <c r="EF238" s="137"/>
      <c r="EG238" s="137"/>
      <c r="EH238" s="137"/>
      <c r="EI238" s="137"/>
      <c r="EJ238" s="143"/>
      <c r="EK238" s="137"/>
      <c r="EL238" s="137"/>
      <c r="EM238" s="137"/>
      <c r="EN238" s="137"/>
      <c r="EO238" s="137"/>
      <c r="EP238" s="143"/>
      <c r="EQ238" s="137"/>
      <c r="ER238" s="137"/>
      <c r="ES238" s="137"/>
      <c r="ET238" s="137"/>
      <c r="EU238" s="137"/>
      <c r="EV238" s="143"/>
      <c r="EW238" s="137"/>
      <c r="EX238" s="137"/>
      <c r="EY238" s="137"/>
      <c r="EZ238" s="137"/>
      <c r="FA238" s="137"/>
      <c r="FB238" s="143"/>
      <c r="FC238" s="137"/>
      <c r="FD238" s="137"/>
      <c r="FE238" s="137"/>
      <c r="FF238" s="137"/>
      <c r="FG238" s="137"/>
      <c r="FH238" s="143"/>
      <c r="FI238" s="137"/>
      <c r="FJ238" s="137"/>
      <c r="FK238" s="137"/>
      <c r="FL238" s="137"/>
      <c r="FM238" s="137"/>
      <c r="FN238" s="143"/>
      <c r="FO238" s="137"/>
      <c r="FP238" s="137"/>
      <c r="FQ238" s="137"/>
      <c r="FR238" s="137"/>
      <c r="FS238" s="137"/>
      <c r="FT238" s="143"/>
      <c r="FU238" s="137"/>
      <c r="FV238" s="137"/>
      <c r="FW238" s="137"/>
      <c r="FX238" s="137"/>
      <c r="FY238" s="137"/>
      <c r="FZ238" s="143"/>
      <c r="GA238" s="137"/>
      <c r="GB238" s="137"/>
      <c r="GC238" s="137"/>
      <c r="GD238" s="137"/>
      <c r="GE238" s="137"/>
      <c r="GF238" s="143"/>
      <c r="GG238" s="137"/>
      <c r="GH238" s="137"/>
      <c r="GI238" s="137"/>
      <c r="GJ238" s="137"/>
      <c r="GK238" s="137"/>
      <c r="GL238" s="143"/>
      <c r="GM238" s="137"/>
      <c r="GN238" s="137"/>
      <c r="GO238" s="137"/>
      <c r="GP238" s="137"/>
      <c r="GQ238" s="137"/>
      <c r="GR238" s="143"/>
      <c r="GS238" s="137"/>
      <c r="GT238" s="137"/>
      <c r="GU238" s="137"/>
      <c r="GV238" s="137"/>
      <c r="GW238" s="137"/>
      <c r="GX238" s="143"/>
      <c r="GY238" s="137"/>
      <c r="GZ238" s="137"/>
      <c r="HA238" s="137"/>
      <c r="HB238" s="137"/>
      <c r="HC238" s="137"/>
      <c r="HD238" s="143"/>
      <c r="HE238" s="137"/>
      <c r="HF238" s="137"/>
      <c r="HG238" s="137"/>
      <c r="HH238" s="137"/>
      <c r="HI238" s="137"/>
      <c r="HJ238" s="143"/>
      <c r="HK238" s="137"/>
      <c r="HL238" s="137"/>
      <c r="HM238" s="137"/>
      <c r="HN238" s="137"/>
      <c r="HO238" s="137"/>
      <c r="HP238" s="143"/>
      <c r="HQ238" s="137"/>
      <c r="HR238" s="137"/>
      <c r="HS238" s="137"/>
      <c r="HT238" s="137"/>
      <c r="HU238" s="137"/>
      <c r="HV238" s="143"/>
      <c r="HW238" s="137"/>
      <c r="HX238" s="137"/>
      <c r="HY238" s="137"/>
      <c r="HZ238" s="137"/>
      <c r="IA238" s="137"/>
      <c r="IB238" s="143"/>
      <c r="IC238" s="137"/>
      <c r="ID238" s="137"/>
      <c r="IE238" s="137"/>
      <c r="IF238" s="137"/>
      <c r="IG238" s="137"/>
      <c r="IH238" s="143"/>
      <c r="II238" s="137"/>
      <c r="IJ238" s="137"/>
      <c r="IK238" s="137"/>
      <c r="IL238" s="137"/>
      <c r="IM238" s="137"/>
      <c r="IN238" s="143"/>
      <c r="IO238" s="137"/>
      <c r="IP238" s="137"/>
      <c r="IQ238" s="137"/>
      <c r="IR238" s="137"/>
      <c r="IS238" s="137"/>
      <c r="IT238" s="143"/>
      <c r="IU238" s="137"/>
      <c r="IV238" s="137"/>
    </row>
    <row r="239" spans="1:256" ht="15.6">
      <c r="A239" s="150"/>
      <c r="B239" s="137"/>
      <c r="C239" s="29"/>
      <c r="D239" s="137"/>
      <c r="E239" s="138"/>
      <c r="F239" s="153"/>
      <c r="G239" s="428"/>
      <c r="H239" s="172"/>
      <c r="I239" s="172"/>
      <c r="J239" s="171"/>
      <c r="K239" s="368" t="s">
        <v>63</v>
      </c>
      <c r="L239" s="171"/>
      <c r="M239" s="171"/>
      <c r="N239" s="171"/>
      <c r="O239" s="171"/>
      <c r="P239" s="171"/>
      <c r="Q239" s="171"/>
      <c r="R239" s="171"/>
      <c r="S239" s="246"/>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7"/>
      <c r="AX239" s="137"/>
      <c r="AY239" s="137"/>
      <c r="AZ239" s="137"/>
      <c r="BA239" s="137"/>
      <c r="BB239" s="137"/>
      <c r="BC239" s="137"/>
      <c r="BD239" s="137"/>
      <c r="BE239" s="137"/>
      <c r="BF239" s="137"/>
      <c r="BG239" s="137"/>
      <c r="BH239" s="137"/>
      <c r="BI239" s="137"/>
      <c r="BJ239" s="137"/>
      <c r="BK239" s="137"/>
      <c r="BL239" s="137"/>
      <c r="BM239" s="137"/>
      <c r="BN239" s="137"/>
      <c r="BO239" s="137"/>
      <c r="BP239" s="143"/>
      <c r="BQ239" s="137"/>
      <c r="BR239" s="137"/>
      <c r="BS239" s="137"/>
      <c r="BT239" s="137"/>
      <c r="BU239" s="137"/>
      <c r="BV239" s="143"/>
      <c r="BW239" s="137"/>
      <c r="BX239" s="137"/>
      <c r="BY239" s="137"/>
      <c r="BZ239" s="137"/>
      <c r="CA239" s="137"/>
      <c r="CB239" s="143"/>
      <c r="CC239" s="137"/>
      <c r="CD239" s="137"/>
      <c r="CE239" s="137"/>
      <c r="CF239" s="137"/>
      <c r="CG239" s="137"/>
      <c r="CH239" s="143"/>
      <c r="CI239" s="137"/>
      <c r="CJ239" s="137"/>
      <c r="CK239" s="137"/>
      <c r="CL239" s="137"/>
      <c r="CM239" s="137"/>
      <c r="CN239" s="143"/>
      <c r="CO239" s="137"/>
      <c r="CP239" s="137"/>
      <c r="CQ239" s="137"/>
      <c r="CR239" s="137"/>
      <c r="CS239" s="137"/>
      <c r="CT239" s="143"/>
      <c r="CU239" s="137"/>
      <c r="CV239" s="137"/>
      <c r="CW239" s="137"/>
      <c r="CX239" s="137"/>
      <c r="CY239" s="137"/>
      <c r="CZ239" s="143"/>
      <c r="DA239" s="137"/>
      <c r="DB239" s="137"/>
      <c r="DC239" s="137"/>
      <c r="DD239" s="137"/>
      <c r="DE239" s="137"/>
      <c r="DF239" s="143"/>
      <c r="DG239" s="137"/>
      <c r="DH239" s="137"/>
      <c r="DI239" s="137"/>
      <c r="DJ239" s="137"/>
      <c r="DK239" s="137"/>
      <c r="DL239" s="143"/>
      <c r="DM239" s="137"/>
      <c r="DN239" s="137"/>
      <c r="DO239" s="137"/>
      <c r="DP239" s="137"/>
      <c r="DQ239" s="137"/>
      <c r="DR239" s="143"/>
      <c r="DS239" s="137"/>
      <c r="DT239" s="137"/>
      <c r="DU239" s="137"/>
      <c r="DV239" s="137"/>
      <c r="DW239" s="137"/>
      <c r="DX239" s="143"/>
      <c r="DY239" s="137"/>
      <c r="DZ239" s="137"/>
      <c r="EA239" s="137"/>
      <c r="EB239" s="137"/>
      <c r="EC239" s="137"/>
      <c r="ED239" s="143"/>
      <c r="EE239" s="137"/>
      <c r="EF239" s="137"/>
      <c r="EG239" s="137"/>
      <c r="EH239" s="137"/>
      <c r="EI239" s="137"/>
      <c r="EJ239" s="143"/>
      <c r="EK239" s="137"/>
      <c r="EL239" s="137"/>
      <c r="EM239" s="137"/>
      <c r="EN239" s="137"/>
      <c r="EO239" s="137"/>
      <c r="EP239" s="143"/>
      <c r="EQ239" s="137"/>
      <c r="ER239" s="137"/>
      <c r="ES239" s="137"/>
      <c r="ET239" s="137"/>
      <c r="EU239" s="137"/>
      <c r="EV239" s="143"/>
      <c r="EW239" s="137"/>
      <c r="EX239" s="137"/>
      <c r="EY239" s="137"/>
      <c r="EZ239" s="137"/>
      <c r="FA239" s="137"/>
      <c r="FB239" s="143"/>
      <c r="FC239" s="137"/>
      <c r="FD239" s="137"/>
      <c r="FE239" s="137"/>
      <c r="FF239" s="137"/>
      <c r="FG239" s="137"/>
      <c r="FH239" s="143"/>
      <c r="FI239" s="137"/>
      <c r="FJ239" s="137"/>
      <c r="FK239" s="137"/>
      <c r="FL239" s="137"/>
      <c r="FM239" s="137"/>
      <c r="FN239" s="143"/>
      <c r="FO239" s="137"/>
      <c r="FP239" s="137"/>
      <c r="FQ239" s="137"/>
      <c r="FR239" s="137"/>
      <c r="FS239" s="137"/>
      <c r="FT239" s="143"/>
      <c r="FU239" s="137"/>
      <c r="FV239" s="137"/>
      <c r="FW239" s="137"/>
      <c r="FX239" s="137"/>
      <c r="FY239" s="137"/>
      <c r="FZ239" s="143"/>
      <c r="GA239" s="137"/>
      <c r="GB239" s="137"/>
      <c r="GC239" s="137"/>
      <c r="GD239" s="137"/>
      <c r="GE239" s="137"/>
      <c r="GF239" s="143"/>
      <c r="GG239" s="137"/>
      <c r="GH239" s="137"/>
      <c r="GI239" s="137"/>
      <c r="GJ239" s="137"/>
      <c r="GK239" s="137"/>
      <c r="GL239" s="143"/>
      <c r="GM239" s="137"/>
      <c r="GN239" s="137"/>
      <c r="GO239" s="137"/>
      <c r="GP239" s="137"/>
      <c r="GQ239" s="137"/>
      <c r="GR239" s="143"/>
      <c r="GS239" s="137"/>
      <c r="GT239" s="137"/>
      <c r="GU239" s="137"/>
      <c r="GV239" s="137"/>
      <c r="GW239" s="137"/>
      <c r="GX239" s="143"/>
      <c r="GY239" s="137"/>
      <c r="GZ239" s="137"/>
      <c r="HA239" s="137"/>
      <c r="HB239" s="137"/>
      <c r="HC239" s="137"/>
      <c r="HD239" s="143"/>
      <c r="HE239" s="137"/>
      <c r="HF239" s="137"/>
      <c r="HG239" s="137"/>
      <c r="HH239" s="137"/>
      <c r="HI239" s="137"/>
      <c r="HJ239" s="143"/>
      <c r="HK239" s="137"/>
      <c r="HL239" s="137"/>
      <c r="HM239" s="137"/>
      <c r="HN239" s="137"/>
      <c r="HO239" s="137"/>
      <c r="HP239" s="143"/>
      <c r="HQ239" s="137"/>
      <c r="HR239" s="137"/>
      <c r="HS239" s="137"/>
      <c r="HT239" s="137"/>
      <c r="HU239" s="137"/>
      <c r="HV239" s="143"/>
      <c r="HW239" s="137"/>
      <c r="HX239" s="137"/>
      <c r="HY239" s="137"/>
      <c r="HZ239" s="137"/>
      <c r="IA239" s="137"/>
      <c r="IB239" s="143"/>
      <c r="IC239" s="137"/>
      <c r="ID239" s="137"/>
      <c r="IE239" s="137"/>
      <c r="IF239" s="137"/>
      <c r="IG239" s="137"/>
      <c r="IH239" s="143"/>
      <c r="II239" s="137"/>
      <c r="IJ239" s="137"/>
      <c r="IK239" s="137"/>
      <c r="IL239" s="137"/>
      <c r="IM239" s="137"/>
      <c r="IN239" s="143"/>
      <c r="IO239" s="137"/>
      <c r="IP239" s="137"/>
      <c r="IQ239" s="137"/>
      <c r="IR239" s="137"/>
      <c r="IS239" s="137"/>
      <c r="IT239" s="143"/>
      <c r="IU239" s="137"/>
      <c r="IV239" s="137"/>
    </row>
    <row r="240" spans="1:256" ht="15.6">
      <c r="A240" s="150"/>
      <c r="B240" s="137"/>
      <c r="C240" s="29"/>
      <c r="D240" s="137"/>
      <c r="E240" s="138"/>
      <c r="F240" s="153"/>
      <c r="G240" s="428"/>
      <c r="H240" s="172"/>
      <c r="I240" s="172"/>
      <c r="J240" s="171"/>
      <c r="K240" s="368" t="s">
        <v>64</v>
      </c>
      <c r="L240" s="171"/>
      <c r="M240" s="171"/>
      <c r="N240" s="171"/>
      <c r="O240" s="171"/>
      <c r="P240" s="171"/>
      <c r="Q240" s="171"/>
      <c r="R240" s="171"/>
      <c r="S240" s="246"/>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7"/>
      <c r="AX240" s="137"/>
      <c r="AY240" s="137"/>
      <c r="AZ240" s="137"/>
      <c r="BA240" s="137"/>
      <c r="BB240" s="137"/>
      <c r="BC240" s="137"/>
      <c r="BD240" s="137"/>
      <c r="BE240" s="137"/>
      <c r="BF240" s="137"/>
      <c r="BG240" s="137"/>
      <c r="BH240" s="137"/>
      <c r="BI240" s="137"/>
      <c r="BJ240" s="137"/>
      <c r="BK240" s="137"/>
      <c r="BL240" s="137"/>
      <c r="BM240" s="137"/>
      <c r="BN240" s="137"/>
      <c r="BO240" s="137"/>
      <c r="BP240" s="143"/>
      <c r="BQ240" s="137"/>
      <c r="BR240" s="137"/>
      <c r="BS240" s="137"/>
      <c r="BT240" s="137"/>
      <c r="BU240" s="137"/>
      <c r="BV240" s="143"/>
      <c r="BW240" s="137"/>
      <c r="BX240" s="137"/>
      <c r="BY240" s="137"/>
      <c r="BZ240" s="137"/>
      <c r="CA240" s="137"/>
      <c r="CB240" s="143"/>
      <c r="CC240" s="137"/>
      <c r="CD240" s="137"/>
      <c r="CE240" s="137"/>
      <c r="CF240" s="137"/>
      <c r="CG240" s="137"/>
      <c r="CH240" s="143"/>
      <c r="CI240" s="137"/>
      <c r="CJ240" s="137"/>
      <c r="CK240" s="137"/>
      <c r="CL240" s="137"/>
      <c r="CM240" s="137"/>
      <c r="CN240" s="143"/>
      <c r="CO240" s="137"/>
      <c r="CP240" s="137"/>
      <c r="CQ240" s="137"/>
      <c r="CR240" s="137"/>
      <c r="CS240" s="137"/>
      <c r="CT240" s="143"/>
      <c r="CU240" s="137"/>
      <c r="CV240" s="137"/>
      <c r="CW240" s="137"/>
      <c r="CX240" s="137"/>
      <c r="CY240" s="137"/>
      <c r="CZ240" s="143"/>
      <c r="DA240" s="137"/>
      <c r="DB240" s="137"/>
      <c r="DC240" s="137"/>
      <c r="DD240" s="137"/>
      <c r="DE240" s="137"/>
      <c r="DF240" s="143"/>
      <c r="DG240" s="137"/>
      <c r="DH240" s="137"/>
      <c r="DI240" s="137"/>
      <c r="DJ240" s="137"/>
      <c r="DK240" s="137"/>
      <c r="DL240" s="143"/>
      <c r="DM240" s="137"/>
      <c r="DN240" s="137"/>
      <c r="DO240" s="137"/>
      <c r="DP240" s="137"/>
      <c r="DQ240" s="137"/>
      <c r="DR240" s="143"/>
      <c r="DS240" s="137"/>
      <c r="DT240" s="137"/>
      <c r="DU240" s="137"/>
      <c r="DV240" s="137"/>
      <c r="DW240" s="137"/>
      <c r="DX240" s="143"/>
      <c r="DY240" s="137"/>
      <c r="DZ240" s="137"/>
      <c r="EA240" s="137"/>
      <c r="EB240" s="137"/>
      <c r="EC240" s="137"/>
      <c r="ED240" s="143"/>
      <c r="EE240" s="137"/>
      <c r="EF240" s="137"/>
      <c r="EG240" s="137"/>
      <c r="EH240" s="137"/>
      <c r="EI240" s="137"/>
      <c r="EJ240" s="143"/>
      <c r="EK240" s="137"/>
      <c r="EL240" s="137"/>
      <c r="EM240" s="137"/>
      <c r="EN240" s="137"/>
      <c r="EO240" s="137"/>
      <c r="EP240" s="143"/>
      <c r="EQ240" s="137"/>
      <c r="ER240" s="137"/>
      <c r="ES240" s="137"/>
      <c r="ET240" s="137"/>
      <c r="EU240" s="137"/>
      <c r="EV240" s="143"/>
      <c r="EW240" s="137"/>
      <c r="EX240" s="137"/>
      <c r="EY240" s="137"/>
      <c r="EZ240" s="137"/>
      <c r="FA240" s="137"/>
      <c r="FB240" s="143"/>
      <c r="FC240" s="137"/>
      <c r="FD240" s="137"/>
      <c r="FE240" s="137"/>
      <c r="FF240" s="137"/>
      <c r="FG240" s="137"/>
      <c r="FH240" s="143"/>
      <c r="FI240" s="137"/>
      <c r="FJ240" s="137"/>
      <c r="FK240" s="137"/>
      <c r="FL240" s="137"/>
      <c r="FM240" s="137"/>
      <c r="FN240" s="143"/>
      <c r="FO240" s="137"/>
      <c r="FP240" s="137"/>
      <c r="FQ240" s="137"/>
      <c r="FR240" s="137"/>
      <c r="FS240" s="137"/>
      <c r="FT240" s="143"/>
      <c r="FU240" s="137"/>
      <c r="FV240" s="137"/>
      <c r="FW240" s="137"/>
      <c r="FX240" s="137"/>
      <c r="FY240" s="137"/>
      <c r="FZ240" s="143"/>
      <c r="GA240" s="137"/>
      <c r="GB240" s="137"/>
      <c r="GC240" s="137"/>
      <c r="GD240" s="137"/>
      <c r="GE240" s="137"/>
      <c r="GF240" s="143"/>
      <c r="GG240" s="137"/>
      <c r="GH240" s="137"/>
      <c r="GI240" s="137"/>
      <c r="GJ240" s="137"/>
      <c r="GK240" s="137"/>
      <c r="GL240" s="143"/>
      <c r="GM240" s="137"/>
      <c r="GN240" s="137"/>
      <c r="GO240" s="137"/>
      <c r="GP240" s="137"/>
      <c r="GQ240" s="137"/>
      <c r="GR240" s="143"/>
      <c r="GS240" s="137"/>
      <c r="GT240" s="137"/>
      <c r="GU240" s="137"/>
      <c r="GV240" s="137"/>
      <c r="GW240" s="137"/>
      <c r="GX240" s="143"/>
      <c r="GY240" s="137"/>
      <c r="GZ240" s="137"/>
      <c r="HA240" s="137"/>
      <c r="HB240" s="137"/>
      <c r="HC240" s="137"/>
      <c r="HD240" s="143"/>
      <c r="HE240" s="137"/>
      <c r="HF240" s="137"/>
      <c r="HG240" s="137"/>
      <c r="HH240" s="137"/>
      <c r="HI240" s="137"/>
      <c r="HJ240" s="143"/>
      <c r="HK240" s="137"/>
      <c r="HL240" s="137"/>
      <c r="HM240" s="137"/>
      <c r="HN240" s="137"/>
      <c r="HO240" s="137"/>
      <c r="HP240" s="143"/>
      <c r="HQ240" s="137"/>
      <c r="HR240" s="137"/>
      <c r="HS240" s="137"/>
      <c r="HT240" s="137"/>
      <c r="HU240" s="137"/>
      <c r="HV240" s="143"/>
      <c r="HW240" s="137"/>
      <c r="HX240" s="137"/>
      <c r="HY240" s="137"/>
      <c r="HZ240" s="137"/>
      <c r="IA240" s="137"/>
      <c r="IB240" s="143"/>
      <c r="IC240" s="137"/>
      <c r="ID240" s="137"/>
      <c r="IE240" s="137"/>
      <c r="IF240" s="137"/>
      <c r="IG240" s="137"/>
      <c r="IH240" s="143"/>
      <c r="II240" s="137"/>
      <c r="IJ240" s="137"/>
      <c r="IK240" s="137"/>
      <c r="IL240" s="137"/>
      <c r="IM240" s="137"/>
      <c r="IN240" s="143"/>
      <c r="IO240" s="137"/>
      <c r="IP240" s="137"/>
      <c r="IQ240" s="137"/>
      <c r="IR240" s="137"/>
      <c r="IS240" s="137"/>
      <c r="IT240" s="143"/>
      <c r="IU240" s="137"/>
      <c r="IV240" s="137"/>
    </row>
    <row r="241" spans="1:256" ht="15.6">
      <c r="A241" s="150"/>
      <c r="B241" s="137"/>
      <c r="C241" s="29"/>
      <c r="D241" s="137"/>
      <c r="E241" s="138"/>
      <c r="F241" s="153"/>
      <c r="G241" s="428"/>
      <c r="H241" s="172"/>
      <c r="I241" s="172"/>
      <c r="J241" s="171"/>
      <c r="K241" s="368" t="s">
        <v>196</v>
      </c>
      <c r="L241" s="171"/>
      <c r="M241" s="171"/>
      <c r="N241" s="171"/>
      <c r="O241" s="171"/>
      <c r="P241" s="171"/>
      <c r="Q241" s="171"/>
      <c r="R241" s="171"/>
      <c r="S241" s="246"/>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7"/>
      <c r="AY241" s="137"/>
      <c r="AZ241" s="137"/>
      <c r="BA241" s="137"/>
      <c r="BB241" s="137"/>
      <c r="BC241" s="137"/>
      <c r="BD241" s="137"/>
      <c r="BE241" s="137"/>
      <c r="BF241" s="137"/>
      <c r="BG241" s="137"/>
      <c r="BH241" s="137"/>
      <c r="BI241" s="137"/>
      <c r="BJ241" s="137"/>
      <c r="BK241" s="137"/>
      <c r="BL241" s="137"/>
      <c r="BM241" s="137"/>
      <c r="BN241" s="137"/>
      <c r="BO241" s="137"/>
      <c r="BP241" s="143"/>
      <c r="BQ241" s="137"/>
      <c r="BR241" s="137"/>
      <c r="BS241" s="137"/>
      <c r="BT241" s="137"/>
      <c r="BU241" s="137"/>
      <c r="BV241" s="143"/>
      <c r="BW241" s="137"/>
      <c r="BX241" s="137"/>
      <c r="BY241" s="137"/>
      <c r="BZ241" s="137"/>
      <c r="CA241" s="137"/>
      <c r="CB241" s="143"/>
      <c r="CC241" s="137"/>
      <c r="CD241" s="137"/>
      <c r="CE241" s="137"/>
      <c r="CF241" s="137"/>
      <c r="CG241" s="137"/>
      <c r="CH241" s="143"/>
      <c r="CI241" s="137"/>
      <c r="CJ241" s="137"/>
      <c r="CK241" s="137"/>
      <c r="CL241" s="137"/>
      <c r="CM241" s="137"/>
      <c r="CN241" s="143"/>
      <c r="CO241" s="137"/>
      <c r="CP241" s="137"/>
      <c r="CQ241" s="137"/>
      <c r="CR241" s="137"/>
      <c r="CS241" s="137"/>
      <c r="CT241" s="143"/>
      <c r="CU241" s="137"/>
      <c r="CV241" s="137"/>
      <c r="CW241" s="137"/>
      <c r="CX241" s="137"/>
      <c r="CY241" s="137"/>
      <c r="CZ241" s="143"/>
      <c r="DA241" s="137"/>
      <c r="DB241" s="137"/>
      <c r="DC241" s="137"/>
      <c r="DD241" s="137"/>
      <c r="DE241" s="137"/>
      <c r="DF241" s="143"/>
      <c r="DG241" s="137"/>
      <c r="DH241" s="137"/>
      <c r="DI241" s="137"/>
      <c r="DJ241" s="137"/>
      <c r="DK241" s="137"/>
      <c r="DL241" s="143"/>
      <c r="DM241" s="137"/>
      <c r="DN241" s="137"/>
      <c r="DO241" s="137"/>
      <c r="DP241" s="137"/>
      <c r="DQ241" s="137"/>
      <c r="DR241" s="143"/>
      <c r="DS241" s="137"/>
      <c r="DT241" s="137"/>
      <c r="DU241" s="137"/>
      <c r="DV241" s="137"/>
      <c r="DW241" s="137"/>
      <c r="DX241" s="143"/>
      <c r="DY241" s="137"/>
      <c r="DZ241" s="137"/>
      <c r="EA241" s="137"/>
      <c r="EB241" s="137"/>
      <c r="EC241" s="137"/>
      <c r="ED241" s="143"/>
      <c r="EE241" s="137"/>
      <c r="EF241" s="137"/>
      <c r="EG241" s="137"/>
      <c r="EH241" s="137"/>
      <c r="EI241" s="137"/>
      <c r="EJ241" s="143"/>
      <c r="EK241" s="137"/>
      <c r="EL241" s="137"/>
      <c r="EM241" s="137"/>
      <c r="EN241" s="137"/>
      <c r="EO241" s="137"/>
      <c r="EP241" s="143"/>
      <c r="EQ241" s="137"/>
      <c r="ER241" s="137"/>
      <c r="ES241" s="137"/>
      <c r="ET241" s="137"/>
      <c r="EU241" s="137"/>
      <c r="EV241" s="143"/>
      <c r="EW241" s="137"/>
      <c r="EX241" s="137"/>
      <c r="EY241" s="137"/>
      <c r="EZ241" s="137"/>
      <c r="FA241" s="137"/>
      <c r="FB241" s="143"/>
      <c r="FC241" s="137"/>
      <c r="FD241" s="137"/>
      <c r="FE241" s="137"/>
      <c r="FF241" s="137"/>
      <c r="FG241" s="137"/>
      <c r="FH241" s="143"/>
      <c r="FI241" s="137"/>
      <c r="FJ241" s="137"/>
      <c r="FK241" s="137"/>
      <c r="FL241" s="137"/>
      <c r="FM241" s="137"/>
      <c r="FN241" s="143"/>
      <c r="FO241" s="137"/>
      <c r="FP241" s="137"/>
      <c r="FQ241" s="137"/>
      <c r="FR241" s="137"/>
      <c r="FS241" s="137"/>
      <c r="FT241" s="143"/>
      <c r="FU241" s="137"/>
      <c r="FV241" s="137"/>
      <c r="FW241" s="137"/>
      <c r="FX241" s="137"/>
      <c r="FY241" s="137"/>
      <c r="FZ241" s="143"/>
      <c r="GA241" s="137"/>
      <c r="GB241" s="137"/>
      <c r="GC241" s="137"/>
      <c r="GD241" s="137"/>
      <c r="GE241" s="137"/>
      <c r="GF241" s="143"/>
      <c r="GG241" s="137"/>
      <c r="GH241" s="137"/>
      <c r="GI241" s="137"/>
      <c r="GJ241" s="137"/>
      <c r="GK241" s="137"/>
      <c r="GL241" s="143"/>
      <c r="GM241" s="137"/>
      <c r="GN241" s="137"/>
      <c r="GO241" s="137"/>
      <c r="GP241" s="137"/>
      <c r="GQ241" s="137"/>
      <c r="GR241" s="143"/>
      <c r="GS241" s="137"/>
      <c r="GT241" s="137"/>
      <c r="GU241" s="137"/>
      <c r="GV241" s="137"/>
      <c r="GW241" s="137"/>
      <c r="GX241" s="143"/>
      <c r="GY241" s="137"/>
      <c r="GZ241" s="137"/>
      <c r="HA241" s="137"/>
      <c r="HB241" s="137"/>
      <c r="HC241" s="137"/>
      <c r="HD241" s="143"/>
      <c r="HE241" s="137"/>
      <c r="HF241" s="137"/>
      <c r="HG241" s="137"/>
      <c r="HH241" s="137"/>
      <c r="HI241" s="137"/>
      <c r="HJ241" s="143"/>
      <c r="HK241" s="137"/>
      <c r="HL241" s="137"/>
      <c r="HM241" s="137"/>
      <c r="HN241" s="137"/>
      <c r="HO241" s="137"/>
      <c r="HP241" s="143"/>
      <c r="HQ241" s="137"/>
      <c r="HR241" s="137"/>
      <c r="HS241" s="137"/>
      <c r="HT241" s="137"/>
      <c r="HU241" s="137"/>
      <c r="HV241" s="143"/>
      <c r="HW241" s="137"/>
      <c r="HX241" s="137"/>
      <c r="HY241" s="137"/>
      <c r="HZ241" s="137"/>
      <c r="IA241" s="137"/>
      <c r="IB241" s="143"/>
      <c r="IC241" s="137"/>
      <c r="ID241" s="137"/>
      <c r="IE241" s="137"/>
      <c r="IF241" s="137"/>
      <c r="IG241" s="137"/>
      <c r="IH241" s="143"/>
      <c r="II241" s="137"/>
      <c r="IJ241" s="137"/>
      <c r="IK241" s="137"/>
      <c r="IL241" s="137"/>
      <c r="IM241" s="137"/>
      <c r="IN241" s="143"/>
      <c r="IO241" s="137"/>
      <c r="IP241" s="137"/>
      <c r="IQ241" s="137"/>
      <c r="IR241" s="137"/>
      <c r="IS241" s="137"/>
      <c r="IT241" s="143"/>
      <c r="IU241" s="137"/>
      <c r="IV241" s="137"/>
    </row>
    <row r="242" spans="1:256" ht="15.6">
      <c r="A242" s="150"/>
      <c r="B242" s="137"/>
      <c r="C242" s="29"/>
      <c r="D242" s="137"/>
      <c r="E242" s="138"/>
      <c r="F242" s="153"/>
      <c r="G242" s="428"/>
      <c r="H242" s="172"/>
      <c r="I242" s="172"/>
      <c r="J242" s="171"/>
      <c r="K242" s="368" t="s">
        <v>197</v>
      </c>
      <c r="L242" s="171"/>
      <c r="M242" s="171"/>
      <c r="N242" s="171"/>
      <c r="O242" s="171"/>
      <c r="P242" s="171"/>
      <c r="Q242" s="171"/>
      <c r="R242" s="171"/>
      <c r="S242" s="246"/>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7"/>
      <c r="AX242" s="137"/>
      <c r="AY242" s="137"/>
      <c r="AZ242" s="137"/>
      <c r="BA242" s="137"/>
      <c r="BB242" s="137"/>
      <c r="BC242" s="137"/>
      <c r="BD242" s="137"/>
      <c r="BE242" s="137"/>
      <c r="BF242" s="137"/>
      <c r="BG242" s="137"/>
      <c r="BH242" s="137"/>
      <c r="BI242" s="137"/>
      <c r="BJ242" s="137"/>
      <c r="BK242" s="137"/>
      <c r="BL242" s="137"/>
      <c r="BM242" s="137"/>
      <c r="BN242" s="137"/>
      <c r="BO242" s="137"/>
      <c r="BP242" s="143"/>
      <c r="BQ242" s="137"/>
      <c r="BR242" s="137"/>
      <c r="BS242" s="137"/>
      <c r="BT242" s="137"/>
      <c r="BU242" s="137"/>
      <c r="BV242" s="143"/>
      <c r="BW242" s="137"/>
      <c r="BX242" s="137"/>
      <c r="BY242" s="137"/>
      <c r="BZ242" s="137"/>
      <c r="CA242" s="137"/>
      <c r="CB242" s="143"/>
      <c r="CC242" s="137"/>
      <c r="CD242" s="137"/>
      <c r="CE242" s="137"/>
      <c r="CF242" s="137"/>
      <c r="CG242" s="137"/>
      <c r="CH242" s="143"/>
      <c r="CI242" s="137"/>
      <c r="CJ242" s="137"/>
      <c r="CK242" s="137"/>
      <c r="CL242" s="137"/>
      <c r="CM242" s="137"/>
      <c r="CN242" s="143"/>
      <c r="CO242" s="137"/>
      <c r="CP242" s="137"/>
      <c r="CQ242" s="137"/>
      <c r="CR242" s="137"/>
      <c r="CS242" s="137"/>
      <c r="CT242" s="143"/>
      <c r="CU242" s="137"/>
      <c r="CV242" s="137"/>
      <c r="CW242" s="137"/>
      <c r="CX242" s="137"/>
      <c r="CY242" s="137"/>
      <c r="CZ242" s="143"/>
      <c r="DA242" s="137"/>
      <c r="DB242" s="137"/>
      <c r="DC242" s="137"/>
      <c r="DD242" s="137"/>
      <c r="DE242" s="137"/>
      <c r="DF242" s="143"/>
      <c r="DG242" s="137"/>
      <c r="DH242" s="137"/>
      <c r="DI242" s="137"/>
      <c r="DJ242" s="137"/>
      <c r="DK242" s="137"/>
      <c r="DL242" s="143"/>
      <c r="DM242" s="137"/>
      <c r="DN242" s="137"/>
      <c r="DO242" s="137"/>
      <c r="DP242" s="137"/>
      <c r="DQ242" s="137"/>
      <c r="DR242" s="143"/>
      <c r="DS242" s="137"/>
      <c r="DT242" s="137"/>
      <c r="DU242" s="137"/>
      <c r="DV242" s="137"/>
      <c r="DW242" s="137"/>
      <c r="DX242" s="143"/>
      <c r="DY242" s="137"/>
      <c r="DZ242" s="137"/>
      <c r="EA242" s="137"/>
      <c r="EB242" s="137"/>
      <c r="EC242" s="137"/>
      <c r="ED242" s="143"/>
      <c r="EE242" s="137"/>
      <c r="EF242" s="137"/>
      <c r="EG242" s="137"/>
      <c r="EH242" s="137"/>
      <c r="EI242" s="137"/>
      <c r="EJ242" s="143"/>
      <c r="EK242" s="137"/>
      <c r="EL242" s="137"/>
      <c r="EM242" s="137"/>
      <c r="EN242" s="137"/>
      <c r="EO242" s="137"/>
      <c r="EP242" s="143"/>
      <c r="EQ242" s="137"/>
      <c r="ER242" s="137"/>
      <c r="ES242" s="137"/>
      <c r="ET242" s="137"/>
      <c r="EU242" s="137"/>
      <c r="EV242" s="143"/>
      <c r="EW242" s="137"/>
      <c r="EX242" s="137"/>
      <c r="EY242" s="137"/>
      <c r="EZ242" s="137"/>
      <c r="FA242" s="137"/>
      <c r="FB242" s="143"/>
      <c r="FC242" s="137"/>
      <c r="FD242" s="137"/>
      <c r="FE242" s="137"/>
      <c r="FF242" s="137"/>
      <c r="FG242" s="137"/>
      <c r="FH242" s="143"/>
      <c r="FI242" s="137"/>
      <c r="FJ242" s="137"/>
      <c r="FK242" s="137"/>
      <c r="FL242" s="137"/>
      <c r="FM242" s="137"/>
      <c r="FN242" s="143"/>
      <c r="FO242" s="137"/>
      <c r="FP242" s="137"/>
      <c r="FQ242" s="137"/>
      <c r="FR242" s="137"/>
      <c r="FS242" s="137"/>
      <c r="FT242" s="143"/>
      <c r="FU242" s="137"/>
      <c r="FV242" s="137"/>
      <c r="FW242" s="137"/>
      <c r="FX242" s="137"/>
      <c r="FY242" s="137"/>
      <c r="FZ242" s="143"/>
      <c r="GA242" s="137"/>
      <c r="GB242" s="137"/>
      <c r="GC242" s="137"/>
      <c r="GD242" s="137"/>
      <c r="GE242" s="137"/>
      <c r="GF242" s="143"/>
      <c r="GG242" s="137"/>
      <c r="GH242" s="137"/>
      <c r="GI242" s="137"/>
      <c r="GJ242" s="137"/>
      <c r="GK242" s="137"/>
      <c r="GL242" s="143"/>
      <c r="GM242" s="137"/>
      <c r="GN242" s="137"/>
      <c r="GO242" s="137"/>
      <c r="GP242" s="137"/>
      <c r="GQ242" s="137"/>
      <c r="GR242" s="143"/>
      <c r="GS242" s="137"/>
      <c r="GT242" s="137"/>
      <c r="GU242" s="137"/>
      <c r="GV242" s="137"/>
      <c r="GW242" s="137"/>
      <c r="GX242" s="143"/>
      <c r="GY242" s="137"/>
      <c r="GZ242" s="137"/>
      <c r="HA242" s="137"/>
      <c r="HB242" s="137"/>
      <c r="HC242" s="137"/>
      <c r="HD242" s="143"/>
      <c r="HE242" s="137"/>
      <c r="HF242" s="137"/>
      <c r="HG242" s="137"/>
      <c r="HH242" s="137"/>
      <c r="HI242" s="137"/>
      <c r="HJ242" s="143"/>
      <c r="HK242" s="137"/>
      <c r="HL242" s="137"/>
      <c r="HM242" s="137"/>
      <c r="HN242" s="137"/>
      <c r="HO242" s="137"/>
      <c r="HP242" s="143"/>
      <c r="HQ242" s="137"/>
      <c r="HR242" s="137"/>
      <c r="HS242" s="137"/>
      <c r="HT242" s="137"/>
      <c r="HU242" s="137"/>
      <c r="HV242" s="143"/>
      <c r="HW242" s="137"/>
      <c r="HX242" s="137"/>
      <c r="HY242" s="137"/>
      <c r="HZ242" s="137"/>
      <c r="IA242" s="137"/>
      <c r="IB242" s="143"/>
      <c r="IC242" s="137"/>
      <c r="ID242" s="137"/>
      <c r="IE242" s="137"/>
      <c r="IF242" s="137"/>
      <c r="IG242" s="137"/>
      <c r="IH242" s="143"/>
      <c r="II242" s="137"/>
      <c r="IJ242" s="137"/>
      <c r="IK242" s="137"/>
      <c r="IL242" s="137"/>
      <c r="IM242" s="137"/>
      <c r="IN242" s="143"/>
      <c r="IO242" s="137"/>
      <c r="IP242" s="137"/>
      <c r="IQ242" s="137"/>
      <c r="IR242" s="137"/>
      <c r="IS242" s="137"/>
      <c r="IT242" s="143"/>
      <c r="IU242" s="137"/>
      <c r="IV242" s="137"/>
    </row>
    <row r="243" spans="1:256" ht="15.6">
      <c r="A243" s="150"/>
      <c r="B243" s="137"/>
      <c r="C243" s="143"/>
      <c r="D243" s="137"/>
      <c r="E243" s="138"/>
      <c r="F243" s="166"/>
      <c r="G243" s="262"/>
      <c r="H243" s="172"/>
      <c r="I243" s="172"/>
      <c r="J243" s="171"/>
      <c r="K243" s="368" t="s">
        <v>198</v>
      </c>
      <c r="L243" s="171"/>
      <c r="M243" s="171"/>
      <c r="N243" s="171"/>
      <c r="O243" s="171"/>
      <c r="P243" s="171"/>
      <c r="Q243" s="171"/>
      <c r="R243" s="171"/>
      <c r="S243" s="246"/>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7"/>
      <c r="AY243" s="137"/>
      <c r="AZ243" s="137"/>
      <c r="BA243" s="137"/>
      <c r="BB243" s="137"/>
      <c r="BC243" s="137"/>
      <c r="BD243" s="137"/>
      <c r="BE243" s="137"/>
      <c r="BF243" s="137"/>
      <c r="BG243" s="137"/>
      <c r="BH243" s="137"/>
      <c r="BI243" s="137"/>
      <c r="BJ243" s="137"/>
      <c r="BK243" s="137"/>
      <c r="BL243" s="137"/>
      <c r="BM243" s="137"/>
      <c r="BN243" s="137"/>
      <c r="BO243" s="137"/>
      <c r="BP243" s="143"/>
      <c r="BQ243" s="137"/>
      <c r="BR243" s="137"/>
      <c r="BS243" s="137"/>
      <c r="BT243" s="137"/>
      <c r="BU243" s="137"/>
      <c r="BV243" s="143"/>
      <c r="BW243" s="137"/>
      <c r="BX243" s="137"/>
      <c r="BY243" s="137"/>
      <c r="BZ243" s="137"/>
      <c r="CA243" s="137"/>
      <c r="CB243" s="143"/>
      <c r="CC243" s="137"/>
      <c r="CD243" s="137"/>
      <c r="CE243" s="137"/>
      <c r="CF243" s="137"/>
      <c r="CG243" s="137"/>
      <c r="CH243" s="143"/>
      <c r="CI243" s="137"/>
      <c r="CJ243" s="137"/>
      <c r="CK243" s="137"/>
      <c r="CL243" s="137"/>
      <c r="CM243" s="137"/>
      <c r="CN243" s="143"/>
      <c r="CO243" s="137"/>
      <c r="CP243" s="137"/>
      <c r="CQ243" s="137"/>
      <c r="CR243" s="137"/>
      <c r="CS243" s="137"/>
      <c r="CT243" s="143"/>
      <c r="CU243" s="137"/>
      <c r="CV243" s="137"/>
      <c r="CW243" s="137"/>
      <c r="CX243" s="137"/>
      <c r="CY243" s="137"/>
      <c r="CZ243" s="143"/>
      <c r="DA243" s="137"/>
      <c r="DB243" s="137"/>
      <c r="DC243" s="137"/>
      <c r="DD243" s="137"/>
      <c r="DE243" s="137"/>
      <c r="DF243" s="143"/>
      <c r="DG243" s="137"/>
      <c r="DH243" s="137"/>
      <c r="DI243" s="137"/>
      <c r="DJ243" s="137"/>
      <c r="DK243" s="137"/>
      <c r="DL243" s="143"/>
      <c r="DM243" s="137"/>
      <c r="DN243" s="137"/>
      <c r="DO243" s="137"/>
      <c r="DP243" s="137"/>
      <c r="DQ243" s="137"/>
      <c r="DR243" s="143"/>
      <c r="DS243" s="137"/>
      <c r="DT243" s="137"/>
      <c r="DU243" s="137"/>
      <c r="DV243" s="137"/>
      <c r="DW243" s="137"/>
      <c r="DX243" s="143"/>
      <c r="DY243" s="137"/>
      <c r="DZ243" s="137"/>
      <c r="EA243" s="137"/>
      <c r="EB243" s="137"/>
      <c r="EC243" s="137"/>
      <c r="ED243" s="143"/>
      <c r="EE243" s="137"/>
      <c r="EF243" s="137"/>
      <c r="EG243" s="137"/>
      <c r="EH243" s="137"/>
      <c r="EI243" s="137"/>
      <c r="EJ243" s="143"/>
      <c r="EK243" s="137"/>
      <c r="EL243" s="137"/>
      <c r="EM243" s="137"/>
      <c r="EN243" s="137"/>
      <c r="EO243" s="137"/>
      <c r="EP243" s="143"/>
      <c r="EQ243" s="137"/>
      <c r="ER243" s="137"/>
      <c r="ES243" s="137"/>
      <c r="ET243" s="137"/>
      <c r="EU243" s="137"/>
      <c r="EV243" s="143"/>
      <c r="EW243" s="137"/>
      <c r="EX243" s="137"/>
      <c r="EY243" s="137"/>
      <c r="EZ243" s="137"/>
      <c r="FA243" s="137"/>
      <c r="FB243" s="143"/>
      <c r="FC243" s="137"/>
      <c r="FD243" s="137"/>
      <c r="FE243" s="137"/>
      <c r="FF243" s="137"/>
      <c r="FG243" s="137"/>
      <c r="FH243" s="143"/>
      <c r="FI243" s="137"/>
      <c r="FJ243" s="137"/>
      <c r="FK243" s="137"/>
      <c r="FL243" s="137"/>
      <c r="FM243" s="137"/>
      <c r="FN243" s="143"/>
      <c r="FO243" s="137"/>
      <c r="FP243" s="137"/>
      <c r="FQ243" s="137"/>
      <c r="FR243" s="137"/>
      <c r="FS243" s="137"/>
      <c r="FT243" s="143"/>
      <c r="FU243" s="137"/>
      <c r="FV243" s="137"/>
      <c r="FW243" s="137"/>
      <c r="FX243" s="137"/>
      <c r="FY243" s="137"/>
      <c r="FZ243" s="143"/>
      <c r="GA243" s="137"/>
      <c r="GB243" s="137"/>
      <c r="GC243" s="137"/>
      <c r="GD243" s="137"/>
      <c r="GE243" s="137"/>
      <c r="GF243" s="143"/>
      <c r="GG243" s="137"/>
      <c r="GH243" s="137"/>
      <c r="GI243" s="137"/>
      <c r="GJ243" s="137"/>
      <c r="GK243" s="137"/>
      <c r="GL243" s="143"/>
      <c r="GM243" s="137"/>
      <c r="GN243" s="137"/>
      <c r="GO243" s="137"/>
      <c r="GP243" s="137"/>
      <c r="GQ243" s="137"/>
      <c r="GR243" s="143"/>
      <c r="GS243" s="137"/>
      <c r="GT243" s="137"/>
      <c r="GU243" s="137"/>
      <c r="GV243" s="137"/>
      <c r="GW243" s="137"/>
      <c r="GX243" s="143"/>
      <c r="GY243" s="137"/>
      <c r="GZ243" s="137"/>
      <c r="HA243" s="137"/>
      <c r="HB243" s="137"/>
      <c r="HC243" s="137"/>
      <c r="HD243" s="143"/>
      <c r="HE243" s="137"/>
      <c r="HF243" s="137"/>
      <c r="HG243" s="137"/>
      <c r="HH243" s="137"/>
      <c r="HI243" s="137"/>
      <c r="HJ243" s="143"/>
      <c r="HK243" s="137"/>
      <c r="HL243" s="137"/>
      <c r="HM243" s="137"/>
      <c r="HN243" s="137"/>
      <c r="HO243" s="137"/>
      <c r="HP243" s="143"/>
      <c r="HQ243" s="137"/>
      <c r="HR243" s="137"/>
      <c r="HS243" s="137"/>
      <c r="HT243" s="137"/>
      <c r="HU243" s="137"/>
      <c r="HV243" s="143"/>
      <c r="HW243" s="137"/>
      <c r="HX243" s="137"/>
      <c r="HY243" s="137"/>
      <c r="HZ243" s="137"/>
      <c r="IA243" s="137"/>
      <c r="IB243" s="143"/>
      <c r="IC243" s="137"/>
      <c r="ID243" s="137"/>
      <c r="IE243" s="137"/>
      <c r="IF243" s="137"/>
      <c r="IG243" s="137"/>
      <c r="IH243" s="143"/>
      <c r="II243" s="137"/>
      <c r="IJ243" s="137"/>
      <c r="IK243" s="137"/>
      <c r="IL243" s="137"/>
      <c r="IM243" s="137"/>
      <c r="IN243" s="143"/>
      <c r="IO243" s="137"/>
      <c r="IP243" s="137"/>
      <c r="IQ243" s="137"/>
      <c r="IR243" s="137"/>
      <c r="IS243" s="137"/>
      <c r="IT243" s="143"/>
      <c r="IU243" s="137"/>
      <c r="IV243" s="137"/>
    </row>
    <row r="244" spans="1:256" ht="16.2" thickBot="1">
      <c r="A244" s="156"/>
      <c r="B244" s="157"/>
      <c r="C244" s="157"/>
      <c r="D244" s="157"/>
      <c r="E244" s="162"/>
      <c r="F244" s="167"/>
      <c r="G244" s="173"/>
      <c r="H244" s="169"/>
      <c r="I244" s="169"/>
      <c r="J244" s="169"/>
      <c r="K244" s="169"/>
      <c r="L244" s="177"/>
      <c r="M244" s="177"/>
      <c r="N244" s="169"/>
      <c r="O244" s="169"/>
      <c r="P244" s="169"/>
      <c r="Q244" s="169"/>
      <c r="R244" s="169"/>
      <c r="S244" s="174"/>
      <c r="T244" s="137"/>
      <c r="U244" s="137"/>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c r="AU244" s="137"/>
      <c r="AV244" s="137"/>
      <c r="AW244" s="137"/>
      <c r="AX244" s="137"/>
      <c r="AY244" s="137"/>
      <c r="AZ244" s="137"/>
      <c r="BA244" s="137"/>
      <c r="BB244" s="137"/>
      <c r="BC244" s="137"/>
      <c r="BD244" s="137"/>
      <c r="BE244" s="137"/>
      <c r="BF244" s="137"/>
      <c r="BG244" s="137"/>
      <c r="BH244" s="137"/>
      <c r="BI244" s="137"/>
      <c r="BJ244" s="137"/>
      <c r="BK244" s="137"/>
      <c r="BL244" s="137"/>
      <c r="BM244" s="137"/>
      <c r="BN244" s="137"/>
      <c r="BO244" s="137"/>
      <c r="BP244" s="143"/>
      <c r="BQ244" s="137"/>
      <c r="BR244" s="137"/>
      <c r="BS244" s="137"/>
      <c r="BT244" s="137"/>
      <c r="BU244" s="137"/>
      <c r="BV244" s="143"/>
      <c r="BW244" s="137"/>
      <c r="BX244" s="137"/>
      <c r="BY244" s="137"/>
      <c r="BZ244" s="137"/>
      <c r="CA244" s="137"/>
      <c r="CB244" s="143"/>
      <c r="CC244" s="137"/>
      <c r="CD244" s="137"/>
      <c r="CE244" s="137"/>
      <c r="CF244" s="137"/>
      <c r="CG244" s="137"/>
      <c r="CH244" s="143"/>
      <c r="CI244" s="137"/>
      <c r="CJ244" s="137"/>
      <c r="CK244" s="137"/>
      <c r="CL244" s="137"/>
      <c r="CM244" s="137"/>
      <c r="CN244" s="143"/>
      <c r="CO244" s="137"/>
      <c r="CP244" s="137"/>
      <c r="CQ244" s="137"/>
      <c r="CR244" s="137"/>
      <c r="CS244" s="137"/>
      <c r="CT244" s="143"/>
      <c r="CU244" s="137"/>
      <c r="CV244" s="137"/>
      <c r="CW244" s="137"/>
      <c r="CX244" s="137"/>
      <c r="CY244" s="137"/>
      <c r="CZ244" s="143"/>
      <c r="DA244" s="137"/>
      <c r="DB244" s="137"/>
      <c r="DC244" s="137"/>
      <c r="DD244" s="137"/>
      <c r="DE244" s="137"/>
      <c r="DF244" s="143"/>
      <c r="DG244" s="137"/>
      <c r="DH244" s="137"/>
      <c r="DI244" s="137"/>
      <c r="DJ244" s="137"/>
      <c r="DK244" s="137"/>
      <c r="DL244" s="143"/>
      <c r="DM244" s="137"/>
      <c r="DN244" s="137"/>
      <c r="DO244" s="137"/>
      <c r="DP244" s="137"/>
      <c r="DQ244" s="137"/>
      <c r="DR244" s="143"/>
      <c r="DS244" s="137"/>
      <c r="DT244" s="137"/>
      <c r="DU244" s="137"/>
      <c r="DV244" s="137"/>
      <c r="DW244" s="137"/>
      <c r="DX244" s="143"/>
      <c r="DY244" s="137"/>
      <c r="DZ244" s="137"/>
      <c r="EA244" s="137"/>
      <c r="EB244" s="137"/>
      <c r="EC244" s="137"/>
      <c r="ED244" s="143"/>
      <c r="EE244" s="137"/>
      <c r="EF244" s="137"/>
      <c r="EG244" s="137"/>
      <c r="EH244" s="137"/>
      <c r="EI244" s="137"/>
      <c r="EJ244" s="143"/>
      <c r="EK244" s="137"/>
      <c r="EL244" s="137"/>
      <c r="EM244" s="137"/>
      <c r="EN244" s="137"/>
      <c r="EO244" s="137"/>
      <c r="EP244" s="143"/>
      <c r="EQ244" s="137"/>
      <c r="ER244" s="137"/>
      <c r="ES244" s="137"/>
      <c r="ET244" s="137"/>
      <c r="EU244" s="137"/>
      <c r="EV244" s="143"/>
      <c r="EW244" s="137"/>
      <c r="EX244" s="137"/>
      <c r="EY244" s="137"/>
      <c r="EZ244" s="137"/>
      <c r="FA244" s="137"/>
      <c r="FB244" s="143"/>
      <c r="FC244" s="137"/>
      <c r="FD244" s="137"/>
      <c r="FE244" s="137"/>
      <c r="FF244" s="137"/>
      <c r="FG244" s="137"/>
      <c r="FH244" s="143"/>
      <c r="FI244" s="137"/>
      <c r="FJ244" s="137"/>
      <c r="FK244" s="137"/>
      <c r="FL244" s="137"/>
      <c r="FM244" s="137"/>
      <c r="FN244" s="143"/>
      <c r="FO244" s="137"/>
      <c r="FP244" s="137"/>
      <c r="FQ244" s="137"/>
      <c r="FR244" s="137"/>
      <c r="FS244" s="137"/>
      <c r="FT244" s="143"/>
      <c r="FU244" s="137"/>
      <c r="FV244" s="137"/>
      <c r="FW244" s="137"/>
      <c r="FX244" s="137"/>
      <c r="FY244" s="137"/>
      <c r="FZ244" s="143"/>
      <c r="GA244" s="137"/>
      <c r="GB244" s="137"/>
      <c r="GC244" s="137"/>
      <c r="GD244" s="137"/>
      <c r="GE244" s="137"/>
      <c r="GF244" s="143"/>
      <c r="GG244" s="137"/>
      <c r="GH244" s="137"/>
      <c r="GI244" s="137"/>
      <c r="GJ244" s="137"/>
      <c r="GK244" s="137"/>
      <c r="GL244" s="143"/>
      <c r="GM244" s="137"/>
      <c r="GN244" s="137"/>
      <c r="GO244" s="137"/>
      <c r="GP244" s="137"/>
      <c r="GQ244" s="137"/>
      <c r="GR244" s="143"/>
      <c r="GS244" s="137"/>
      <c r="GT244" s="137"/>
      <c r="GU244" s="137"/>
      <c r="GV244" s="137"/>
      <c r="GW244" s="137"/>
      <c r="GX244" s="143"/>
      <c r="GY244" s="137"/>
      <c r="GZ244" s="137"/>
      <c r="HA244" s="137"/>
      <c r="HB244" s="137"/>
      <c r="HC244" s="137"/>
      <c r="HD244" s="143"/>
      <c r="HE244" s="137"/>
      <c r="HF244" s="137"/>
      <c r="HG244" s="137"/>
      <c r="HH244" s="137"/>
      <c r="HI244" s="137"/>
      <c r="HJ244" s="143"/>
      <c r="HK244" s="137"/>
      <c r="HL244" s="137"/>
      <c r="HM244" s="137"/>
      <c r="HN244" s="137"/>
      <c r="HO244" s="137"/>
      <c r="HP244" s="143"/>
      <c r="HQ244" s="137"/>
      <c r="HR244" s="137"/>
      <c r="HS244" s="137"/>
      <c r="HT244" s="137"/>
      <c r="HU244" s="137"/>
      <c r="HV244" s="143"/>
      <c r="HW244" s="137"/>
      <c r="HX244" s="137"/>
      <c r="HY244" s="137"/>
      <c r="HZ244" s="137"/>
      <c r="IA244" s="137"/>
      <c r="IB244" s="143"/>
      <c r="IC244" s="137"/>
      <c r="ID244" s="137"/>
      <c r="IE244" s="137"/>
      <c r="IF244" s="137"/>
      <c r="IG244" s="137"/>
      <c r="IH244" s="143"/>
      <c r="II244" s="137"/>
      <c r="IJ244" s="137"/>
      <c r="IK244" s="137"/>
      <c r="IL244" s="137"/>
      <c r="IM244" s="137"/>
      <c r="IN244" s="143"/>
      <c r="IO244" s="137"/>
      <c r="IP244" s="137"/>
      <c r="IQ244" s="137"/>
      <c r="IR244" s="137"/>
      <c r="IS244" s="137"/>
      <c r="IT244" s="143"/>
      <c r="IU244" s="137"/>
      <c r="IV244" s="137"/>
    </row>
    <row r="245" spans="1:19" ht="15.6">
      <c r="A245" s="150"/>
      <c r="B245" s="140" t="s">
        <v>550</v>
      </c>
      <c r="C245" s="95"/>
      <c r="D245" s="95"/>
      <c r="E245" s="137"/>
      <c r="F245" s="151"/>
      <c r="G245" s="116"/>
      <c r="H245" s="116"/>
      <c r="I245" s="116"/>
      <c r="J245" s="116"/>
      <c r="K245" s="116"/>
      <c r="L245" s="116"/>
      <c r="M245" s="116"/>
      <c r="N245" s="116"/>
      <c r="O245" s="116"/>
      <c r="P245" s="116"/>
      <c r="Q245" s="116"/>
      <c r="R245" s="116"/>
      <c r="S245" s="168"/>
    </row>
    <row r="246" spans="1:19" ht="16.2" thickBot="1">
      <c r="A246" s="156">
        <v>149</v>
      </c>
      <c r="B246" s="157"/>
      <c r="C246" s="161" t="s">
        <v>359</v>
      </c>
      <c r="D246" s="158"/>
      <c r="E246" s="157"/>
      <c r="F246" s="157"/>
      <c r="G246" s="254">
        <v>0</v>
      </c>
      <c r="H246" s="1780"/>
      <c r="I246" s="1780"/>
      <c r="J246" s="1754"/>
      <c r="K246" s="1754"/>
      <c r="L246" s="1754"/>
      <c r="M246" s="1754"/>
      <c r="N246" s="1754"/>
      <c r="O246" s="1754"/>
      <c r="P246" s="1754"/>
      <c r="Q246" s="1754"/>
      <c r="R246" s="1754"/>
      <c r="S246" s="1755"/>
    </row>
    <row r="247" spans="1:19" ht="15.6">
      <c r="A247" s="137"/>
      <c r="B247" s="137"/>
      <c r="C247" s="137"/>
      <c r="D247" s="137"/>
      <c r="E247" s="138"/>
      <c r="F247" s="137"/>
      <c r="G247" s="116"/>
      <c r="H247" s="116"/>
      <c r="I247" s="116"/>
      <c r="J247" s="116"/>
      <c r="K247" s="116"/>
      <c r="L247" s="117"/>
      <c r="M247" s="117"/>
      <c r="N247" s="116"/>
      <c r="O247" s="116"/>
      <c r="P247" s="116"/>
      <c r="Q247" s="116"/>
      <c r="R247" s="116"/>
      <c r="S247" s="116"/>
    </row>
    <row r="248" spans="1:25" ht="21.6" thickBot="1">
      <c r="A248" s="159" t="s">
        <v>915</v>
      </c>
      <c r="G248" s="116"/>
      <c r="H248" s="116"/>
      <c r="I248" s="116"/>
      <c r="J248" s="116"/>
      <c r="K248" s="116"/>
      <c r="L248" s="116"/>
      <c r="M248" s="116"/>
      <c r="N248" s="116"/>
      <c r="O248" s="116"/>
      <c r="P248" s="116"/>
      <c r="Q248" s="116"/>
      <c r="R248" s="116"/>
      <c r="S248" s="116"/>
      <c r="U248" s="129"/>
      <c r="V248" s="129"/>
      <c r="W248" s="129"/>
      <c r="X248" s="129"/>
      <c r="Y248" s="129"/>
    </row>
    <row r="249" spans="1:68" ht="17.4">
      <c r="A249" s="178"/>
      <c r="B249" s="179"/>
      <c r="C249" s="185"/>
      <c r="D249" s="185"/>
      <c r="E249" s="185"/>
      <c r="F249" s="185"/>
      <c r="G249" s="1778"/>
      <c r="H249" s="1779"/>
      <c r="I249" s="378"/>
      <c r="J249" s="1778"/>
      <c r="K249" s="1779"/>
      <c r="L249" s="1778"/>
      <c r="M249" s="1778"/>
      <c r="N249" s="1779"/>
      <c r="O249" s="181"/>
      <c r="P249" s="181"/>
      <c r="Q249" s="181"/>
      <c r="R249" s="181"/>
      <c r="S249" s="181"/>
      <c r="T249" s="614"/>
      <c r="U249" s="614"/>
      <c r="V249" s="614"/>
      <c r="W249" s="614"/>
      <c r="X249" s="614"/>
      <c r="Y249" s="614"/>
      <c r="Z249" s="614"/>
      <c r="AA249" s="614"/>
      <c r="AB249" s="614"/>
      <c r="AC249" s="614"/>
      <c r="AD249" s="614"/>
      <c r="AE249" s="614"/>
      <c r="AF249" s="614"/>
      <c r="AG249" s="614"/>
      <c r="AH249" s="614"/>
      <c r="AI249" s="614"/>
      <c r="AJ249" s="614"/>
      <c r="AK249" s="614"/>
      <c r="AL249" s="614"/>
      <c r="AM249" s="614"/>
      <c r="AN249" s="614"/>
      <c r="AO249" s="614"/>
      <c r="AP249" s="614"/>
      <c r="AQ249" s="614"/>
      <c r="AR249" s="614"/>
      <c r="AS249" s="614"/>
      <c r="AT249" s="614"/>
      <c r="AU249" s="614"/>
      <c r="AV249" s="614"/>
      <c r="AW249" s="614"/>
      <c r="AX249" s="614"/>
      <c r="AY249" s="614"/>
      <c r="AZ249" s="614"/>
      <c r="BA249" s="614"/>
      <c r="BB249" s="614"/>
      <c r="BC249" s="614"/>
      <c r="BD249" s="614"/>
      <c r="BE249" s="614"/>
      <c r="BF249" s="614"/>
      <c r="BG249" s="614"/>
      <c r="BH249" s="614"/>
      <c r="BI249" s="614"/>
      <c r="BJ249" s="614"/>
      <c r="BK249" s="614"/>
      <c r="BL249" s="614"/>
      <c r="BM249" s="614"/>
      <c r="BN249" s="614"/>
      <c r="BO249" s="614"/>
      <c r="BP249" s="987"/>
    </row>
    <row r="250" spans="1:46" ht="16.2" thickBot="1">
      <c r="A250" s="156"/>
      <c r="B250" s="661"/>
      <c r="C250" s="129"/>
      <c r="D250" s="129"/>
      <c r="E250" s="129"/>
      <c r="F250" s="129"/>
      <c r="G250" s="129"/>
      <c r="H250" s="129"/>
      <c r="I250" s="662" t="s">
        <v>887</v>
      </c>
      <c r="J250" s="662" t="s">
        <v>11</v>
      </c>
      <c r="K250" s="129"/>
      <c r="L250" s="129"/>
      <c r="M250" s="129"/>
      <c r="N250" s="129"/>
      <c r="O250" s="129"/>
      <c r="P250" s="169"/>
      <c r="Q250" s="169"/>
      <c r="R250" s="169"/>
      <c r="S250" s="169"/>
      <c r="T250" s="129"/>
      <c r="U250" s="129"/>
      <c r="V250" s="129"/>
      <c r="W250" s="129"/>
      <c r="X250" s="129"/>
      <c r="Y250" s="129"/>
      <c r="AB250" s="129"/>
      <c r="AC250" s="1376"/>
      <c r="AT250" s="129"/>
    </row>
    <row r="251" spans="1:69" ht="16.5" customHeight="1" thickBot="1">
      <c r="A251" s="150"/>
      <c r="B251" s="140"/>
      <c r="F251" s="122"/>
      <c r="G251" s="20"/>
      <c r="H251" s="525" t="s">
        <v>12</v>
      </c>
      <c r="I251" s="363" t="s">
        <v>13</v>
      </c>
      <c r="J251" s="19" t="s">
        <v>14</v>
      </c>
      <c r="K251" s="1377"/>
      <c r="L251" s="1249"/>
      <c r="M251" s="1249"/>
      <c r="N251" s="1249"/>
      <c r="O251" s="1249"/>
      <c r="P251" s="1249"/>
      <c r="Q251" s="1249"/>
      <c r="R251" s="1249"/>
      <c r="S251" s="1249"/>
      <c r="T251" s="1249"/>
      <c r="U251" s="1249"/>
      <c r="V251" s="1249"/>
      <c r="W251" s="1249"/>
      <c r="X251" s="1249"/>
      <c r="Y251" s="1249"/>
      <c r="Z251" s="1249"/>
      <c r="AA251" s="1249"/>
      <c r="AB251" s="1249"/>
      <c r="AC251" s="1378" t="s">
        <v>400</v>
      </c>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379"/>
      <c r="BQ251" s="1379"/>
    </row>
    <row r="252" spans="1:85" ht="45.75" customHeight="1" thickBot="1">
      <c r="A252" s="150"/>
      <c r="B252" s="140"/>
      <c r="C252" s="48" t="s">
        <v>15</v>
      </c>
      <c r="D252" s="20"/>
      <c r="E252" s="29"/>
      <c r="F252" s="247" t="s">
        <v>803</v>
      </c>
      <c r="G252" s="20"/>
      <c r="H252" s="525" t="s">
        <v>16</v>
      </c>
      <c r="I252" s="363" t="s">
        <v>17</v>
      </c>
      <c r="J252" s="19" t="s">
        <v>17</v>
      </c>
      <c r="K252" s="451" t="s">
        <v>664</v>
      </c>
      <c r="L252" s="452" t="s">
        <v>398</v>
      </c>
      <c r="M252" s="452" t="s">
        <v>31</v>
      </c>
      <c r="N252" s="590" t="s">
        <v>139</v>
      </c>
      <c r="O252" s="452" t="s">
        <v>321</v>
      </c>
      <c r="P252" s="1309" t="s">
        <v>908</v>
      </c>
      <c r="Q252" s="1309" t="s">
        <v>942</v>
      </c>
      <c r="R252" s="1309" t="s">
        <v>909</v>
      </c>
      <c r="S252" s="1380" t="s">
        <v>829</v>
      </c>
      <c r="T252" s="1380" t="s">
        <v>74</v>
      </c>
      <c r="U252" s="1309" t="s">
        <v>830</v>
      </c>
      <c r="V252" s="1309" t="s">
        <v>339</v>
      </c>
      <c r="W252" s="1309" t="s">
        <v>961</v>
      </c>
      <c r="X252" s="1309" t="s">
        <v>956</v>
      </c>
      <c r="Y252" s="1309" t="s">
        <v>957</v>
      </c>
      <c r="Z252" s="1309" t="s">
        <v>966</v>
      </c>
      <c r="AA252" s="1309" t="s">
        <v>949</v>
      </c>
      <c r="AB252" s="1309" t="s">
        <v>950</v>
      </c>
      <c r="AC252" s="1309" t="s">
        <v>967</v>
      </c>
      <c r="AD252" s="1309" t="s">
        <v>968</v>
      </c>
      <c r="AE252" s="1309" t="s">
        <v>972</v>
      </c>
      <c r="AF252" s="1309" t="s">
        <v>973</v>
      </c>
      <c r="AG252" s="1309" t="s">
        <v>974</v>
      </c>
      <c r="AH252" s="1309" t="s">
        <v>975</v>
      </c>
      <c r="AI252" s="1309" t="s">
        <v>995</v>
      </c>
      <c r="AJ252" s="1309" t="s">
        <v>977</v>
      </c>
      <c r="AK252" s="1309" t="s">
        <v>978</v>
      </c>
      <c r="AL252" s="1309" t="s">
        <v>979</v>
      </c>
      <c r="AM252" s="1309" t="s">
        <v>980</v>
      </c>
      <c r="AN252" s="1309" t="s">
        <v>981</v>
      </c>
      <c r="AO252" s="1309" t="s">
        <v>982</v>
      </c>
      <c r="AP252" s="1309" t="s">
        <v>983</v>
      </c>
      <c r="AQ252" s="1309" t="s">
        <v>984</v>
      </c>
      <c r="AR252" s="1309" t="s">
        <v>985</v>
      </c>
      <c r="AS252" s="1309" t="s">
        <v>986</v>
      </c>
      <c r="AT252" s="1309" t="s">
        <v>998</v>
      </c>
      <c r="AU252" s="1309" t="s">
        <v>1001</v>
      </c>
      <c r="AV252" s="1309" t="s">
        <v>1008</v>
      </c>
      <c r="AW252" s="1309" t="s">
        <v>1009</v>
      </c>
      <c r="AX252" s="1309" t="s">
        <v>1002</v>
      </c>
      <c r="AY252" s="1309" t="s">
        <v>1003</v>
      </c>
      <c r="AZ252" s="1309" t="s">
        <v>1010</v>
      </c>
      <c r="BA252" s="1309" t="s">
        <v>1004</v>
      </c>
      <c r="BB252" s="1309" t="s">
        <v>1011</v>
      </c>
      <c r="BC252" s="1309" t="s">
        <v>990</v>
      </c>
      <c r="BD252" s="1309" t="s">
        <v>1005</v>
      </c>
      <c r="BE252" s="1309" t="s">
        <v>1006</v>
      </c>
      <c r="BF252" s="1309" t="s">
        <v>988</v>
      </c>
      <c r="BG252" s="1309" t="s">
        <v>1007</v>
      </c>
      <c r="BH252" s="1309" t="s">
        <v>1037</v>
      </c>
      <c r="BI252" s="1309" t="s">
        <v>1038</v>
      </c>
      <c r="BJ252" s="1309" t="s">
        <v>1039</v>
      </c>
      <c r="BK252" s="1309" t="s">
        <v>1040</v>
      </c>
      <c r="BL252" s="1309" t="s">
        <v>1041</v>
      </c>
      <c r="BM252" s="1309" t="s">
        <v>1194</v>
      </c>
      <c r="BN252" s="1309" t="s">
        <v>1046</v>
      </c>
      <c r="BO252" s="1381" t="s">
        <v>1045</v>
      </c>
      <c r="BP252" s="1381" t="s">
        <v>1052</v>
      </c>
      <c r="BQ252" s="1382" t="s">
        <v>524</v>
      </c>
      <c r="BR252" s="1246"/>
      <c r="BS252" s="1246"/>
      <c r="BT252" s="1246"/>
      <c r="BU252" s="1246"/>
      <c r="BV252" s="1246"/>
      <c r="BW252" s="1246"/>
      <c r="BX252" s="1246"/>
      <c r="BY252" s="1246"/>
      <c r="BZ252" s="1246"/>
      <c r="CA252" s="1246"/>
      <c r="CB252" s="1246"/>
      <c r="CC252" s="1246"/>
      <c r="CD252" s="1246"/>
      <c r="CE252" s="1246"/>
      <c r="CF252" s="1246"/>
      <c r="CG252" s="1246"/>
    </row>
    <row r="253" spans="1:85" ht="15.6">
      <c r="A253" s="150"/>
      <c r="B253" s="140"/>
      <c r="C253" s="48"/>
      <c r="D253" s="20"/>
      <c r="E253" s="29"/>
      <c r="K253" s="841"/>
      <c r="L253" s="842"/>
      <c r="M253" s="842"/>
      <c r="N253" s="843"/>
      <c r="O253" s="843"/>
      <c r="P253" s="1383"/>
      <c r="Q253" s="844"/>
      <c r="R253" s="1383"/>
      <c r="S253" s="1383"/>
      <c r="T253" s="1384"/>
      <c r="U253" s="1383"/>
      <c r="V253" s="1384"/>
      <c r="W253" s="1384"/>
      <c r="X253" s="1384"/>
      <c r="Y253" s="1384"/>
      <c r="Z253" s="1384"/>
      <c r="AA253" s="1384"/>
      <c r="AB253" s="1384"/>
      <c r="AC253" s="1384"/>
      <c r="AD253" s="1384"/>
      <c r="AE253" s="1384"/>
      <c r="AF253" s="1384"/>
      <c r="AG253" s="1384"/>
      <c r="AH253" s="1384"/>
      <c r="AI253" s="1384"/>
      <c r="AJ253" s="1384"/>
      <c r="AK253" s="1384"/>
      <c r="AL253" s="1384"/>
      <c r="AM253" s="1384"/>
      <c r="AN253" s="1384"/>
      <c r="AO253" s="1384"/>
      <c r="AP253" s="1384"/>
      <c r="AQ253" s="1384"/>
      <c r="AR253" s="1384"/>
      <c r="AS253" s="1384"/>
      <c r="AT253" s="1385"/>
      <c r="AU253" s="1385"/>
      <c r="AV253" s="1385"/>
      <c r="AW253" s="1385"/>
      <c r="AX253" s="1385"/>
      <c r="AY253" s="1385"/>
      <c r="AZ253" s="1385"/>
      <c r="BA253" s="1385"/>
      <c r="BB253" s="1385"/>
      <c r="BC253" s="1385"/>
      <c r="BD253" s="1385"/>
      <c r="BE253" s="1385"/>
      <c r="BF253" s="1385"/>
      <c r="BG253" s="1385"/>
      <c r="BH253" s="1385"/>
      <c r="BI253" s="1385"/>
      <c r="BJ253" s="1385"/>
      <c r="BK253" s="1385"/>
      <c r="BL253" s="1385"/>
      <c r="BM253" s="1385"/>
      <c r="BN253" s="1385"/>
      <c r="BO253" s="1386"/>
      <c r="BP253" s="1386"/>
      <c r="BQ253" s="1387">
        <f t="shared" si="8" ref="BQ253:BQ272">SUM(K253:BP253)</f>
        <v>0</v>
      </c>
      <c r="BR253" s="1332"/>
      <c r="BS253" s="1332"/>
      <c r="BT253" s="1332"/>
      <c r="BU253" s="1332"/>
      <c r="BV253" s="1332"/>
      <c r="BW253" s="1332"/>
      <c r="BX253" s="1332"/>
      <c r="BY253" s="1332"/>
      <c r="BZ253" s="1332"/>
      <c r="CA253" s="1332"/>
      <c r="CB253" s="1332"/>
      <c r="CC253" s="1332"/>
      <c r="CD253" s="1332"/>
      <c r="CE253" s="1332"/>
      <c r="CF253" s="1332"/>
      <c r="CG253" s="1332"/>
    </row>
    <row r="254" spans="1:85" ht="15.6">
      <c r="A254" s="150"/>
      <c r="B254" s="140"/>
      <c r="C254" s="29">
        <v>350.20</v>
      </c>
      <c r="D254" s="29" t="s">
        <v>18</v>
      </c>
      <c r="E254" s="879"/>
      <c r="F254" s="122">
        <v>70</v>
      </c>
      <c r="G254" s="19" t="s">
        <v>19</v>
      </c>
      <c r="H254" s="362" t="s">
        <v>20</v>
      </c>
      <c r="I254" s="363">
        <v>0</v>
      </c>
      <c r="J254" s="364">
        <f>100/F254</f>
        <v>1.4285714285714286</v>
      </c>
      <c r="K254" s="828"/>
      <c r="L254" s="828"/>
      <c r="M254" s="828">
        <v>2618808.7299999995</v>
      </c>
      <c r="N254" s="828"/>
      <c r="O254" s="828"/>
      <c r="P254" s="828"/>
      <c r="Q254" s="828"/>
      <c r="R254" s="828"/>
      <c r="S254" s="828"/>
      <c r="T254" s="828"/>
      <c r="U254" s="828"/>
      <c r="V254" s="828"/>
      <c r="W254" s="828"/>
      <c r="X254" s="828"/>
      <c r="Y254" s="828"/>
      <c r="Z254" s="828">
        <v>298.20999999999998</v>
      </c>
      <c r="AA254" s="828"/>
      <c r="AB254" s="828"/>
      <c r="AC254" s="828"/>
      <c r="AD254" s="828"/>
      <c r="AE254" s="828"/>
      <c r="AF254" s="828">
        <v>2665.04</v>
      </c>
      <c r="AG254" s="828"/>
      <c r="AH254" s="828"/>
      <c r="AI254" s="828"/>
      <c r="AJ254" s="828"/>
      <c r="AK254" s="828"/>
      <c r="AL254" s="828"/>
      <c r="AM254" s="828"/>
      <c r="AN254" s="828"/>
      <c r="AO254" s="828"/>
      <c r="AP254" s="828"/>
      <c r="AQ254" s="828"/>
      <c r="AR254" s="828"/>
      <c r="AS254" s="828"/>
      <c r="AT254" s="828"/>
      <c r="AU254" s="828"/>
      <c r="AV254" s="828"/>
      <c r="AW254" s="828"/>
      <c r="AX254" s="828"/>
      <c r="AY254" s="828"/>
      <c r="AZ254" s="828"/>
      <c r="BA254" s="828"/>
      <c r="BB254" s="828"/>
      <c r="BC254" s="828"/>
      <c r="BD254" s="828"/>
      <c r="BE254" s="828"/>
      <c r="BF254" s="828"/>
      <c r="BG254" s="828"/>
      <c r="BH254" s="828"/>
      <c r="BI254" s="828"/>
      <c r="BJ254" s="828"/>
      <c r="BK254" s="828"/>
      <c r="BL254" s="828"/>
      <c r="BM254" s="828"/>
      <c r="BN254" s="828"/>
      <c r="BO254" s="828"/>
      <c r="BP254" s="828"/>
      <c r="BQ254" s="1387">
        <f t="shared" si="8"/>
        <v>2621771.9799999995</v>
      </c>
      <c r="BR254" s="1388"/>
      <c r="BS254" s="1388"/>
      <c r="BT254" s="1388"/>
      <c r="BU254" s="1388"/>
      <c r="BV254" s="1388"/>
      <c r="BW254" s="1388"/>
      <c r="BX254" s="1388"/>
      <c r="BY254" s="1388"/>
      <c r="BZ254" s="1388"/>
      <c r="CA254" s="1388"/>
      <c r="CB254" s="1388"/>
      <c r="CC254" s="1388"/>
      <c r="CD254" s="1388"/>
      <c r="CE254" s="1388"/>
      <c r="CF254" s="1388"/>
      <c r="CG254" s="1388"/>
    </row>
    <row r="255" spans="1:85" ht="15.6">
      <c r="A255" s="150"/>
      <c r="B255" s="140"/>
      <c r="C255" s="29">
        <v>352</v>
      </c>
      <c r="D255" s="29" t="s">
        <v>21</v>
      </c>
      <c r="E255" s="879"/>
      <c r="F255" s="122">
        <v>50</v>
      </c>
      <c r="G255" s="19" t="s">
        <v>19</v>
      </c>
      <c r="H255" s="362" t="s">
        <v>22</v>
      </c>
      <c r="I255" s="363">
        <v>-10</v>
      </c>
      <c r="J255" s="364">
        <f>(100-I255)/F255</f>
        <v>2.2000000000000002</v>
      </c>
      <c r="K255" s="828">
        <v>17836</v>
      </c>
      <c r="L255" s="828"/>
      <c r="M255" s="828">
        <v>1229025.49</v>
      </c>
      <c r="N255" s="828">
        <v>1423.68</v>
      </c>
      <c r="O255" s="828"/>
      <c r="P255" s="828"/>
      <c r="Q255" s="828"/>
      <c r="R255" s="828"/>
      <c r="S255" s="828"/>
      <c r="T255" s="828"/>
      <c r="U255" s="828"/>
      <c r="V255" s="828">
        <v>1440.72</v>
      </c>
      <c r="W255" s="828">
        <v>280.35000000000002</v>
      </c>
      <c r="X255" s="828"/>
      <c r="Y255" s="828">
        <v>14908.20</v>
      </c>
      <c r="Z255" s="828">
        <v>2504.04</v>
      </c>
      <c r="AA255" s="828">
        <v>1253.8699999999999</v>
      </c>
      <c r="AB255" s="828"/>
      <c r="AC255" s="828"/>
      <c r="AD255" s="1389"/>
      <c r="AE255" s="828">
        <v>124532.16</v>
      </c>
      <c r="AF255" s="828"/>
      <c r="AG255" s="828">
        <v>3446.27</v>
      </c>
      <c r="AH255" s="828"/>
      <c r="AI255" s="828"/>
      <c r="AJ255" s="828"/>
      <c r="AK255" s="828"/>
      <c r="AL255" s="828"/>
      <c r="AM255" s="828"/>
      <c r="AN255" s="828"/>
      <c r="AO255" s="828"/>
      <c r="AP255" s="828"/>
      <c r="AQ255" s="828">
        <v>87636.25</v>
      </c>
      <c r="AR255" s="828">
        <v>6415.78</v>
      </c>
      <c r="AS255" s="828"/>
      <c r="AT255" s="828">
        <v>38771.58</v>
      </c>
      <c r="AU255" s="828"/>
      <c r="AV255" s="828">
        <v>167848.96</v>
      </c>
      <c r="AW255" s="828"/>
      <c r="AX255" s="828"/>
      <c r="AY255" s="828">
        <v>17888.45</v>
      </c>
      <c r="AZ255" s="828"/>
      <c r="BA255" s="828"/>
      <c r="BB255" s="828">
        <v>56164.83</v>
      </c>
      <c r="BC255" s="828"/>
      <c r="BD255" s="828">
        <v>12523.86</v>
      </c>
      <c r="BE255" s="828"/>
      <c r="BF255" s="828"/>
      <c r="BG255" s="828"/>
      <c r="BH255" s="828"/>
      <c r="BI255" s="828">
        <v>114075.98</v>
      </c>
      <c r="BJ255" s="828">
        <v>11676.07</v>
      </c>
      <c r="BK255" s="828">
        <v>240349.92</v>
      </c>
      <c r="BL255" s="828">
        <v>592704.43000000005</v>
      </c>
      <c r="BM255" s="828"/>
      <c r="BN255" s="828"/>
      <c r="BO255" s="828">
        <v>36471.89</v>
      </c>
      <c r="BP255" s="828"/>
      <c r="BQ255" s="1387">
        <f t="shared" si="8"/>
        <v>2779178.7800000007</v>
      </c>
      <c r="BR255" s="1388"/>
      <c r="BS255" s="1388"/>
      <c r="BT255" s="1388"/>
      <c r="BU255" s="1388"/>
      <c r="BV255" s="1388"/>
      <c r="BW255" s="1388"/>
      <c r="BX255" s="1388"/>
      <c r="BY255" s="1388"/>
      <c r="BZ255" s="1388"/>
      <c r="CA255" s="1388"/>
      <c r="CB255" s="1388"/>
      <c r="CC255" s="1388"/>
      <c r="CD255" s="1388"/>
      <c r="CE255" s="1388"/>
      <c r="CF255" s="1388"/>
      <c r="CG255" s="1388"/>
    </row>
    <row r="256" spans="1:85" ht="15.6">
      <c r="A256" s="150"/>
      <c r="B256" s="140"/>
      <c r="C256" s="29"/>
      <c r="D256" s="20" t="s">
        <v>219</v>
      </c>
      <c r="E256" s="879"/>
      <c r="F256" s="122">
        <v>35</v>
      </c>
      <c r="G256" s="19" t="s">
        <v>19</v>
      </c>
      <c r="H256" s="362"/>
      <c r="I256" s="363"/>
      <c r="J256" s="364">
        <f>(100-I256)/F256</f>
        <v>2.8571428571428572</v>
      </c>
      <c r="K256" s="828"/>
      <c r="L256" s="828"/>
      <c r="M256" s="828"/>
      <c r="N256" s="828"/>
      <c r="O256" s="828"/>
      <c r="P256" s="828"/>
      <c r="Q256" s="828"/>
      <c r="R256" s="828"/>
      <c r="S256" s="828"/>
      <c r="T256" s="828"/>
      <c r="U256" s="828"/>
      <c r="V256" s="828"/>
      <c r="W256" s="828"/>
      <c r="X256" s="828"/>
      <c r="Y256" s="1389"/>
      <c r="Z256" s="828"/>
      <c r="AA256" s="828"/>
      <c r="AB256" s="828"/>
      <c r="AC256" s="828"/>
      <c r="AD256" s="828"/>
      <c r="AE256" s="828"/>
      <c r="AF256" s="828"/>
      <c r="AG256" s="828"/>
      <c r="AH256" s="828"/>
      <c r="AI256" s="828"/>
      <c r="AJ256" s="828"/>
      <c r="AK256" s="828"/>
      <c r="AL256" s="828"/>
      <c r="AM256" s="828"/>
      <c r="AN256" s="828"/>
      <c r="AO256" s="828"/>
      <c r="AP256" s="828"/>
      <c r="AQ256" s="828"/>
      <c r="AR256" s="828"/>
      <c r="AS256" s="828"/>
      <c r="AT256" s="828"/>
      <c r="AU256" s="828"/>
      <c r="AV256" s="828"/>
      <c r="AW256" s="828"/>
      <c r="AX256" s="828"/>
      <c r="AY256" s="828"/>
      <c r="AZ256" s="828"/>
      <c r="BA256" s="828"/>
      <c r="BB256" s="828"/>
      <c r="BC256" s="828"/>
      <c r="BD256" s="828"/>
      <c r="BE256" s="828"/>
      <c r="BF256" s="828"/>
      <c r="BG256" s="828"/>
      <c r="BH256" s="828"/>
      <c r="BI256" s="828"/>
      <c r="BJ256" s="828"/>
      <c r="BK256" s="828"/>
      <c r="BL256" s="828"/>
      <c r="BM256" s="828"/>
      <c r="BN256" s="828"/>
      <c r="BO256" s="828"/>
      <c r="BP256" s="828"/>
      <c r="BQ256" s="1387">
        <f t="shared" si="8"/>
        <v>0</v>
      </c>
      <c r="BR256" s="1388"/>
      <c r="BS256" s="1388"/>
      <c r="BT256" s="1388"/>
      <c r="BU256" s="1388"/>
      <c r="BV256" s="1388"/>
      <c r="BW256" s="1388"/>
      <c r="BX256" s="1388"/>
      <c r="BY256" s="1388"/>
      <c r="BZ256" s="1388"/>
      <c r="CA256" s="1388"/>
      <c r="CB256" s="1388"/>
      <c r="CC256" s="1388"/>
      <c r="CD256" s="1388"/>
      <c r="CE256" s="1388"/>
      <c r="CF256" s="1388"/>
      <c r="CG256" s="1388"/>
    </row>
    <row r="257" spans="1:85" ht="15.6">
      <c r="A257" s="150"/>
      <c r="B257" s="140"/>
      <c r="C257" s="29"/>
      <c r="D257" s="20"/>
      <c r="E257" s="879"/>
      <c r="F257" s="122"/>
      <c r="G257" s="19"/>
      <c r="H257" s="362"/>
      <c r="I257" s="363"/>
      <c r="J257" s="364"/>
      <c r="K257" s="828"/>
      <c r="L257" s="828"/>
      <c r="M257" s="828"/>
      <c r="N257" s="828"/>
      <c r="O257" s="828"/>
      <c r="P257" s="828"/>
      <c r="Q257" s="828"/>
      <c r="R257" s="828"/>
      <c r="S257" s="828"/>
      <c r="T257" s="828"/>
      <c r="U257" s="828"/>
      <c r="V257" s="828"/>
      <c r="W257" s="828"/>
      <c r="X257" s="828"/>
      <c r="Y257" s="828"/>
      <c r="Z257" s="828"/>
      <c r="AA257" s="828"/>
      <c r="AB257" s="828"/>
      <c r="AC257" s="828"/>
      <c r="AD257" s="828"/>
      <c r="AE257" s="828"/>
      <c r="AF257" s="828"/>
      <c r="AG257" s="828"/>
      <c r="AH257" s="828"/>
      <c r="AI257" s="828"/>
      <c r="AJ257" s="828"/>
      <c r="AK257" s="828"/>
      <c r="AL257" s="828"/>
      <c r="AM257" s="828"/>
      <c r="AN257" s="828"/>
      <c r="AO257" s="828"/>
      <c r="AP257" s="828"/>
      <c r="AQ257" s="828"/>
      <c r="AR257" s="828"/>
      <c r="AS257" s="828"/>
      <c r="AT257" s="828"/>
      <c r="AU257" s="828"/>
      <c r="AV257" s="828"/>
      <c r="AW257" s="828"/>
      <c r="AX257" s="828"/>
      <c r="AY257" s="828"/>
      <c r="AZ257" s="828"/>
      <c r="BA257" s="828"/>
      <c r="BB257" s="828"/>
      <c r="BC257" s="828"/>
      <c r="BD257" s="828"/>
      <c r="BE257" s="828"/>
      <c r="BF257" s="828"/>
      <c r="BG257" s="828"/>
      <c r="BH257" s="828"/>
      <c r="BI257" s="828"/>
      <c r="BJ257" s="828"/>
      <c r="BK257" s="828"/>
      <c r="BL257" s="828"/>
      <c r="BM257" s="828"/>
      <c r="BN257" s="828"/>
      <c r="BO257" s="828"/>
      <c r="BP257" s="828"/>
      <c r="BQ257" s="1387">
        <f t="shared" si="8"/>
        <v>0</v>
      </c>
      <c r="BR257" s="1388"/>
      <c r="BS257" s="1388"/>
      <c r="BT257" s="1388"/>
      <c r="BU257" s="1388"/>
      <c r="BV257" s="1388"/>
      <c r="BW257" s="1388"/>
      <c r="BX257" s="1388"/>
      <c r="BY257" s="1388"/>
      <c r="BZ257" s="1388"/>
      <c r="CA257" s="1388"/>
      <c r="CB257" s="1388"/>
      <c r="CC257" s="1388"/>
      <c r="CD257" s="1388"/>
      <c r="CE257" s="1388"/>
      <c r="CF257" s="1388"/>
      <c r="CG257" s="1388"/>
    </row>
    <row r="258" spans="1:85" ht="15.6">
      <c r="A258" s="150"/>
      <c r="B258" s="140"/>
      <c r="C258" s="29">
        <v>353</v>
      </c>
      <c r="D258" s="20" t="s">
        <v>23</v>
      </c>
      <c r="E258" s="879"/>
      <c r="F258" s="122"/>
      <c r="G258" s="19"/>
      <c r="H258" s="362"/>
      <c r="I258" s="363"/>
      <c r="J258" s="364"/>
      <c r="K258" s="828">
        <v>1461353.67</v>
      </c>
      <c r="L258" s="828">
        <v>594380.46</v>
      </c>
      <c r="M258" s="828">
        <v>3518782.0400000005</v>
      </c>
      <c r="N258" s="828">
        <v>162556.59</v>
      </c>
      <c r="O258" s="828">
        <v>40401.96</v>
      </c>
      <c r="P258" s="828">
        <v>161786.82</v>
      </c>
      <c r="Q258" s="828">
        <v>145530.84</v>
      </c>
      <c r="R258" s="828">
        <v>831940.92</v>
      </c>
      <c r="S258" s="828">
        <v>93859.54</v>
      </c>
      <c r="T258" s="828">
        <v>109796.54</v>
      </c>
      <c r="U258" s="828">
        <v>147945.04</v>
      </c>
      <c r="V258" s="828">
        <v>184950.92</v>
      </c>
      <c r="W258" s="828">
        <v>13520.51</v>
      </c>
      <c r="X258" s="828">
        <v>35310.160000000003</v>
      </c>
      <c r="Y258" s="828">
        <v>118262.62000000001</v>
      </c>
      <c r="Z258" s="828">
        <v>336574.48</v>
      </c>
      <c r="AA258" s="828"/>
      <c r="AB258" s="828">
        <v>17459.900000000001</v>
      </c>
      <c r="AC258" s="1390">
        <v>102775.77</v>
      </c>
      <c r="AD258" s="1390">
        <v>1231248.58</v>
      </c>
      <c r="AE258" s="828"/>
      <c r="AF258" s="828">
        <v>276859</v>
      </c>
      <c r="AG258" s="828">
        <v>21875.20</v>
      </c>
      <c r="AH258" s="828">
        <v>37230.699999999997</v>
      </c>
      <c r="AI258" s="828"/>
      <c r="AJ258" s="828">
        <v>769487.52</v>
      </c>
      <c r="AK258" s="828">
        <v>77856.83</v>
      </c>
      <c r="AL258" s="828">
        <v>11946.40</v>
      </c>
      <c r="AM258" s="828">
        <v>1308067.3599999999</v>
      </c>
      <c r="AN258" s="828">
        <v>130412.60</v>
      </c>
      <c r="AO258" s="828">
        <v>9206.9599999999991</v>
      </c>
      <c r="AP258" s="828">
        <v>165312.37</v>
      </c>
      <c r="AQ258" s="828">
        <v>1384978.96</v>
      </c>
      <c r="AR258" s="828">
        <v>186580.62</v>
      </c>
      <c r="AS258" s="828">
        <v>20152.740000000002</v>
      </c>
      <c r="AT258" s="828">
        <v>28133.58</v>
      </c>
      <c r="AU258" s="828">
        <v>13795.05</v>
      </c>
      <c r="AV258" s="828">
        <v>126352.65</v>
      </c>
      <c r="AW258" s="828">
        <v>1092867.3599999999</v>
      </c>
      <c r="AX258" s="828">
        <v>42611.47</v>
      </c>
      <c r="AY258" s="828">
        <v>139073.35999999999</v>
      </c>
      <c r="AZ258" s="828">
        <v>28706.88</v>
      </c>
      <c r="BA258" s="828">
        <v>11306.52</v>
      </c>
      <c r="BB258" s="828">
        <v>117572.66</v>
      </c>
      <c r="BC258" s="828">
        <v>45391.53</v>
      </c>
      <c r="BD258" s="828">
        <v>783190.09</v>
      </c>
      <c r="BE258" s="1390">
        <v>589322.65</v>
      </c>
      <c r="BF258" s="1390">
        <v>22908.06</v>
      </c>
      <c r="BG258" s="828">
        <v>18898.349999999999</v>
      </c>
      <c r="BH258" s="828">
        <v>74536.91</v>
      </c>
      <c r="BI258" s="828">
        <v>1094611.1300000001</v>
      </c>
      <c r="BJ258" s="828">
        <v>1313466.8700000001</v>
      </c>
      <c r="BK258" s="1390">
        <v>642164.89</v>
      </c>
      <c r="BL258" s="828">
        <v>1198381.69</v>
      </c>
      <c r="BM258" s="828">
        <v>176889.74</v>
      </c>
      <c r="BN258" s="828">
        <v>46534.35</v>
      </c>
      <c r="BO258" s="1390">
        <v>445304.31</v>
      </c>
      <c r="BP258" s="1390">
        <v>168996.65</v>
      </c>
      <c r="BQ258" s="1387">
        <f t="shared" si="8"/>
        <v>21929421.369999997</v>
      </c>
      <c r="BR258" s="1388"/>
      <c r="BS258" s="1388"/>
      <c r="BT258" s="1388"/>
      <c r="BU258" s="1388"/>
      <c r="BV258" s="1388"/>
      <c r="BW258" s="1388"/>
      <c r="BX258" s="1388"/>
      <c r="BY258" s="1388"/>
      <c r="BZ258" s="1388"/>
      <c r="CA258" s="1388"/>
      <c r="CB258" s="1388"/>
      <c r="CC258" s="1388"/>
      <c r="CD258" s="1388"/>
      <c r="CE258" s="1388"/>
      <c r="CF258" s="1388"/>
      <c r="CG258" s="1388"/>
    </row>
    <row r="259" spans="1:85" ht="15.6">
      <c r="A259" s="150"/>
      <c r="B259" s="140"/>
      <c r="C259" s="29"/>
      <c r="D259" s="20" t="s">
        <v>24</v>
      </c>
      <c r="E259" s="879"/>
      <c r="F259" s="122">
        <v>50</v>
      </c>
      <c r="G259" s="19" t="s">
        <v>19</v>
      </c>
      <c r="H259" s="362" t="s">
        <v>25</v>
      </c>
      <c r="I259" s="363">
        <v>-5</v>
      </c>
      <c r="J259" s="364">
        <f>(100-I259)/F259</f>
        <v>2.10</v>
      </c>
      <c r="K259" s="828"/>
      <c r="L259" s="828"/>
      <c r="M259" s="828"/>
      <c r="N259" s="828"/>
      <c r="O259" s="828"/>
      <c r="P259" s="828"/>
      <c r="Q259" s="828"/>
      <c r="R259" s="828"/>
      <c r="S259" s="828"/>
      <c r="T259" s="828"/>
      <c r="U259" s="828"/>
      <c r="V259" s="828"/>
      <c r="W259" s="828"/>
      <c r="X259" s="828"/>
      <c r="Y259" s="828"/>
      <c r="Z259" s="828"/>
      <c r="AA259" s="828"/>
      <c r="AB259" s="828"/>
      <c r="AC259" s="828"/>
      <c r="AD259" s="828"/>
      <c r="AE259" s="828"/>
      <c r="AF259" s="828"/>
      <c r="AG259" s="828"/>
      <c r="AH259" s="828"/>
      <c r="AI259" s="828"/>
      <c r="AJ259" s="828"/>
      <c r="AK259" s="828"/>
      <c r="AL259" s="828"/>
      <c r="AM259" s="828"/>
      <c r="AN259" s="828"/>
      <c r="AO259" s="828"/>
      <c r="AP259" s="828"/>
      <c r="AQ259" s="828"/>
      <c r="AR259" s="828"/>
      <c r="AS259" s="828"/>
      <c r="AT259" s="828"/>
      <c r="AU259" s="828"/>
      <c r="AV259" s="828"/>
      <c r="AW259" s="828"/>
      <c r="AX259" s="828"/>
      <c r="AY259" s="828"/>
      <c r="AZ259" s="828"/>
      <c r="BA259" s="828"/>
      <c r="BB259" s="828"/>
      <c r="BC259" s="828"/>
      <c r="BD259" s="828"/>
      <c r="BE259" s="828"/>
      <c r="BF259" s="828"/>
      <c r="BG259" s="828"/>
      <c r="BH259" s="828"/>
      <c r="BI259" s="828"/>
      <c r="BJ259" s="828"/>
      <c r="BK259" s="828"/>
      <c r="BL259" s="828"/>
      <c r="BM259" s="828"/>
      <c r="BN259" s="828"/>
      <c r="BO259" s="828"/>
      <c r="BP259" s="828"/>
      <c r="BQ259" s="1387">
        <f t="shared" si="8"/>
        <v>0</v>
      </c>
      <c r="BR259" s="1388"/>
      <c r="BS259" s="1388"/>
      <c r="BT259" s="1388"/>
      <c r="BU259" s="1388"/>
      <c r="BV259" s="1388"/>
      <c r="BW259" s="1388"/>
      <c r="BX259" s="1388"/>
      <c r="BY259" s="1388"/>
      <c r="BZ259" s="1388"/>
      <c r="CA259" s="1388"/>
      <c r="CB259" s="1388"/>
      <c r="CC259" s="1388"/>
      <c r="CD259" s="1388"/>
      <c r="CE259" s="1388"/>
      <c r="CF259" s="1388"/>
      <c r="CG259" s="1388"/>
    </row>
    <row r="260" spans="1:85" ht="15.6">
      <c r="A260" s="150"/>
      <c r="B260" s="140"/>
      <c r="C260" s="29"/>
      <c r="D260" s="20" t="s">
        <v>219</v>
      </c>
      <c r="E260" s="879"/>
      <c r="F260" s="122" t="s">
        <v>136</v>
      </c>
      <c r="G260" s="19" t="s">
        <v>19</v>
      </c>
      <c r="H260" s="362" t="s">
        <v>575</v>
      </c>
      <c r="I260" s="363"/>
      <c r="J260" s="364">
        <v>2.9599305908116178</v>
      </c>
      <c r="K260" s="828"/>
      <c r="L260" s="828"/>
      <c r="M260" s="828"/>
      <c r="N260" s="828"/>
      <c r="O260" s="828"/>
      <c r="P260" s="828"/>
      <c r="Q260" s="828"/>
      <c r="R260" s="828"/>
      <c r="S260" s="828"/>
      <c r="T260" s="828"/>
      <c r="U260" s="828"/>
      <c r="V260" s="828"/>
      <c r="W260" s="828"/>
      <c r="X260" s="828"/>
      <c r="Y260" s="828"/>
      <c r="Z260" s="828"/>
      <c r="AA260" s="828"/>
      <c r="AB260" s="828"/>
      <c r="AC260" s="828"/>
      <c r="AD260" s="828"/>
      <c r="AE260" s="828"/>
      <c r="AF260" s="828"/>
      <c r="AG260" s="828"/>
      <c r="AH260" s="828"/>
      <c r="AI260" s="828"/>
      <c r="AJ260" s="828"/>
      <c r="AK260" s="828"/>
      <c r="AL260" s="828"/>
      <c r="AM260" s="828"/>
      <c r="AN260" s="828"/>
      <c r="AO260" s="828"/>
      <c r="AP260" s="828"/>
      <c r="AQ260" s="828"/>
      <c r="AR260" s="828"/>
      <c r="AS260" s="828"/>
      <c r="AT260" s="828"/>
      <c r="AU260" s="828"/>
      <c r="AV260" s="828"/>
      <c r="AW260" s="828"/>
      <c r="AX260" s="828"/>
      <c r="AY260" s="828"/>
      <c r="AZ260" s="828"/>
      <c r="BA260" s="828"/>
      <c r="BB260" s="828"/>
      <c r="BC260" s="828"/>
      <c r="BD260" s="828"/>
      <c r="BE260" s="828"/>
      <c r="BF260" s="828"/>
      <c r="BG260" s="828"/>
      <c r="BH260" s="828"/>
      <c r="BI260" s="828"/>
      <c r="BJ260" s="828"/>
      <c r="BK260" s="828"/>
      <c r="BL260" s="828"/>
      <c r="BM260" s="828"/>
      <c r="BN260" s="828"/>
      <c r="BO260" s="828"/>
      <c r="BP260" s="828"/>
      <c r="BQ260" s="1387">
        <f t="shared" si="8"/>
        <v>0</v>
      </c>
      <c r="BR260" s="1388"/>
      <c r="BS260" s="1388"/>
      <c r="BT260" s="1388"/>
      <c r="BU260" s="1388"/>
      <c r="BV260" s="1388"/>
      <c r="BW260" s="1388"/>
      <c r="BX260" s="1388"/>
      <c r="BY260" s="1388"/>
      <c r="BZ260" s="1388"/>
      <c r="CA260" s="1388"/>
      <c r="CB260" s="1388"/>
      <c r="CC260" s="1388"/>
      <c r="CD260" s="1388"/>
      <c r="CE260" s="1388"/>
      <c r="CF260" s="1388"/>
      <c r="CG260" s="1388"/>
    </row>
    <row r="261" spans="1:85" ht="15.6">
      <c r="A261" s="150"/>
      <c r="B261" s="140"/>
      <c r="C261" s="48"/>
      <c r="D261" s="20" t="s">
        <v>26</v>
      </c>
      <c r="E261" s="879"/>
      <c r="F261" s="122">
        <v>15</v>
      </c>
      <c r="G261" s="19" t="s">
        <v>19</v>
      </c>
      <c r="H261" s="362" t="s">
        <v>27</v>
      </c>
      <c r="I261" s="363">
        <v>0</v>
      </c>
      <c r="J261" s="364">
        <f>100/F261</f>
        <v>6.666666666666667</v>
      </c>
      <c r="K261" s="828"/>
      <c r="L261" s="828"/>
      <c r="M261" s="828"/>
      <c r="N261" s="828"/>
      <c r="O261" s="828"/>
      <c r="P261" s="828"/>
      <c r="Q261" s="828"/>
      <c r="R261" s="828"/>
      <c r="S261" s="828"/>
      <c r="T261" s="828"/>
      <c r="U261" s="828"/>
      <c r="V261" s="828"/>
      <c r="W261" s="828"/>
      <c r="X261" s="828"/>
      <c r="Y261" s="828"/>
      <c r="Z261" s="828"/>
      <c r="AA261" s="828"/>
      <c r="AB261" s="828"/>
      <c r="AC261" s="828"/>
      <c r="AD261" s="828"/>
      <c r="AE261" s="828"/>
      <c r="AF261" s="828"/>
      <c r="AG261" s="828"/>
      <c r="AH261" s="828"/>
      <c r="AI261" s="828"/>
      <c r="AJ261" s="828"/>
      <c r="AK261" s="828"/>
      <c r="AL261" s="828"/>
      <c r="AM261" s="828"/>
      <c r="AN261" s="828"/>
      <c r="AO261" s="828"/>
      <c r="AP261" s="828"/>
      <c r="AQ261" s="828"/>
      <c r="AR261" s="828"/>
      <c r="AS261" s="828"/>
      <c r="AT261" s="828"/>
      <c r="AU261" s="828"/>
      <c r="AV261" s="828"/>
      <c r="AW261" s="828"/>
      <c r="AX261" s="828"/>
      <c r="AY261" s="828"/>
      <c r="AZ261" s="828"/>
      <c r="BA261" s="828"/>
      <c r="BB261" s="828"/>
      <c r="BC261" s="828"/>
      <c r="BD261" s="828"/>
      <c r="BE261" s="828"/>
      <c r="BF261" s="828"/>
      <c r="BG261" s="828"/>
      <c r="BH261" s="828"/>
      <c r="BI261" s="828"/>
      <c r="BJ261" s="828"/>
      <c r="BK261" s="828"/>
      <c r="BL261" s="828"/>
      <c r="BM261" s="828"/>
      <c r="BN261" s="828"/>
      <c r="BO261" s="828"/>
      <c r="BP261" s="828"/>
      <c r="BQ261" s="1387">
        <f t="shared" si="8"/>
        <v>0</v>
      </c>
      <c r="BR261" s="1388"/>
      <c r="BS261" s="1388"/>
      <c r="BT261" s="1388"/>
      <c r="BU261" s="1388"/>
      <c r="BV261" s="1388"/>
      <c r="BW261" s="1388"/>
      <c r="BX261" s="1388"/>
      <c r="BY261" s="1388"/>
      <c r="BZ261" s="1388"/>
      <c r="CA261" s="1388"/>
      <c r="CB261" s="1388"/>
      <c r="CC261" s="1388"/>
      <c r="CD261" s="1388"/>
      <c r="CE261" s="1388"/>
      <c r="CF261" s="1388"/>
      <c r="CG261" s="1388"/>
    </row>
    <row r="262" spans="1:85" ht="15.6">
      <c r="A262" s="150"/>
      <c r="B262" s="140"/>
      <c r="C262" s="29"/>
      <c r="D262" s="29"/>
      <c r="E262" s="879"/>
      <c r="F262" s="122"/>
      <c r="G262" s="19"/>
      <c r="H262" s="362"/>
      <c r="I262" s="363"/>
      <c r="J262" s="364"/>
      <c r="K262" s="828"/>
      <c r="L262" s="828"/>
      <c r="M262" s="828"/>
      <c r="N262" s="828"/>
      <c r="O262" s="828"/>
      <c r="P262" s="828"/>
      <c r="Q262" s="828"/>
      <c r="R262" s="828"/>
      <c r="S262" s="828"/>
      <c r="T262" s="828"/>
      <c r="U262" s="828"/>
      <c r="V262" s="828"/>
      <c r="W262" s="828"/>
      <c r="X262" s="828"/>
      <c r="Y262" s="828"/>
      <c r="Z262" s="828"/>
      <c r="AA262" s="828"/>
      <c r="AB262" s="828"/>
      <c r="AC262" s="828"/>
      <c r="AD262" s="828"/>
      <c r="AE262" s="828"/>
      <c r="AF262" s="828"/>
      <c r="AG262" s="828"/>
      <c r="AH262" s="828"/>
      <c r="AI262" s="828"/>
      <c r="AJ262" s="828"/>
      <c r="AK262" s="828"/>
      <c r="AL262" s="828"/>
      <c r="AM262" s="828"/>
      <c r="AN262" s="828"/>
      <c r="AO262" s="828"/>
      <c r="AP262" s="828"/>
      <c r="AQ262" s="828"/>
      <c r="AR262" s="828"/>
      <c r="AS262" s="828"/>
      <c r="AT262" s="828"/>
      <c r="AU262" s="828"/>
      <c r="AV262" s="828"/>
      <c r="AW262" s="828"/>
      <c r="AX262" s="828"/>
      <c r="AY262" s="828"/>
      <c r="AZ262" s="828"/>
      <c r="BA262" s="828"/>
      <c r="BB262" s="828"/>
      <c r="BC262" s="828"/>
      <c r="BD262" s="828"/>
      <c r="BE262" s="828"/>
      <c r="BF262" s="828"/>
      <c r="BG262" s="828"/>
      <c r="BH262" s="828"/>
      <c r="BI262" s="828"/>
      <c r="BJ262" s="828"/>
      <c r="BK262" s="828"/>
      <c r="BL262" s="828"/>
      <c r="BM262" s="828"/>
      <c r="BN262" s="828"/>
      <c r="BO262" s="828"/>
      <c r="BP262" s="828"/>
      <c r="BQ262" s="1387">
        <f t="shared" si="8"/>
        <v>0</v>
      </c>
      <c r="BR262" s="1388"/>
      <c r="BS262" s="1388"/>
      <c r="BT262" s="1388"/>
      <c r="BU262" s="1388"/>
      <c r="BV262" s="1388"/>
      <c r="BW262" s="1388"/>
      <c r="BX262" s="1388"/>
      <c r="BY262" s="1388"/>
      <c r="BZ262" s="1388"/>
      <c r="CA262" s="1388"/>
      <c r="CB262" s="1388"/>
      <c r="CC262" s="1388"/>
      <c r="CD262" s="1388"/>
      <c r="CE262" s="1388"/>
      <c r="CF262" s="1388"/>
      <c r="CG262" s="1388"/>
    </row>
    <row r="263" spans="1:85" ht="15.6">
      <c r="A263" s="150"/>
      <c r="B263" s="140"/>
      <c r="C263" s="29">
        <v>354</v>
      </c>
      <c r="D263" s="29" t="s">
        <v>28</v>
      </c>
      <c r="E263" s="879"/>
      <c r="F263" s="122">
        <v>65</v>
      </c>
      <c r="G263" s="19" t="s">
        <v>19</v>
      </c>
      <c r="H263" s="362" t="s">
        <v>20</v>
      </c>
      <c r="I263" s="363">
        <v>-25</v>
      </c>
      <c r="J263" s="364">
        <f>(100-I263)/F263</f>
        <v>1.9230769230769231</v>
      </c>
      <c r="K263" s="828"/>
      <c r="L263" s="828"/>
      <c r="M263" s="828">
        <v>7288501.2400000002</v>
      </c>
      <c r="N263" s="828"/>
      <c r="O263" s="828"/>
      <c r="P263" s="828"/>
      <c r="Q263" s="828"/>
      <c r="R263" s="828"/>
      <c r="S263" s="828"/>
      <c r="T263" s="828"/>
      <c r="U263" s="828"/>
      <c r="V263" s="828"/>
      <c r="W263" s="828"/>
      <c r="X263" s="828"/>
      <c r="Y263" s="828"/>
      <c r="Z263" s="828"/>
      <c r="AA263" s="828"/>
      <c r="AB263" s="828"/>
      <c r="AC263" s="828"/>
      <c r="AD263" s="828"/>
      <c r="AE263" s="828"/>
      <c r="AF263" s="828"/>
      <c r="AG263" s="828"/>
      <c r="AH263" s="828"/>
      <c r="AI263" s="828">
        <v>35675.53</v>
      </c>
      <c r="AJ263" s="828"/>
      <c r="AK263" s="828"/>
      <c r="AL263" s="828"/>
      <c r="AM263" s="828"/>
      <c r="AN263" s="828"/>
      <c r="AO263" s="828"/>
      <c r="AP263" s="828"/>
      <c r="AQ263" s="828">
        <v>80083.28</v>
      </c>
      <c r="AR263" s="828"/>
      <c r="AS263" s="828"/>
      <c r="AT263" s="828"/>
      <c r="AU263" s="828"/>
      <c r="AV263" s="828"/>
      <c r="AW263" s="828"/>
      <c r="AX263" s="828"/>
      <c r="AY263" s="828"/>
      <c r="AZ263" s="828"/>
      <c r="BA263" s="828"/>
      <c r="BB263" s="828">
        <v>37761.519999999997</v>
      </c>
      <c r="BC263" s="828"/>
      <c r="BD263" s="828"/>
      <c r="BE263" s="828"/>
      <c r="BF263" s="828"/>
      <c r="BG263" s="828"/>
      <c r="BH263" s="828"/>
      <c r="BI263" s="828"/>
      <c r="BJ263" s="828"/>
      <c r="BK263" s="828"/>
      <c r="BL263" s="828"/>
      <c r="BM263" s="828"/>
      <c r="BN263" s="828"/>
      <c r="BO263" s="828"/>
      <c r="BP263" s="828"/>
      <c r="BQ263" s="1387">
        <f t="shared" si="8"/>
        <v>7442021.5700000003</v>
      </c>
      <c r="BR263" s="1388"/>
      <c r="BS263" s="1388"/>
      <c r="BT263" s="1388"/>
      <c r="BU263" s="1388"/>
      <c r="BV263" s="1388"/>
      <c r="BW263" s="1388"/>
      <c r="BX263" s="1388"/>
      <c r="BY263" s="1388"/>
      <c r="BZ263" s="1388"/>
      <c r="CA263" s="1388"/>
      <c r="CB263" s="1388"/>
      <c r="CC263" s="1388"/>
      <c r="CD263" s="1388"/>
      <c r="CE263" s="1388"/>
      <c r="CF263" s="1388"/>
      <c r="CG263" s="1388"/>
    </row>
    <row r="264" spans="1:85" ht="15.6">
      <c r="A264" s="150"/>
      <c r="B264" s="140"/>
      <c r="C264" s="29">
        <v>355</v>
      </c>
      <c r="D264" s="29" t="s">
        <v>29</v>
      </c>
      <c r="E264" s="879"/>
      <c r="F264" s="122">
        <v>55</v>
      </c>
      <c r="G264" s="19" t="s">
        <v>19</v>
      </c>
      <c r="H264" s="362" t="s">
        <v>30</v>
      </c>
      <c r="I264" s="363">
        <v>-20</v>
      </c>
      <c r="J264" s="364">
        <f>(100-I264)/F264</f>
        <v>2.1818181818181817</v>
      </c>
      <c r="K264" s="828"/>
      <c r="L264" s="828"/>
      <c r="M264" s="828">
        <v>2908498.27</v>
      </c>
      <c r="N264" s="828"/>
      <c r="O264" s="828"/>
      <c r="P264" s="828"/>
      <c r="Q264" s="828"/>
      <c r="R264" s="828"/>
      <c r="S264" s="828"/>
      <c r="T264" s="828"/>
      <c r="U264" s="828"/>
      <c r="V264" s="828"/>
      <c r="W264" s="828"/>
      <c r="X264" s="828"/>
      <c r="Y264" s="828">
        <v>96570.21</v>
      </c>
      <c r="Z264" s="828"/>
      <c r="AA264" s="828"/>
      <c r="AB264" s="828"/>
      <c r="AC264" s="828"/>
      <c r="AD264" s="828"/>
      <c r="AE264" s="828"/>
      <c r="AF264" s="828">
        <v>30787.75</v>
      </c>
      <c r="AG264" s="828"/>
      <c r="AH264" s="828"/>
      <c r="AI264" s="828">
        <v>182638.13</v>
      </c>
      <c r="AJ264" s="828"/>
      <c r="AK264" s="828"/>
      <c r="AL264" s="828"/>
      <c r="AM264" s="828"/>
      <c r="AN264" s="828"/>
      <c r="AO264" s="828"/>
      <c r="AP264" s="828"/>
      <c r="AQ264" s="828">
        <v>2332.79</v>
      </c>
      <c r="AR264" s="828"/>
      <c r="AS264" s="828"/>
      <c r="AT264" s="828"/>
      <c r="AU264" s="828"/>
      <c r="AV264" s="828"/>
      <c r="AW264" s="828"/>
      <c r="AX264" s="828"/>
      <c r="AY264" s="828"/>
      <c r="AZ264" s="828"/>
      <c r="BA264" s="828"/>
      <c r="BB264" s="828">
        <v>72599.039999999994</v>
      </c>
      <c r="BC264" s="828"/>
      <c r="BD264" s="828"/>
      <c r="BE264" s="828"/>
      <c r="BF264" s="828"/>
      <c r="BG264" s="828"/>
      <c r="BH264" s="828">
        <v>870426.83</v>
      </c>
      <c r="BI264" s="828"/>
      <c r="BJ264" s="828"/>
      <c r="BK264" s="828"/>
      <c r="BL264" s="828"/>
      <c r="BM264" s="828">
        <v>625084.28</v>
      </c>
      <c r="BN264" s="828"/>
      <c r="BO264" s="828"/>
      <c r="BP264" s="828"/>
      <c r="BQ264" s="1387">
        <f>SUM(K264:BP264)</f>
        <v>4788937.30</v>
      </c>
      <c r="BR264" s="1388"/>
      <c r="BS264" s="1388"/>
      <c r="BT264" s="1388"/>
      <c r="BU264" s="1388"/>
      <c r="BV264" s="1388"/>
      <c r="BW264" s="1388"/>
      <c r="BX264" s="1388"/>
      <c r="BY264" s="1388"/>
      <c r="BZ264" s="1388"/>
      <c r="CA264" s="1388"/>
      <c r="CB264" s="1388"/>
      <c r="CC264" s="1388"/>
      <c r="CD264" s="1388"/>
      <c r="CE264" s="1388"/>
      <c r="CF264" s="1388"/>
      <c r="CG264" s="1388"/>
    </row>
    <row r="265" spans="1:85" ht="15.6">
      <c r="A265" s="150"/>
      <c r="B265" s="140"/>
      <c r="C265" s="29"/>
      <c r="D265" s="29"/>
      <c r="E265" s="20"/>
      <c r="F265" s="122"/>
      <c r="G265" s="19"/>
      <c r="H265" s="362"/>
      <c r="I265" s="363"/>
      <c r="J265" s="364"/>
      <c r="K265" s="828"/>
      <c r="L265" s="828"/>
      <c r="M265" s="828"/>
      <c r="N265" s="828"/>
      <c r="O265" s="828"/>
      <c r="P265" s="828"/>
      <c r="Q265" s="828"/>
      <c r="R265" s="828"/>
      <c r="S265" s="828"/>
      <c r="T265" s="828"/>
      <c r="U265" s="828"/>
      <c r="V265" s="828"/>
      <c r="W265" s="828"/>
      <c r="X265" s="828"/>
      <c r="Y265" s="828"/>
      <c r="Z265" s="828"/>
      <c r="AA265" s="828"/>
      <c r="AB265" s="828"/>
      <c r="AC265" s="828"/>
      <c r="AD265" s="828"/>
      <c r="AE265" s="828"/>
      <c r="AF265" s="828"/>
      <c r="AG265" s="828"/>
      <c r="AH265" s="828"/>
      <c r="AI265" s="828"/>
      <c r="AJ265" s="828"/>
      <c r="AK265" s="828"/>
      <c r="AL265" s="828"/>
      <c r="AM265" s="828"/>
      <c r="AN265" s="828"/>
      <c r="AO265" s="828"/>
      <c r="AP265" s="828"/>
      <c r="AQ265" s="828"/>
      <c r="AR265" s="828"/>
      <c r="AS265" s="828"/>
      <c r="AT265" s="828"/>
      <c r="AU265" s="828"/>
      <c r="AV265" s="828"/>
      <c r="AW265" s="828"/>
      <c r="AX265" s="828"/>
      <c r="AY265" s="828"/>
      <c r="AZ265" s="828"/>
      <c r="BA265" s="828"/>
      <c r="BB265" s="828"/>
      <c r="BC265" s="828"/>
      <c r="BD265" s="828"/>
      <c r="BE265" s="828"/>
      <c r="BF265" s="828"/>
      <c r="BG265" s="828"/>
      <c r="BH265" s="828"/>
      <c r="BI265" s="828"/>
      <c r="BJ265" s="828"/>
      <c r="BK265" s="828"/>
      <c r="BL265" s="828"/>
      <c r="BM265" s="828"/>
      <c r="BN265" s="828"/>
      <c r="BO265" s="828"/>
      <c r="BP265" s="828"/>
      <c r="BQ265" s="1387">
        <f t="shared" si="8"/>
        <v>0</v>
      </c>
      <c r="BR265" s="1388"/>
      <c r="BS265" s="1388"/>
      <c r="BT265" s="1388"/>
      <c r="BU265" s="1388"/>
      <c r="BV265" s="1388"/>
      <c r="BW265" s="1388"/>
      <c r="BX265" s="1388"/>
      <c r="BY265" s="1388"/>
      <c r="BZ265" s="1388"/>
      <c r="CA265" s="1388"/>
      <c r="CB265" s="1388"/>
      <c r="CC265" s="1388"/>
      <c r="CD265" s="1388"/>
      <c r="CE265" s="1388"/>
      <c r="CF265" s="1388"/>
      <c r="CG265" s="1388"/>
    </row>
    <row r="266" spans="1:85" ht="15.6">
      <c r="A266" s="150"/>
      <c r="B266" s="137"/>
      <c r="C266" s="29">
        <v>356</v>
      </c>
      <c r="D266" s="29" t="s">
        <v>37</v>
      </c>
      <c r="E266" s="20"/>
      <c r="F266" s="122"/>
      <c r="G266" s="19"/>
      <c r="H266" s="362"/>
      <c r="I266" s="363"/>
      <c r="J266" s="364"/>
      <c r="K266" s="828"/>
      <c r="L266" s="828"/>
      <c r="M266" s="828">
        <v>6410876.6200000001</v>
      </c>
      <c r="N266" s="828"/>
      <c r="O266" s="828"/>
      <c r="P266" s="828"/>
      <c r="Q266" s="828"/>
      <c r="R266" s="828"/>
      <c r="S266" s="828"/>
      <c r="T266" s="828"/>
      <c r="U266" s="828"/>
      <c r="V266" s="828"/>
      <c r="W266" s="828"/>
      <c r="X266" s="828"/>
      <c r="Y266" s="828">
        <v>350808.66</v>
      </c>
      <c r="Z266" s="828"/>
      <c r="AA266" s="828"/>
      <c r="AB266" s="828"/>
      <c r="AC266" s="828"/>
      <c r="AD266" s="828"/>
      <c r="AE266" s="828"/>
      <c r="AF266" s="828">
        <v>384649.22</v>
      </c>
      <c r="AG266" s="828"/>
      <c r="AH266" s="828"/>
      <c r="AI266" s="828">
        <v>42667.71</v>
      </c>
      <c r="AJ266" s="828"/>
      <c r="AK266" s="828"/>
      <c r="AL266" s="828"/>
      <c r="AM266" s="828"/>
      <c r="AN266" s="828"/>
      <c r="AO266" s="828"/>
      <c r="AP266" s="828"/>
      <c r="AQ266" s="828">
        <v>32831.350000000006</v>
      </c>
      <c r="AR266" s="828"/>
      <c r="AS266" s="828"/>
      <c r="AT266" s="828"/>
      <c r="AU266" s="828"/>
      <c r="AV266" s="828"/>
      <c r="AW266" s="828"/>
      <c r="AX266" s="828"/>
      <c r="AY266" s="828"/>
      <c r="AZ266" s="828"/>
      <c r="BA266" s="828"/>
      <c r="BB266" s="828">
        <v>114451.68</v>
      </c>
      <c r="BC266" s="828"/>
      <c r="BD266" s="828"/>
      <c r="BE266" s="828"/>
      <c r="BF266" s="828"/>
      <c r="BG266" s="828"/>
      <c r="BH266" s="828">
        <v>1166328.73</v>
      </c>
      <c r="BI266" s="828"/>
      <c r="BJ266" s="828"/>
      <c r="BK266" s="828"/>
      <c r="BL266" s="828"/>
      <c r="BM266" s="828">
        <v>97124.36</v>
      </c>
      <c r="BN266" s="828"/>
      <c r="BO266" s="828"/>
      <c r="BP266" s="828"/>
      <c r="BQ266" s="1387">
        <f t="shared" si="8"/>
        <v>8599738.3299999982</v>
      </c>
      <c r="BR266" s="1388"/>
      <c r="BS266" s="1388"/>
      <c r="BT266" s="1388"/>
      <c r="BU266" s="1388"/>
      <c r="BV266" s="1388"/>
      <c r="BW266" s="1388"/>
      <c r="BX266" s="1388"/>
      <c r="BY266" s="1388"/>
      <c r="BZ266" s="1388"/>
      <c r="CA266" s="1388"/>
      <c r="CB266" s="1388"/>
      <c r="CC266" s="1388"/>
      <c r="CD266" s="1388"/>
      <c r="CE266" s="1388"/>
      <c r="CF266" s="1388"/>
      <c r="CG266" s="1388"/>
    </row>
    <row r="267" spans="1:85" ht="15.6">
      <c r="A267" s="150"/>
      <c r="B267" s="137"/>
      <c r="C267" s="29"/>
      <c r="D267" s="29" t="s">
        <v>24</v>
      </c>
      <c r="E267" s="20"/>
      <c r="F267" s="122">
        <v>55</v>
      </c>
      <c r="G267" s="19" t="s">
        <v>19</v>
      </c>
      <c r="H267" s="362" t="s">
        <v>30</v>
      </c>
      <c r="I267" s="363">
        <v>-40</v>
      </c>
      <c r="J267" s="364">
        <v>2.80</v>
      </c>
      <c r="K267" s="828"/>
      <c r="L267" s="828"/>
      <c r="M267" s="828"/>
      <c r="N267" s="828"/>
      <c r="O267" s="828"/>
      <c r="P267" s="828"/>
      <c r="Q267" s="828"/>
      <c r="R267" s="828"/>
      <c r="S267" s="828"/>
      <c r="T267" s="828"/>
      <c r="U267" s="828"/>
      <c r="V267" s="828"/>
      <c r="W267" s="828"/>
      <c r="X267" s="828"/>
      <c r="Y267" s="828"/>
      <c r="Z267" s="828"/>
      <c r="AA267" s="828"/>
      <c r="AB267" s="828"/>
      <c r="AC267" s="828"/>
      <c r="AD267" s="828"/>
      <c r="AE267" s="828"/>
      <c r="AF267" s="828"/>
      <c r="AG267" s="828"/>
      <c r="AH267" s="828"/>
      <c r="AI267" s="828"/>
      <c r="AJ267" s="828"/>
      <c r="AK267" s="828"/>
      <c r="AL267" s="828"/>
      <c r="AM267" s="828"/>
      <c r="AN267" s="828"/>
      <c r="AO267" s="828"/>
      <c r="AP267" s="828"/>
      <c r="AQ267" s="828"/>
      <c r="AR267" s="828"/>
      <c r="AS267" s="828"/>
      <c r="AT267" s="828"/>
      <c r="AU267" s="828"/>
      <c r="AV267" s="828"/>
      <c r="AW267" s="828"/>
      <c r="AX267" s="828"/>
      <c r="AY267" s="828"/>
      <c r="AZ267" s="828"/>
      <c r="BA267" s="828"/>
      <c r="BB267" s="828"/>
      <c r="BC267" s="828"/>
      <c r="BD267" s="828"/>
      <c r="BE267" s="828"/>
      <c r="BF267" s="828"/>
      <c r="BG267" s="828"/>
      <c r="BH267" s="828"/>
      <c r="BI267" s="828"/>
      <c r="BJ267" s="828"/>
      <c r="BK267" s="828"/>
      <c r="BL267" s="828"/>
      <c r="BM267" s="828"/>
      <c r="BN267" s="828"/>
      <c r="BO267" s="828"/>
      <c r="BP267" s="828"/>
      <c r="BQ267" s="1387">
        <f t="shared" si="8"/>
        <v>0</v>
      </c>
      <c r="BR267" s="1388"/>
      <c r="BS267" s="1388"/>
      <c r="BT267" s="1388"/>
      <c r="BU267" s="1388"/>
      <c r="BV267" s="1388"/>
      <c r="BW267" s="1388"/>
      <c r="BX267" s="1388"/>
      <c r="BY267" s="1388"/>
      <c r="BZ267" s="1388"/>
      <c r="CA267" s="1388"/>
      <c r="CB267" s="1388"/>
      <c r="CC267" s="1388"/>
      <c r="CD267" s="1388"/>
      <c r="CE267" s="1388"/>
      <c r="CF267" s="1388"/>
      <c r="CG267" s="1388"/>
    </row>
    <row r="268" spans="1:85" ht="15.6">
      <c r="A268" s="150"/>
      <c r="B268" s="137"/>
      <c r="C268" s="29"/>
      <c r="D268" s="29" t="s">
        <v>38</v>
      </c>
      <c r="E268" s="20"/>
      <c r="F268" s="122">
        <v>70</v>
      </c>
      <c r="G268" s="19" t="s">
        <v>19</v>
      </c>
      <c r="H268" s="362" t="s">
        <v>20</v>
      </c>
      <c r="I268" s="363">
        <v>0</v>
      </c>
      <c r="J268" s="364">
        <f>(100-I268)/F268</f>
        <v>1.4285714285714286</v>
      </c>
      <c r="K268" s="828"/>
      <c r="L268" s="828"/>
      <c r="M268" s="828"/>
      <c r="N268" s="828"/>
      <c r="O268" s="828"/>
      <c r="P268" s="828"/>
      <c r="Q268" s="828"/>
      <c r="R268" s="828"/>
      <c r="S268" s="828"/>
      <c r="T268" s="828"/>
      <c r="U268" s="828"/>
      <c r="V268" s="828"/>
      <c r="W268" s="828"/>
      <c r="X268" s="828"/>
      <c r="Y268" s="828"/>
      <c r="Z268" s="828"/>
      <c r="AA268" s="828"/>
      <c r="AB268" s="828"/>
      <c r="AC268" s="828"/>
      <c r="AD268" s="828"/>
      <c r="AE268" s="828"/>
      <c r="AF268" s="828"/>
      <c r="AG268" s="828"/>
      <c r="AH268" s="828"/>
      <c r="AI268" s="828"/>
      <c r="AJ268" s="828"/>
      <c r="AK268" s="828"/>
      <c r="AL268" s="828"/>
      <c r="AM268" s="828"/>
      <c r="AN268" s="828"/>
      <c r="AO268" s="828"/>
      <c r="AP268" s="828"/>
      <c r="AQ268" s="828"/>
      <c r="AR268" s="828"/>
      <c r="AS268" s="828"/>
      <c r="AT268" s="828"/>
      <c r="AU268" s="828"/>
      <c r="AV268" s="828"/>
      <c r="AW268" s="828"/>
      <c r="AX268" s="828"/>
      <c r="AY268" s="828"/>
      <c r="AZ268" s="828"/>
      <c r="BA268" s="828"/>
      <c r="BB268" s="828"/>
      <c r="BC268" s="828"/>
      <c r="BD268" s="828"/>
      <c r="BE268" s="828"/>
      <c r="BF268" s="828"/>
      <c r="BG268" s="828"/>
      <c r="BH268" s="828"/>
      <c r="BI268" s="828"/>
      <c r="BJ268" s="828"/>
      <c r="BK268" s="828"/>
      <c r="BL268" s="828"/>
      <c r="BM268" s="828"/>
      <c r="BN268" s="828"/>
      <c r="BO268" s="828"/>
      <c r="BP268" s="828"/>
      <c r="BQ268" s="1387">
        <f t="shared" si="8"/>
        <v>0</v>
      </c>
      <c r="BR268" s="1388"/>
      <c r="BS268" s="1388"/>
      <c r="BT268" s="1388"/>
      <c r="BU268" s="1388"/>
      <c r="BV268" s="1388"/>
      <c r="BW268" s="1388"/>
      <c r="BX268" s="1388"/>
      <c r="BY268" s="1388"/>
      <c r="BZ268" s="1388"/>
      <c r="CA268" s="1388"/>
      <c r="CB268" s="1388"/>
      <c r="CC268" s="1388"/>
      <c r="CD268" s="1388"/>
      <c r="CE268" s="1388"/>
      <c r="CF268" s="1388"/>
      <c r="CG268" s="1388"/>
    </row>
    <row r="269" spans="1:85" ht="15.6">
      <c r="A269" s="265"/>
      <c r="C269" s="29"/>
      <c r="D269" s="20"/>
      <c r="E269" s="20"/>
      <c r="F269" s="122"/>
      <c r="G269" s="19"/>
      <c r="H269" s="362"/>
      <c r="I269" s="363"/>
      <c r="J269" s="364"/>
      <c r="K269" s="828"/>
      <c r="L269" s="828"/>
      <c r="M269" s="828"/>
      <c r="N269" s="828"/>
      <c r="O269" s="828"/>
      <c r="P269" s="828"/>
      <c r="Q269" s="828"/>
      <c r="R269" s="828"/>
      <c r="S269" s="828"/>
      <c r="T269" s="828"/>
      <c r="U269" s="828"/>
      <c r="V269" s="828"/>
      <c r="W269" s="828"/>
      <c r="X269" s="828"/>
      <c r="Y269" s="828"/>
      <c r="Z269" s="828"/>
      <c r="AA269" s="828"/>
      <c r="AB269" s="828"/>
      <c r="AC269" s="828"/>
      <c r="AD269" s="828"/>
      <c r="AE269" s="828"/>
      <c r="AF269" s="828"/>
      <c r="AG269" s="828"/>
      <c r="AH269" s="828"/>
      <c r="AI269" s="828"/>
      <c r="AJ269" s="828"/>
      <c r="AK269" s="828"/>
      <c r="AL269" s="828"/>
      <c r="AM269" s="828"/>
      <c r="AN269" s="828"/>
      <c r="AO269" s="828"/>
      <c r="AP269" s="828"/>
      <c r="AQ269" s="828"/>
      <c r="AR269" s="828"/>
      <c r="AS269" s="828"/>
      <c r="AT269" s="828"/>
      <c r="AU269" s="828"/>
      <c r="AV269" s="828"/>
      <c r="AW269" s="828"/>
      <c r="AX269" s="828"/>
      <c r="AY269" s="828"/>
      <c r="AZ269" s="828"/>
      <c r="BA269" s="828"/>
      <c r="BB269" s="828"/>
      <c r="BC269" s="828"/>
      <c r="BD269" s="828"/>
      <c r="BE269" s="828"/>
      <c r="BF269" s="828"/>
      <c r="BG269" s="828"/>
      <c r="BH269" s="828"/>
      <c r="BI269" s="828"/>
      <c r="BJ269" s="828"/>
      <c r="BK269" s="828"/>
      <c r="BL269" s="828"/>
      <c r="BM269" s="828"/>
      <c r="BN269" s="828"/>
      <c r="BO269" s="828"/>
      <c r="BP269" s="828"/>
      <c r="BQ269" s="1387">
        <f t="shared" si="8"/>
        <v>0</v>
      </c>
      <c r="BR269" s="1388"/>
      <c r="BS269" s="1388"/>
      <c r="BT269" s="1388"/>
      <c r="BU269" s="1388"/>
      <c r="BV269" s="1388"/>
      <c r="BW269" s="1388"/>
      <c r="BX269" s="1388"/>
      <c r="BY269" s="1388"/>
      <c r="BZ269" s="1388"/>
      <c r="CA269" s="1388"/>
      <c r="CB269" s="1388"/>
      <c r="CC269" s="1388"/>
      <c r="CD269" s="1388"/>
      <c r="CE269" s="1388"/>
      <c r="CF269" s="1388"/>
      <c r="CG269" s="1388"/>
    </row>
    <row r="270" spans="1:85" ht="15.6">
      <c r="A270" s="265"/>
      <c r="C270" s="29">
        <v>357</v>
      </c>
      <c r="D270" s="20" t="s">
        <v>39</v>
      </c>
      <c r="E270" s="20"/>
      <c r="F270" s="122">
        <v>55</v>
      </c>
      <c r="G270" s="19" t="s">
        <v>19</v>
      </c>
      <c r="H270" s="362" t="s">
        <v>27</v>
      </c>
      <c r="I270" s="363">
        <v>-5</v>
      </c>
      <c r="J270" s="364">
        <f>(100-I270)/F270</f>
        <v>1.9090909090909092</v>
      </c>
      <c r="K270" s="827"/>
      <c r="L270" s="828"/>
      <c r="M270" s="828"/>
      <c r="N270" s="828"/>
      <c r="O270" s="828"/>
      <c r="P270" s="828"/>
      <c r="Q270" s="828"/>
      <c r="R270" s="828"/>
      <c r="S270" s="828"/>
      <c r="T270" s="828"/>
      <c r="U270" s="828"/>
      <c r="V270" s="828"/>
      <c r="W270" s="828"/>
      <c r="X270" s="828"/>
      <c r="Y270" s="828"/>
      <c r="Z270" s="828"/>
      <c r="AA270" s="828"/>
      <c r="AB270" s="828"/>
      <c r="AC270" s="828"/>
      <c r="AD270" s="828"/>
      <c r="AE270" s="828"/>
      <c r="AF270" s="828"/>
      <c r="AG270" s="828"/>
      <c r="AH270" s="828"/>
      <c r="AI270" s="828"/>
      <c r="AJ270" s="828"/>
      <c r="AK270" s="828"/>
      <c r="AL270" s="828"/>
      <c r="AM270" s="828"/>
      <c r="AN270" s="828"/>
      <c r="AO270" s="828"/>
      <c r="AP270" s="828"/>
      <c r="AQ270" s="828"/>
      <c r="AR270" s="828"/>
      <c r="AS270" s="828"/>
      <c r="AT270" s="828"/>
      <c r="AU270" s="828"/>
      <c r="AV270" s="828"/>
      <c r="AW270" s="828"/>
      <c r="AX270" s="828"/>
      <c r="AY270" s="828"/>
      <c r="AZ270" s="828"/>
      <c r="BA270" s="828"/>
      <c r="BB270" s="828"/>
      <c r="BC270" s="828"/>
      <c r="BD270" s="828"/>
      <c r="BE270" s="828"/>
      <c r="BF270" s="828"/>
      <c r="BG270" s="828"/>
      <c r="BH270" s="828"/>
      <c r="BI270" s="828"/>
      <c r="BJ270" s="828"/>
      <c r="BK270" s="828"/>
      <c r="BL270" s="828"/>
      <c r="BM270" s="828"/>
      <c r="BN270" s="828"/>
      <c r="BO270" s="828"/>
      <c r="BP270" s="828"/>
      <c r="BQ270" s="1387">
        <f t="shared" si="8"/>
        <v>0</v>
      </c>
      <c r="BR270" s="1388"/>
      <c r="BS270" s="1388"/>
      <c r="BT270" s="1388"/>
      <c r="BU270" s="1388"/>
      <c r="BV270" s="1388"/>
      <c r="BW270" s="1388"/>
      <c r="BX270" s="1388"/>
      <c r="BY270" s="1388"/>
      <c r="BZ270" s="1388"/>
      <c r="CA270" s="1388"/>
      <c r="CB270" s="1388"/>
      <c r="CC270" s="1388"/>
      <c r="CD270" s="1388"/>
      <c r="CE270" s="1388"/>
      <c r="CF270" s="1388"/>
      <c r="CG270" s="1388"/>
    </row>
    <row r="271" spans="1:85" ht="15.6">
      <c r="A271" s="265"/>
      <c r="C271" s="29">
        <v>358</v>
      </c>
      <c r="D271" s="29" t="s">
        <v>40</v>
      </c>
      <c r="E271" s="20"/>
      <c r="F271" s="122">
        <v>45</v>
      </c>
      <c r="G271" s="19" t="s">
        <v>19</v>
      </c>
      <c r="H271" s="362" t="s">
        <v>41</v>
      </c>
      <c r="I271" s="363">
        <v>-5</v>
      </c>
      <c r="J271" s="364">
        <f>(100-I271)/F271</f>
        <v>2.3333333333333335</v>
      </c>
      <c r="K271" s="827"/>
      <c r="L271" s="828"/>
      <c r="M271" s="828"/>
      <c r="N271" s="828"/>
      <c r="O271" s="828"/>
      <c r="P271" s="828"/>
      <c r="Q271" s="828"/>
      <c r="R271" s="828"/>
      <c r="S271" s="828"/>
      <c r="T271" s="828"/>
      <c r="U271" s="828"/>
      <c r="V271" s="828"/>
      <c r="W271" s="828"/>
      <c r="X271" s="828"/>
      <c r="Y271" s="828"/>
      <c r="Z271" s="828"/>
      <c r="AA271" s="828"/>
      <c r="AB271" s="828"/>
      <c r="AC271" s="828"/>
      <c r="AD271" s="828"/>
      <c r="AE271" s="828"/>
      <c r="AF271" s="828"/>
      <c r="AG271" s="828"/>
      <c r="AH271" s="828"/>
      <c r="AI271" s="828"/>
      <c r="AJ271" s="828"/>
      <c r="AK271" s="828"/>
      <c r="AL271" s="828"/>
      <c r="AM271" s="828"/>
      <c r="AN271" s="828"/>
      <c r="AO271" s="828"/>
      <c r="AP271" s="828"/>
      <c r="AQ271" s="828"/>
      <c r="AR271" s="828"/>
      <c r="AS271" s="828"/>
      <c r="AT271" s="828"/>
      <c r="AU271" s="828"/>
      <c r="AV271" s="828"/>
      <c r="AW271" s="828"/>
      <c r="AX271" s="828"/>
      <c r="AY271" s="828"/>
      <c r="AZ271" s="828"/>
      <c r="BA271" s="828"/>
      <c r="BB271" s="828"/>
      <c r="BC271" s="828"/>
      <c r="BD271" s="828"/>
      <c r="BE271" s="828"/>
      <c r="BF271" s="828"/>
      <c r="BG271" s="828"/>
      <c r="BH271" s="828"/>
      <c r="BI271" s="828"/>
      <c r="BJ271" s="828"/>
      <c r="BK271" s="828"/>
      <c r="BL271" s="828"/>
      <c r="BM271" s="828"/>
      <c r="BN271" s="828"/>
      <c r="BO271" s="828"/>
      <c r="BP271" s="828"/>
      <c r="BQ271" s="1387">
        <f t="shared" si="8"/>
        <v>0</v>
      </c>
      <c r="BR271" s="1388"/>
      <c r="BS271" s="1388"/>
      <c r="BT271" s="1388"/>
      <c r="BU271" s="1388"/>
      <c r="BV271" s="1388"/>
      <c r="BW271" s="1388"/>
      <c r="BX271" s="1388"/>
      <c r="BY271" s="1388"/>
      <c r="BZ271" s="1388"/>
      <c r="CA271" s="1388"/>
      <c r="CB271" s="1388"/>
      <c r="CC271" s="1388"/>
      <c r="CD271" s="1388"/>
      <c r="CE271" s="1388"/>
      <c r="CF271" s="1388"/>
      <c r="CG271" s="1388"/>
    </row>
    <row r="272" spans="1:85" ht="15.6">
      <c r="A272" s="265"/>
      <c r="C272" s="29"/>
      <c r="D272" s="20" t="s">
        <v>219</v>
      </c>
      <c r="E272" s="20"/>
      <c r="F272" s="122">
        <v>35</v>
      </c>
      <c r="G272" s="19"/>
      <c r="H272" s="362"/>
      <c r="I272" s="363"/>
      <c r="J272" s="364">
        <f>(100-I272)/F272</f>
        <v>2.8571428571428572</v>
      </c>
      <c r="K272" s="827"/>
      <c r="L272" s="828"/>
      <c r="M272" s="828"/>
      <c r="N272" s="828"/>
      <c r="O272" s="828"/>
      <c r="P272" s="828"/>
      <c r="Q272" s="828"/>
      <c r="R272" s="828"/>
      <c r="S272" s="828"/>
      <c r="T272" s="828"/>
      <c r="U272" s="828"/>
      <c r="V272" s="828"/>
      <c r="W272" s="828"/>
      <c r="X272" s="828"/>
      <c r="Y272" s="828"/>
      <c r="Z272" s="828"/>
      <c r="AA272" s="828"/>
      <c r="AB272" s="828"/>
      <c r="AC272" s="828"/>
      <c r="AD272" s="828"/>
      <c r="AE272" s="828"/>
      <c r="AF272" s="828"/>
      <c r="AG272" s="828"/>
      <c r="AH272" s="828"/>
      <c r="AI272" s="828"/>
      <c r="AJ272" s="828"/>
      <c r="AK272" s="828"/>
      <c r="AL272" s="828"/>
      <c r="AM272" s="828"/>
      <c r="AN272" s="828"/>
      <c r="AO272" s="828"/>
      <c r="AP272" s="828"/>
      <c r="AQ272" s="828"/>
      <c r="AR272" s="828"/>
      <c r="AS272" s="828"/>
      <c r="AT272" s="828"/>
      <c r="AU272" s="828"/>
      <c r="AV272" s="828"/>
      <c r="AW272" s="828"/>
      <c r="AX272" s="828"/>
      <c r="AY272" s="828"/>
      <c r="AZ272" s="828"/>
      <c r="BA272" s="828"/>
      <c r="BB272" s="828"/>
      <c r="BC272" s="828"/>
      <c r="BD272" s="828"/>
      <c r="BE272" s="828"/>
      <c r="BF272" s="828"/>
      <c r="BG272" s="828"/>
      <c r="BH272" s="828"/>
      <c r="BI272" s="828"/>
      <c r="BJ272" s="828"/>
      <c r="BK272" s="828"/>
      <c r="BL272" s="828"/>
      <c r="BM272" s="828"/>
      <c r="BN272" s="828"/>
      <c r="BO272" s="828"/>
      <c r="BP272" s="828"/>
      <c r="BQ272" s="1387">
        <f t="shared" si="8"/>
        <v>0</v>
      </c>
      <c r="BR272" s="1388"/>
      <c r="BS272" s="1388"/>
      <c r="BT272" s="1388"/>
      <c r="BU272" s="1388"/>
      <c r="BV272" s="1388"/>
      <c r="BW272" s="1388"/>
      <c r="BX272" s="1388"/>
      <c r="BY272" s="1388"/>
      <c r="BZ272" s="1388"/>
      <c r="CA272" s="1388"/>
      <c r="CB272" s="1388"/>
      <c r="CC272" s="1388"/>
      <c r="CD272" s="1388"/>
      <c r="CE272" s="1388"/>
      <c r="CF272" s="1388"/>
      <c r="CG272" s="1388"/>
    </row>
    <row r="273" spans="1:85" ht="15.6" thickBot="1">
      <c r="A273" s="265"/>
      <c r="C273" s="29" t="s">
        <v>702</v>
      </c>
      <c r="D273" s="20"/>
      <c r="E273" s="20"/>
      <c r="F273" s="122"/>
      <c r="G273" s="19"/>
      <c r="H273" s="362"/>
      <c r="I273" s="363"/>
      <c r="J273" s="364"/>
      <c r="K273" s="1391">
        <f t="shared" si="9" ref="K273:BK273">SUM(K254:K272)</f>
        <v>1479189.67</v>
      </c>
      <c r="L273" s="1392">
        <f t="shared" si="9"/>
        <v>594380.46</v>
      </c>
      <c r="M273" s="1392">
        <f t="shared" si="9"/>
        <v>23974492.390000001</v>
      </c>
      <c r="N273" s="1392">
        <f t="shared" si="9"/>
        <v>163980.26999999999</v>
      </c>
      <c r="O273" s="1392">
        <f t="shared" si="9"/>
        <v>40401.96</v>
      </c>
      <c r="P273" s="1392">
        <f t="shared" si="9"/>
        <v>161786.82</v>
      </c>
      <c r="Q273" s="1392">
        <f t="shared" si="9"/>
        <v>145530.84</v>
      </c>
      <c r="R273" s="1392">
        <f t="shared" si="9"/>
        <v>831940.92</v>
      </c>
      <c r="S273" s="1392">
        <f t="shared" si="9"/>
        <v>93859.54</v>
      </c>
      <c r="T273" s="1392">
        <f t="shared" si="9"/>
        <v>109796.54</v>
      </c>
      <c r="U273" s="1392">
        <f t="shared" si="9"/>
        <v>147945.04</v>
      </c>
      <c r="V273" s="1392">
        <f t="shared" si="9"/>
        <v>186391.64</v>
      </c>
      <c r="W273" s="1392">
        <f t="shared" si="9"/>
        <v>13800.86</v>
      </c>
      <c r="X273" s="1392">
        <f t="shared" si="9"/>
        <v>35310.160000000003</v>
      </c>
      <c r="Y273" s="1392">
        <f t="shared" si="9"/>
        <v>580549.68999999994</v>
      </c>
      <c r="Z273" s="1392">
        <f t="shared" si="9"/>
        <v>339376.73</v>
      </c>
      <c r="AA273" s="1392">
        <f t="shared" si="9"/>
        <v>1253.8699999999999</v>
      </c>
      <c r="AB273" s="1392">
        <f t="shared" si="9"/>
        <v>17459.900000000001</v>
      </c>
      <c r="AC273" s="1392">
        <f t="shared" si="9"/>
        <v>102775.77</v>
      </c>
      <c r="AD273" s="1392">
        <f t="shared" si="9"/>
        <v>1231248.58</v>
      </c>
      <c r="AE273" s="1392">
        <f t="shared" si="9"/>
        <v>124532.16</v>
      </c>
      <c r="AF273" s="1392">
        <f t="shared" si="9"/>
        <v>694961.01</v>
      </c>
      <c r="AG273" s="1392">
        <f t="shared" si="9"/>
        <v>25321.47</v>
      </c>
      <c r="AH273" s="1392">
        <f t="shared" si="9"/>
        <v>37230.699999999997</v>
      </c>
      <c r="AI273" s="1392">
        <f t="shared" si="9"/>
        <v>260981.37</v>
      </c>
      <c r="AJ273" s="1392">
        <f t="shared" si="9"/>
        <v>769487.52</v>
      </c>
      <c r="AK273" s="1392">
        <f t="shared" si="9"/>
        <v>77856.83</v>
      </c>
      <c r="AL273" s="1392">
        <f t="shared" si="9"/>
        <v>11946.40</v>
      </c>
      <c r="AM273" s="1392">
        <f t="shared" si="9"/>
        <v>1308067.3599999999</v>
      </c>
      <c r="AN273" s="1392">
        <f t="shared" si="9"/>
        <v>130412.60</v>
      </c>
      <c r="AO273" s="1392">
        <f t="shared" si="9"/>
        <v>9206.9599999999991</v>
      </c>
      <c r="AP273" s="1392">
        <f t="shared" si="9"/>
        <v>165312.37</v>
      </c>
      <c r="AQ273" s="1392">
        <f t="shared" si="9"/>
        <v>1587862.6300000001</v>
      </c>
      <c r="AR273" s="1392">
        <f t="shared" si="9"/>
        <v>192996.40</v>
      </c>
      <c r="AS273" s="1392">
        <f t="shared" si="9"/>
        <v>20152.740000000002</v>
      </c>
      <c r="AT273" s="1392">
        <f t="shared" si="9"/>
        <v>66905.16</v>
      </c>
      <c r="AU273" s="1392">
        <f t="shared" si="9"/>
        <v>13795.05</v>
      </c>
      <c r="AV273" s="1393">
        <f t="shared" si="9"/>
        <v>294201.61</v>
      </c>
      <c r="AW273" s="1392">
        <f t="shared" si="9"/>
        <v>1092867.3599999999</v>
      </c>
      <c r="AX273" s="1392">
        <f t="shared" si="9"/>
        <v>42611.47</v>
      </c>
      <c r="AY273" s="1392">
        <f t="shared" si="9"/>
        <v>156961.81</v>
      </c>
      <c r="AZ273" s="1392">
        <f t="shared" si="9"/>
        <v>28706.88</v>
      </c>
      <c r="BA273" s="1392">
        <f t="shared" si="9"/>
        <v>11306.52</v>
      </c>
      <c r="BB273" s="1392">
        <f t="shared" si="9"/>
        <v>398549.73</v>
      </c>
      <c r="BC273" s="1392">
        <f t="shared" si="9"/>
        <v>45391.53</v>
      </c>
      <c r="BD273" s="1392">
        <f t="shared" si="9"/>
        <v>795713.95</v>
      </c>
      <c r="BE273" s="1392">
        <f t="shared" si="9"/>
        <v>589322.65</v>
      </c>
      <c r="BF273" s="1392">
        <f t="shared" si="9"/>
        <v>22908.06</v>
      </c>
      <c r="BG273" s="1392">
        <f t="shared" si="9"/>
        <v>18898.349999999999</v>
      </c>
      <c r="BH273" s="1392">
        <f t="shared" si="9"/>
        <v>2111292.4699999997</v>
      </c>
      <c r="BI273" s="1392">
        <f t="shared" si="9"/>
        <v>1208687.1100000001</v>
      </c>
      <c r="BJ273" s="1392">
        <f t="shared" si="9"/>
        <v>1325142.9400000002</v>
      </c>
      <c r="BK273" s="1392">
        <f t="shared" si="9"/>
        <v>882514.81</v>
      </c>
      <c r="BL273" s="1392">
        <f t="shared" si="10" ref="BL273:BQ273">SUM(BL254:BL272)</f>
        <v>1791086.12</v>
      </c>
      <c r="BM273" s="1392">
        <f t="shared" si="10"/>
        <v>899098.38</v>
      </c>
      <c r="BN273" s="1392">
        <f t="shared" si="10"/>
        <v>46534.35</v>
      </c>
      <c r="BO273" s="1392">
        <f t="shared" si="10"/>
        <v>481776.20</v>
      </c>
      <c r="BP273" s="1392">
        <f t="shared" si="10"/>
        <v>168996.65</v>
      </c>
      <c r="BQ273" s="1394">
        <f t="shared" si="10"/>
        <v>48161069.329999991</v>
      </c>
      <c r="BR273" s="1392"/>
      <c r="BS273" s="1392"/>
      <c r="BT273" s="1392"/>
      <c r="BU273" s="1392"/>
      <c r="BV273" s="1392"/>
      <c r="BW273" s="1392"/>
      <c r="BX273" s="1392"/>
      <c r="BY273" s="1392"/>
      <c r="BZ273" s="1392"/>
      <c r="CA273" s="1392"/>
      <c r="CB273" s="1392"/>
      <c r="CC273" s="1392"/>
      <c r="CD273" s="1392"/>
      <c r="CE273" s="1392"/>
      <c r="CF273" s="1392"/>
      <c r="CG273" s="1392"/>
    </row>
    <row r="274" spans="1:69" ht="16.2" thickBot="1">
      <c r="A274" s="265"/>
      <c r="C274" s="299" t="s">
        <v>703</v>
      </c>
      <c r="D274" s="659">
        <f>BQ273</f>
        <v>48161069.329999991</v>
      </c>
      <c r="E274" s="940"/>
      <c r="F274" s="980"/>
      <c r="G274" s="19"/>
      <c r="H274" s="362"/>
      <c r="I274" s="363"/>
      <c r="J274" s="364"/>
      <c r="K274" s="829"/>
      <c r="L274" s="830"/>
      <c r="M274" s="830"/>
      <c r="N274" s="830"/>
      <c r="O274" s="831"/>
      <c r="P274" s="832"/>
      <c r="Q274" s="833"/>
      <c r="R274" s="832"/>
      <c r="S274" s="834"/>
      <c r="T274" s="1395"/>
      <c r="U274" s="834"/>
      <c r="V274" s="1395"/>
      <c r="W274" s="1395"/>
      <c r="X274" s="1395"/>
      <c r="Y274" s="1395"/>
      <c r="Z274" s="1395"/>
      <c r="AA274" s="1395"/>
      <c r="AB274" s="1395"/>
      <c r="AC274" s="1395"/>
      <c r="AD274" s="1395"/>
      <c r="AE274" s="1395"/>
      <c r="AF274" s="1395"/>
      <c r="AG274" s="1395"/>
      <c r="AH274" s="1395"/>
      <c r="AI274" s="1395"/>
      <c r="AJ274" s="1395"/>
      <c r="AK274" s="1395"/>
      <c r="AL274" s="1395"/>
      <c r="AM274" s="1395"/>
      <c r="AN274" s="1395"/>
      <c r="AO274" s="1395"/>
      <c r="AP274" s="1395"/>
      <c r="AQ274" s="830"/>
      <c r="AR274" s="1395"/>
      <c r="AS274" s="1395"/>
      <c r="AT274" s="1395"/>
      <c r="AU274" s="1395"/>
      <c r="AV274" s="1395"/>
      <c r="AW274" s="1395"/>
      <c r="AX274" s="1395"/>
      <c r="AY274" s="1395"/>
      <c r="AZ274" s="1395"/>
      <c r="BA274" s="1395"/>
      <c r="BB274" s="1395"/>
      <c r="BC274" s="1395"/>
      <c r="BD274" s="1395"/>
      <c r="BE274" s="1395"/>
      <c r="BF274" s="1395"/>
      <c r="BG274" s="1395"/>
      <c r="BH274" s="1395"/>
      <c r="BI274" s="1395"/>
      <c r="BJ274" s="1395"/>
      <c r="BK274" s="1395"/>
      <c r="BL274" s="1395"/>
      <c r="BM274" s="1395"/>
      <c r="BN274" s="1395"/>
      <c r="BO274" s="1396"/>
      <c r="BP274" s="1396"/>
      <c r="BQ274" s="1396"/>
    </row>
    <row r="275" spans="1:68" ht="15.6">
      <c r="A275" s="265"/>
      <c r="C275" t="s">
        <v>576</v>
      </c>
      <c r="D275" s="407"/>
      <c r="E275" s="20"/>
      <c r="F275" s="122"/>
      <c r="G275" s="19"/>
      <c r="H275" s="362"/>
      <c r="I275" s="363"/>
      <c r="J275" s="364"/>
      <c r="K275" s="268"/>
      <c r="L275" s="268"/>
      <c r="M275" s="268"/>
      <c r="N275" s="268"/>
      <c r="O275" s="268"/>
      <c r="P275" s="268"/>
      <c r="Q275" s="194"/>
      <c r="R275" s="1282"/>
      <c r="S275" s="982"/>
      <c r="T275" s="331"/>
      <c r="U275" s="331"/>
      <c r="V275" s="331"/>
      <c r="W275" s="331"/>
      <c r="X275" s="331"/>
      <c r="Y275" s="331"/>
      <c r="Z275" s="331"/>
      <c r="AA275" s="331"/>
      <c r="AB275" s="331"/>
      <c r="AC275" s="331"/>
      <c r="AD275" s="331"/>
      <c r="AE275" s="331"/>
      <c r="AF275" s="331"/>
      <c r="AG275" s="331"/>
      <c r="AH275" s="331"/>
      <c r="AI275" s="331"/>
      <c r="AJ275" s="331"/>
      <c r="AK275" s="331"/>
      <c r="AL275" s="331"/>
      <c r="AM275" s="331"/>
      <c r="AN275" s="331"/>
      <c r="AO275" s="331"/>
      <c r="AP275" s="331"/>
      <c r="AQ275" s="331"/>
      <c r="AR275" s="331"/>
      <c r="AS275" s="331"/>
      <c r="AT275" s="331"/>
      <c r="AU275" s="331"/>
      <c r="AV275" s="331"/>
      <c r="AW275" s="331"/>
      <c r="AX275" s="331"/>
      <c r="AY275" s="331"/>
      <c r="AZ275" s="331"/>
      <c r="BA275" s="331"/>
      <c r="BB275" s="331"/>
      <c r="BC275" s="331"/>
      <c r="BD275" s="331"/>
      <c r="BE275" s="331"/>
      <c r="BF275" s="331"/>
      <c r="BG275" s="331"/>
      <c r="BH275" s="331"/>
      <c r="BI275" s="331"/>
      <c r="BJ275" s="331"/>
      <c r="BK275" s="331"/>
      <c r="BL275" s="331"/>
      <c r="BM275" s="331"/>
      <c r="BN275" s="331"/>
      <c r="BO275" s="331"/>
      <c r="BP275" s="255">
        <f>SUM(K275:BO275)</f>
        <v>0</v>
      </c>
    </row>
    <row r="276" spans="1:68" ht="15.6" thickBot="1">
      <c r="A276" s="265"/>
      <c r="C276" s="299"/>
      <c r="D276" s="20"/>
      <c r="E276" s="20"/>
      <c r="F276" s="122"/>
      <c r="G276" s="19"/>
      <c r="H276" s="362"/>
      <c r="I276" s="363"/>
      <c r="J276" s="364"/>
      <c r="K276" s="268"/>
      <c r="L276" s="268"/>
      <c r="M276" s="268"/>
      <c r="N276" s="268"/>
      <c r="O276" s="268"/>
      <c r="P276" s="268"/>
      <c r="Q276" s="268"/>
      <c r="R276" s="268"/>
      <c r="S276" s="268"/>
      <c r="T276" s="268"/>
      <c r="U276" s="268"/>
      <c r="V276" s="268"/>
      <c r="W276" s="268"/>
      <c r="X276" s="268"/>
      <c r="Y276" s="268"/>
      <c r="Z276" s="268"/>
      <c r="AA276" s="268"/>
      <c r="AB276" s="268"/>
      <c r="AC276" s="268"/>
      <c r="AD276" s="268"/>
      <c r="AE276" s="268"/>
      <c r="AF276" s="268"/>
      <c r="AG276" s="268"/>
      <c r="AH276" s="268"/>
      <c r="AI276" s="268"/>
      <c r="AJ276" s="268"/>
      <c r="AK276" s="268"/>
      <c r="AL276" s="268"/>
      <c r="AM276" s="268"/>
      <c r="AN276" s="986"/>
      <c r="AO276" s="268"/>
      <c r="AP276" s="268"/>
      <c r="AQ276" s="268"/>
      <c r="AR276" s="268"/>
      <c r="AS276" s="268"/>
      <c r="AT276" s="268"/>
      <c r="AU276" s="268"/>
      <c r="AV276" s="396"/>
      <c r="AW276" s="396"/>
      <c r="AX276" s="268"/>
      <c r="AY276" s="268"/>
      <c r="AZ276" s="268"/>
      <c r="BA276" s="268"/>
      <c r="BB276" s="268"/>
      <c r="BC276" s="268"/>
      <c r="BD276" s="268"/>
      <c r="BE276" s="268"/>
      <c r="BF276" s="268"/>
      <c r="BG276" s="268"/>
      <c r="BH276" s="268"/>
      <c r="BI276" s="268"/>
      <c r="BJ276" s="268"/>
      <c r="BK276" s="396"/>
      <c r="BL276" s="396"/>
      <c r="BM276" s="268"/>
      <c r="BN276" s="268"/>
      <c r="BO276" s="396"/>
      <c r="BP276" s="268"/>
    </row>
    <row r="277" spans="1:21" ht="40.8" thickBot="1">
      <c r="A277" s="265"/>
      <c r="C277" s="48" t="s">
        <v>704</v>
      </c>
      <c r="D277" s="20"/>
      <c r="E277" s="20"/>
      <c r="F277" s="247" t="s">
        <v>803</v>
      </c>
      <c r="G277" s="19"/>
      <c r="H277" s="527" t="s">
        <v>705</v>
      </c>
      <c r="I277" s="528" t="s">
        <v>707</v>
      </c>
      <c r="J277" s="529" t="s">
        <v>708</v>
      </c>
      <c r="K277" s="620" t="s">
        <v>524</v>
      </c>
      <c r="L277" s="318"/>
      <c r="M277" s="1397"/>
      <c r="N277" s="615"/>
      <c r="O277" s="396"/>
      <c r="P277" s="268"/>
      <c r="Q277" s="194"/>
      <c r="R277" s="255"/>
      <c r="S277" s="193"/>
      <c r="U277" s="127"/>
    </row>
    <row r="278" spans="1:19" ht="15.6">
      <c r="A278" s="265"/>
      <c r="C278" s="48"/>
      <c r="D278" s="20"/>
      <c r="E278" s="20"/>
      <c r="F278" s="122"/>
      <c r="G278" s="19"/>
      <c r="H278" s="362"/>
      <c r="I278" s="363"/>
      <c r="J278" s="364"/>
      <c r="K278" s="840"/>
      <c r="L278" s="268"/>
      <c r="M278" s="268"/>
      <c r="N278" s="268"/>
      <c r="O278" s="268"/>
      <c r="P278" s="268"/>
      <c r="Q278" s="194"/>
      <c r="R278" s="255"/>
      <c r="S278" s="193"/>
    </row>
    <row r="279" spans="1:19" ht="15.6">
      <c r="A279" s="265"/>
      <c r="C279" s="29">
        <v>390</v>
      </c>
      <c r="D279" s="20" t="s">
        <v>21</v>
      </c>
      <c r="E279" s="20"/>
      <c r="F279" s="122">
        <v>50</v>
      </c>
      <c r="G279" s="19"/>
      <c r="H279" s="362" t="s">
        <v>709</v>
      </c>
      <c r="I279" s="363">
        <v>0</v>
      </c>
      <c r="J279" s="364">
        <f>(100-I279)/F279</f>
        <v>2</v>
      </c>
      <c r="K279" s="709">
        <v>1046856.75</v>
      </c>
      <c r="L279" s="268"/>
      <c r="M279" s="268"/>
      <c r="N279" s="268"/>
      <c r="O279" s="268"/>
      <c r="P279" s="268"/>
      <c r="Q279" s="194"/>
      <c r="R279" s="255"/>
      <c r="S279" s="193"/>
    </row>
    <row r="280" spans="1:19" ht="15.6">
      <c r="A280" s="265"/>
      <c r="C280" s="29"/>
      <c r="D280" s="20"/>
      <c r="E280" s="20"/>
      <c r="F280" s="122"/>
      <c r="G280" s="19"/>
      <c r="H280" s="362"/>
      <c r="I280" s="363"/>
      <c r="J280" s="364"/>
      <c r="K280" s="1387"/>
      <c r="L280" s="255"/>
      <c r="M280" s="268"/>
      <c r="N280" s="268"/>
      <c r="O280" s="268"/>
      <c r="P280" s="268"/>
      <c r="Q280" s="194"/>
      <c r="R280" s="255"/>
      <c r="S280" s="193"/>
    </row>
    <row r="281" spans="1:19" ht="15.6">
      <c r="A281" s="265"/>
      <c r="C281" s="29">
        <v>391</v>
      </c>
      <c r="D281" s="20" t="s">
        <v>710</v>
      </c>
      <c r="E281" s="20"/>
      <c r="F281" s="122">
        <v>20</v>
      </c>
      <c r="G281" s="19"/>
      <c r="H281" s="362" t="s">
        <v>711</v>
      </c>
      <c r="I281" s="363">
        <v>0</v>
      </c>
      <c r="J281" s="364">
        <f>(100-I281)/F281</f>
        <v>5</v>
      </c>
      <c r="K281" s="709">
        <v>1011161.3500000001</v>
      </c>
      <c r="L281" s="268"/>
      <c r="M281" s="993"/>
      <c r="N281" s="268"/>
      <c r="O281" s="268"/>
      <c r="P281" s="268"/>
      <c r="Q281" s="194"/>
      <c r="R281" s="255"/>
      <c r="S281" s="193"/>
    </row>
    <row r="282" spans="1:19" ht="15.6">
      <c r="A282" s="265"/>
      <c r="C282" s="29" t="s">
        <v>447</v>
      </c>
      <c r="D282" s="20" t="s">
        <v>712</v>
      </c>
      <c r="E282" s="20"/>
      <c r="F282" s="122">
        <v>10</v>
      </c>
      <c r="G282" s="19"/>
      <c r="H282" s="362" t="s">
        <v>711</v>
      </c>
      <c r="I282" s="363">
        <v>0</v>
      </c>
      <c r="J282" s="364">
        <f>(100-I282)/F282</f>
        <v>10</v>
      </c>
      <c r="K282" s="709"/>
      <c r="L282" s="268"/>
      <c r="M282" s="993"/>
      <c r="N282" s="268"/>
      <c r="O282" s="268"/>
      <c r="P282" s="268"/>
      <c r="Q282" s="194"/>
      <c r="R282" s="255"/>
      <c r="S282" s="193"/>
    </row>
    <row r="283" spans="1:19" ht="15.6">
      <c r="A283" s="265"/>
      <c r="C283" s="29"/>
      <c r="D283" s="20" t="s">
        <v>713</v>
      </c>
      <c r="E283" s="20"/>
      <c r="F283" s="122">
        <v>10</v>
      </c>
      <c r="G283" s="19"/>
      <c r="H283" s="362" t="s">
        <v>711</v>
      </c>
      <c r="I283" s="363">
        <v>0</v>
      </c>
      <c r="J283" s="364">
        <f>(100-I283)/F283</f>
        <v>10</v>
      </c>
      <c r="K283" s="709"/>
      <c r="L283" s="268"/>
      <c r="M283" s="268"/>
      <c r="N283" s="268"/>
      <c r="O283" s="268"/>
      <c r="P283" s="268"/>
      <c r="Q283" s="194"/>
      <c r="R283" s="255"/>
      <c r="S283" s="193"/>
    </row>
    <row r="284" spans="1:19" ht="15.6">
      <c r="A284" s="265"/>
      <c r="C284" s="29"/>
      <c r="D284" s="20"/>
      <c r="E284" s="20"/>
      <c r="F284" s="122"/>
      <c r="G284" s="19"/>
      <c r="H284" s="362"/>
      <c r="I284" s="363"/>
      <c r="J284" s="364"/>
      <c r="K284" s="1387"/>
      <c r="L284" s="268"/>
      <c r="M284" s="268"/>
      <c r="N284" s="268"/>
      <c r="O284" s="268"/>
      <c r="P284" s="268"/>
      <c r="Q284" s="194"/>
      <c r="R284" s="255"/>
      <c r="S284" s="193"/>
    </row>
    <row r="285" spans="1:19" ht="15.6">
      <c r="A285" s="265"/>
      <c r="C285" s="29">
        <v>392</v>
      </c>
      <c r="D285" s="20" t="s">
        <v>714</v>
      </c>
      <c r="E285" s="20"/>
      <c r="F285" s="122"/>
      <c r="G285" s="19"/>
      <c r="H285" s="362"/>
      <c r="I285" s="363"/>
      <c r="J285" s="364"/>
      <c r="K285" s="1387"/>
      <c r="L285" s="268"/>
      <c r="M285" s="127"/>
      <c r="N285" s="268"/>
      <c r="O285" s="268"/>
      <c r="P285" s="268"/>
      <c r="Q285" s="194"/>
      <c r="R285" s="255"/>
      <c r="S285" s="193"/>
    </row>
    <row r="286" spans="1:19" ht="15.6">
      <c r="A286" s="265"/>
      <c r="C286" s="29"/>
      <c r="D286" s="20" t="s">
        <v>715</v>
      </c>
      <c r="E286" s="20"/>
      <c r="F286" s="122">
        <v>15</v>
      </c>
      <c r="G286" s="19"/>
      <c r="H286" s="362" t="s">
        <v>711</v>
      </c>
      <c r="I286" s="363">
        <v>20</v>
      </c>
      <c r="J286" s="364">
        <f t="shared" si="11" ref="J286:J291">(100-I286)/F286</f>
        <v>5.333333333333333</v>
      </c>
      <c r="K286" s="709"/>
      <c r="L286" s="268"/>
      <c r="M286" s="268"/>
      <c r="N286" s="268"/>
      <c r="O286" s="268"/>
      <c r="P286" s="268"/>
      <c r="Q286" s="194"/>
      <c r="R286" s="255"/>
      <c r="S286" s="193"/>
    </row>
    <row r="287" spans="1:19" ht="15.6">
      <c r="A287" s="265"/>
      <c r="C287" s="29"/>
      <c r="D287" s="20" t="s">
        <v>716</v>
      </c>
      <c r="E287" s="20"/>
      <c r="F287" s="122">
        <v>7</v>
      </c>
      <c r="G287" s="19"/>
      <c r="H287" s="362" t="s">
        <v>27</v>
      </c>
      <c r="I287" s="363">
        <v>20</v>
      </c>
      <c r="J287" s="364">
        <f t="shared" si="11"/>
        <v>11.428571428571429</v>
      </c>
      <c r="K287" s="710"/>
      <c r="L287" s="268"/>
      <c r="M287" s="268"/>
      <c r="N287" s="268"/>
      <c r="O287" s="268"/>
      <c r="P287" s="268"/>
      <c r="Q287" s="194"/>
      <c r="R287" s="255"/>
      <c r="S287" s="193"/>
    </row>
    <row r="288" spans="1:19" ht="15.6">
      <c r="A288" s="265"/>
      <c r="C288" s="29"/>
      <c r="D288" s="20" t="s">
        <v>717</v>
      </c>
      <c r="E288" s="20"/>
      <c r="F288" s="530">
        <v>11.50</v>
      </c>
      <c r="G288" s="19"/>
      <c r="H288" s="362" t="s">
        <v>718</v>
      </c>
      <c r="I288" s="363">
        <v>20</v>
      </c>
      <c r="J288" s="364">
        <f t="shared" si="11"/>
        <v>6.9565217391304346</v>
      </c>
      <c r="K288" s="709"/>
      <c r="L288" s="268"/>
      <c r="M288" s="268"/>
      <c r="N288" s="268"/>
      <c r="O288" s="268"/>
      <c r="P288" s="268"/>
      <c r="Q288" s="194"/>
      <c r="R288" s="255"/>
      <c r="S288" s="193"/>
    </row>
    <row r="289" spans="1:19" ht="15.6">
      <c r="A289" s="265"/>
      <c r="C289" s="29"/>
      <c r="D289" s="20" t="s">
        <v>719</v>
      </c>
      <c r="E289" s="20"/>
      <c r="F289" s="530">
        <v>11.50</v>
      </c>
      <c r="G289" s="19"/>
      <c r="H289" s="362" t="s">
        <v>718</v>
      </c>
      <c r="I289" s="363">
        <v>20</v>
      </c>
      <c r="J289" s="364">
        <f t="shared" si="11"/>
        <v>6.9565217391304346</v>
      </c>
      <c r="K289" s="709"/>
      <c r="L289" s="268"/>
      <c r="M289" s="268"/>
      <c r="N289" s="268"/>
      <c r="O289" s="268"/>
      <c r="P289" s="268"/>
      <c r="Q289" s="194"/>
      <c r="R289" s="255"/>
      <c r="S289" s="193"/>
    </row>
    <row r="290" spans="1:19" ht="15.6">
      <c r="A290" s="265"/>
      <c r="C290" s="29"/>
      <c r="D290" s="20" t="s">
        <v>720</v>
      </c>
      <c r="E290" s="20"/>
      <c r="F290" s="122">
        <v>18</v>
      </c>
      <c r="G290" s="19"/>
      <c r="H290" s="362" t="s">
        <v>721</v>
      </c>
      <c r="I290" s="363">
        <v>20</v>
      </c>
      <c r="J290" s="364">
        <f t="shared" si="11"/>
        <v>4.4444444444444446</v>
      </c>
      <c r="K290" s="709"/>
      <c r="L290" s="268"/>
      <c r="M290" s="268"/>
      <c r="N290" s="268"/>
      <c r="O290" s="268"/>
      <c r="P290" s="268"/>
      <c r="Q290" s="194"/>
      <c r="R290" s="255"/>
      <c r="S290" s="193"/>
    </row>
    <row r="291" spans="1:19" ht="15.6">
      <c r="A291" s="265"/>
      <c r="C291" s="29"/>
      <c r="D291" s="20" t="s">
        <v>722</v>
      </c>
      <c r="E291" s="20"/>
      <c r="F291" s="122">
        <v>15</v>
      </c>
      <c r="G291" s="19"/>
      <c r="H291" s="362" t="s">
        <v>711</v>
      </c>
      <c r="I291" s="363">
        <v>20</v>
      </c>
      <c r="J291" s="364">
        <f t="shared" si="11"/>
        <v>5.333333333333333</v>
      </c>
      <c r="K291" s="709"/>
      <c r="L291" s="268"/>
      <c r="M291" s="268"/>
      <c r="N291" s="268"/>
      <c r="O291" s="268"/>
      <c r="P291" s="268"/>
      <c r="Q291" s="194"/>
      <c r="R291" s="255"/>
      <c r="S291" s="193"/>
    </row>
    <row r="292" spans="1:19" ht="15.6">
      <c r="A292" s="265"/>
      <c r="C292" s="29"/>
      <c r="D292" s="20"/>
      <c r="E292" s="20"/>
      <c r="F292" s="122"/>
      <c r="G292" s="19"/>
      <c r="H292" s="362"/>
      <c r="I292" s="363"/>
      <c r="J292" s="364"/>
      <c r="K292" s="1387"/>
      <c r="L292" s="268"/>
      <c r="M292" s="268"/>
      <c r="N292" s="268"/>
      <c r="O292" s="268"/>
      <c r="P292" s="268"/>
      <c r="Q292" s="194"/>
      <c r="R292" s="255"/>
      <c r="S292" s="193"/>
    </row>
    <row r="293" spans="1:19" ht="15.6">
      <c r="A293" s="265"/>
      <c r="C293" s="29">
        <v>393</v>
      </c>
      <c r="D293" s="20" t="s">
        <v>723</v>
      </c>
      <c r="E293" s="20"/>
      <c r="F293" s="122">
        <v>20</v>
      </c>
      <c r="G293" s="19"/>
      <c r="H293" s="362" t="s">
        <v>711</v>
      </c>
      <c r="I293" s="363">
        <v>0</v>
      </c>
      <c r="J293" s="364">
        <f>(100-I293)/F293</f>
        <v>5</v>
      </c>
      <c r="K293" s="709"/>
      <c r="L293" s="268"/>
      <c r="M293" s="268"/>
      <c r="N293" s="268"/>
      <c r="O293" s="268"/>
      <c r="P293" s="268"/>
      <c r="Q293" s="194"/>
      <c r="R293" s="255"/>
      <c r="S293" s="193"/>
    </row>
    <row r="294" spans="1:19" ht="15.6">
      <c r="A294" s="265"/>
      <c r="C294" s="29"/>
      <c r="I294" s="363"/>
      <c r="J294" s="364"/>
      <c r="K294" s="1387"/>
      <c r="L294" s="268"/>
      <c r="M294" s="268"/>
      <c r="N294" s="268"/>
      <c r="O294" s="268"/>
      <c r="P294" s="268"/>
      <c r="Q294" s="194"/>
      <c r="R294" s="255"/>
      <c r="S294" s="193"/>
    </row>
    <row r="295" spans="1:19" ht="15.6">
      <c r="A295" s="265"/>
      <c r="C295" s="29">
        <v>394</v>
      </c>
      <c r="D295" s="20" t="s">
        <v>724</v>
      </c>
      <c r="E295" s="20"/>
      <c r="F295" s="122">
        <v>20</v>
      </c>
      <c r="G295" s="19"/>
      <c r="H295" s="362" t="s">
        <v>711</v>
      </c>
      <c r="I295" s="363">
        <v>0</v>
      </c>
      <c r="J295" s="364">
        <f>(100-I295)/F295</f>
        <v>5</v>
      </c>
      <c r="K295" s="709"/>
      <c r="L295" s="268"/>
      <c r="M295" s="396"/>
      <c r="N295" s="268"/>
      <c r="O295" s="268"/>
      <c r="P295" s="268"/>
      <c r="Q295" s="194"/>
      <c r="R295" s="255"/>
      <c r="S295" s="193"/>
    </row>
    <row r="296" spans="1:19" ht="15.6">
      <c r="A296" s="265"/>
      <c r="C296" s="29"/>
      <c r="D296" s="20"/>
      <c r="E296" s="20" t="s">
        <v>447</v>
      </c>
      <c r="F296" s="122"/>
      <c r="G296" s="19"/>
      <c r="H296" s="362"/>
      <c r="I296" s="363"/>
      <c r="J296" s="364"/>
      <c r="K296" s="1387"/>
      <c r="L296" s="268"/>
      <c r="M296" s="396"/>
      <c r="N296" s="268"/>
      <c r="O296" s="268"/>
      <c r="P296" s="268"/>
      <c r="Q296" s="194"/>
      <c r="R296" s="255"/>
      <c r="S296" s="193"/>
    </row>
    <row r="297" spans="1:19" ht="15.6">
      <c r="A297" s="265"/>
      <c r="C297" s="29">
        <v>396</v>
      </c>
      <c r="D297" s="20" t="s">
        <v>725</v>
      </c>
      <c r="E297" s="20"/>
      <c r="F297" s="122">
        <v>18</v>
      </c>
      <c r="G297" s="19"/>
      <c r="H297" s="362" t="s">
        <v>721</v>
      </c>
      <c r="I297" s="363">
        <v>25</v>
      </c>
      <c r="J297" s="364">
        <f>(100-I297)/F297</f>
        <v>4.166666666666667</v>
      </c>
      <c r="K297" s="709"/>
      <c r="L297" s="268"/>
      <c r="M297" s="268"/>
      <c r="N297" s="268"/>
      <c r="O297" s="268"/>
      <c r="P297" s="268"/>
      <c r="Q297" s="194"/>
      <c r="R297" s="255"/>
      <c r="S297" s="193"/>
    </row>
    <row r="298" spans="1:19" ht="15.6">
      <c r="A298" s="265"/>
      <c r="C298" s="29"/>
      <c r="D298" s="20"/>
      <c r="E298" s="20"/>
      <c r="F298" s="122"/>
      <c r="G298" s="19"/>
      <c r="H298" s="362"/>
      <c r="I298" s="363"/>
      <c r="J298" s="364"/>
      <c r="K298" s="1387"/>
      <c r="L298" s="268"/>
      <c r="M298" s="268"/>
      <c r="N298" s="268"/>
      <c r="O298" s="268"/>
      <c r="P298" s="268"/>
      <c r="Q298" s="194"/>
      <c r="R298" s="255"/>
      <c r="S298" s="193"/>
    </row>
    <row r="299" spans="1:19" ht="15.6">
      <c r="A299" s="265"/>
      <c r="C299" s="29">
        <v>397</v>
      </c>
      <c r="D299" s="20" t="s">
        <v>726</v>
      </c>
      <c r="E299" s="20"/>
      <c r="F299" s="122">
        <v>15</v>
      </c>
      <c r="G299" s="19"/>
      <c r="H299" s="362" t="s">
        <v>711</v>
      </c>
      <c r="I299" s="363">
        <v>0</v>
      </c>
      <c r="J299" s="364">
        <f>(100-I299)/F299</f>
        <v>6.666666666666667</v>
      </c>
      <c r="K299" s="709">
        <v>1238955.93</v>
      </c>
      <c r="L299" s="268"/>
      <c r="M299" s="268"/>
      <c r="N299" s="268"/>
      <c r="O299" s="268"/>
      <c r="P299" s="268"/>
      <c r="Q299" s="194"/>
      <c r="R299" s="255"/>
      <c r="S299" s="193"/>
    </row>
    <row r="300" spans="1:19" ht="16.2" thickBot="1">
      <c r="A300" s="265"/>
      <c r="C300" s="29"/>
      <c r="D300" s="20"/>
      <c r="E300" s="20"/>
      <c r="F300" s="122"/>
      <c r="G300" s="19"/>
      <c r="I300" s="363"/>
      <c r="J300" s="364"/>
      <c r="K300" s="1387"/>
      <c r="L300" s="268"/>
      <c r="M300" s="268"/>
      <c r="N300" s="268"/>
      <c r="O300" s="268"/>
      <c r="P300" s="268"/>
      <c r="Q300" s="194"/>
      <c r="R300" s="255"/>
      <c r="S300" s="193"/>
    </row>
    <row r="301" spans="1:19" ht="15.6">
      <c r="A301" s="265"/>
      <c r="C301" s="29">
        <v>398</v>
      </c>
      <c r="D301" s="20" t="s">
        <v>727</v>
      </c>
      <c r="E301" s="20"/>
      <c r="F301" s="122">
        <v>15</v>
      </c>
      <c r="G301" s="19"/>
      <c r="H301" s="362" t="s">
        <v>711</v>
      </c>
      <c r="I301" s="363">
        <v>0</v>
      </c>
      <c r="J301" s="364">
        <f>(100-I301)/F301</f>
        <v>6.666666666666667</v>
      </c>
      <c r="K301" s="1398">
        <v>0</v>
      </c>
      <c r="L301" s="268"/>
      <c r="M301" s="268"/>
      <c r="N301" s="268"/>
      <c r="O301" s="268"/>
      <c r="P301" s="268"/>
      <c r="Q301" s="194"/>
      <c r="R301" s="255"/>
      <c r="S301" s="193"/>
    </row>
    <row r="302" spans="1:62" ht="16.2" thickBot="1">
      <c r="A302" s="265"/>
      <c r="C302" s="29" t="s">
        <v>728</v>
      </c>
      <c r="D302" s="20"/>
      <c r="E302" s="20"/>
      <c r="F302" s="122"/>
      <c r="G302" s="19"/>
      <c r="H302" s="362"/>
      <c r="I302" s="363"/>
      <c r="J302" s="364"/>
      <c r="K302" s="1399">
        <f>SUM(K279:K301)</f>
        <v>3296974.0300000003</v>
      </c>
      <c r="L302" s="268"/>
      <c r="M302" s="268"/>
      <c r="N302" s="268"/>
      <c r="O302" s="268"/>
      <c r="P302" s="268"/>
      <c r="Q302" s="194"/>
      <c r="R302" s="255"/>
      <c r="S302" s="193"/>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row>
    <row r="303" spans="1:19" ht="16.2" thickBot="1">
      <c r="A303" s="265"/>
      <c r="C303" s="199" t="s">
        <v>729</v>
      </c>
      <c r="D303" s="660">
        <f>K302</f>
        <v>3296974.0300000003</v>
      </c>
      <c r="E303" s="941"/>
      <c r="F303" s="122"/>
      <c r="G303" s="19"/>
      <c r="H303" s="362"/>
      <c r="I303" s="363"/>
      <c r="J303" s="364"/>
      <c r="K303" s="1282"/>
      <c r="L303" s="268"/>
      <c r="M303" s="268"/>
      <c r="N303" s="268"/>
      <c r="O303" s="268"/>
      <c r="P303" s="268"/>
      <c r="Q303" s="194"/>
      <c r="R303" s="255"/>
      <c r="S303" s="193"/>
    </row>
    <row r="304" spans="1:19" ht="16.2" thickBot="1">
      <c r="A304" s="265"/>
      <c r="C304" s="199"/>
      <c r="D304" s="663"/>
      <c r="E304" s="20"/>
      <c r="F304" s="122"/>
      <c r="G304" s="19"/>
      <c r="H304" s="362"/>
      <c r="I304" s="363"/>
      <c r="J304" s="364"/>
      <c r="K304" s="268"/>
      <c r="L304" s="268"/>
      <c r="M304" s="268"/>
      <c r="N304" s="268"/>
      <c r="O304" s="268"/>
      <c r="P304" s="268"/>
      <c r="Q304" s="194"/>
      <c r="R304" s="1282"/>
      <c r="S304" s="193"/>
    </row>
    <row r="305" spans="1:19" ht="31.8" thickBot="1">
      <c r="A305" s="265"/>
      <c r="C305" s="48" t="s">
        <v>730</v>
      </c>
      <c r="D305" s="663"/>
      <c r="E305" s="20"/>
      <c r="F305" s="247" t="s">
        <v>803</v>
      </c>
      <c r="G305" s="19"/>
      <c r="H305" s="527" t="s">
        <v>705</v>
      </c>
      <c r="I305" s="528" t="s">
        <v>707</v>
      </c>
      <c r="J305" s="529" t="s">
        <v>731</v>
      </c>
      <c r="K305" s="621" t="s">
        <v>524</v>
      </c>
      <c r="L305" s="396"/>
      <c r="M305" s="396"/>
      <c r="N305" s="396"/>
      <c r="O305" s="396"/>
      <c r="P305" s="396"/>
      <c r="Q305" s="526"/>
      <c r="S305" s="116"/>
    </row>
    <row r="306" spans="1:19" ht="15.6">
      <c r="A306" s="265"/>
      <c r="C306" s="29"/>
      <c r="D306" s="663"/>
      <c r="E306" s="20"/>
      <c r="F306" s="122"/>
      <c r="G306" s="19"/>
      <c r="H306" s="362"/>
      <c r="I306" s="363"/>
      <c r="J306" s="364"/>
      <c r="K306" s="1400"/>
      <c r="L306" s="396"/>
      <c r="M306" s="396"/>
      <c r="N306" s="396"/>
      <c r="O306" s="396"/>
      <c r="P306" s="396"/>
      <c r="Q306" s="526"/>
      <c r="S306" s="116"/>
    </row>
    <row r="307" spans="1:19" ht="15.6">
      <c r="A307" s="265"/>
      <c r="C307" s="29">
        <v>303</v>
      </c>
      <c r="D307" s="663" t="s">
        <v>732</v>
      </c>
      <c r="E307" s="20"/>
      <c r="F307" s="122">
        <v>5</v>
      </c>
      <c r="G307" s="19"/>
      <c r="H307" s="362" t="s">
        <v>711</v>
      </c>
      <c r="I307" s="363">
        <v>0</v>
      </c>
      <c r="J307" s="364">
        <f>(100-I307)/F307</f>
        <v>20</v>
      </c>
      <c r="K307" s="1401">
        <v>6327959.7600000007</v>
      </c>
      <c r="L307" s="396"/>
      <c r="M307" s="396"/>
      <c r="N307" s="396"/>
      <c r="O307" s="396"/>
      <c r="P307" s="396"/>
      <c r="Q307" s="526"/>
      <c r="S307" s="116"/>
    </row>
    <row r="308" spans="1:19" ht="16.2" thickBot="1">
      <c r="A308" s="265"/>
      <c r="C308" s="29" t="s">
        <v>733</v>
      </c>
      <c r="D308" s="663"/>
      <c r="E308" s="20"/>
      <c r="F308" s="122"/>
      <c r="G308" s="19"/>
      <c r="H308" s="362"/>
      <c r="I308" s="363"/>
      <c r="J308" s="364"/>
      <c r="K308" s="1402">
        <f>SUM(K307)</f>
        <v>6327959.7600000007</v>
      </c>
      <c r="L308" s="396"/>
      <c r="M308" s="396"/>
      <c r="N308" s="396"/>
      <c r="O308" s="396"/>
      <c r="P308" s="396"/>
      <c r="Q308" s="526"/>
      <c r="S308" s="116"/>
    </row>
    <row r="309" spans="1:19" ht="16.2" thickBot="1">
      <c r="A309" s="265"/>
      <c r="C309" s="299" t="s">
        <v>734</v>
      </c>
      <c r="D309" s="660">
        <f>K308</f>
        <v>6327959.7600000007</v>
      </c>
      <c r="E309" s="941"/>
      <c r="F309" s="122"/>
      <c r="G309" s="19"/>
      <c r="H309" s="362"/>
      <c r="I309" s="363"/>
      <c r="J309" s="364"/>
      <c r="K309" s="1403"/>
      <c r="L309" s="396"/>
      <c r="M309" s="396"/>
      <c r="N309" s="396"/>
      <c r="O309" s="396"/>
      <c r="P309" s="396"/>
      <c r="Q309" s="526"/>
      <c r="S309" s="116"/>
    </row>
    <row r="310" spans="1:19" ht="13.8">
      <c r="A310" s="265"/>
      <c r="C310" s="299"/>
      <c r="G310" s="116"/>
      <c r="H310" s="116"/>
      <c r="I310" s="116"/>
      <c r="J310" s="116"/>
      <c r="K310" s="526"/>
      <c r="L310" s="526"/>
      <c r="M310" s="526"/>
      <c r="N310" s="526"/>
      <c r="O310" s="526"/>
      <c r="P310" s="526"/>
      <c r="Q310" s="526"/>
      <c r="S310" s="116"/>
    </row>
    <row r="311" spans="1:19" ht="13.8">
      <c r="A311" s="265"/>
      <c r="C311" s="299"/>
      <c r="D311" s="229"/>
      <c r="G311" s="116"/>
      <c r="H311" s="116"/>
      <c r="I311" s="116"/>
      <c r="J311" s="116"/>
      <c r="K311" s="519"/>
      <c r="L311" s="519"/>
      <c r="M311" s="519"/>
      <c r="N311" s="519"/>
      <c r="O311" s="519"/>
      <c r="P311" s="519"/>
      <c r="Q311" s="519"/>
      <c r="S311" s="116"/>
    </row>
    <row r="312" spans="1:21" ht="14.4" thickBot="1">
      <c r="A312" s="128"/>
      <c r="B312" s="129"/>
      <c r="C312" s="129" t="s">
        <v>735</v>
      </c>
      <c r="D312" s="129"/>
      <c r="E312" s="129"/>
      <c r="F312" s="129"/>
      <c r="G312" s="169"/>
      <c r="H312" s="169"/>
      <c r="I312" s="169"/>
      <c r="J312" s="169"/>
      <c r="K312" s="531"/>
      <c r="L312" s="531"/>
      <c r="M312" s="531"/>
      <c r="N312" s="531"/>
      <c r="O312" s="531"/>
      <c r="P312" s="531"/>
      <c r="Q312" s="531"/>
      <c r="R312" s="531"/>
      <c r="S312" s="169"/>
      <c r="T312" s="129"/>
      <c r="U312" s="129"/>
    </row>
    <row r="313" spans="7:19" ht="13.8">
      <c r="G313" s="116"/>
      <c r="H313" s="116"/>
      <c r="I313" s="116"/>
      <c r="J313" s="116"/>
      <c r="K313" s="116"/>
      <c r="L313" s="116"/>
      <c r="M313" s="116"/>
      <c r="N313" s="116"/>
      <c r="O313" s="116"/>
      <c r="P313" s="116"/>
      <c r="Q313" s="116"/>
      <c r="R313" s="116"/>
      <c r="S313" s="116"/>
    </row>
    <row r="314" spans="1:19" ht="21.6" thickBot="1">
      <c r="A314" s="159" t="s">
        <v>66</v>
      </c>
      <c r="G314" s="116"/>
      <c r="H314" s="116"/>
      <c r="I314" s="116"/>
      <c r="J314" s="116"/>
      <c r="K314" s="116"/>
      <c r="L314" s="116"/>
      <c r="M314" s="116"/>
      <c r="N314" s="116"/>
      <c r="O314" s="116"/>
      <c r="P314" s="116"/>
      <c r="Q314" s="116"/>
      <c r="R314" s="116"/>
      <c r="S314" s="116"/>
    </row>
    <row r="315" spans="1:19" ht="17.4">
      <c r="A315" s="178"/>
      <c r="B315" s="179"/>
      <c r="C315" s="185"/>
      <c r="D315" s="185"/>
      <c r="E315" s="185"/>
      <c r="F315" s="185"/>
      <c r="G315" s="1778"/>
      <c r="H315" s="1779"/>
      <c r="I315" s="378"/>
      <c r="J315" s="1778"/>
      <c r="K315" s="1779"/>
      <c r="L315" s="1778"/>
      <c r="M315" s="1778"/>
      <c r="N315" s="1779"/>
      <c r="O315" s="181"/>
      <c r="P315" s="181"/>
      <c r="Q315" s="181"/>
      <c r="R315" s="181"/>
      <c r="S315" s="182"/>
    </row>
    <row r="316" spans="1:19" ht="15.6">
      <c r="A316" s="371"/>
      <c r="B316" s="372"/>
      <c r="C316" s="373"/>
      <c r="D316" s="1404"/>
      <c r="E316" s="374"/>
      <c r="G316" s="116"/>
      <c r="H316" s="116"/>
      <c r="I316" s="116"/>
      <c r="J316" s="116"/>
      <c r="K316" s="116"/>
      <c r="L316" s="116"/>
      <c r="M316" s="116"/>
      <c r="N316" s="116"/>
      <c r="O316" s="116"/>
      <c r="P316" s="116"/>
      <c r="Q316" s="116"/>
      <c r="R316" s="116"/>
      <c r="S316" s="168"/>
    </row>
    <row r="317" spans="1:19" ht="13.8">
      <c r="A317" s="371"/>
      <c r="B317">
        <v>1</v>
      </c>
      <c r="C317" t="s">
        <v>203</v>
      </c>
      <c r="E317" s="496">
        <v>22856433</v>
      </c>
      <c r="F317" s="331"/>
      <c r="G317" s="116"/>
      <c r="H317" s="116"/>
      <c r="I317" s="116"/>
      <c r="J317" s="116"/>
      <c r="K317" s="116"/>
      <c r="L317" s="116"/>
      <c r="M317" s="116"/>
      <c r="N317" s="116"/>
      <c r="O317" s="116"/>
      <c r="P317" s="116"/>
      <c r="Q317" s="116"/>
      <c r="R317" s="116"/>
      <c r="S317" s="168"/>
    </row>
    <row r="318" spans="1:19" ht="13.8">
      <c r="A318" s="371"/>
      <c r="B318">
        <v>2</v>
      </c>
      <c r="C318" t="s">
        <v>204</v>
      </c>
      <c r="E318" s="496">
        <v>8786372</v>
      </c>
      <c r="F318" s="331"/>
      <c r="G318" s="116"/>
      <c r="H318" s="116"/>
      <c r="I318" s="116"/>
      <c r="J318" s="116"/>
      <c r="K318" s="116"/>
      <c r="L318" s="116"/>
      <c r="M318" s="116"/>
      <c r="N318" s="116"/>
      <c r="O318" s="116"/>
      <c r="P318" s="116"/>
      <c r="Q318" s="116"/>
      <c r="R318" s="116"/>
      <c r="S318" s="168"/>
    </row>
    <row r="319" spans="1:19" ht="13.8">
      <c r="A319" s="371"/>
      <c r="B319">
        <v>3</v>
      </c>
      <c r="C319" t="s">
        <v>205</v>
      </c>
      <c r="E319" s="496">
        <f>+E317-E318</f>
        <v>14070061</v>
      </c>
      <c r="F319" s="331"/>
      <c r="G319" s="116"/>
      <c r="H319" s="116"/>
      <c r="I319" s="116"/>
      <c r="J319" s="116"/>
      <c r="K319" s="116"/>
      <c r="L319" s="116"/>
      <c r="M319" s="116"/>
      <c r="N319" s="116"/>
      <c r="O319" s="116"/>
      <c r="P319" s="116"/>
      <c r="Q319" s="116"/>
      <c r="R319" s="116"/>
      <c r="S319" s="168"/>
    </row>
    <row r="320" spans="1:19" ht="13.8">
      <c r="A320" s="371"/>
      <c r="B320">
        <v>4</v>
      </c>
      <c r="C320" t="s">
        <v>208</v>
      </c>
      <c r="E320" s="496">
        <v>4408</v>
      </c>
      <c r="F320" s="331"/>
      <c r="G320" s="116"/>
      <c r="H320" s="116"/>
      <c r="I320" s="116"/>
      <c r="J320" s="116"/>
      <c r="K320" s="116"/>
      <c r="L320" s="116"/>
      <c r="M320" s="116"/>
      <c r="N320" s="116"/>
      <c r="O320" s="116"/>
      <c r="P320" s="116"/>
      <c r="Q320" s="116"/>
      <c r="R320" s="116"/>
      <c r="S320" s="168"/>
    </row>
    <row r="321" spans="1:19" ht="13.8">
      <c r="A321" s="371"/>
      <c r="B321">
        <v>5</v>
      </c>
      <c r="C321" t="s">
        <v>206</v>
      </c>
      <c r="E321" s="315">
        <f>+E319/E320</f>
        <v>3191.9376134301269</v>
      </c>
      <c r="F321" s="331"/>
      <c r="G321" s="116"/>
      <c r="H321" s="116"/>
      <c r="I321" s="116"/>
      <c r="J321" s="116"/>
      <c r="K321" s="116"/>
      <c r="L321" s="116"/>
      <c r="M321" s="116"/>
      <c r="N321" s="116"/>
      <c r="O321" s="116"/>
      <c r="P321" s="116"/>
      <c r="Q321" s="116"/>
      <c r="R321" s="116"/>
      <c r="S321" s="168"/>
    </row>
    <row r="322" spans="1:19" ht="13.8">
      <c r="A322" s="371"/>
      <c r="B322">
        <v>6</v>
      </c>
      <c r="C322" t="s">
        <v>207</v>
      </c>
      <c r="E322" s="1405">
        <v>0</v>
      </c>
      <c r="F322" s="331"/>
      <c r="G322" s="175"/>
      <c r="H322" s="175"/>
      <c r="I322" s="175"/>
      <c r="J322" s="175"/>
      <c r="K322" s="175"/>
      <c r="L322" s="175"/>
      <c r="M322" s="175"/>
      <c r="N322" s="175"/>
      <c r="O322" s="175"/>
      <c r="P322" s="175"/>
      <c r="Q322" s="175"/>
      <c r="R322" s="175"/>
      <c r="S322" s="497"/>
    </row>
    <row r="323" spans="1:19" ht="13.8">
      <c r="A323" s="371"/>
      <c r="B323">
        <v>7</v>
      </c>
      <c r="C323" s="299" t="s">
        <v>187</v>
      </c>
      <c r="E323" s="315">
        <f>E322*E321</f>
        <v>0</v>
      </c>
      <c r="F323" s="331"/>
      <c r="G323" s="175"/>
      <c r="H323" s="175"/>
      <c r="I323" s="175"/>
      <c r="J323" s="175"/>
      <c r="K323" s="175"/>
      <c r="L323" s="175"/>
      <c r="M323" s="175"/>
      <c r="N323" s="175"/>
      <c r="O323" s="175"/>
      <c r="P323" s="175"/>
      <c r="Q323" s="175"/>
      <c r="R323" s="175"/>
      <c r="S323" s="497"/>
    </row>
    <row r="324" spans="1:19" ht="15">
      <c r="A324" s="371"/>
      <c r="B324">
        <v>8</v>
      </c>
      <c r="C324" t="s">
        <v>211</v>
      </c>
      <c r="E324" s="1406">
        <v>0</v>
      </c>
      <c r="F324" s="1407"/>
      <c r="G324" s="175"/>
      <c r="H324" s="175"/>
      <c r="I324" s="175"/>
      <c r="J324" s="175"/>
      <c r="K324" s="175"/>
      <c r="L324" s="175"/>
      <c r="M324" s="175"/>
      <c r="N324" s="175"/>
      <c r="O324" s="175"/>
      <c r="P324" s="175"/>
      <c r="Q324" s="175"/>
      <c r="R324" s="175"/>
      <c r="S324" s="497"/>
    </row>
    <row r="325" spans="1:19" ht="13.8">
      <c r="A325" s="371">
        <v>57</v>
      </c>
      <c r="B325">
        <v>9</v>
      </c>
      <c r="C325" t="s">
        <v>759</v>
      </c>
      <c r="E325" s="268">
        <f>+E323-E324</f>
        <v>0</v>
      </c>
      <c r="F325" s="318"/>
      <c r="G325" s="175"/>
      <c r="H325" s="175"/>
      <c r="I325" s="175"/>
      <c r="J325" s="175"/>
      <c r="K325" s="175"/>
      <c r="L325" s="175"/>
      <c r="M325" s="175"/>
      <c r="N325" s="175"/>
      <c r="O325" s="175"/>
      <c r="P325" s="175"/>
      <c r="Q325" s="175"/>
      <c r="R325" s="175"/>
      <c r="S325" s="497"/>
    </row>
    <row r="326" spans="1:19" ht="14.4" thickBot="1">
      <c r="A326" s="500"/>
      <c r="B326" s="129"/>
      <c r="C326" s="129" t="s">
        <v>216</v>
      </c>
      <c r="D326" s="129"/>
      <c r="E326" s="129"/>
      <c r="F326" s="129"/>
      <c r="G326" s="498"/>
      <c r="H326" s="498"/>
      <c r="I326" s="498"/>
      <c r="J326" s="498"/>
      <c r="K326" s="498"/>
      <c r="L326" s="498"/>
      <c r="M326" s="498"/>
      <c r="N326" s="498"/>
      <c r="O326" s="498"/>
      <c r="P326" s="498"/>
      <c r="Q326" s="498"/>
      <c r="R326" s="498"/>
      <c r="S326" s="499"/>
    </row>
    <row r="327" spans="7:19" ht="13.8">
      <c r="G327" s="175"/>
      <c r="H327" s="175"/>
      <c r="I327" s="175"/>
      <c r="J327" s="175"/>
      <c r="K327" s="175"/>
      <c r="L327" s="175"/>
      <c r="M327" s="175"/>
      <c r="N327" s="175"/>
      <c r="O327" s="175"/>
      <c r="P327" s="175"/>
      <c r="Q327" s="175"/>
      <c r="R327" s="175"/>
      <c r="S327" s="175"/>
    </row>
    <row r="328" spans="7:19" ht="13.8">
      <c r="G328" s="175"/>
      <c r="H328" s="175"/>
      <c r="I328" s="175"/>
      <c r="J328" s="175"/>
      <c r="K328" s="175"/>
      <c r="L328" s="175"/>
      <c r="M328" s="175"/>
      <c r="N328" s="175"/>
      <c r="O328" s="175"/>
      <c r="P328" s="175"/>
      <c r="Q328" s="175"/>
      <c r="R328" s="175"/>
      <c r="S328" s="175"/>
    </row>
    <row r="329" spans="7:19" ht="13.8">
      <c r="G329" s="175"/>
      <c r="H329" s="175"/>
      <c r="I329" s="175"/>
      <c r="J329" s="175"/>
      <c r="K329" s="175"/>
      <c r="L329" s="175"/>
      <c r="M329" s="175"/>
      <c r="N329" s="175"/>
      <c r="O329" s="175"/>
      <c r="P329" s="175"/>
      <c r="Q329" s="175"/>
      <c r="R329" s="175"/>
      <c r="S329" s="175"/>
    </row>
    <row r="330" spans="7:19" ht="13.8">
      <c r="G330" s="175"/>
      <c r="H330" s="175"/>
      <c r="I330" s="175"/>
      <c r="J330" s="175"/>
      <c r="K330" s="175"/>
      <c r="L330" s="175"/>
      <c r="M330" s="175"/>
      <c r="N330" s="175"/>
      <c r="O330" s="175"/>
      <c r="P330" s="175"/>
      <c r="Q330" s="175"/>
      <c r="R330" s="175"/>
      <c r="S330" s="175"/>
    </row>
    <row r="331" spans="7:19" ht="13.8">
      <c r="G331" s="175"/>
      <c r="H331" s="175"/>
      <c r="I331" s="175"/>
      <c r="J331" s="175"/>
      <c r="K331" s="175"/>
      <c r="L331" s="175"/>
      <c r="M331" s="175"/>
      <c r="N331" s="175"/>
      <c r="O331" s="175"/>
      <c r="P331" s="175"/>
      <c r="Q331" s="175"/>
      <c r="R331" s="175"/>
      <c r="S331" s="175"/>
    </row>
    <row r="332" spans="7:19" ht="13.8">
      <c r="G332" s="175"/>
      <c r="H332" s="175"/>
      <c r="I332" s="175"/>
      <c r="J332" s="175"/>
      <c r="K332" s="175"/>
      <c r="L332" s="175"/>
      <c r="M332" s="175"/>
      <c r="N332" s="175"/>
      <c r="O332" s="175"/>
      <c r="P332" s="175"/>
      <c r="Q332" s="175"/>
      <c r="R332" s="175"/>
      <c r="S332" s="175"/>
    </row>
    <row r="333" spans="7:19" ht="13.8">
      <c r="G333" s="175"/>
      <c r="H333" s="175"/>
      <c r="I333" s="175"/>
      <c r="J333" s="175"/>
      <c r="K333" s="175"/>
      <c r="L333" s="175"/>
      <c r="M333" s="175"/>
      <c r="N333" s="175"/>
      <c r="O333" s="175"/>
      <c r="P333" s="175"/>
      <c r="Q333" s="175"/>
      <c r="R333" s="175"/>
      <c r="S333" s="175"/>
    </row>
    <row r="334" spans="7:19" ht="13.8">
      <c r="G334" s="175"/>
      <c r="H334" s="175"/>
      <c r="I334" s="175"/>
      <c r="J334" s="175"/>
      <c r="K334" s="175"/>
      <c r="L334" s="175"/>
      <c r="M334" s="175"/>
      <c r="N334" s="175"/>
      <c r="O334" s="175"/>
      <c r="P334" s="175"/>
      <c r="Q334" s="175"/>
      <c r="R334" s="175"/>
      <c r="S334" s="175"/>
    </row>
    <row r="335" spans="7:19" ht="13.8">
      <c r="G335" s="175"/>
      <c r="H335" s="175"/>
      <c r="I335" s="175"/>
      <c r="J335" s="175"/>
      <c r="K335" s="175"/>
      <c r="L335" s="175"/>
      <c r="M335" s="175"/>
      <c r="N335" s="175"/>
      <c r="O335" s="175"/>
      <c r="P335" s="175"/>
      <c r="Q335" s="175"/>
      <c r="R335" s="175"/>
      <c r="S335" s="175"/>
    </row>
    <row r="336" spans="7:19" ht="13.8">
      <c r="G336" s="175"/>
      <c r="H336" s="175"/>
      <c r="I336" s="175"/>
      <c r="J336" s="175"/>
      <c r="K336" s="175"/>
      <c r="L336" s="175"/>
      <c r="M336" s="175"/>
      <c r="N336" s="175"/>
      <c r="O336" s="175"/>
      <c r="P336" s="175"/>
      <c r="Q336" s="175"/>
      <c r="R336" s="175"/>
      <c r="S336" s="175"/>
    </row>
    <row r="337" spans="7:19" ht="13.8">
      <c r="G337" s="175"/>
      <c r="H337" s="175"/>
      <c r="I337" s="175"/>
      <c r="J337" s="175"/>
      <c r="K337" s="175"/>
      <c r="L337" s="175"/>
      <c r="M337" s="175"/>
      <c r="N337" s="175"/>
      <c r="O337" s="175"/>
      <c r="P337" s="175"/>
      <c r="Q337" s="175"/>
      <c r="R337" s="175"/>
      <c r="S337" s="175"/>
    </row>
    <row r="338" spans="7:19" ht="13.8">
      <c r="G338" s="175"/>
      <c r="H338" s="175"/>
      <c r="I338" s="175"/>
      <c r="J338" s="175"/>
      <c r="K338" s="175"/>
      <c r="L338" s="175"/>
      <c r="M338" s="175"/>
      <c r="N338" s="175"/>
      <c r="O338" s="175"/>
      <c r="P338" s="175"/>
      <c r="Q338" s="175"/>
      <c r="R338" s="175"/>
      <c r="S338" s="175"/>
    </row>
    <row r="339" spans="7:19" ht="13.8">
      <c r="G339" s="175"/>
      <c r="H339" s="175"/>
      <c r="I339" s="175"/>
      <c r="J339" s="175"/>
      <c r="K339" s="175"/>
      <c r="L339" s="175"/>
      <c r="M339" s="175"/>
      <c r="N339" s="175"/>
      <c r="O339" s="175"/>
      <c r="P339" s="175"/>
      <c r="Q339" s="175"/>
      <c r="R339" s="175"/>
      <c r="S339" s="175"/>
    </row>
    <row r="340" spans="7:19" ht="13.8">
      <c r="G340" s="175"/>
      <c r="H340" s="175"/>
      <c r="I340" s="175"/>
      <c r="J340" s="175"/>
      <c r="K340" s="175"/>
      <c r="L340" s="175"/>
      <c r="M340" s="175"/>
      <c r="N340" s="175"/>
      <c r="O340" s="175"/>
      <c r="P340" s="175"/>
      <c r="Q340" s="175"/>
      <c r="R340" s="175"/>
      <c r="S340" s="175"/>
    </row>
    <row r="341" spans="7:19" ht="13.8">
      <c r="G341" s="175"/>
      <c r="H341" s="175"/>
      <c r="I341" s="175"/>
      <c r="J341" s="175"/>
      <c r="K341" s="175"/>
      <c r="L341" s="175"/>
      <c r="M341" s="175"/>
      <c r="N341" s="175"/>
      <c r="O341" s="175"/>
      <c r="P341" s="175"/>
      <c r="Q341" s="175"/>
      <c r="R341" s="175"/>
      <c r="S341" s="175"/>
    </row>
    <row r="342" spans="7:19" ht="13.8">
      <c r="G342" s="175"/>
      <c r="H342" s="175"/>
      <c r="I342" s="175"/>
      <c r="J342" s="175"/>
      <c r="K342" s="175"/>
      <c r="L342" s="175"/>
      <c r="M342" s="175"/>
      <c r="N342" s="175"/>
      <c r="O342" s="175"/>
      <c r="P342" s="175"/>
      <c r="Q342" s="175"/>
      <c r="R342" s="175"/>
      <c r="S342" s="175"/>
    </row>
    <row r="343" spans="7:19" ht="13.8">
      <c r="G343" s="175"/>
      <c r="H343" s="175"/>
      <c r="I343" s="175"/>
      <c r="J343" s="175"/>
      <c r="K343" s="175"/>
      <c r="L343" s="175"/>
      <c r="M343" s="175"/>
      <c r="N343" s="175"/>
      <c r="O343" s="175"/>
      <c r="P343" s="175"/>
      <c r="Q343" s="175"/>
      <c r="R343" s="175"/>
      <c r="S343" s="175"/>
    </row>
    <row r="344" spans="7:19" ht="13.8">
      <c r="G344" s="175"/>
      <c r="H344" s="175"/>
      <c r="I344" s="175"/>
      <c r="J344" s="175"/>
      <c r="K344" s="175"/>
      <c r="L344" s="175"/>
      <c r="M344" s="175"/>
      <c r="N344" s="175"/>
      <c r="O344" s="175"/>
      <c r="P344" s="175"/>
      <c r="Q344" s="175"/>
      <c r="R344" s="175"/>
      <c r="S344" s="175"/>
    </row>
    <row r="345" spans="7:19" ht="13.8">
      <c r="G345" s="175"/>
      <c r="H345" s="175"/>
      <c r="I345" s="175"/>
      <c r="J345" s="175"/>
      <c r="K345" s="175"/>
      <c r="L345" s="175"/>
      <c r="M345" s="175"/>
      <c r="N345" s="175"/>
      <c r="O345" s="175"/>
      <c r="P345" s="175"/>
      <c r="Q345" s="175"/>
      <c r="R345" s="175"/>
      <c r="S345" s="175"/>
    </row>
    <row r="346" spans="7:19" ht="13.8">
      <c r="G346" s="175"/>
      <c r="H346" s="175"/>
      <c r="I346" s="175"/>
      <c r="J346" s="175"/>
      <c r="K346" s="175"/>
      <c r="L346" s="175"/>
      <c r="M346" s="175"/>
      <c r="N346" s="175"/>
      <c r="O346" s="175"/>
      <c r="P346" s="175"/>
      <c r="Q346" s="175"/>
      <c r="R346" s="175"/>
      <c r="S346" s="175"/>
    </row>
    <row r="347" spans="7:19" ht="13.8">
      <c r="G347" s="175"/>
      <c r="H347" s="175"/>
      <c r="I347" s="175"/>
      <c r="J347" s="175"/>
      <c r="K347" s="175"/>
      <c r="L347" s="175"/>
      <c r="M347" s="175"/>
      <c r="N347" s="175"/>
      <c r="O347" s="175"/>
      <c r="P347" s="175"/>
      <c r="Q347" s="175"/>
      <c r="R347" s="175"/>
      <c r="S347" s="175"/>
    </row>
    <row r="348" spans="7:19" ht="13.8">
      <c r="G348" s="175"/>
      <c r="H348" s="175"/>
      <c r="I348" s="175"/>
      <c r="J348" s="175"/>
      <c r="K348" s="175"/>
      <c r="L348" s="175"/>
      <c r="M348" s="175"/>
      <c r="N348" s="175"/>
      <c r="O348" s="175"/>
      <c r="P348" s="175"/>
      <c r="Q348" s="175"/>
      <c r="R348" s="175"/>
      <c r="S348" s="175"/>
    </row>
    <row r="349" spans="7:19" ht="13.8">
      <c r="G349" s="175"/>
      <c r="H349" s="175"/>
      <c r="I349" s="175"/>
      <c r="J349" s="175"/>
      <c r="K349" s="175"/>
      <c r="L349" s="175"/>
      <c r="M349" s="175"/>
      <c r="N349" s="175"/>
      <c r="O349" s="175"/>
      <c r="P349" s="175"/>
      <c r="Q349" s="175"/>
      <c r="R349" s="175"/>
      <c r="S349" s="175"/>
    </row>
    <row r="350" spans="7:19" ht="13.8">
      <c r="G350" s="175"/>
      <c r="H350" s="175"/>
      <c r="I350" s="175"/>
      <c r="J350" s="175"/>
      <c r="K350" s="175"/>
      <c r="L350" s="175"/>
      <c r="M350" s="175"/>
      <c r="N350" s="175"/>
      <c r="O350" s="175"/>
      <c r="P350" s="175"/>
      <c r="Q350" s="175"/>
      <c r="R350" s="175"/>
      <c r="S350" s="175"/>
    </row>
    <row r="351" spans="7:19" ht="13.8">
      <c r="G351" s="175"/>
      <c r="H351" s="175"/>
      <c r="I351" s="175"/>
      <c r="J351" s="175"/>
      <c r="K351" s="175"/>
      <c r="L351" s="175"/>
      <c r="M351" s="175"/>
      <c r="N351" s="175"/>
      <c r="O351" s="175"/>
      <c r="P351" s="175"/>
      <c r="Q351" s="175"/>
      <c r="R351" s="175"/>
      <c r="S351" s="175"/>
    </row>
    <row r="352" spans="7:19" ht="13.8">
      <c r="G352" s="175"/>
      <c r="H352" s="175"/>
      <c r="I352" s="175"/>
      <c r="J352" s="175"/>
      <c r="K352" s="175"/>
      <c r="L352" s="175"/>
      <c r="M352" s="175"/>
      <c r="N352" s="175"/>
      <c r="O352" s="175"/>
      <c r="P352" s="175"/>
      <c r="Q352" s="175"/>
      <c r="R352" s="175"/>
      <c r="S352" s="175"/>
    </row>
    <row r="353" spans="7:19" ht="13.8">
      <c r="G353" s="175"/>
      <c r="H353" s="175"/>
      <c r="I353" s="175"/>
      <c r="J353" s="175"/>
      <c r="K353" s="175"/>
      <c r="L353" s="175"/>
      <c r="M353" s="175"/>
      <c r="N353" s="175"/>
      <c r="O353" s="175"/>
      <c r="P353" s="175"/>
      <c r="Q353" s="175"/>
      <c r="R353" s="175"/>
      <c r="S353" s="175"/>
    </row>
    <row r="354" spans="7:19" ht="13.8">
      <c r="G354" s="175"/>
      <c r="H354" s="175"/>
      <c r="I354" s="175"/>
      <c r="J354" s="175"/>
      <c r="K354" s="175"/>
      <c r="L354" s="175"/>
      <c r="M354" s="175"/>
      <c r="N354" s="175"/>
      <c r="O354" s="175"/>
      <c r="P354" s="175"/>
      <c r="Q354" s="175"/>
      <c r="R354" s="175"/>
      <c r="S354" s="175"/>
    </row>
    <row r="355" spans="7:19" ht="13.8">
      <c r="G355" s="175"/>
      <c r="H355" s="175"/>
      <c r="I355" s="175"/>
      <c r="J355" s="175"/>
      <c r="K355" s="175"/>
      <c r="L355" s="175"/>
      <c r="M355" s="175"/>
      <c r="N355" s="175"/>
      <c r="O355" s="175"/>
      <c r="P355" s="175"/>
      <c r="Q355" s="175"/>
      <c r="R355" s="175"/>
      <c r="S355" s="175"/>
    </row>
    <row r="356" spans="7:19" ht="13.8">
      <c r="G356" s="175"/>
      <c r="H356" s="175"/>
      <c r="I356" s="175"/>
      <c r="J356" s="175"/>
      <c r="K356" s="175"/>
      <c r="L356" s="175"/>
      <c r="M356" s="175"/>
      <c r="N356" s="175"/>
      <c r="O356" s="175"/>
      <c r="P356" s="175"/>
      <c r="Q356" s="175"/>
      <c r="R356" s="175"/>
      <c r="S356" s="175"/>
    </row>
    <row r="357" spans="7:19" ht="13.8">
      <c r="G357" s="175"/>
      <c r="H357" s="175"/>
      <c r="I357" s="175"/>
      <c r="J357" s="175"/>
      <c r="K357" s="175"/>
      <c r="L357" s="175"/>
      <c r="M357" s="175"/>
      <c r="N357" s="175"/>
      <c r="O357" s="175"/>
      <c r="P357" s="175"/>
      <c r="Q357" s="175"/>
      <c r="R357" s="175"/>
      <c r="S357" s="175"/>
    </row>
    <row r="358" spans="7:19" ht="13.8">
      <c r="G358" s="175"/>
      <c r="H358" s="175"/>
      <c r="I358" s="175"/>
      <c r="J358" s="175"/>
      <c r="K358" s="175"/>
      <c r="L358" s="175"/>
      <c r="M358" s="175"/>
      <c r="N358" s="175"/>
      <c r="O358" s="175"/>
      <c r="P358" s="175"/>
      <c r="Q358" s="175"/>
      <c r="R358" s="175"/>
      <c r="S358" s="175"/>
    </row>
    <row r="359" spans="7:19" ht="13.8">
      <c r="G359" s="175"/>
      <c r="H359" s="175"/>
      <c r="I359" s="175"/>
      <c r="J359" s="175"/>
      <c r="K359" s="175"/>
      <c r="L359" s="175"/>
      <c r="M359" s="175"/>
      <c r="N359" s="175"/>
      <c r="O359" s="175"/>
      <c r="P359" s="175"/>
      <c r="Q359" s="175"/>
      <c r="R359" s="175"/>
      <c r="S359" s="175"/>
    </row>
    <row r="360" spans="7:19" ht="13.8">
      <c r="G360" s="175"/>
      <c r="H360" s="175"/>
      <c r="I360" s="175"/>
      <c r="J360" s="175"/>
      <c r="K360" s="175"/>
      <c r="L360" s="175"/>
      <c r="M360" s="175"/>
      <c r="N360" s="175"/>
      <c r="O360" s="175"/>
      <c r="P360" s="175"/>
      <c r="Q360" s="175"/>
      <c r="R360" s="175"/>
      <c r="S360" s="175"/>
    </row>
    <row r="361" spans="7:19" ht="13.8">
      <c r="G361" s="175"/>
      <c r="H361" s="175"/>
      <c r="I361" s="175"/>
      <c r="J361" s="175"/>
      <c r="K361" s="175"/>
      <c r="L361" s="175"/>
      <c r="M361" s="175"/>
      <c r="N361" s="175"/>
      <c r="O361" s="175"/>
      <c r="P361" s="175"/>
      <c r="Q361" s="175"/>
      <c r="R361" s="175"/>
      <c r="S361" s="175"/>
    </row>
    <row r="362" spans="7:19" ht="13.8">
      <c r="G362" s="175"/>
      <c r="H362" s="175"/>
      <c r="I362" s="175"/>
      <c r="J362" s="175"/>
      <c r="K362" s="175"/>
      <c r="L362" s="175"/>
      <c r="M362" s="175"/>
      <c r="N362" s="175"/>
      <c r="O362" s="175"/>
      <c r="P362" s="175"/>
      <c r="Q362" s="175"/>
      <c r="R362" s="175"/>
      <c r="S362" s="175"/>
    </row>
    <row r="363" spans="7:19" ht="13.8">
      <c r="G363" s="175"/>
      <c r="H363" s="175"/>
      <c r="I363" s="175"/>
      <c r="J363" s="175"/>
      <c r="K363" s="175"/>
      <c r="L363" s="175"/>
      <c r="M363" s="175"/>
      <c r="N363" s="175"/>
      <c r="O363" s="175"/>
      <c r="P363" s="175"/>
      <c r="Q363" s="175"/>
      <c r="R363" s="175"/>
      <c r="S363" s="175"/>
    </row>
    <row r="364" spans="7:19" ht="13.8">
      <c r="G364" s="175"/>
      <c r="H364" s="175"/>
      <c r="I364" s="175"/>
      <c r="J364" s="175"/>
      <c r="K364" s="175"/>
      <c r="L364" s="175"/>
      <c r="M364" s="175"/>
      <c r="N364" s="175"/>
      <c r="O364" s="175"/>
      <c r="P364" s="175"/>
      <c r="Q364" s="175"/>
      <c r="R364" s="175"/>
      <c r="S364" s="175"/>
    </row>
    <row r="365" spans="7:19" ht="13.8">
      <c r="G365" s="175"/>
      <c r="H365" s="175"/>
      <c r="I365" s="175"/>
      <c r="J365" s="175"/>
      <c r="K365" s="175"/>
      <c r="L365" s="175"/>
      <c r="M365" s="175"/>
      <c r="N365" s="175"/>
      <c r="O365" s="175"/>
      <c r="P365" s="175"/>
      <c r="Q365" s="175"/>
      <c r="R365" s="175"/>
      <c r="S365" s="175"/>
    </row>
    <row r="366" spans="7:19" ht="13.8">
      <c r="G366" s="175"/>
      <c r="H366" s="175"/>
      <c r="I366" s="175"/>
      <c r="J366" s="175"/>
      <c r="K366" s="175"/>
      <c r="L366" s="175"/>
      <c r="M366" s="175"/>
      <c r="N366" s="175"/>
      <c r="O366" s="175"/>
      <c r="P366" s="175"/>
      <c r="Q366" s="175"/>
      <c r="R366" s="175"/>
      <c r="S366" s="175"/>
    </row>
    <row r="367" spans="7:19" ht="13.8">
      <c r="G367" s="175"/>
      <c r="H367" s="175"/>
      <c r="I367" s="175"/>
      <c r="J367" s="175"/>
      <c r="K367" s="175"/>
      <c r="L367" s="175"/>
      <c r="M367" s="175"/>
      <c r="N367" s="175"/>
      <c r="O367" s="175"/>
      <c r="P367" s="175"/>
      <c r="Q367" s="175"/>
      <c r="R367" s="175"/>
      <c r="S367" s="175"/>
    </row>
    <row r="368" spans="7:19" ht="13.8">
      <c r="G368" s="175"/>
      <c r="H368" s="175"/>
      <c r="I368" s="175"/>
      <c r="J368" s="175"/>
      <c r="K368" s="175"/>
      <c r="L368" s="175"/>
      <c r="M368" s="175"/>
      <c r="N368" s="175"/>
      <c r="O368" s="175"/>
      <c r="P368" s="175"/>
      <c r="Q368" s="175"/>
      <c r="R368" s="175"/>
      <c r="S368" s="175"/>
    </row>
    <row r="369" spans="7:19" ht="13.8">
      <c r="G369" s="175"/>
      <c r="H369" s="175"/>
      <c r="I369" s="175"/>
      <c r="J369" s="175"/>
      <c r="K369" s="175"/>
      <c r="L369" s="175"/>
      <c r="M369" s="175"/>
      <c r="N369" s="175"/>
      <c r="O369" s="175"/>
      <c r="P369" s="175"/>
      <c r="Q369" s="175"/>
      <c r="R369" s="175"/>
      <c r="S369" s="175"/>
    </row>
    <row r="370" spans="7:19" ht="13.8">
      <c r="G370" s="175"/>
      <c r="H370" s="175"/>
      <c r="I370" s="175"/>
      <c r="J370" s="175"/>
      <c r="K370" s="175"/>
      <c r="L370" s="175"/>
      <c r="M370" s="175"/>
      <c r="N370" s="175"/>
      <c r="O370" s="175"/>
      <c r="P370" s="175"/>
      <c r="Q370" s="175"/>
      <c r="R370" s="175"/>
      <c r="S370" s="175"/>
    </row>
    <row r="371" spans="7:19" ht="13.8">
      <c r="G371" s="175"/>
      <c r="H371" s="175"/>
      <c r="I371" s="175"/>
      <c r="J371" s="175"/>
      <c r="K371" s="175"/>
      <c r="L371" s="175"/>
      <c r="M371" s="175"/>
      <c r="N371" s="175"/>
      <c r="O371" s="175"/>
      <c r="P371" s="175"/>
      <c r="Q371" s="175"/>
      <c r="R371" s="175"/>
      <c r="S371" s="175"/>
    </row>
    <row r="372" spans="7:19" ht="13.8">
      <c r="G372" s="175"/>
      <c r="H372" s="175"/>
      <c r="I372" s="175"/>
      <c r="J372" s="175"/>
      <c r="K372" s="175"/>
      <c r="L372" s="175"/>
      <c r="M372" s="175"/>
      <c r="N372" s="175"/>
      <c r="O372" s="175"/>
      <c r="P372" s="175"/>
      <c r="Q372" s="175"/>
      <c r="R372" s="175"/>
      <c r="S372" s="175"/>
    </row>
    <row r="373" spans="7:19" ht="13.8">
      <c r="G373" s="175"/>
      <c r="H373" s="175"/>
      <c r="I373" s="175"/>
      <c r="J373" s="175"/>
      <c r="K373" s="175"/>
      <c r="L373" s="175"/>
      <c r="M373" s="175"/>
      <c r="N373" s="175"/>
      <c r="O373" s="175"/>
      <c r="P373" s="175"/>
      <c r="Q373" s="175"/>
      <c r="R373" s="175"/>
      <c r="S373" s="175"/>
    </row>
    <row r="374" spans="7:19" ht="13.8">
      <c r="G374" s="175"/>
      <c r="H374" s="175"/>
      <c r="I374" s="175"/>
      <c r="J374" s="175"/>
      <c r="K374" s="175"/>
      <c r="L374" s="175"/>
      <c r="M374" s="175"/>
      <c r="N374" s="175"/>
      <c r="O374" s="175"/>
      <c r="P374" s="175"/>
      <c r="Q374" s="175"/>
      <c r="R374" s="175"/>
      <c r="S374" s="175"/>
    </row>
    <row r="375" spans="7:19" ht="13.8">
      <c r="G375" s="175"/>
      <c r="H375" s="175"/>
      <c r="I375" s="175"/>
      <c r="J375" s="175"/>
      <c r="K375" s="175"/>
      <c r="L375" s="175"/>
      <c r="M375" s="175"/>
      <c r="N375" s="175"/>
      <c r="O375" s="175"/>
      <c r="P375" s="175"/>
      <c r="Q375" s="175"/>
      <c r="R375" s="175"/>
      <c r="S375" s="175"/>
    </row>
    <row r="376" spans="7:19" ht="13.8">
      <c r="G376" s="175"/>
      <c r="H376" s="175"/>
      <c r="I376" s="175"/>
      <c r="J376" s="175"/>
      <c r="K376" s="175"/>
      <c r="L376" s="175"/>
      <c r="M376" s="175"/>
      <c r="N376" s="175"/>
      <c r="O376" s="175"/>
      <c r="P376" s="175"/>
      <c r="Q376" s="175"/>
      <c r="R376" s="175"/>
      <c r="S376" s="175"/>
    </row>
    <row r="377" spans="7:19" ht="13.8">
      <c r="G377" s="175"/>
      <c r="H377" s="175"/>
      <c r="I377" s="175"/>
      <c r="J377" s="175"/>
      <c r="K377" s="175"/>
      <c r="L377" s="175"/>
      <c r="M377" s="175"/>
      <c r="N377" s="175"/>
      <c r="O377" s="175"/>
      <c r="P377" s="175"/>
      <c r="Q377" s="175"/>
      <c r="R377" s="175"/>
      <c r="S377" s="175"/>
    </row>
    <row r="378" spans="7:19" ht="13.8">
      <c r="G378" s="175"/>
      <c r="H378" s="175"/>
      <c r="I378" s="175"/>
      <c r="J378" s="175"/>
      <c r="K378" s="175"/>
      <c r="L378" s="175"/>
      <c r="M378" s="175"/>
      <c r="N378" s="175"/>
      <c r="O378" s="175"/>
      <c r="P378" s="175"/>
      <c r="Q378" s="175"/>
      <c r="R378" s="175"/>
      <c r="S378" s="175"/>
    </row>
  </sheetData>
  <customSheetViews>
    <customSheetView guid="{dc91def3-837b-4bb9-a81e-3b78c5914e6c}" hiddenRows="1" scale="75" showPageBreaks="1" topLeftCell="A70">
      <selection pane="topLeft" activeCell="C85" sqref="C85:C86"/>
      <rowBreaks count="3" manualBreakCount="3">
        <brk id="50" max="16383" man="1"/>
        <brk id="96" max="16383" man="1"/>
        <brk id="139" max="16383" man="1"/>
      </rowBreaks>
      <pageMargins left="0.25" right="0.25" top="0.75" bottom="0.75" header="0.5" footer="0.5"/>
      <printOptions horizontalCentered="1"/>
      <pageSetup fitToHeight="4" orientation="landscape" paperSize="1" scale="50" r:id="rId2"/>
      <headerFooter alignWithMargins="0">
        <oddHeader>&amp;R&amp;12Page &amp;P of&amp;N</oddHeader>
        <oddFooter>&amp;CPage &amp;P of &amp;N</oddFooter>
      </headerFooter>
    </customSheetView>
    <customSheetView guid="{28948e05-8f34-4f1e-96fb-a80a6a844600}" hiddenRows="1" scale="75" showPageBreaks="1" topLeftCell="A100">
      <selection pane="topLeft" activeCell="C115" sqref="C115"/>
      <rowBreaks count="3" manualBreakCount="3">
        <brk id="50" max="16383" man="1"/>
        <brk id="95" max="16383" man="1"/>
        <brk id="138" max="16383" man="1"/>
      </rowBreaks>
      <pageMargins left="0.25" right="0.25" top="0.75" bottom="0.75" header="0.5" footer="0.5"/>
      <printOptions horizontalCentered="1"/>
      <pageSetup fitToHeight="4" orientation="landscape" paperSize="1" scale="50" r:id="rId3"/>
      <headerFooter alignWithMargins="0">
        <oddHeader>&amp;R&amp;12Page &amp;P of&amp;N</oddHeader>
        <oddFooter>&amp;CPage &amp;P of &amp;N</oddFooter>
      </headerFooter>
    </customSheetView>
    <customSheetView guid="{71b42b22-a376-44b5-b0c1-23fc1aa3dba2}" hiddenRows="1" scale="75" showPageBreaks="1" topLeftCell="A100">
      <selection pane="topLeft" activeCell="C115" sqref="C115"/>
      <rowBreaks count="4" manualBreakCount="4">
        <brk id="50" max="16383" man="1"/>
        <brk id="95" max="16383" man="1"/>
        <brk id="138" max="16383" man="1"/>
        <brk id="199" max="16383" man="1"/>
      </rowBreaks>
      <pageMargins left="0.25" right="0.25" top="0.75" bottom="0.75" header="0.5" footer="0.5"/>
      <printOptions horizontalCentered="1"/>
      <pageSetup fitToHeight="4" orientation="landscape" paperSize="1" scale="50" r:id="rId4"/>
      <headerFooter alignWithMargins="0">
        <oddHeader>&amp;R&amp;14Page &amp;P of&amp;N</oddHeader>
        <oddFooter>&amp;CPage &amp;P of &amp;N</oddFooter>
      </headerFooter>
    </customSheetView>
    <customSheetView guid="{faad9aac-1337-43ab-bf1f-ccf9dfcf5b78}" hiddenRows="1" scale="75" showPageBreaks="1" topLeftCell="E144">
      <selection pane="topLeft" activeCell="E175" sqref="E175"/>
      <rowBreaks count="4" manualBreakCount="4">
        <brk id="50" max="16383" man="1"/>
        <brk id="96" max="16383" man="1"/>
        <brk id="139" max="16383" man="1"/>
        <brk id="200" max="16383" man="1"/>
      </rowBreaks>
      <pageMargins left="0.25" right="0.25" top="0.75" bottom="0.75" header="0.5" footer="0.5"/>
      <printOptions horizontalCentered="1"/>
      <pageSetup fitToHeight="4" orientation="landscape" paperSize="1" scale="50" r:id="rId5"/>
      <headerFooter alignWithMargins="0">
        <oddHeader>&amp;R&amp;12Page &amp;P of&amp;N</oddHeader>
        <oddFooter>&amp;CPage &amp;P of &amp;N</oddFooter>
      </headerFooter>
    </customSheetView>
    <customSheetView guid="{4c7c2344-134c-465a-adeb-a5e96aae2308}" hiddenRows="1" scale="75" showPageBreaks="1" topLeftCell="A97">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paperSize="1" scale="50" r:id="rId6"/>
      <headerFooter alignWithMargins="0">
        <oddHeader>&amp;R&amp;12Page &amp;P of&amp;N</oddHeader>
        <oddFooter>&amp;CPage &amp;P of &amp;N</oddFooter>
      </headerFooter>
    </customSheetView>
    <customSheetView guid="{da967730-b71f-4038-b1b7-9d4790729c5d}" hiddenRows="1" scale="75" showPageBreaks="1" topLeftCell="A97">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paperSize="1" scale="50" r:id="rId7"/>
      <headerFooter alignWithMargins="0">
        <oddHeader>&amp;R&amp;12Page &amp;P of&amp;N</oddHeader>
        <oddFooter>&amp;CPage &amp;P of &amp;N</oddFooter>
      </headerFooter>
    </customSheetView>
    <customSheetView guid="{f96d6087-3330-4a81-95ec-26ba83722a49}" hiddenRows="1" scale="75" showPageBreaks="1" topLeftCell="A97">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paperSize="1" scale="50" r:id="rId8"/>
      <headerFooter alignWithMargins="0">
        <oddHeader>&amp;R&amp;12Page &amp;P of&amp;N</oddHeader>
        <oddFooter>&amp;CPage &amp;P of &amp;N</oddFooter>
      </headerFooter>
    </customSheetView>
    <customSheetView guid="{3a38df7a-c35e-4dd3-9893-26310a3ef836}" hiddenRows="1" scale="75" showPageBreaks="1" topLeftCell="A46">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paperSize="1" scale="50" r:id="rId9"/>
      <headerFooter alignWithMargins="0">
        <oddHeader>&amp;R&amp;12Page &amp;P of&amp;N</oddHeader>
        <oddFooter>&amp;CPage &amp;P of &amp;N</oddFooter>
      </headerFooter>
    </customSheetView>
  </customSheetViews>
  <mergeCells count="63">
    <mergeCell ref="H197:S197"/>
    <mergeCell ref="K189:S189"/>
    <mergeCell ref="J249:K249"/>
    <mergeCell ref="L249:N249"/>
    <mergeCell ref="N209:S209"/>
    <mergeCell ref="H200:S200"/>
    <mergeCell ref="K219:Q219"/>
    <mergeCell ref="H192:S192"/>
    <mergeCell ref="K176:S176"/>
    <mergeCell ref="A160:F160"/>
    <mergeCell ref="K153:S153"/>
    <mergeCell ref="N183:S183"/>
    <mergeCell ref="A217:F217"/>
    <mergeCell ref="K217:S217"/>
    <mergeCell ref="K171:S171"/>
    <mergeCell ref="K154:S154"/>
    <mergeCell ref="H194:S194"/>
    <mergeCell ref="H201:S201"/>
    <mergeCell ref="A209:F209"/>
    <mergeCell ref="A181:F181"/>
    <mergeCell ref="A192:F192"/>
    <mergeCell ref="A187:F187"/>
    <mergeCell ref="A176:F176"/>
    <mergeCell ref="K166:S166"/>
    <mergeCell ref="K147:S147"/>
    <mergeCell ref="K140:S140"/>
    <mergeCell ref="A144:F144"/>
    <mergeCell ref="K173:S173"/>
    <mergeCell ref="K168:S168"/>
    <mergeCell ref="K167:S167"/>
    <mergeCell ref="A171:F171"/>
    <mergeCell ref="L315:N315"/>
    <mergeCell ref="H246:S246"/>
    <mergeCell ref="H203:S203"/>
    <mergeCell ref="G249:H249"/>
    <mergeCell ref="K137:S137"/>
    <mergeCell ref="K152:S152"/>
    <mergeCell ref="K157:S157"/>
    <mergeCell ref="K178:S178"/>
    <mergeCell ref="H198:S198"/>
    <mergeCell ref="K156:R156"/>
    <mergeCell ref="G315:H315"/>
    <mergeCell ref="H202:S202"/>
    <mergeCell ref="H205:S205"/>
    <mergeCell ref="H204:S204"/>
    <mergeCell ref="J315:K315"/>
    <mergeCell ref="K187:S187"/>
    <mergeCell ref="N184:S184"/>
    <mergeCell ref="K135:S135"/>
    <mergeCell ref="A5:F5"/>
    <mergeCell ref="A70:F70"/>
    <mergeCell ref="N181:S181"/>
    <mergeCell ref="K145:S145"/>
    <mergeCell ref="A166:F166"/>
    <mergeCell ref="A135:F135"/>
    <mergeCell ref="K155:S155"/>
    <mergeCell ref="K162:S162"/>
    <mergeCell ref="K136:S136"/>
    <mergeCell ref="K138:S138"/>
    <mergeCell ref="K139:S139"/>
    <mergeCell ref="K151:S151"/>
    <mergeCell ref="A151:F151"/>
    <mergeCell ref="K144:S144"/>
  </mergeCells>
  <printOptions horizontalCentered="1"/>
  <pageMargins left="0" right="0" top="0.9" bottom="0.48" header="0.5" footer="0.5"/>
  <pageSetup fitToHeight="0" orientation="landscape" paperSize="1" scale="27" r:id="rId1"/>
  <headerFooter alignWithMargins="0">
    <oddHeader>&amp;R&amp;14EXHIBIT NO. TRC-203
ATTACHMENT H-18A
Page &amp;P of &amp;N</oddHeader>
    <oddFooter xml:space="preserve">&amp;C
</oddFooter>
  </headerFooter>
  <rowBreaks count="3" manualBreakCount="3">
    <brk id="67" max="46" man="1"/>
    <brk id="179" max="18" man="1"/>
    <brk id="246" max="16383" man="1"/>
  </rowBreaks>
  <colBreaks count="7" manualBreakCount="7">
    <brk id="20" max="20" man="1"/>
    <brk id="21" min="67" max="86" man="1"/>
    <brk id="21" min="246" max="274" man="1"/>
    <brk id="36" min="246" max="274" man="1"/>
    <brk id="38" max="20" man="1"/>
    <brk id="38" min="67" max="86" man="1"/>
    <brk id="52" min="246" max="274"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97"/>
  <sheetViews>
    <sheetView view="pageBreakPreview" zoomScale="75" zoomScaleNormal="115" zoomScaleSheetLayoutView="75" workbookViewId="0" topLeftCell="A1">
      <selection pane="topLeft" activeCell="H97" sqref="H97"/>
    </sheetView>
  </sheetViews>
  <sheetFormatPr defaultRowHeight="13.2"/>
  <cols>
    <col min="4" max="4" width="11.4444444444444" customWidth="1"/>
    <col min="7" max="7" width="9.44444444444444" customWidth="1"/>
    <col min="8" max="8" width="16.1111111111111" customWidth="1"/>
    <col min="9" max="9" width="12.8888888888889" bestFit="1" customWidth="1"/>
    <col min="10" max="10" width="17.1111111111111" customWidth="1"/>
    <col min="12" max="12" width="17.1111111111111" customWidth="1"/>
    <col min="13" max="13" width="13.1111111111111" customWidth="1"/>
    <col min="14" max="14" width="11.5555555555556" customWidth="1"/>
    <col min="15" max="15" width="15" customWidth="1"/>
    <col min="16" max="16" width="11.4444444444444" bestFit="1" customWidth="1"/>
    <col min="17" max="17" width="14" bestFit="1" customWidth="1"/>
  </cols>
  <sheetData>
    <row r="1" spans="2:19" ht="21" customHeight="1">
      <c r="B1" s="145"/>
      <c r="C1" s="137"/>
      <c r="E1" s="95"/>
      <c r="G1" s="96"/>
      <c r="H1" s="97"/>
      <c r="I1" s="145" t="s">
        <v>368</v>
      </c>
      <c r="J1" s="116"/>
      <c r="K1" s="116"/>
      <c r="L1" s="116"/>
      <c r="M1" s="116"/>
      <c r="N1" s="116"/>
      <c r="O1" s="116"/>
      <c r="P1" s="116"/>
      <c r="Q1" s="116"/>
      <c r="R1" s="116"/>
      <c r="S1" s="116"/>
    </row>
    <row r="2" spans="2:19" ht="21" customHeight="1">
      <c r="B2" s="190"/>
      <c r="C2" s="137"/>
      <c r="E2" s="95"/>
      <c r="G2" s="96"/>
      <c r="H2" s="97"/>
      <c r="J2" s="116"/>
      <c r="K2" s="116"/>
      <c r="L2" s="116"/>
      <c r="M2" s="116"/>
      <c r="N2" s="116"/>
      <c r="O2" s="116"/>
      <c r="P2" s="116"/>
      <c r="Q2" s="116"/>
      <c r="R2" s="116"/>
      <c r="S2" s="216"/>
    </row>
    <row r="3" spans="2:19" ht="21" customHeight="1">
      <c r="B3" s="190"/>
      <c r="C3" s="137"/>
      <c r="E3" s="95"/>
      <c r="G3" s="96"/>
      <c r="H3" s="97"/>
      <c r="I3" s="258" t="s">
        <v>410</v>
      </c>
      <c r="J3" s="116"/>
      <c r="K3" s="116"/>
      <c r="L3" s="116"/>
      <c r="M3" s="116"/>
      <c r="N3" s="116"/>
      <c r="O3" s="116"/>
      <c r="P3" s="116"/>
      <c r="Q3" s="116"/>
      <c r="R3" s="116"/>
      <c r="S3" s="216"/>
    </row>
    <row r="6" spans="1:17" ht="18" customHeight="1">
      <c r="A6" t="s">
        <v>651</v>
      </c>
      <c r="B6" s="1772" t="s">
        <v>377</v>
      </c>
      <c r="C6" s="1772"/>
      <c r="D6" s="1772"/>
      <c r="E6" s="1772"/>
      <c r="F6" s="1772"/>
      <c r="G6" s="1772"/>
      <c r="H6" s="1772"/>
      <c r="I6" s="1772"/>
      <c r="J6" s="1772"/>
      <c r="K6" s="1772"/>
      <c r="L6" s="1772"/>
      <c r="M6" s="1772"/>
      <c r="N6" s="1772"/>
      <c r="O6" s="1772"/>
      <c r="P6" s="1772"/>
      <c r="Q6" s="1772"/>
    </row>
    <row r="8" spans="2:17" ht="13.2">
      <c r="B8" s="1772" t="s">
        <v>378</v>
      </c>
      <c r="C8" s="1772"/>
      <c r="D8" s="1772"/>
      <c r="E8" s="1772"/>
      <c r="F8" s="1772"/>
      <c r="G8" s="1772"/>
      <c r="H8" s="1772"/>
      <c r="I8" s="1772"/>
      <c r="J8" s="1772"/>
      <c r="K8" s="1772"/>
      <c r="L8" s="1772"/>
      <c r="M8" s="1772"/>
      <c r="N8" s="1772"/>
      <c r="O8" s="1772"/>
      <c r="P8" s="1772"/>
      <c r="Q8" s="1772"/>
    </row>
    <row r="9" spans="2:14" ht="13.2">
      <c r="B9" s="112"/>
      <c r="C9" s="112"/>
      <c r="D9" s="112"/>
      <c r="E9" s="112"/>
      <c r="F9" s="112"/>
      <c r="G9" s="112"/>
      <c r="H9" s="112"/>
      <c r="I9" s="112"/>
      <c r="J9" s="112"/>
      <c r="K9" s="112"/>
      <c r="L9" s="112"/>
      <c r="M9" s="112"/>
      <c r="N9" s="112"/>
    </row>
    <row r="10" spans="1:17" ht="42" customHeight="1">
      <c r="A10" t="s">
        <v>652</v>
      </c>
      <c r="B10" s="1772" t="s">
        <v>587</v>
      </c>
      <c r="C10" s="1772"/>
      <c r="D10" s="1772"/>
      <c r="E10" s="1772"/>
      <c r="F10" s="1772"/>
      <c r="G10" s="1772"/>
      <c r="H10" s="1772"/>
      <c r="I10" s="1772"/>
      <c r="J10" s="1772"/>
      <c r="K10" s="1772"/>
      <c r="L10" s="1772"/>
      <c r="M10" s="1772"/>
      <c r="N10" s="1772"/>
      <c r="O10" s="1772"/>
      <c r="P10" s="1772"/>
      <c r="Q10" s="1772"/>
    </row>
    <row r="11" spans="3:14" ht="12.75" customHeight="1">
      <c r="C11" s="112"/>
      <c r="D11" s="112"/>
      <c r="E11" s="112"/>
      <c r="F11" s="112"/>
      <c r="G11" s="112"/>
      <c r="H11" s="112"/>
      <c r="I11" s="112"/>
      <c r="J11" s="112"/>
      <c r="K11" s="112"/>
      <c r="L11" s="112"/>
      <c r="M11" s="112"/>
      <c r="N11" s="112"/>
    </row>
    <row r="12" spans="1:17" ht="39" customHeight="1">
      <c r="A12" s="299" t="s">
        <v>383</v>
      </c>
      <c r="B12" s="1772" t="s">
        <v>142</v>
      </c>
      <c r="C12" s="1772"/>
      <c r="D12" s="1772"/>
      <c r="E12" s="1772"/>
      <c r="F12" s="1772"/>
      <c r="G12" s="1772"/>
      <c r="H12" s="1772"/>
      <c r="I12" s="1772"/>
      <c r="J12" s="1772"/>
      <c r="K12" s="1772"/>
      <c r="L12" s="1772"/>
      <c r="M12" s="1772"/>
      <c r="N12" s="1772"/>
      <c r="O12" s="1772"/>
      <c r="P12" s="1772"/>
      <c r="Q12" s="1772"/>
    </row>
    <row r="13" spans="2:16" ht="31.5" customHeight="1">
      <c r="B13" s="112"/>
      <c r="C13" s="112"/>
      <c r="D13" s="112"/>
      <c r="E13" s="112"/>
      <c r="F13" s="112"/>
      <c r="G13" s="112"/>
      <c r="H13" s="112"/>
      <c r="I13" s="112"/>
      <c r="J13" s="112"/>
      <c r="K13" s="112"/>
      <c r="L13" s="112"/>
      <c r="M13" s="112"/>
      <c r="N13" s="112"/>
      <c r="O13" s="112"/>
      <c r="P13" s="112"/>
    </row>
    <row r="14" spans="2:16" ht="31.5" customHeight="1">
      <c r="B14" s="112"/>
      <c r="C14" s="112"/>
      <c r="D14" s="112"/>
      <c r="E14" s="112"/>
      <c r="F14" s="112"/>
      <c r="G14" s="112"/>
      <c r="H14" s="112"/>
      <c r="I14" s="112"/>
      <c r="J14" s="112"/>
      <c r="K14" s="112"/>
      <c r="L14" s="112"/>
      <c r="M14" s="112"/>
      <c r="N14" s="112"/>
      <c r="O14" s="112"/>
      <c r="P14" s="112"/>
    </row>
    <row r="15" spans="2:16" ht="13.2">
      <c r="B15" s="112"/>
      <c r="C15" s="112"/>
      <c r="D15" s="348" t="s">
        <v>369</v>
      </c>
      <c r="E15" s="348"/>
      <c r="F15" s="348"/>
      <c r="G15" s="348"/>
      <c r="H15" s="348" t="s">
        <v>370</v>
      </c>
      <c r="I15" s="348" t="s">
        <v>371</v>
      </c>
      <c r="J15" s="348" t="s">
        <v>372</v>
      </c>
      <c r="K15" s="348"/>
      <c r="L15" s="348"/>
      <c r="M15" s="348" t="s">
        <v>373</v>
      </c>
      <c r="N15" s="348" t="s">
        <v>374</v>
      </c>
      <c r="O15" s="348" t="s">
        <v>701</v>
      </c>
      <c r="P15" s="112"/>
    </row>
    <row r="16" spans="2:16" ht="13.2">
      <c r="B16" s="112"/>
      <c r="C16" s="112"/>
      <c r="E16" s="112"/>
      <c r="F16" s="112"/>
      <c r="G16" s="112"/>
      <c r="I16" s="108" t="s">
        <v>590</v>
      </c>
      <c r="J16" s="108"/>
      <c r="K16" s="108"/>
      <c r="L16" s="348"/>
      <c r="M16" s="348" t="s">
        <v>661</v>
      </c>
      <c r="N16" s="348"/>
      <c r="O16" s="348"/>
      <c r="P16" s="348"/>
    </row>
    <row r="17" spans="2:16" ht="13.8" thickBot="1">
      <c r="B17" s="112"/>
      <c r="C17" s="112"/>
      <c r="E17" s="112"/>
      <c r="F17" s="112"/>
      <c r="G17" s="112"/>
      <c r="I17" s="108"/>
      <c r="J17" s="108"/>
      <c r="K17" s="108"/>
      <c r="L17" s="348"/>
      <c r="M17" s="348"/>
      <c r="N17" s="348"/>
      <c r="O17" s="348"/>
      <c r="P17" s="348"/>
    </row>
    <row r="18" spans="1:17" ht="39.6">
      <c r="A18" s="429" t="s">
        <v>651</v>
      </c>
      <c r="B18" s="430" t="s">
        <v>588</v>
      </c>
      <c r="C18" s="345"/>
      <c r="D18" s="345"/>
      <c r="E18" s="345"/>
      <c r="F18" s="345"/>
      <c r="G18" s="345"/>
      <c r="H18" s="1545" t="s">
        <v>379</v>
      </c>
      <c r="I18" s="336" t="s">
        <v>397</v>
      </c>
      <c r="J18" s="431" t="s">
        <v>736</v>
      </c>
      <c r="K18" s="348"/>
      <c r="L18" s="432" t="s">
        <v>380</v>
      </c>
      <c r="M18" s="433" t="s">
        <v>381</v>
      </c>
      <c r="N18" s="345"/>
      <c r="O18" s="355"/>
      <c r="P18" s="108"/>
      <c r="Q18" s="351"/>
    </row>
    <row r="19" spans="1:17" ht="13.2">
      <c r="A19" s="265"/>
      <c r="C19" t="s">
        <v>841</v>
      </c>
      <c r="H19" s="1546">
        <f>H$23*J63</f>
        <v>0</v>
      </c>
      <c r="I19" s="107"/>
      <c r="J19" s="434">
        <f>J$23*J63</f>
        <v>0</v>
      </c>
      <c r="K19" s="255"/>
      <c r="L19" s="265"/>
      <c r="M19" s="1547">
        <v>0</v>
      </c>
      <c r="O19" s="381"/>
      <c r="Q19" s="351"/>
    </row>
    <row r="20" spans="1:17" ht="13.2">
      <c r="A20" s="265"/>
      <c r="C20" t="s">
        <v>382</v>
      </c>
      <c r="H20" s="1546">
        <f>H$23*J64</f>
        <v>0</v>
      </c>
      <c r="I20" s="107"/>
      <c r="J20" s="434">
        <f>J$23*J64</f>
        <v>0</v>
      </c>
      <c r="K20" s="255"/>
      <c r="L20" s="265"/>
      <c r="M20" s="1547">
        <v>0</v>
      </c>
      <c r="O20" s="381"/>
      <c r="Q20" s="351"/>
    </row>
    <row r="21" spans="1:17" ht="13.2">
      <c r="A21" s="265"/>
      <c r="C21" t="s">
        <v>32</v>
      </c>
      <c r="H21" s="1548">
        <f>H$23*J65</f>
        <v>0</v>
      </c>
      <c r="I21" s="436"/>
      <c r="J21" s="437">
        <f>J$23*J65</f>
        <v>0</v>
      </c>
      <c r="K21" s="255"/>
      <c r="L21" s="265"/>
      <c r="M21" s="1549">
        <v>0</v>
      </c>
      <c r="O21" s="381"/>
      <c r="Q21" s="351"/>
    </row>
    <row r="22" spans="1:15" ht="13.2">
      <c r="A22" s="265"/>
      <c r="H22" s="268"/>
      <c r="J22" s="438"/>
      <c r="K22" s="255"/>
      <c r="L22" s="265"/>
      <c r="M22" s="238"/>
      <c r="O22" s="381"/>
    </row>
    <row r="23" spans="1:16" ht="13.2">
      <c r="A23" s="265"/>
      <c r="C23" t="s">
        <v>524</v>
      </c>
      <c r="H23" s="331">
        <v>0</v>
      </c>
      <c r="I23" s="268">
        <v>0</v>
      </c>
      <c r="J23" s="353">
        <v>0</v>
      </c>
      <c r="K23" s="331"/>
      <c r="L23" s="265"/>
      <c r="M23" s="331">
        <f>SUM(M19:M21)</f>
        <v>0</v>
      </c>
      <c r="O23" s="381"/>
      <c r="P23" s="439"/>
    </row>
    <row r="24" spans="1:15" ht="13.8" thickBot="1">
      <c r="A24" s="128"/>
      <c r="B24" s="129"/>
      <c r="C24" s="129"/>
      <c r="D24" s="129"/>
      <c r="E24" s="129"/>
      <c r="F24" s="129"/>
      <c r="G24" s="129"/>
      <c r="H24" s="129"/>
      <c r="I24" s="129"/>
      <c r="J24" s="440"/>
      <c r="K24" s="255"/>
      <c r="L24" s="265"/>
      <c r="O24" s="381"/>
    </row>
    <row r="25" spans="12:15" ht="13.2">
      <c r="L25" s="265"/>
      <c r="O25" s="381"/>
    </row>
    <row r="26" spans="12:15" ht="13.8" thickBot="1">
      <c r="L26" s="265"/>
      <c r="O26" s="381"/>
    </row>
    <row r="27" spans="1:15" ht="39.6">
      <c r="A27" s="429" t="s">
        <v>383</v>
      </c>
      <c r="B27" s="430" t="s">
        <v>589</v>
      </c>
      <c r="C27" s="345"/>
      <c r="D27" s="345"/>
      <c r="E27" s="345"/>
      <c r="F27" s="345"/>
      <c r="G27" s="345"/>
      <c r="H27" s="1779" t="s">
        <v>590</v>
      </c>
      <c r="I27" s="1779"/>
      <c r="J27" s="1798"/>
      <c r="K27" s="108"/>
      <c r="L27" s="441" t="s">
        <v>388</v>
      </c>
      <c r="M27" s="348" t="s">
        <v>661</v>
      </c>
      <c r="N27" s="348" t="s">
        <v>389</v>
      </c>
      <c r="O27" s="442" t="s">
        <v>390</v>
      </c>
    </row>
    <row r="28" spans="1:15" ht="26.4">
      <c r="A28" s="265"/>
      <c r="C28" t="str">
        <f>+C19</f>
        <v>Prexy - 502 Junction 138 kV (CWIP)</v>
      </c>
      <c r="H28" s="1370" t="s">
        <v>391</v>
      </c>
      <c r="I28" s="108" t="s">
        <v>397</v>
      </c>
      <c r="J28" s="442" t="s">
        <v>736</v>
      </c>
      <c r="K28" s="348"/>
      <c r="L28" s="352"/>
      <c r="M28" s="108"/>
      <c r="N28" s="108"/>
      <c r="O28" s="706"/>
    </row>
    <row r="29" spans="1:16" ht="13.2">
      <c r="A29" s="265"/>
      <c r="C29">
        <v>1</v>
      </c>
      <c r="H29" s="392">
        <v>0</v>
      </c>
      <c r="I29" s="435">
        <f>I23*J63</f>
        <v>0</v>
      </c>
      <c r="J29" s="443">
        <f>J19</f>
        <v>0</v>
      </c>
      <c r="K29" s="255"/>
      <c r="L29" s="265"/>
      <c r="M29" s="435">
        <v>0</v>
      </c>
      <c r="N29" s="435">
        <v>0</v>
      </c>
      <c r="O29" s="1334"/>
      <c r="P29" s="120"/>
    </row>
    <row r="30" spans="1:15" ht="13.2">
      <c r="A30" s="265"/>
      <c r="C30">
        <v>2</v>
      </c>
      <c r="H30" s="392">
        <v>0</v>
      </c>
      <c r="I30" s="392">
        <v>0</v>
      </c>
      <c r="J30" s="443">
        <v>0</v>
      </c>
      <c r="L30" s="265"/>
      <c r="M30" s="392">
        <v>0</v>
      </c>
      <c r="N30" s="392">
        <v>0</v>
      </c>
      <c r="O30" s="1550"/>
    </row>
    <row r="31" spans="1:15" ht="13.2">
      <c r="A31" s="265"/>
      <c r="C31">
        <v>3</v>
      </c>
      <c r="G31" s="255"/>
      <c r="H31" s="392">
        <v>0</v>
      </c>
      <c r="I31" s="392">
        <v>0</v>
      </c>
      <c r="J31" s="443">
        <v>0</v>
      </c>
      <c r="L31" s="265"/>
      <c r="M31" s="392">
        <v>0</v>
      </c>
      <c r="N31" s="392">
        <v>0</v>
      </c>
      <c r="O31" s="1550"/>
    </row>
    <row r="32" spans="1:15" ht="13.2">
      <c r="A32" s="265"/>
      <c r="C32">
        <v>4</v>
      </c>
      <c r="H32" s="392">
        <v>0</v>
      </c>
      <c r="I32" s="392">
        <v>0</v>
      </c>
      <c r="J32" s="443">
        <v>0</v>
      </c>
      <c r="L32" s="265"/>
      <c r="M32" s="392">
        <v>0</v>
      </c>
      <c r="N32" s="392">
        <v>0</v>
      </c>
      <c r="O32" s="1550"/>
    </row>
    <row r="33" spans="1:15" ht="13.2">
      <c r="A33" s="265"/>
      <c r="C33" t="s">
        <v>586</v>
      </c>
      <c r="H33" s="392" t="s">
        <v>447</v>
      </c>
      <c r="I33" s="392" t="s">
        <v>447</v>
      </c>
      <c r="J33" s="466"/>
      <c r="L33" s="265"/>
      <c r="M33" s="392" t="s">
        <v>447</v>
      </c>
      <c r="N33" s="392" t="s">
        <v>447</v>
      </c>
      <c r="O33" s="1550"/>
    </row>
    <row r="34" spans="1:15" ht="13.2">
      <c r="A34" s="265"/>
      <c r="C34" t="s">
        <v>524</v>
      </c>
      <c r="H34" s="444">
        <f>SUM(H29:H33)</f>
        <v>0</v>
      </c>
      <c r="I34" s="444">
        <f>SUM(I29:I33)</f>
        <v>0</v>
      </c>
      <c r="J34" s="469">
        <f>SUM(J29:J33)</f>
        <v>0</v>
      </c>
      <c r="K34" s="393"/>
      <c r="L34" s="265"/>
      <c r="M34" s="444">
        <f>SUM(M29:M33)</f>
        <v>0</v>
      </c>
      <c r="N34" s="444">
        <f>SUM(N29:N33)</f>
        <v>0</v>
      </c>
      <c r="O34" s="1551"/>
    </row>
    <row r="35" spans="1:15" ht="13.2">
      <c r="A35" s="265"/>
      <c r="H35" s="444"/>
      <c r="I35" s="444"/>
      <c r="J35" s="469"/>
      <c r="L35" s="265"/>
      <c r="M35" s="444"/>
      <c r="N35" s="444"/>
      <c r="O35" s="1551"/>
    </row>
    <row r="36" spans="1:15" ht="13.2">
      <c r="A36" s="265"/>
      <c r="C36" t="str">
        <f>C20</f>
        <v>Prexy - 502 Junction 500 kV (CWIP)</v>
      </c>
      <c r="H36" s="444"/>
      <c r="I36" s="444"/>
      <c r="J36" s="467"/>
      <c r="L36" s="265"/>
      <c r="M36" s="444"/>
      <c r="N36" s="444"/>
      <c r="O36" s="1551"/>
    </row>
    <row r="37" spans="1:15" ht="13.2">
      <c r="A37" s="265"/>
      <c r="C37">
        <v>1</v>
      </c>
      <c r="H37" s="392">
        <v>0</v>
      </c>
      <c r="I37" s="392">
        <f>I23*J64</f>
        <v>0</v>
      </c>
      <c r="J37" s="443">
        <f>J20</f>
        <v>0</v>
      </c>
      <c r="K37" s="255"/>
      <c r="L37" s="265"/>
      <c r="M37" s="435">
        <v>0</v>
      </c>
      <c r="N37" s="435">
        <v>0</v>
      </c>
      <c r="O37" s="1334"/>
    </row>
    <row r="38" spans="1:17" ht="13.2">
      <c r="A38" s="265"/>
      <c r="C38">
        <v>2</v>
      </c>
      <c r="H38" s="392">
        <v>0</v>
      </c>
      <c r="I38" s="392">
        <v>0</v>
      </c>
      <c r="J38" s="443">
        <v>0</v>
      </c>
      <c r="L38" s="265"/>
      <c r="M38" s="392">
        <v>0</v>
      </c>
      <c r="N38" s="392">
        <v>0</v>
      </c>
      <c r="O38" s="1550"/>
      <c r="Q38" s="351"/>
    </row>
    <row r="39" spans="1:17" ht="13.2">
      <c r="A39" s="265"/>
      <c r="C39">
        <v>3</v>
      </c>
      <c r="H39" s="392">
        <v>0</v>
      </c>
      <c r="I39" s="392">
        <v>0</v>
      </c>
      <c r="J39" s="443">
        <v>0</v>
      </c>
      <c r="L39" s="265"/>
      <c r="M39" s="392">
        <v>0</v>
      </c>
      <c r="N39" s="392">
        <v>0</v>
      </c>
      <c r="O39" s="1550"/>
      <c r="Q39" s="351"/>
    </row>
    <row r="40" spans="1:17" ht="13.2">
      <c r="A40" s="265"/>
      <c r="C40">
        <v>4</v>
      </c>
      <c r="H40" s="392">
        <v>0</v>
      </c>
      <c r="I40" s="392">
        <v>0</v>
      </c>
      <c r="J40" s="443">
        <v>0</v>
      </c>
      <c r="L40" s="265"/>
      <c r="M40" s="392">
        <v>0</v>
      </c>
      <c r="N40" s="392">
        <v>0</v>
      </c>
      <c r="O40" s="1550"/>
      <c r="Q40" s="351"/>
    </row>
    <row r="41" spans="1:17" ht="13.2">
      <c r="A41" s="265"/>
      <c r="C41" t="s">
        <v>586</v>
      </c>
      <c r="H41" s="435"/>
      <c r="I41" s="435"/>
      <c r="J41" s="466"/>
      <c r="L41" s="265"/>
      <c r="M41" s="435"/>
      <c r="N41" s="435"/>
      <c r="O41" s="1334"/>
      <c r="Q41" s="127"/>
    </row>
    <row r="42" spans="1:15" ht="13.2">
      <c r="A42" s="265"/>
      <c r="C42" t="s">
        <v>524</v>
      </c>
      <c r="H42" s="444">
        <f>SUM(H37:H41)</f>
        <v>0</v>
      </c>
      <c r="I42" s="444">
        <f>SUM(I37:I41)</f>
        <v>0</v>
      </c>
      <c r="J42" s="469">
        <f>SUM(J37:J41)</f>
        <v>0</v>
      </c>
      <c r="K42" s="393"/>
      <c r="L42" s="265"/>
      <c r="M42" s="444">
        <f>SUM(M37:M41)</f>
        <v>0</v>
      </c>
      <c r="N42" s="444">
        <f>SUM(N37:N41)</f>
        <v>0</v>
      </c>
      <c r="O42" s="1551"/>
    </row>
    <row r="43" spans="1:15" ht="13.2">
      <c r="A43" s="265"/>
      <c r="H43" s="444"/>
      <c r="I43" s="444"/>
      <c r="J43" s="467"/>
      <c r="L43" s="265"/>
      <c r="M43" s="444"/>
      <c r="N43" s="444"/>
      <c r="O43" s="1551"/>
    </row>
    <row r="44" spans="1:15" ht="13.2">
      <c r="A44" s="265"/>
      <c r="C44" t="str">
        <f>+C21</f>
        <v>502 Junction - Territorial Line               (CWIP)</v>
      </c>
      <c r="H44" s="444"/>
      <c r="I44" s="444"/>
      <c r="J44" s="467"/>
      <c r="L44" s="265"/>
      <c r="M44" s="444"/>
      <c r="N44" s="444"/>
      <c r="O44" s="1551"/>
    </row>
    <row r="45" spans="1:15" ht="13.2">
      <c r="A45" s="265"/>
      <c r="C45">
        <v>1</v>
      </c>
      <c r="H45" s="392">
        <v>0</v>
      </c>
      <c r="I45" s="392">
        <f>I23*J65</f>
        <v>0</v>
      </c>
      <c r="J45" s="443">
        <f>J21</f>
        <v>0</v>
      </c>
      <c r="K45" s="255"/>
      <c r="L45" s="265"/>
      <c r="M45" s="821">
        <v>0</v>
      </c>
      <c r="N45" s="435">
        <v>0</v>
      </c>
      <c r="O45" s="1334">
        <v>0</v>
      </c>
    </row>
    <row r="46" spans="1:15" ht="13.2">
      <c r="A46" s="265"/>
      <c r="C46">
        <v>2</v>
      </c>
      <c r="H46" s="392">
        <v>0</v>
      </c>
      <c r="I46" s="392">
        <v>0</v>
      </c>
      <c r="J46" s="443">
        <v>0</v>
      </c>
      <c r="L46" s="265"/>
      <c r="M46" s="346">
        <v>0</v>
      </c>
      <c r="N46" s="392">
        <v>0</v>
      </c>
      <c r="O46" s="1550">
        <v>0</v>
      </c>
    </row>
    <row r="47" spans="1:15" ht="13.2">
      <c r="A47" s="265"/>
      <c r="C47">
        <v>3</v>
      </c>
      <c r="H47" s="392">
        <v>0</v>
      </c>
      <c r="I47" s="392">
        <v>0</v>
      </c>
      <c r="J47" s="443">
        <v>0</v>
      </c>
      <c r="L47" s="265"/>
      <c r="M47" s="346">
        <v>0</v>
      </c>
      <c r="N47" s="392">
        <v>0</v>
      </c>
      <c r="O47" s="1550">
        <v>0</v>
      </c>
    </row>
    <row r="48" spans="1:15" ht="13.2">
      <c r="A48" s="265"/>
      <c r="C48">
        <v>4</v>
      </c>
      <c r="H48" s="392">
        <v>0</v>
      </c>
      <c r="I48" s="392">
        <v>0</v>
      </c>
      <c r="J48" s="443">
        <v>0</v>
      </c>
      <c r="L48" s="265"/>
      <c r="M48" s="346">
        <v>0</v>
      </c>
      <c r="N48" s="392">
        <v>0</v>
      </c>
      <c r="O48" s="1550">
        <v>0</v>
      </c>
    </row>
    <row r="49" spans="1:15" ht="13.2">
      <c r="A49" s="265"/>
      <c r="C49" t="s">
        <v>586</v>
      </c>
      <c r="H49" s="435"/>
      <c r="I49" s="435"/>
      <c r="J49" s="466"/>
      <c r="L49" s="265"/>
      <c r="M49" s="821"/>
      <c r="N49" s="435"/>
      <c r="O49" s="1334"/>
    </row>
    <row r="50" spans="1:15" ht="13.8" thickBot="1">
      <c r="A50" s="128"/>
      <c r="B50" s="129"/>
      <c r="C50" s="129" t="s">
        <v>524</v>
      </c>
      <c r="D50" s="129"/>
      <c r="E50" s="129"/>
      <c r="F50" s="129"/>
      <c r="G50" s="129"/>
      <c r="H50" s="445">
        <f>SUM(H45:H49)</f>
        <v>0</v>
      </c>
      <c r="I50" s="445">
        <f>SUM(I45:I49)</f>
        <v>0</v>
      </c>
      <c r="J50" s="470">
        <f>SUM(J45:J49)</f>
        <v>0</v>
      </c>
      <c r="K50" s="393"/>
      <c r="L50" s="265"/>
      <c r="M50" s="822">
        <f>SUM(M45:M49)</f>
        <v>0</v>
      </c>
      <c r="N50" s="444">
        <f>SUM(N45:N49)</f>
        <v>0</v>
      </c>
      <c r="O50" s="1551">
        <f>SUM(O45:O49)</f>
        <v>0</v>
      </c>
    </row>
    <row r="51" spans="8:15" ht="13.2">
      <c r="H51" s="255"/>
      <c r="I51" s="255"/>
      <c r="J51" s="255" t="s">
        <v>447</v>
      </c>
      <c r="L51" s="265"/>
      <c r="M51" s="444"/>
      <c r="N51" s="444"/>
      <c r="O51" s="1551"/>
    </row>
    <row r="52" spans="9:15" ht="13.8" thickBot="1">
      <c r="I52" s="255"/>
      <c r="L52" s="265"/>
      <c r="M52" s="331"/>
      <c r="N52" s="331"/>
      <c r="O52" s="1552"/>
    </row>
    <row r="53" spans="3:15" ht="29.25" customHeight="1">
      <c r="C53" s="402" t="s">
        <v>376</v>
      </c>
      <c r="D53" s="345"/>
      <c r="E53" s="345"/>
      <c r="F53" s="345"/>
      <c r="G53" s="345"/>
      <c r="H53" s="345"/>
      <c r="I53" s="1794" t="s">
        <v>597</v>
      </c>
      <c r="J53" s="1794"/>
      <c r="K53" s="1795"/>
      <c r="L53" s="265"/>
      <c r="M53" s="268"/>
      <c r="N53" s="268"/>
      <c r="O53" s="1553">
        <f>O50+O42+O34</f>
        <v>0</v>
      </c>
    </row>
    <row r="54" spans="3:15" ht="25.5" customHeight="1">
      <c r="C54" s="265" t="s">
        <v>596</v>
      </c>
      <c r="I54" s="1796" t="s">
        <v>597</v>
      </c>
      <c r="J54" s="1796"/>
      <c r="K54" s="1797"/>
      <c r="L54" s="265"/>
      <c r="M54" s="268"/>
      <c r="N54" s="331"/>
      <c r="O54" s="1552"/>
    </row>
    <row r="55" spans="3:15" ht="13.8" thickBot="1">
      <c r="C55" s="128" t="s">
        <v>591</v>
      </c>
      <c r="D55" s="129"/>
      <c r="E55" s="129"/>
      <c r="F55" s="129"/>
      <c r="G55" s="129"/>
      <c r="H55" s="129"/>
      <c r="I55" s="129"/>
      <c r="J55" s="129"/>
      <c r="K55" s="130"/>
      <c r="L55" s="128"/>
      <c r="M55" s="480"/>
      <c r="N55" s="468"/>
      <c r="O55" s="477"/>
    </row>
    <row r="57" spans="1:1" ht="13.2">
      <c r="A57" t="s">
        <v>366</v>
      </c>
    </row>
    <row r="58" spans="1:2" ht="13.2">
      <c r="A58">
        <v>1</v>
      </c>
      <c r="B58" s="299" t="s">
        <v>392</v>
      </c>
    </row>
    <row r="59" spans="2:3" ht="13.2">
      <c r="B59" s="299"/>
      <c r="C59" s="299" t="s">
        <v>583</v>
      </c>
    </row>
    <row r="60" spans="2:3" ht="13.2">
      <c r="B60" s="299"/>
      <c r="C60" s="299"/>
    </row>
    <row r="61" spans="2:10" ht="13.2">
      <c r="B61" s="299"/>
      <c r="C61" s="299"/>
      <c r="D61" t="s">
        <v>393</v>
      </c>
      <c r="H61" s="108" t="s">
        <v>394</v>
      </c>
      <c r="J61" s="108" t="s">
        <v>535</v>
      </c>
    </row>
    <row r="62" spans="2:8" ht="13.2">
      <c r="B62" s="299"/>
      <c r="C62" s="299"/>
      <c r="H62" s="108" t="s">
        <v>395</v>
      </c>
    </row>
    <row r="63" spans="2:10" ht="13.2">
      <c r="B63" s="299"/>
      <c r="C63" s="299"/>
      <c r="D63" t="s">
        <v>194</v>
      </c>
      <c r="H63" s="1554">
        <v>94140000</v>
      </c>
      <c r="J63" s="473">
        <v>0.10734321550741163</v>
      </c>
    </row>
    <row r="64" spans="2:10" ht="13.2">
      <c r="B64" s="299"/>
      <c r="C64" s="299"/>
      <c r="D64" t="s">
        <v>193</v>
      </c>
      <c r="H64" s="1554">
        <v>121260000</v>
      </c>
      <c r="J64" s="473">
        <v>0.13826681870011404</v>
      </c>
    </row>
    <row r="65" spans="2:10" ht="13.2">
      <c r="B65" s="299"/>
      <c r="C65" s="299"/>
      <c r="D65" s="299" t="s">
        <v>756</v>
      </c>
      <c r="H65" s="1548">
        <v>661600000</v>
      </c>
      <c r="J65" s="474">
        <v>0.7543899657924743</v>
      </c>
    </row>
    <row r="66" spans="2:8" ht="13.2">
      <c r="B66" s="299"/>
      <c r="C66" s="299"/>
      <c r="H66" s="330"/>
    </row>
    <row r="67" spans="2:10" ht="13.8" thickBot="1">
      <c r="B67" s="299"/>
      <c r="C67" s="299"/>
      <c r="D67" t="s">
        <v>524</v>
      </c>
      <c r="H67" s="481">
        <f>SUM(H63:H65)</f>
        <v>877000000</v>
      </c>
      <c r="J67" s="472">
        <f>SUM(J63:J66)</f>
        <v>1</v>
      </c>
    </row>
    <row r="68" spans="2:3" ht="13.8" thickTop="1">
      <c r="B68" s="299"/>
      <c r="C68" s="299"/>
    </row>
    <row r="69" spans="2:3" ht="13.2">
      <c r="B69" s="299"/>
      <c r="C69" s="299"/>
    </row>
    <row r="70" spans="2:3" ht="13.2">
      <c r="B70" s="299"/>
      <c r="C70" s="299"/>
    </row>
    <row r="71" spans="2:3" ht="13.2">
      <c r="B71" s="299"/>
      <c r="C71" s="299"/>
    </row>
    <row r="72" spans="2:3" ht="13.2">
      <c r="B72" s="299"/>
      <c r="C72" s="299"/>
    </row>
    <row r="73" spans="1:2" ht="13.2">
      <c r="A73">
        <v>2</v>
      </c>
      <c r="B73" t="s">
        <v>396</v>
      </c>
    </row>
    <row r="74" spans="3:3" ht="13.2">
      <c r="C74" t="s">
        <v>375</v>
      </c>
    </row>
    <row r="97" spans="8:8" ht="13.2">
      <c r="H97">
        <v>13847278</v>
      </c>
    </row>
  </sheetData>
  <mergeCells count="7">
    <mergeCell ref="I53:K53"/>
    <mergeCell ref="I54:K54"/>
    <mergeCell ref="H27:J27"/>
    <mergeCell ref="B6:Q6"/>
    <mergeCell ref="B8:Q8"/>
    <mergeCell ref="B10:Q10"/>
    <mergeCell ref="B12:Q12"/>
  </mergeCells>
  <printOptions horizontalCentered="1"/>
  <pageMargins left="0.75" right="0.46" top="0.87" bottom="0.5" header="0.5" footer="0.5"/>
  <pageSetup orientation="portrait" paperSize="1" scale="43" r:id="rId1"/>
  <headerFooter alignWithMargins="0">
    <oddHeader>&amp;R&amp;12EXHIBIT NO. TRC-203
ATTACHMENT H-18A
Page &amp;P of &amp;N</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G487"/>
  <sheetViews>
    <sheetView showGridLines="0" view="pageBreakPreview" zoomScale="85" zoomScaleNormal="75" zoomScaleSheetLayoutView="85" workbookViewId="0" topLeftCell="A1">
      <selection pane="topLeft" activeCell="F33" sqref="F33"/>
    </sheetView>
  </sheetViews>
  <sheetFormatPr defaultRowHeight="13.2"/>
  <cols>
    <col min="1" max="1" width="5.44444444444444" style="108" customWidth="1"/>
    <col min="2" max="2" width="6.11111111111111" style="108" customWidth="1"/>
    <col min="3" max="3" width="10.4444444444444" style="108" customWidth="1"/>
    <col min="4" max="4" width="20.5555555555556" style="108" customWidth="1"/>
    <col min="5" max="5" width="16.4444444444444" customWidth="1"/>
    <col min="6" max="6" width="17.4444444444444" customWidth="1"/>
    <col min="7" max="7" width="17.8888888888889" customWidth="1"/>
    <col min="8" max="9" width="17" customWidth="1"/>
    <col min="10" max="10" width="16.8888888888889" customWidth="1"/>
    <col min="11" max="11" width="17.1111111111111" customWidth="1"/>
    <col min="12" max="12" width="15.4444444444444" customWidth="1"/>
    <col min="13" max="13" width="15.8888888888889" customWidth="1"/>
    <col min="14" max="14" width="15.4444444444444" customWidth="1"/>
    <col min="15" max="15" width="16.1111111111111" customWidth="1"/>
    <col min="16" max="16" width="15.8888888888889" customWidth="1"/>
    <col min="17" max="17" width="17.8888888888889" customWidth="1"/>
    <col min="18" max="18" width="17.1111111111111" bestFit="1" customWidth="1"/>
    <col min="19" max="19" width="17.5555555555556" bestFit="1" customWidth="1"/>
    <col min="20" max="20" width="20.1111111111111" customWidth="1"/>
    <col min="21" max="21" width="17.4444444444444" customWidth="1"/>
    <col min="22" max="22" width="15.1111111111111" customWidth="1"/>
    <col min="23" max="23" width="13.5555555555556" customWidth="1"/>
    <col min="24" max="24" width="0.111111111111111" customWidth="1"/>
    <col min="25" max="25" width="48" customWidth="1"/>
    <col min="26" max="26" width="14.8888888888889" customWidth="1"/>
    <col min="27" max="27" width="12.5555555555556" customWidth="1"/>
    <col min="29" max="29" width="11.1111111111111" customWidth="1"/>
    <col min="30" max="30" width="10.4444444444444" customWidth="1"/>
    <col min="31" max="31" width="10.4444444444444" bestFit="1" customWidth="1"/>
  </cols>
  <sheetData>
    <row r="1" spans="1:20" ht="17.4">
      <c r="A1" s="1726" t="s">
        <v>368</v>
      </c>
      <c r="B1" s="1726"/>
      <c r="C1" s="1726"/>
      <c r="D1" s="1726"/>
      <c r="E1" s="1726"/>
      <c r="F1" s="1726"/>
      <c r="G1" s="1726"/>
      <c r="H1" s="1726"/>
      <c r="I1" s="1726"/>
      <c r="J1" s="1726"/>
      <c r="K1" s="1726"/>
      <c r="L1" s="1726"/>
      <c r="M1" s="1726"/>
      <c r="N1" s="1726"/>
      <c r="O1" s="1726"/>
      <c r="P1" s="1726"/>
      <c r="Q1" s="1726"/>
      <c r="R1" s="1726"/>
      <c r="S1" s="1726"/>
      <c r="T1" s="1726"/>
    </row>
    <row r="2" spans="1:1" ht="13.2">
      <c r="A2" s="120"/>
    </row>
    <row r="3" spans="1:20" ht="18">
      <c r="A3" s="1753" t="s">
        <v>536</v>
      </c>
      <c r="B3" s="1753"/>
      <c r="C3" s="1753"/>
      <c r="D3" s="1753"/>
      <c r="E3" s="1753"/>
      <c r="F3" s="1753"/>
      <c r="G3" s="1753"/>
      <c r="H3" s="1753"/>
      <c r="I3" s="1753"/>
      <c r="J3" s="1753"/>
      <c r="K3" s="1753"/>
      <c r="L3" s="1753"/>
      <c r="M3" s="1753"/>
      <c r="N3" s="1753"/>
      <c r="O3" s="1753"/>
      <c r="P3" s="1753"/>
      <c r="Q3" s="1753"/>
      <c r="R3" s="1753"/>
      <c r="S3" s="1753"/>
      <c r="T3" s="1753"/>
    </row>
    <row r="5" spans="12:18" ht="13.8">
      <c r="L5" s="120"/>
      <c r="Q5" s="120"/>
      <c r="R5" s="259"/>
    </row>
    <row r="6" spans="1:33" ht="13.8">
      <c r="A6" s="197" t="s">
        <v>249</v>
      </c>
      <c r="B6" s="197" t="s">
        <v>250</v>
      </c>
      <c r="C6" s="197" t="s">
        <v>251</v>
      </c>
      <c r="D6" s="197"/>
      <c r="E6" s="197" t="s">
        <v>252</v>
      </c>
      <c r="F6" s="198"/>
      <c r="G6" s="198"/>
      <c r="H6" s="198"/>
      <c r="I6" s="198"/>
      <c r="J6" s="198"/>
      <c r="K6" s="198"/>
      <c r="L6" s="198"/>
      <c r="M6" s="198"/>
      <c r="N6" s="198"/>
      <c r="O6" s="198"/>
      <c r="P6" s="198"/>
      <c r="Q6" s="335"/>
      <c r="R6" s="198"/>
      <c r="S6" s="198"/>
      <c r="T6" s="198"/>
      <c r="U6" s="198"/>
      <c r="V6" s="198"/>
      <c r="W6" s="198"/>
      <c r="X6" s="198"/>
      <c r="Y6" s="198"/>
      <c r="Z6" s="198"/>
      <c r="AA6" s="198"/>
      <c r="AB6" s="198"/>
      <c r="AC6" s="198"/>
      <c r="AD6" s="198"/>
      <c r="AE6" s="198"/>
      <c r="AF6" s="198"/>
      <c r="AG6" s="199"/>
    </row>
    <row r="7" spans="2:33" ht="13.8">
      <c r="B7" s="197"/>
      <c r="C7" s="197"/>
      <c r="D7" s="197"/>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9"/>
    </row>
    <row r="8" spans="1:33" ht="13.8">
      <c r="A8" s="200" t="s">
        <v>253</v>
      </c>
      <c r="B8" s="197"/>
      <c r="C8" s="197"/>
      <c r="D8" s="197"/>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9"/>
    </row>
    <row r="9" spans="1:33" ht="13.8">
      <c r="A9" s="412">
        <v>1</v>
      </c>
      <c r="B9" s="412" t="s">
        <v>254</v>
      </c>
      <c r="C9" s="412" t="s">
        <v>244</v>
      </c>
      <c r="D9" s="412"/>
      <c r="E9" s="413" t="s">
        <v>874</v>
      </c>
      <c r="F9" s="199"/>
      <c r="G9" s="199"/>
      <c r="H9" s="199"/>
      <c r="I9" s="199"/>
      <c r="J9" s="199"/>
      <c r="K9" s="199"/>
      <c r="L9" s="199"/>
      <c r="M9" s="199"/>
      <c r="N9" s="199"/>
      <c r="O9" s="199"/>
      <c r="P9" s="199"/>
      <c r="Q9" s="198"/>
      <c r="R9" s="198"/>
      <c r="S9" s="198"/>
      <c r="T9" s="198"/>
      <c r="U9" s="198"/>
      <c r="V9" s="198"/>
      <c r="W9" s="198"/>
      <c r="X9" s="198"/>
      <c r="Y9" s="198"/>
      <c r="Z9" s="198"/>
      <c r="AA9" s="198"/>
      <c r="AB9" s="198"/>
      <c r="AC9" s="198"/>
      <c r="AD9" s="198"/>
      <c r="AE9" s="198"/>
      <c r="AF9" s="198"/>
      <c r="AG9" s="199"/>
    </row>
    <row r="10" spans="1:33" ht="13.8">
      <c r="A10" s="412">
        <v>2</v>
      </c>
      <c r="B10" s="412" t="str">
        <f>+B9</f>
        <v>April</v>
      </c>
      <c r="C10" s="412" t="str">
        <f>+C9</f>
        <v>Year 2</v>
      </c>
      <c r="D10" s="412"/>
      <c r="E10" s="413" t="s">
        <v>665</v>
      </c>
      <c r="F10" s="199"/>
      <c r="G10" s="199"/>
      <c r="H10" s="199"/>
      <c r="I10" s="199"/>
      <c r="J10" s="199"/>
      <c r="K10" s="199"/>
      <c r="L10" s="199"/>
      <c r="M10" s="199"/>
      <c r="N10" s="199"/>
      <c r="O10" s="199"/>
      <c r="P10" s="199"/>
      <c r="Q10" s="198"/>
      <c r="R10" s="198"/>
      <c r="S10" s="198"/>
      <c r="T10" s="198"/>
      <c r="U10" s="198"/>
      <c r="V10" s="198"/>
      <c r="W10" s="198"/>
      <c r="X10" s="198"/>
      <c r="Y10" s="198"/>
      <c r="Z10" s="198"/>
      <c r="AA10" s="198"/>
      <c r="AB10" s="198"/>
      <c r="AC10" s="198"/>
      <c r="AD10" s="198"/>
      <c r="AE10" s="198"/>
      <c r="AF10" s="198"/>
      <c r="AG10" s="199"/>
    </row>
    <row r="11" spans="1:33" ht="13.8">
      <c r="A11" s="412">
        <v>3</v>
      </c>
      <c r="B11" s="412" t="s">
        <v>254</v>
      </c>
      <c r="C11" s="412" t="str">
        <f>+C10</f>
        <v>Year 2</v>
      </c>
      <c r="D11" s="412"/>
      <c r="E11" s="413" t="s">
        <v>485</v>
      </c>
      <c r="F11" s="199"/>
      <c r="G11" s="199"/>
      <c r="H11" s="199"/>
      <c r="I11" s="199"/>
      <c r="J11" s="199"/>
      <c r="K11" s="199"/>
      <c r="L11" s="199"/>
      <c r="M11" s="199"/>
      <c r="N11" s="199"/>
      <c r="O11" s="199"/>
      <c r="P11" s="199"/>
      <c r="Q11" s="198"/>
      <c r="R11" s="198"/>
      <c r="S11" s="198"/>
      <c r="T11" s="198"/>
      <c r="U11" s="198"/>
      <c r="V11" s="198"/>
      <c r="W11" s="198"/>
      <c r="X11" s="198"/>
      <c r="Y11" s="198"/>
      <c r="Z11" s="198"/>
      <c r="AA11" s="198"/>
      <c r="AB11" s="198"/>
      <c r="AC11" s="198"/>
      <c r="AD11" s="198"/>
      <c r="AE11" s="198"/>
      <c r="AF11" s="198"/>
      <c r="AG11" s="199"/>
    </row>
    <row r="12" spans="1:33" ht="13.8">
      <c r="A12" s="412">
        <v>4</v>
      </c>
      <c r="B12" s="412" t="s">
        <v>255</v>
      </c>
      <c r="C12" s="412" t="str">
        <f>+C11</f>
        <v>Year 2</v>
      </c>
      <c r="D12" s="412"/>
      <c r="E12" s="413" t="s">
        <v>350</v>
      </c>
      <c r="F12" s="199"/>
      <c r="G12" s="199"/>
      <c r="H12" s="199"/>
      <c r="I12" s="199"/>
      <c r="J12" s="199"/>
      <c r="K12" s="199"/>
      <c r="L12" s="199"/>
      <c r="M12" s="199"/>
      <c r="N12" s="199"/>
      <c r="O12" s="199"/>
      <c r="P12" s="199"/>
      <c r="Q12" s="198"/>
      <c r="R12" s="198"/>
      <c r="S12" s="198"/>
      <c r="T12" s="198"/>
      <c r="U12" s="198"/>
      <c r="V12" s="198"/>
      <c r="W12" s="198"/>
      <c r="X12" s="198"/>
      <c r="Y12" s="198"/>
      <c r="Z12" s="198"/>
      <c r="AA12" s="198"/>
      <c r="AB12" s="198"/>
      <c r="AC12" s="198"/>
      <c r="AD12" s="198"/>
      <c r="AE12" s="198"/>
      <c r="AF12" s="198"/>
      <c r="AG12" s="199"/>
    </row>
    <row r="13" spans="1:33" ht="13.8">
      <c r="A13" s="412">
        <v>5</v>
      </c>
      <c r="B13" s="414" t="s">
        <v>269</v>
      </c>
      <c r="C13" s="412" t="str">
        <f>+C12</f>
        <v>Year 2</v>
      </c>
      <c r="D13" s="412"/>
      <c r="E13" s="413" t="s">
        <v>351</v>
      </c>
      <c r="F13" s="199"/>
      <c r="G13" s="199"/>
      <c r="H13" s="199"/>
      <c r="I13" s="199"/>
      <c r="J13" s="199"/>
      <c r="K13" s="199"/>
      <c r="L13" s="199"/>
      <c r="M13" s="199"/>
      <c r="N13" s="199"/>
      <c r="O13" s="199"/>
      <c r="P13" s="199"/>
      <c r="Q13" s="198"/>
      <c r="R13" s="198"/>
      <c r="S13" s="198"/>
      <c r="T13" s="198"/>
      <c r="U13" s="198"/>
      <c r="V13" s="198"/>
      <c r="W13" s="198"/>
      <c r="X13" s="198"/>
      <c r="Y13" s="198"/>
      <c r="Z13" s="198"/>
      <c r="AA13" s="198"/>
      <c r="AB13" s="198"/>
      <c r="AC13" s="198"/>
      <c r="AD13" s="198"/>
      <c r="AE13" s="198"/>
      <c r="AF13" s="198"/>
      <c r="AG13" s="199"/>
    </row>
    <row r="14" spans="1:33" ht="13.8">
      <c r="A14" s="412"/>
      <c r="B14" s="412"/>
      <c r="C14" s="412"/>
      <c r="D14" s="412"/>
      <c r="E14" s="413"/>
      <c r="F14" s="199"/>
      <c r="G14" s="199"/>
      <c r="H14" s="199"/>
      <c r="I14" s="199"/>
      <c r="J14" s="199"/>
      <c r="K14" s="199"/>
      <c r="L14" s="199"/>
      <c r="M14" s="199"/>
      <c r="N14" s="199"/>
      <c r="O14" s="199"/>
      <c r="P14" s="199"/>
      <c r="Q14" s="198"/>
      <c r="R14" s="198"/>
      <c r="S14" s="198"/>
      <c r="T14" s="198"/>
      <c r="U14" s="198"/>
      <c r="V14" s="198"/>
      <c r="W14" s="198"/>
      <c r="X14" s="198"/>
      <c r="Y14" s="198"/>
      <c r="Z14" s="198"/>
      <c r="AA14" s="198"/>
      <c r="AB14" s="198"/>
      <c r="AC14" s="198"/>
      <c r="AD14" s="198"/>
      <c r="AE14" s="198"/>
      <c r="AF14" s="198"/>
      <c r="AG14" s="199"/>
    </row>
    <row r="15" spans="1:33" ht="13.8">
      <c r="A15" s="412"/>
      <c r="B15" s="412"/>
      <c r="C15" s="412"/>
      <c r="D15" s="412"/>
      <c r="E15" s="413"/>
      <c r="F15" s="199"/>
      <c r="G15" s="199"/>
      <c r="H15" s="199"/>
      <c r="I15" s="199"/>
      <c r="J15" s="199"/>
      <c r="K15" s="199"/>
      <c r="L15" s="199"/>
      <c r="M15" s="199"/>
      <c r="N15" s="199"/>
      <c r="O15" s="199"/>
      <c r="P15" s="199"/>
      <c r="Q15" s="198"/>
      <c r="R15" s="198"/>
      <c r="S15" s="198"/>
      <c r="T15" s="198"/>
      <c r="U15" s="198"/>
      <c r="V15" s="198"/>
      <c r="W15" s="198"/>
      <c r="X15" s="198"/>
      <c r="Y15" s="198"/>
      <c r="Z15" s="198"/>
      <c r="AA15" s="198"/>
      <c r="AB15" s="198"/>
      <c r="AC15" s="198"/>
      <c r="AD15" s="198"/>
      <c r="AE15" s="198"/>
      <c r="AF15" s="198"/>
      <c r="AG15" s="199"/>
    </row>
    <row r="16" spans="1:33" ht="13.8">
      <c r="A16" s="412">
        <v>6</v>
      </c>
      <c r="B16" s="412" t="s">
        <v>254</v>
      </c>
      <c r="C16" s="412" t="s">
        <v>247</v>
      </c>
      <c r="D16" s="412"/>
      <c r="E16" s="413" t="s">
        <v>667</v>
      </c>
      <c r="F16" s="199"/>
      <c r="G16" s="199"/>
      <c r="H16" s="199"/>
      <c r="I16" s="199"/>
      <c r="J16" s="199"/>
      <c r="K16" s="199"/>
      <c r="L16" s="199"/>
      <c r="M16" s="199"/>
      <c r="N16" s="199"/>
      <c r="O16" s="199"/>
      <c r="P16" s="199"/>
      <c r="Q16" s="198"/>
      <c r="R16" s="198"/>
      <c r="S16" s="198"/>
      <c r="T16" s="198"/>
      <c r="U16" s="198"/>
      <c r="V16" s="198"/>
      <c r="W16" s="198"/>
      <c r="X16" s="198"/>
      <c r="Y16" s="198"/>
      <c r="Z16" s="198"/>
      <c r="AA16" s="198"/>
      <c r="AB16" s="198"/>
      <c r="AC16" s="198"/>
      <c r="AD16" s="198"/>
      <c r="AE16" s="198"/>
      <c r="AF16" s="198"/>
      <c r="AG16" s="199"/>
    </row>
    <row r="17" spans="1:33" ht="26.25" customHeight="1">
      <c r="A17" s="415">
        <v>7</v>
      </c>
      <c r="B17" s="415" t="str">
        <f>+B16</f>
        <v>April</v>
      </c>
      <c r="C17" s="415" t="str">
        <f>+C16</f>
        <v>Year 3</v>
      </c>
      <c r="D17" s="415"/>
      <c r="E17" s="1808" t="s">
        <v>195</v>
      </c>
      <c r="F17" s="1803"/>
      <c r="G17" s="1803"/>
      <c r="H17" s="1803"/>
      <c r="I17" s="1803"/>
      <c r="J17" s="1803"/>
      <c r="K17" s="1803"/>
      <c r="L17" s="1803"/>
      <c r="M17" s="1803"/>
      <c r="N17" s="1803"/>
      <c r="O17" s="1803"/>
      <c r="P17" s="1102"/>
      <c r="S17" s="198"/>
      <c r="T17" s="198"/>
      <c r="U17" s="198"/>
      <c r="V17" s="198"/>
      <c r="W17" s="198"/>
      <c r="X17" s="198"/>
      <c r="Y17" s="198"/>
      <c r="Z17" s="198"/>
      <c r="AA17" s="198"/>
      <c r="AB17" s="198"/>
      <c r="AC17" s="198"/>
      <c r="AD17" s="198"/>
      <c r="AE17" s="198"/>
      <c r="AF17" s="198"/>
      <c r="AG17" s="199"/>
    </row>
    <row r="18" spans="1:33" ht="16.5" customHeight="1">
      <c r="A18" s="415">
        <v>8</v>
      </c>
      <c r="B18" s="415" t="str">
        <f>+B17</f>
        <v>April</v>
      </c>
      <c r="C18" s="415" t="str">
        <f>+C17</f>
        <v>Year 3</v>
      </c>
      <c r="D18" s="415"/>
      <c r="E18" s="1808" t="s">
        <v>401</v>
      </c>
      <c r="F18" s="1803"/>
      <c r="G18" s="1803"/>
      <c r="H18" s="1803"/>
      <c r="I18" s="1803"/>
      <c r="J18" s="1803"/>
      <c r="K18" s="1803"/>
      <c r="L18" s="1803"/>
      <c r="M18" s="1803"/>
      <c r="N18" s="1803"/>
      <c r="O18" s="1803"/>
      <c r="P18" s="1102"/>
      <c r="Q18" s="198"/>
      <c r="R18" s="198"/>
      <c r="S18" s="198"/>
      <c r="T18" s="198"/>
      <c r="U18" s="198"/>
      <c r="V18" s="198"/>
      <c r="W18" s="198"/>
      <c r="X18" s="198"/>
      <c r="Y18" s="198"/>
      <c r="Z18" s="198"/>
      <c r="AA18" s="198"/>
      <c r="AB18" s="198"/>
      <c r="AC18" s="198"/>
      <c r="AD18" s="198"/>
      <c r="AE18" s="198"/>
      <c r="AF18" s="198"/>
      <c r="AG18" s="199"/>
    </row>
    <row r="19" spans="1:33" ht="13.8">
      <c r="A19" s="412">
        <v>9</v>
      </c>
      <c r="B19" s="412" t="str">
        <f>+B12</f>
        <v>May</v>
      </c>
      <c r="C19" s="412" t="str">
        <f>+C18</f>
        <v>Year 3</v>
      </c>
      <c r="D19" s="412"/>
      <c r="E19" s="413" t="s">
        <v>402</v>
      </c>
      <c r="F19" s="199"/>
      <c r="G19" s="199"/>
      <c r="H19" s="199"/>
      <c r="I19" s="199"/>
      <c r="J19" s="199"/>
      <c r="K19" s="199"/>
      <c r="L19" s="199"/>
      <c r="M19" s="199"/>
      <c r="N19" s="199"/>
      <c r="O19" s="199"/>
      <c r="P19" s="199"/>
      <c r="Q19" s="198"/>
      <c r="R19" s="198"/>
      <c r="S19" s="198"/>
      <c r="T19" s="198"/>
      <c r="U19" s="198"/>
      <c r="V19" s="198"/>
      <c r="W19" s="198"/>
      <c r="X19" s="198"/>
      <c r="Y19" s="198"/>
      <c r="Z19" s="198"/>
      <c r="AA19" s="198"/>
      <c r="AB19" s="198"/>
      <c r="AC19" s="198"/>
      <c r="AD19" s="198"/>
      <c r="AE19" s="198"/>
      <c r="AF19" s="198"/>
      <c r="AG19" s="199"/>
    </row>
    <row r="20" spans="1:33" ht="13.8">
      <c r="A20" s="412">
        <v>10</v>
      </c>
      <c r="B20" s="414" t="str">
        <f>+B13</f>
        <v>June</v>
      </c>
      <c r="C20" s="412" t="str">
        <f>+C19</f>
        <v>Year 3</v>
      </c>
      <c r="D20" s="412"/>
      <c r="E20" s="413" t="s">
        <v>403</v>
      </c>
      <c r="F20" s="199"/>
      <c r="G20" s="199"/>
      <c r="H20" s="199"/>
      <c r="I20" s="199"/>
      <c r="J20" s="199"/>
      <c r="K20" s="199"/>
      <c r="L20" s="199"/>
      <c r="M20" s="199"/>
      <c r="N20" s="199"/>
      <c r="O20" s="199"/>
      <c r="P20" s="199"/>
      <c r="Q20" s="198"/>
      <c r="R20" s="198"/>
      <c r="S20" s="198"/>
      <c r="T20" s="198"/>
      <c r="U20" s="198"/>
      <c r="V20" s="198"/>
      <c r="W20" s="198"/>
      <c r="X20" s="198"/>
      <c r="Y20" s="198"/>
      <c r="Z20" s="198"/>
      <c r="AA20" s="198"/>
      <c r="AB20" s="198"/>
      <c r="AC20" s="198"/>
      <c r="AD20" s="198"/>
      <c r="AE20" s="198"/>
      <c r="AF20" s="198"/>
      <c r="AG20" s="199"/>
    </row>
    <row r="21" spans="1:33" ht="13.8">
      <c r="A21" s="412"/>
      <c r="B21" s="414"/>
      <c r="C21" s="412"/>
      <c r="D21" s="412"/>
      <c r="E21" s="413"/>
      <c r="F21" s="199"/>
      <c r="G21" s="199"/>
      <c r="H21" s="199"/>
      <c r="I21" s="199"/>
      <c r="J21" s="199"/>
      <c r="K21" s="199"/>
      <c r="L21" s="199"/>
      <c r="M21" s="199"/>
      <c r="N21" s="199"/>
      <c r="O21" s="199"/>
      <c r="P21" s="199"/>
      <c r="Q21" s="198"/>
      <c r="R21" s="198"/>
      <c r="S21" s="198"/>
      <c r="T21" s="198"/>
      <c r="U21" s="198"/>
      <c r="V21" s="198"/>
      <c r="W21" s="198"/>
      <c r="X21" s="198"/>
      <c r="Y21" s="198"/>
      <c r="Z21" s="198"/>
      <c r="AA21" s="198"/>
      <c r="AB21" s="198"/>
      <c r="AC21" s="198"/>
      <c r="AD21" s="198"/>
      <c r="AE21" s="198"/>
      <c r="AF21" s="198"/>
      <c r="AG21" s="199"/>
    </row>
    <row r="22" spans="1:33" ht="13.8">
      <c r="A22" s="200" t="s">
        <v>699</v>
      </c>
      <c r="B22" s="1103"/>
      <c r="C22" s="1103"/>
      <c r="D22" s="1103"/>
      <c r="E22" s="1104"/>
      <c r="F22" s="198"/>
      <c r="G22" s="198"/>
      <c r="H22" s="1809"/>
      <c r="I22" s="1809"/>
      <c r="J22" s="1809"/>
      <c r="K22" s="1809"/>
      <c r="L22" s="1809"/>
      <c r="M22" s="198"/>
      <c r="N22" s="198"/>
      <c r="O22" s="198"/>
      <c r="P22" s="198"/>
      <c r="Q22" s="198"/>
      <c r="R22" s="198"/>
      <c r="S22" s="198"/>
      <c r="T22" s="198"/>
      <c r="U22" s="198"/>
      <c r="V22" s="198"/>
      <c r="W22" s="198"/>
      <c r="X22" s="198"/>
      <c r="Y22" s="198"/>
      <c r="Z22" s="198"/>
      <c r="AA22" s="198"/>
      <c r="AB22" s="198"/>
      <c r="AC22" s="198"/>
      <c r="AD22" s="198"/>
      <c r="AE22" s="198"/>
      <c r="AF22" s="198"/>
      <c r="AG22" s="199"/>
    </row>
    <row r="23" spans="1:33" ht="13.8">
      <c r="A23" s="200"/>
      <c r="B23" s="197"/>
      <c r="C23" s="197"/>
      <c r="D23" s="197"/>
      <c r="E23" s="201"/>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9"/>
    </row>
    <row r="24" spans="1:33" ht="13.8">
      <c r="A24" s="197">
        <f>+A9</f>
        <v>1</v>
      </c>
      <c r="B24" s="197" t="str">
        <f>+B9</f>
        <v>April</v>
      </c>
      <c r="C24" s="197" t="str">
        <f>+C9</f>
        <v>Year 2</v>
      </c>
      <c r="D24" s="197"/>
      <c r="E24" s="198" t="str">
        <f>+E9</f>
        <v>TO populates the formula with Year 1 data</v>
      </c>
      <c r="F24" s="198"/>
      <c r="G24" s="198"/>
      <c r="H24" s="198"/>
      <c r="I24" s="198"/>
      <c r="J24" s="198"/>
      <c r="K24" s="198"/>
      <c r="L24" s="198"/>
      <c r="M24" s="198"/>
      <c r="N24" s="198"/>
      <c r="O24" s="198"/>
      <c r="P24" s="198"/>
      <c r="Q24" s="198"/>
      <c r="S24" s="198"/>
      <c r="T24" s="198"/>
      <c r="U24" s="198"/>
      <c r="V24" s="198"/>
      <c r="W24" s="198"/>
      <c r="X24" s="198"/>
      <c r="Y24" s="198"/>
      <c r="Z24" s="198"/>
      <c r="AA24" s="198"/>
      <c r="AB24" s="198"/>
      <c r="AC24" s="198"/>
      <c r="AD24" s="198"/>
      <c r="AE24" s="198"/>
      <c r="AF24" s="198"/>
      <c r="AG24" s="199"/>
    </row>
    <row r="25" spans="1:33" ht="13.8">
      <c r="A25" s="197"/>
      <c r="B25" s="197"/>
      <c r="C25" s="197"/>
      <c r="D25" s="197"/>
      <c r="E25" s="313"/>
      <c r="F25" s="198" t="s">
        <v>872</v>
      </c>
      <c r="G25" s="198"/>
      <c r="H25" s="198"/>
      <c r="I25" s="198"/>
      <c r="J25" s="1105" t="s">
        <v>185</v>
      </c>
      <c r="K25" s="1105"/>
      <c r="L25" s="198"/>
      <c r="M25" s="198"/>
      <c r="P25" s="198"/>
      <c r="Q25" s="198"/>
      <c r="R25" s="198"/>
      <c r="S25" s="198"/>
      <c r="T25" s="198"/>
      <c r="U25" s="198"/>
      <c r="V25" s="198"/>
      <c r="W25" s="198"/>
      <c r="X25" s="198"/>
      <c r="Y25" s="198"/>
      <c r="Z25" s="198"/>
      <c r="AA25" s="198"/>
      <c r="AB25" s="198"/>
      <c r="AC25" s="198"/>
      <c r="AD25" s="198"/>
      <c r="AE25" s="198"/>
      <c r="AF25" s="198"/>
      <c r="AG25" s="199"/>
    </row>
    <row r="26" spans="1:33" ht="13.8">
      <c r="A26" s="197"/>
      <c r="B26" s="197"/>
      <c r="C26" s="197"/>
      <c r="D26" s="197"/>
      <c r="E26" s="198"/>
      <c r="F26" s="198"/>
      <c r="G26" s="198"/>
      <c r="H26" s="198"/>
      <c r="I26" s="198"/>
      <c r="J26" s="198"/>
      <c r="K26" s="198"/>
      <c r="L26" s="198"/>
      <c r="M26" s="198"/>
      <c r="N26" s="198"/>
      <c r="O26" s="198"/>
      <c r="P26" s="198"/>
      <c r="Q26" s="198"/>
      <c r="R26" s="198"/>
      <c r="S26" s="335"/>
      <c r="T26" s="198"/>
      <c r="U26" s="198"/>
      <c r="V26" s="198"/>
      <c r="W26" s="198"/>
      <c r="X26" s="198"/>
      <c r="Y26" s="198"/>
      <c r="Z26" s="198"/>
      <c r="AA26" s="198"/>
      <c r="AB26" s="198"/>
      <c r="AC26" s="198"/>
      <c r="AD26" s="198"/>
      <c r="AE26" s="198"/>
      <c r="AF26" s="198"/>
      <c r="AG26" s="199"/>
    </row>
    <row r="27" spans="1:33" ht="13.8">
      <c r="A27" s="197">
        <f>A10</f>
        <v>2</v>
      </c>
      <c r="B27" s="197" t="str">
        <f>B10</f>
        <v>April</v>
      </c>
      <c r="C27" s="197" t="str">
        <f>C10</f>
        <v>Year 2</v>
      </c>
      <c r="D27" s="535"/>
      <c r="E27" s="203" t="str">
        <f>+E10</f>
        <v>TO estimates all transmission Cap Adds and CWIP for Year 2 based on each project's cost using the average of 13 monthly balances.  Cap Adds are the projects expected to be in service in Year 2.</v>
      </c>
      <c r="F27" s="198"/>
      <c r="G27" s="198"/>
      <c r="H27" s="198"/>
      <c r="I27" s="198"/>
      <c r="J27" s="198"/>
      <c r="K27" s="198"/>
      <c r="L27" s="198"/>
      <c r="M27" s="198"/>
      <c r="N27" s="198"/>
      <c r="O27" s="198"/>
      <c r="P27" s="198"/>
      <c r="Q27" s="198"/>
      <c r="S27" s="198"/>
      <c r="T27" s="198"/>
      <c r="U27" s="198"/>
      <c r="V27" s="198"/>
      <c r="W27" s="198"/>
      <c r="X27" s="198"/>
      <c r="Y27" s="198"/>
      <c r="Z27" s="198"/>
      <c r="AA27" s="198"/>
      <c r="AB27" s="198"/>
      <c r="AC27" s="198"/>
      <c r="AD27" s="198"/>
      <c r="AE27" s="198"/>
      <c r="AF27" s="198"/>
      <c r="AG27" s="199"/>
    </row>
    <row r="28" spans="1:33" ht="14.4" thickBot="1">
      <c r="A28" s="197"/>
      <c r="B28" s="197"/>
      <c r="C28" s="197"/>
      <c r="D28" s="197"/>
      <c r="E28" s="203"/>
      <c r="F28" s="198"/>
      <c r="G28" s="198"/>
      <c r="H28" s="198"/>
      <c r="I28" s="198"/>
      <c r="J28" s="198"/>
      <c r="Q28" s="198"/>
      <c r="X28" s="1728"/>
      <c r="Y28" s="1728"/>
      <c r="Z28" s="1728"/>
      <c r="AA28" s="1728"/>
      <c r="AB28" s="1728"/>
      <c r="AC28" s="198"/>
      <c r="AD28" s="198"/>
      <c r="AE28" s="198"/>
      <c r="AF28" s="198"/>
      <c r="AG28" s="199"/>
    </row>
    <row r="29" spans="1:33" ht="22.5" customHeight="1" thickBot="1">
      <c r="A29" s="197"/>
      <c r="B29" s="197"/>
      <c r="C29" s="197"/>
      <c r="D29" s="398" t="s">
        <v>355</v>
      </c>
      <c r="E29" s="399" t="s">
        <v>356</v>
      </c>
      <c r="F29" s="399" t="s">
        <v>357</v>
      </c>
      <c r="G29" s="399" t="s">
        <v>358</v>
      </c>
      <c r="H29" s="399" t="s">
        <v>633</v>
      </c>
      <c r="I29" s="399" t="s">
        <v>639</v>
      </c>
      <c r="J29" s="336" t="s">
        <v>465</v>
      </c>
      <c r="K29" s="336" t="s">
        <v>466</v>
      </c>
      <c r="L29" s="664" t="s">
        <v>291</v>
      </c>
      <c r="M29" s="108"/>
      <c r="N29" s="1805" t="s">
        <v>580</v>
      </c>
      <c r="O29" s="1806"/>
      <c r="P29" s="1806"/>
      <c r="Q29" s="1806"/>
      <c r="R29" s="1806"/>
      <c r="S29" s="1806"/>
      <c r="T29" s="1806"/>
      <c r="U29" s="1806"/>
      <c r="V29" s="1807"/>
      <c r="X29" s="198"/>
      <c r="Y29" s="198"/>
      <c r="Z29" s="198"/>
      <c r="AA29" s="198"/>
      <c r="AB29" s="198"/>
      <c r="AC29" s="198"/>
      <c r="AD29" s="198"/>
      <c r="AE29" s="198"/>
      <c r="AF29" s="198"/>
      <c r="AG29" s="199"/>
    </row>
    <row r="30" spans="1:33" ht="57" customHeight="1" thickBot="1">
      <c r="A30" s="197"/>
      <c r="B30" s="197"/>
      <c r="C30" s="198"/>
      <c r="D30" s="857"/>
      <c r="E30" s="1650" t="s">
        <v>1041</v>
      </c>
      <c r="F30" s="1650" t="s">
        <v>1039</v>
      </c>
      <c r="G30" s="1650" t="s">
        <v>1042</v>
      </c>
      <c r="H30" s="1650" t="s">
        <v>1037</v>
      </c>
      <c r="I30" s="1650" t="s">
        <v>1047</v>
      </c>
      <c r="J30" s="1650" t="s">
        <v>1045</v>
      </c>
      <c r="K30" s="625" t="s">
        <v>943</v>
      </c>
      <c r="L30" s="1651" t="s">
        <v>488</v>
      </c>
      <c r="M30" s="1106"/>
      <c r="N30" s="665" t="s">
        <v>579</v>
      </c>
      <c r="O30" s="625" t="str">
        <f t="shared" si="0" ref="O30:U30">E30</f>
        <v>Richwood Hill</v>
      </c>
      <c r="P30" s="625" t="str">
        <f t="shared" si="0"/>
        <v>Erie South</v>
      </c>
      <c r="Q30" s="625" t="str">
        <f t="shared" si="0"/>
        <v>Joffre Sub</v>
      </c>
      <c r="R30" s="625" t="str">
        <f t="shared" si="0"/>
        <v>Oak Mound</v>
      </c>
      <c r="S30" s="625" t="str">
        <f t="shared" si="0"/>
        <v>Damascus Substation</v>
      </c>
      <c r="T30" s="625" t="str">
        <f t="shared" si="0"/>
        <v>Warren Substation</v>
      </c>
      <c r="U30" s="625" t="str">
        <f t="shared" si="0"/>
        <v>Kammer</v>
      </c>
      <c r="V30" s="1107" t="str">
        <f>L30</f>
        <v xml:space="preserve">  502 Junction - Territorial Line  (monthly additions)</v>
      </c>
      <c r="W30" s="1106"/>
      <c r="X30" s="1106"/>
      <c r="Y30" s="1106"/>
      <c r="Z30" s="1106"/>
      <c r="AA30" s="1106"/>
      <c r="AB30" s="1106"/>
      <c r="AC30" s="1106"/>
      <c r="AD30" s="198"/>
      <c r="AE30" s="198"/>
      <c r="AF30" s="198"/>
      <c r="AG30" s="199"/>
    </row>
    <row r="31" spans="1:33" ht="14.4" thickBot="1">
      <c r="A31" s="197"/>
      <c r="B31" s="197"/>
      <c r="C31" s="198"/>
      <c r="D31" s="858"/>
      <c r="E31" s="625" t="s">
        <v>632</v>
      </c>
      <c r="F31" s="625" t="s">
        <v>632</v>
      </c>
      <c r="G31" s="625" t="s">
        <v>632</v>
      </c>
      <c r="H31" s="625" t="s">
        <v>632</v>
      </c>
      <c r="I31" s="625" t="s">
        <v>632</v>
      </c>
      <c r="J31" s="625" t="s">
        <v>632</v>
      </c>
      <c r="K31" s="625" t="s">
        <v>632</v>
      </c>
      <c r="L31" s="1107" t="s">
        <v>632</v>
      </c>
      <c r="M31" s="1106"/>
      <c r="N31" s="859"/>
      <c r="O31" s="625" t="s">
        <v>632</v>
      </c>
      <c r="P31" s="625" t="s">
        <v>632</v>
      </c>
      <c r="Q31" s="625" t="s">
        <v>632</v>
      </c>
      <c r="R31" s="625" t="s">
        <v>632</v>
      </c>
      <c r="S31" s="625" t="s">
        <v>632</v>
      </c>
      <c r="T31" s="625" t="s">
        <v>632</v>
      </c>
      <c r="U31" s="625" t="s">
        <v>632</v>
      </c>
      <c r="V31" s="1107" t="s">
        <v>661</v>
      </c>
      <c r="W31" s="1106"/>
      <c r="X31" s="1106"/>
      <c r="Y31" s="1106"/>
      <c r="Z31" s="1106"/>
      <c r="AA31" s="1106"/>
      <c r="AB31" s="1106"/>
      <c r="AC31" s="1106"/>
      <c r="AD31" s="198"/>
      <c r="AE31" s="198"/>
      <c r="AF31" s="198"/>
      <c r="AG31" s="199"/>
    </row>
    <row r="32" spans="1:33" ht="40.5" customHeight="1">
      <c r="A32" s="197"/>
      <c r="B32" s="197"/>
      <c r="C32" s="1108" t="s">
        <v>122</v>
      </c>
      <c r="D32" s="1109" t="s">
        <v>258</v>
      </c>
      <c r="E32" s="1693">
        <v>-1935</v>
      </c>
      <c r="F32" s="1693"/>
      <c r="G32" s="1693"/>
      <c r="H32" s="1694">
        <v>236088</v>
      </c>
      <c r="I32" s="1695"/>
      <c r="J32" s="1694"/>
      <c r="K32" s="1693"/>
      <c r="L32" s="1696">
        <v>113648</v>
      </c>
      <c r="M32" s="855"/>
      <c r="N32" s="402"/>
      <c r="O32" s="1697">
        <f>E32</f>
        <v>-1935</v>
      </c>
      <c r="P32" s="1697">
        <f t="shared" si="1" ref="P32:V32">F32</f>
        <v>0</v>
      </c>
      <c r="Q32" s="1697">
        <f t="shared" si="1"/>
        <v>0</v>
      </c>
      <c r="R32" s="1697">
        <f t="shared" si="1"/>
        <v>236088</v>
      </c>
      <c r="S32" s="1697">
        <f t="shared" si="1"/>
        <v>0</v>
      </c>
      <c r="T32" s="1697">
        <f t="shared" si="1"/>
        <v>0</v>
      </c>
      <c r="U32" s="1697">
        <f t="shared" si="1"/>
        <v>0</v>
      </c>
      <c r="V32" s="1698">
        <f t="shared" si="1"/>
        <v>113648</v>
      </c>
      <c r="W32" s="268"/>
      <c r="X32" s="204"/>
      <c r="Y32" s="204"/>
      <c r="Z32" s="397"/>
      <c r="AA32" s="397"/>
      <c r="AB32" s="397"/>
      <c r="AC32" s="255"/>
      <c r="AE32" s="204"/>
      <c r="AF32" s="198"/>
      <c r="AG32" s="199"/>
    </row>
    <row r="33" spans="1:33" ht="13.8">
      <c r="A33" s="197"/>
      <c r="B33" s="197"/>
      <c r="C33" s="334" t="s">
        <v>1417</v>
      </c>
      <c r="D33" s="1110" t="s">
        <v>258</v>
      </c>
      <c r="E33" s="1695">
        <v>889</v>
      </c>
      <c r="F33" s="1695">
        <v>0</v>
      </c>
      <c r="G33" s="1695"/>
      <c r="H33" s="1699">
        <v>23937</v>
      </c>
      <c r="I33" s="1695"/>
      <c r="J33" s="1699"/>
      <c r="K33" s="1695"/>
      <c r="L33" s="1700">
        <v>16266</v>
      </c>
      <c r="M33" s="1701"/>
      <c r="N33" s="265"/>
      <c r="O33" s="856">
        <f t="shared" si="2" ref="O33:V44">O32+E33</f>
        <v>-1046</v>
      </c>
      <c r="P33" s="856">
        <f t="shared" si="2"/>
        <v>0</v>
      </c>
      <c r="Q33" s="856">
        <f t="shared" si="2"/>
        <v>0</v>
      </c>
      <c r="R33" s="856">
        <f t="shared" si="2"/>
        <v>260025</v>
      </c>
      <c r="S33" s="856">
        <f t="shared" si="2"/>
        <v>0</v>
      </c>
      <c r="T33" s="856">
        <f t="shared" si="2"/>
        <v>0</v>
      </c>
      <c r="U33" s="856">
        <f t="shared" si="2"/>
        <v>0</v>
      </c>
      <c r="V33" s="1702">
        <f t="shared" si="2"/>
        <v>129914</v>
      </c>
      <c r="W33" s="268"/>
      <c r="X33" s="204"/>
      <c r="Y33" s="204"/>
      <c r="Z33" s="397"/>
      <c r="AA33" s="397"/>
      <c r="AB33" s="397"/>
      <c r="AC33" s="255"/>
      <c r="AE33" s="204"/>
      <c r="AF33" s="198"/>
      <c r="AG33" s="199"/>
    </row>
    <row r="34" spans="1:33" ht="13.8">
      <c r="A34" s="197"/>
      <c r="B34" s="197"/>
      <c r="C34" s="198" t="s">
        <v>271</v>
      </c>
      <c r="D34" s="1110" t="s">
        <v>258</v>
      </c>
      <c r="E34" s="1695">
        <v>889.14</v>
      </c>
      <c r="F34" s="1695">
        <v>0</v>
      </c>
      <c r="G34" s="1695">
        <v>158.10</v>
      </c>
      <c r="H34" s="1699">
        <v>-33498.69</v>
      </c>
      <c r="I34" s="1695"/>
      <c r="J34" s="1699"/>
      <c r="K34" s="1695"/>
      <c r="L34" s="1700">
        <v>54.95</v>
      </c>
      <c r="M34" s="1701"/>
      <c r="N34" s="265"/>
      <c r="O34" s="856">
        <f t="shared" si="2"/>
        <v>-156.86000000000001</v>
      </c>
      <c r="P34" s="856">
        <f t="shared" si="2"/>
        <v>0</v>
      </c>
      <c r="Q34" s="856">
        <f t="shared" si="2"/>
        <v>158.10</v>
      </c>
      <c r="R34" s="856">
        <f t="shared" si="2"/>
        <v>226526.31</v>
      </c>
      <c r="S34" s="856">
        <f t="shared" si="2"/>
        <v>0</v>
      </c>
      <c r="T34" s="856">
        <f t="shared" si="2"/>
        <v>0</v>
      </c>
      <c r="U34" s="856">
        <f t="shared" si="2"/>
        <v>0</v>
      </c>
      <c r="V34" s="1702">
        <f t="shared" si="2"/>
        <v>129968.95</v>
      </c>
      <c r="W34" s="268"/>
      <c r="X34" s="204"/>
      <c r="Y34" s="204"/>
      <c r="Z34" s="397"/>
      <c r="AA34" s="397"/>
      <c r="AB34" s="397"/>
      <c r="AC34" s="255"/>
      <c r="AE34" s="204"/>
      <c r="AF34" s="198"/>
      <c r="AG34" s="199"/>
    </row>
    <row r="35" spans="1:33" ht="13.8">
      <c r="A35" s="197"/>
      <c r="B35" s="197"/>
      <c r="C35" s="198" t="s">
        <v>272</v>
      </c>
      <c r="D35" s="1110" t="s">
        <v>258</v>
      </c>
      <c r="E35" s="1695">
        <v>876</v>
      </c>
      <c r="F35" s="1695"/>
      <c r="G35" s="1695"/>
      <c r="H35" s="1699">
        <v>2437.14</v>
      </c>
      <c r="I35" s="1695"/>
      <c r="J35" s="1699"/>
      <c r="K35" s="1695"/>
      <c r="L35" s="1700">
        <v>1710609.8599997759</v>
      </c>
      <c r="M35" s="1701"/>
      <c r="N35" s="265"/>
      <c r="O35" s="856">
        <f t="shared" si="2"/>
        <v>719.14</v>
      </c>
      <c r="P35" s="856">
        <f t="shared" si="2"/>
        <v>0</v>
      </c>
      <c r="Q35" s="856">
        <f t="shared" si="2"/>
        <v>158.10</v>
      </c>
      <c r="R35" s="856">
        <f t="shared" si="2"/>
        <v>228963.45</v>
      </c>
      <c r="S35" s="856">
        <f t="shared" si="2"/>
        <v>0</v>
      </c>
      <c r="T35" s="856">
        <f t="shared" si="2"/>
        <v>0</v>
      </c>
      <c r="U35" s="856">
        <f t="shared" si="2"/>
        <v>0</v>
      </c>
      <c r="V35" s="1702">
        <f t="shared" si="2"/>
        <v>1840578.8099997758</v>
      </c>
      <c r="W35" s="268"/>
      <c r="X35" s="204"/>
      <c r="Y35" s="204"/>
      <c r="Z35" s="397"/>
      <c r="AA35" s="397"/>
      <c r="AB35" s="397"/>
      <c r="AC35" s="255"/>
      <c r="AE35" s="204"/>
      <c r="AF35" s="198"/>
      <c r="AG35" s="199"/>
    </row>
    <row r="36" spans="1:33" ht="13.8">
      <c r="A36" s="197"/>
      <c r="B36" s="197"/>
      <c r="C36" s="198" t="s">
        <v>273</v>
      </c>
      <c r="D36" s="532" t="s">
        <v>259</v>
      </c>
      <c r="E36" s="1695"/>
      <c r="F36" s="1695"/>
      <c r="G36" s="1695"/>
      <c r="H36" s="1699"/>
      <c r="I36" s="1695"/>
      <c r="J36" s="1699"/>
      <c r="K36" s="1695"/>
      <c r="L36" s="1700">
        <v>6142672</v>
      </c>
      <c r="M36" s="1701"/>
      <c r="N36" s="265"/>
      <c r="O36" s="856">
        <f>O35+E36</f>
        <v>719.14</v>
      </c>
      <c r="P36" s="856">
        <f t="shared" si="2"/>
        <v>0</v>
      </c>
      <c r="Q36" s="856">
        <f t="shared" si="2"/>
        <v>158.10</v>
      </c>
      <c r="R36" s="856">
        <f t="shared" si="2"/>
        <v>228963.45</v>
      </c>
      <c r="S36" s="856">
        <f t="shared" si="2"/>
        <v>0</v>
      </c>
      <c r="T36" s="856">
        <f t="shared" si="2"/>
        <v>0</v>
      </c>
      <c r="U36" s="856">
        <f t="shared" si="2"/>
        <v>0</v>
      </c>
      <c r="V36" s="1702">
        <f t="shared" si="2"/>
        <v>7983250.8099997761</v>
      </c>
      <c r="W36" s="268"/>
      <c r="X36" s="204"/>
      <c r="Y36" s="204"/>
      <c r="Z36" s="397"/>
      <c r="AA36" s="397"/>
      <c r="AB36" s="397"/>
      <c r="AC36" s="255"/>
      <c r="AE36" s="204"/>
      <c r="AF36" s="198"/>
      <c r="AG36" s="199"/>
    </row>
    <row r="37" spans="1:33" ht="13.8">
      <c r="A37" s="197"/>
      <c r="B37" s="197"/>
      <c r="C37" s="198" t="s">
        <v>255</v>
      </c>
      <c r="D37" s="532" t="s">
        <v>259</v>
      </c>
      <c r="E37" s="1695"/>
      <c r="F37" s="1695"/>
      <c r="G37" s="1695"/>
      <c r="H37" s="1699"/>
      <c r="I37" s="1695"/>
      <c r="J37" s="1699"/>
      <c r="K37" s="1695"/>
      <c r="L37" s="1700">
        <v>1148021</v>
      </c>
      <c r="M37" s="1701"/>
      <c r="N37" s="265"/>
      <c r="O37" s="856">
        <f t="shared" si="2"/>
        <v>719.14</v>
      </c>
      <c r="P37" s="856">
        <f t="shared" si="2"/>
        <v>0</v>
      </c>
      <c r="Q37" s="856">
        <f t="shared" si="2"/>
        <v>158.10</v>
      </c>
      <c r="R37" s="856">
        <f t="shared" si="2"/>
        <v>228963.45</v>
      </c>
      <c r="S37" s="856">
        <f t="shared" si="2"/>
        <v>0</v>
      </c>
      <c r="T37" s="856">
        <f t="shared" si="2"/>
        <v>0</v>
      </c>
      <c r="U37" s="856">
        <f t="shared" si="2"/>
        <v>0</v>
      </c>
      <c r="V37" s="1702">
        <f t="shared" si="2"/>
        <v>9131271.8099997751</v>
      </c>
      <c r="W37" s="268"/>
      <c r="X37" s="204"/>
      <c r="Y37" s="204"/>
      <c r="Z37" s="397"/>
      <c r="AA37" s="397"/>
      <c r="AB37" s="397"/>
      <c r="AC37" s="255"/>
      <c r="AE37" s="204"/>
      <c r="AF37" s="198"/>
      <c r="AG37" s="199"/>
    </row>
    <row r="38" spans="1:33" ht="13.8">
      <c r="A38" s="197"/>
      <c r="B38" s="197"/>
      <c r="C38" s="198" t="s">
        <v>274</v>
      </c>
      <c r="D38" s="532" t="s">
        <v>259</v>
      </c>
      <c r="E38" s="1695"/>
      <c r="F38" s="1695"/>
      <c r="G38" s="1695"/>
      <c r="H38" s="1699"/>
      <c r="I38" s="1695"/>
      <c r="J38" s="1703"/>
      <c r="K38" s="1695"/>
      <c r="L38" s="1700"/>
      <c r="M38" s="1701"/>
      <c r="N38" s="265"/>
      <c r="O38" s="856">
        <f t="shared" si="2"/>
        <v>719.14</v>
      </c>
      <c r="P38" s="856">
        <f t="shared" si="2"/>
        <v>0</v>
      </c>
      <c r="Q38" s="856">
        <f t="shared" si="2"/>
        <v>158.10</v>
      </c>
      <c r="R38" s="856">
        <f t="shared" si="2"/>
        <v>228963.45</v>
      </c>
      <c r="S38" s="856">
        <f t="shared" si="2"/>
        <v>0</v>
      </c>
      <c r="T38" s="856">
        <f t="shared" si="2"/>
        <v>0</v>
      </c>
      <c r="U38" s="856">
        <f t="shared" si="2"/>
        <v>0</v>
      </c>
      <c r="V38" s="1702">
        <f t="shared" si="2"/>
        <v>9131271.8099997751</v>
      </c>
      <c r="W38" s="268"/>
      <c r="X38" s="204"/>
      <c r="Y38" s="204"/>
      <c r="Z38" s="397"/>
      <c r="AA38" s="397"/>
      <c r="AB38" s="397"/>
      <c r="AC38" s="255"/>
      <c r="AE38" s="204"/>
      <c r="AF38" s="198"/>
      <c r="AG38" s="199"/>
    </row>
    <row r="39" spans="1:33" ht="13.8">
      <c r="A39" s="197"/>
      <c r="B39" s="197"/>
      <c r="C39" s="198" t="s">
        <v>275</v>
      </c>
      <c r="D39" s="532" t="s">
        <v>259</v>
      </c>
      <c r="E39" s="1695"/>
      <c r="F39" s="1695"/>
      <c r="G39" s="1695"/>
      <c r="H39" s="1699"/>
      <c r="I39" s="1695"/>
      <c r="J39" s="1699"/>
      <c r="K39" s="1695"/>
      <c r="L39" s="1704"/>
      <c r="M39" s="1701"/>
      <c r="N39" s="265"/>
      <c r="O39" s="856">
        <f t="shared" si="2"/>
        <v>719.14</v>
      </c>
      <c r="P39" s="856">
        <f t="shared" si="2"/>
        <v>0</v>
      </c>
      <c r="Q39" s="856">
        <f t="shared" si="2"/>
        <v>158.10</v>
      </c>
      <c r="R39" s="856">
        <f t="shared" si="2"/>
        <v>228963.45</v>
      </c>
      <c r="S39" s="856">
        <f t="shared" si="2"/>
        <v>0</v>
      </c>
      <c r="T39" s="856">
        <f t="shared" si="2"/>
        <v>0</v>
      </c>
      <c r="U39" s="856">
        <f t="shared" si="2"/>
        <v>0</v>
      </c>
      <c r="V39" s="1702">
        <f t="shared" si="2"/>
        <v>9131271.8099997751</v>
      </c>
      <c r="W39" s="268"/>
      <c r="X39" s="204"/>
      <c r="Y39" s="204"/>
      <c r="Z39" s="397"/>
      <c r="AA39" s="397"/>
      <c r="AB39" s="397"/>
      <c r="AC39" s="255"/>
      <c r="AE39" s="204"/>
      <c r="AF39" s="198"/>
      <c r="AG39" s="199"/>
    </row>
    <row r="40" spans="1:33" ht="13.8">
      <c r="A40" s="197"/>
      <c r="B40" s="197"/>
      <c r="C40" s="198" t="s">
        <v>276</v>
      </c>
      <c r="D40" s="532" t="s">
        <v>259</v>
      </c>
      <c r="E40" s="1695"/>
      <c r="F40" s="1695"/>
      <c r="G40" s="1695"/>
      <c r="H40" s="1699"/>
      <c r="I40" s="1695"/>
      <c r="J40" s="1699"/>
      <c r="K40" s="1695"/>
      <c r="L40" s="1700"/>
      <c r="M40" s="1701"/>
      <c r="N40" s="265"/>
      <c r="O40" s="856">
        <f t="shared" si="2"/>
        <v>719.14</v>
      </c>
      <c r="P40" s="856">
        <f t="shared" si="2"/>
        <v>0</v>
      </c>
      <c r="Q40" s="856">
        <f t="shared" si="2"/>
        <v>158.10</v>
      </c>
      <c r="R40" s="856">
        <f t="shared" si="2"/>
        <v>228963.45</v>
      </c>
      <c r="S40" s="856">
        <f t="shared" si="2"/>
        <v>0</v>
      </c>
      <c r="T40" s="856">
        <f t="shared" si="2"/>
        <v>0</v>
      </c>
      <c r="U40" s="856">
        <f t="shared" si="2"/>
        <v>0</v>
      </c>
      <c r="V40" s="1702">
        <f t="shared" si="2"/>
        <v>9131271.8099997751</v>
      </c>
      <c r="W40" s="268"/>
      <c r="X40" s="204"/>
      <c r="Y40" s="204"/>
      <c r="Z40" s="397"/>
      <c r="AA40" s="397"/>
      <c r="AB40" s="397"/>
      <c r="AC40" s="255"/>
      <c r="AE40" s="204"/>
      <c r="AF40" s="198"/>
      <c r="AG40" s="199"/>
    </row>
    <row r="41" spans="1:33" ht="13.8">
      <c r="A41" s="197"/>
      <c r="B41" s="197"/>
      <c r="C41" s="198" t="s">
        <v>277</v>
      </c>
      <c r="D41" s="532" t="s">
        <v>259</v>
      </c>
      <c r="E41" s="1695"/>
      <c r="F41" s="1695"/>
      <c r="G41" s="1695"/>
      <c r="H41" s="1699"/>
      <c r="I41" s="1695"/>
      <c r="J41" s="1699"/>
      <c r="K41" s="1695"/>
      <c r="L41" s="1700"/>
      <c r="M41" s="1701"/>
      <c r="N41" s="265"/>
      <c r="O41" s="856">
        <f t="shared" si="2"/>
        <v>719.14</v>
      </c>
      <c r="P41" s="856">
        <f t="shared" si="2"/>
        <v>0</v>
      </c>
      <c r="Q41" s="856">
        <f t="shared" si="2"/>
        <v>158.10</v>
      </c>
      <c r="R41" s="856">
        <f t="shared" si="2"/>
        <v>228963.45</v>
      </c>
      <c r="S41" s="856">
        <f t="shared" si="2"/>
        <v>0</v>
      </c>
      <c r="T41" s="856">
        <f t="shared" si="2"/>
        <v>0</v>
      </c>
      <c r="U41" s="856">
        <f t="shared" si="2"/>
        <v>0</v>
      </c>
      <c r="V41" s="1702">
        <f t="shared" si="2"/>
        <v>9131271.8099997751</v>
      </c>
      <c r="W41" s="268"/>
      <c r="X41" s="204"/>
      <c r="Y41" s="204"/>
      <c r="Z41" s="397"/>
      <c r="AA41" s="397"/>
      <c r="AB41" s="397"/>
      <c r="AC41" s="255"/>
      <c r="AE41" s="204"/>
      <c r="AF41" s="198"/>
      <c r="AG41" s="199"/>
    </row>
    <row r="42" spans="1:33" ht="13.8">
      <c r="A42" s="197"/>
      <c r="B42" s="197"/>
      <c r="C42" s="198" t="s">
        <v>278</v>
      </c>
      <c r="D42" s="532" t="s">
        <v>259</v>
      </c>
      <c r="E42" s="1695"/>
      <c r="F42" s="1695"/>
      <c r="G42" s="1695"/>
      <c r="H42" s="1699"/>
      <c r="I42" s="1695"/>
      <c r="J42" s="1699"/>
      <c r="K42" s="1695"/>
      <c r="L42" s="1700"/>
      <c r="M42" s="1701"/>
      <c r="N42" s="265"/>
      <c r="O42" s="856">
        <f t="shared" si="2"/>
        <v>719.14</v>
      </c>
      <c r="P42" s="856">
        <f t="shared" si="2"/>
        <v>0</v>
      </c>
      <c r="Q42" s="856">
        <f t="shared" si="2"/>
        <v>158.10</v>
      </c>
      <c r="R42" s="856">
        <f t="shared" si="2"/>
        <v>228963.45</v>
      </c>
      <c r="S42" s="856">
        <f t="shared" si="2"/>
        <v>0</v>
      </c>
      <c r="T42" s="856">
        <f t="shared" si="2"/>
        <v>0</v>
      </c>
      <c r="U42" s="856">
        <f t="shared" si="2"/>
        <v>0</v>
      </c>
      <c r="V42" s="1702">
        <f t="shared" si="2"/>
        <v>9131271.8099997751</v>
      </c>
      <c r="W42" s="268"/>
      <c r="X42" s="204"/>
      <c r="Y42" s="204"/>
      <c r="Z42" s="397"/>
      <c r="AA42" s="397"/>
      <c r="AB42" s="397"/>
      <c r="AC42" s="255"/>
      <c r="AE42" s="204"/>
      <c r="AF42" s="198"/>
      <c r="AG42" s="199"/>
    </row>
    <row r="43" spans="1:33" ht="13.8">
      <c r="A43" s="197"/>
      <c r="B43" s="197"/>
      <c r="C43" s="198" t="s">
        <v>279</v>
      </c>
      <c r="D43" s="532" t="s">
        <v>259</v>
      </c>
      <c r="E43" s="1695"/>
      <c r="F43" s="1695"/>
      <c r="G43" s="1695"/>
      <c r="H43" s="1699"/>
      <c r="I43" s="1695"/>
      <c r="J43" s="1699"/>
      <c r="K43" s="1695"/>
      <c r="L43" s="1700"/>
      <c r="M43" s="1701"/>
      <c r="N43" s="265"/>
      <c r="O43" s="856">
        <f t="shared" si="2"/>
        <v>719.14</v>
      </c>
      <c r="P43" s="856">
        <f t="shared" si="2"/>
        <v>0</v>
      </c>
      <c r="Q43" s="856">
        <f>Q42+G43</f>
        <v>158.10</v>
      </c>
      <c r="R43" s="856">
        <f t="shared" si="2"/>
        <v>228963.45</v>
      </c>
      <c r="S43" s="856">
        <f t="shared" si="2"/>
        <v>0</v>
      </c>
      <c r="T43" s="856">
        <f t="shared" si="2"/>
        <v>0</v>
      </c>
      <c r="U43" s="856">
        <f t="shared" si="2"/>
        <v>0</v>
      </c>
      <c r="V43" s="1702">
        <f t="shared" si="2"/>
        <v>9131271.8099997751</v>
      </c>
      <c r="W43" s="268"/>
      <c r="X43" s="204"/>
      <c r="Y43" s="204"/>
      <c r="Z43" s="397"/>
      <c r="AB43" s="397"/>
      <c r="AC43" s="255"/>
      <c r="AE43" s="204"/>
      <c r="AF43" s="198"/>
      <c r="AG43" s="199"/>
    </row>
    <row r="44" spans="1:33" ht="14.4" thickBot="1">
      <c r="A44" s="197"/>
      <c r="B44" s="197"/>
      <c r="C44" s="198" t="s">
        <v>280</v>
      </c>
      <c r="D44" s="401" t="s">
        <v>259</v>
      </c>
      <c r="E44" s="1705"/>
      <c r="F44" s="1705"/>
      <c r="G44" s="1705"/>
      <c r="H44" s="1706"/>
      <c r="I44" s="1705"/>
      <c r="J44" s="1706"/>
      <c r="K44" s="1705"/>
      <c r="L44" s="1707">
        <v>1039816</v>
      </c>
      <c r="M44" s="1701"/>
      <c r="N44" s="128"/>
      <c r="O44" s="1708">
        <f t="shared" si="2"/>
        <v>719.14</v>
      </c>
      <c r="P44" s="1708">
        <f t="shared" si="2"/>
        <v>0</v>
      </c>
      <c r="Q44" s="1708">
        <f>Q43+G44</f>
        <v>158.10</v>
      </c>
      <c r="R44" s="1708">
        <f t="shared" si="2"/>
        <v>228963.45</v>
      </c>
      <c r="S44" s="1708">
        <f t="shared" si="2"/>
        <v>0</v>
      </c>
      <c r="T44" s="1708">
        <f t="shared" si="2"/>
        <v>0</v>
      </c>
      <c r="U44" s="1708">
        <f t="shared" si="2"/>
        <v>0</v>
      </c>
      <c r="V44" s="1709">
        <f t="shared" si="2"/>
        <v>10171087.809999775</v>
      </c>
      <c r="W44" s="268"/>
      <c r="X44" s="204"/>
      <c r="Y44" s="204"/>
      <c r="Z44" s="397"/>
      <c r="AB44" s="397"/>
      <c r="AC44" s="255"/>
      <c r="AE44" s="204"/>
      <c r="AF44" s="198"/>
      <c r="AG44" s="199"/>
    </row>
    <row r="45" spans="1:33" ht="13.8">
      <c r="A45" s="197"/>
      <c r="B45" s="197"/>
      <c r="C45" s="198" t="s">
        <v>524</v>
      </c>
      <c r="D45" s="204" t="s">
        <v>447</v>
      </c>
      <c r="E45" s="701">
        <f>SUM(E32:E44)</f>
        <v>719.14</v>
      </c>
      <c r="F45" s="701">
        <f t="shared" si="3" ref="F45:K45">SUM(F32:F44)</f>
        <v>0</v>
      </c>
      <c r="G45" s="701">
        <f t="shared" si="3"/>
        <v>158.10</v>
      </c>
      <c r="H45" s="701">
        <f t="shared" si="3"/>
        <v>228963.45</v>
      </c>
      <c r="I45" s="701">
        <f t="shared" si="3"/>
        <v>0</v>
      </c>
      <c r="J45" s="701">
        <f t="shared" si="3"/>
        <v>0</v>
      </c>
      <c r="K45" s="701">
        <f t="shared" si="3"/>
        <v>0</v>
      </c>
      <c r="L45" s="701">
        <f>SUM(L32:L44)</f>
        <v>10171087.809999775</v>
      </c>
      <c r="M45" s="1113"/>
      <c r="O45" s="1114">
        <f t="shared" si="4" ref="O45:V45">SUM(O32:O44)</f>
        <v>4053.5399999999991</v>
      </c>
      <c r="P45" s="1114">
        <f t="shared" si="4"/>
        <v>0</v>
      </c>
      <c r="Q45" s="1114">
        <f t="shared" si="4"/>
        <v>1739.0999999999997</v>
      </c>
      <c r="R45" s="1114">
        <f t="shared" si="4"/>
        <v>3012273.8100000005</v>
      </c>
      <c r="S45" s="1114">
        <f t="shared" si="4"/>
        <v>0</v>
      </c>
      <c r="T45" s="1114">
        <f t="shared" si="4"/>
        <v>0</v>
      </c>
      <c r="U45" s="1114">
        <f t="shared" si="4"/>
        <v>0</v>
      </c>
      <c r="V45" s="1114">
        <f t="shared" si="4"/>
        <v>84287351.049997762</v>
      </c>
      <c r="W45" s="1114"/>
      <c r="X45" s="204"/>
      <c r="Y45" s="204"/>
      <c r="Z45" s="204"/>
      <c r="AA45" s="203"/>
      <c r="AB45" s="198"/>
      <c r="AC45" s="204"/>
      <c r="AD45" s="204"/>
      <c r="AE45" s="204"/>
      <c r="AF45" s="198"/>
      <c r="AG45" s="199"/>
    </row>
    <row r="46" spans="1:33" ht="13.8">
      <c r="A46" s="197"/>
      <c r="B46" s="197"/>
      <c r="C46" s="198"/>
      <c r="E46" s="255"/>
      <c r="F46" s="255"/>
      <c r="G46" s="204"/>
      <c r="H46" s="204"/>
      <c r="I46" s="204"/>
      <c r="J46" s="204" t="s">
        <v>447</v>
      </c>
      <c r="K46" s="204"/>
      <c r="N46" s="255"/>
      <c r="O46" s="255">
        <f t="shared" si="5" ref="O46:V46">O45/13</f>
        <v>311.81076923076915</v>
      </c>
      <c r="P46" s="255">
        <f t="shared" si="5"/>
        <v>0</v>
      </c>
      <c r="Q46" s="255">
        <f>Q45/13</f>
        <v>133.77692307692305</v>
      </c>
      <c r="R46" s="255">
        <f t="shared" si="5"/>
        <v>231713.37000000005</v>
      </c>
      <c r="S46" s="255">
        <f t="shared" si="5"/>
        <v>0</v>
      </c>
      <c r="T46" s="255">
        <f t="shared" si="5"/>
        <v>0</v>
      </c>
      <c r="U46" s="255">
        <f t="shared" si="5"/>
        <v>0</v>
      </c>
      <c r="V46" s="255">
        <f t="shared" si="5"/>
        <v>6483642.3884613663</v>
      </c>
      <c r="W46" s="255"/>
      <c r="X46" s="411"/>
      <c r="Y46" s="411"/>
      <c r="Z46" s="411"/>
      <c r="AB46" s="198"/>
      <c r="AC46" s="198"/>
      <c r="AD46" s="198"/>
      <c r="AE46" s="198"/>
      <c r="AF46" s="198"/>
      <c r="AG46" s="199"/>
    </row>
    <row r="47" spans="1:33" ht="13.8">
      <c r="A47" s="197"/>
      <c r="B47" s="197"/>
      <c r="C47" s="198"/>
      <c r="D47" s="198"/>
      <c r="F47" s="204"/>
      <c r="G47" s="204"/>
      <c r="H47" s="1710"/>
      <c r="I47" s="204"/>
      <c r="J47" s="204"/>
      <c r="N47" s="591" t="s">
        <v>581</v>
      </c>
      <c r="O47" s="591" t="s">
        <v>581</v>
      </c>
      <c r="P47" s="591" t="s">
        <v>581</v>
      </c>
      <c r="Q47" s="591" t="s">
        <v>581</v>
      </c>
      <c r="R47" s="591"/>
      <c r="S47" s="591"/>
      <c r="T47" s="591" t="s">
        <v>186</v>
      </c>
      <c r="U47" s="198"/>
      <c r="V47" s="204"/>
      <c r="W47" s="411"/>
      <c r="X47" s="411"/>
      <c r="Y47" s="198"/>
      <c r="Z47" s="198"/>
      <c r="AA47" s="204"/>
      <c r="AB47" s="198"/>
      <c r="AC47" s="198"/>
      <c r="AD47" s="198"/>
      <c r="AE47" s="198"/>
      <c r="AF47" s="198"/>
      <c r="AG47" s="199"/>
    </row>
    <row r="48" spans="1:33" ht="14.4" thickBot="1">
      <c r="A48" s="197"/>
      <c r="B48" s="197"/>
      <c r="C48" s="198"/>
      <c r="D48" s="198"/>
      <c r="F48" s="204"/>
      <c r="G48" s="204"/>
      <c r="H48" s="1710"/>
      <c r="I48" s="204"/>
      <c r="J48" s="204"/>
      <c r="N48" s="591"/>
      <c r="O48" s="591"/>
      <c r="P48" s="591"/>
      <c r="Q48" s="591"/>
      <c r="R48" s="591"/>
      <c r="S48" s="591"/>
      <c r="T48" s="591"/>
      <c r="U48" s="198"/>
      <c r="V48" s="204"/>
      <c r="W48" s="411"/>
      <c r="X48" s="411"/>
      <c r="Y48" s="198"/>
      <c r="Z48" s="198"/>
      <c r="AA48" s="204"/>
      <c r="AB48" s="198"/>
      <c r="AC48" s="198"/>
      <c r="AD48" s="198"/>
      <c r="AE48" s="198"/>
      <c r="AF48" s="198"/>
      <c r="AG48" s="199"/>
    </row>
    <row r="49" spans="1:33" ht="14.4" thickBot="1">
      <c r="A49" s="197"/>
      <c r="B49" s="197"/>
      <c r="C49" s="197"/>
      <c r="D49" s="859" t="s">
        <v>355</v>
      </c>
      <c r="E49" s="860" t="s">
        <v>356</v>
      </c>
      <c r="F49" s="860" t="s">
        <v>357</v>
      </c>
      <c r="G49" s="860" t="s">
        <v>358</v>
      </c>
      <c r="H49" s="860" t="s">
        <v>633</v>
      </c>
      <c r="I49" s="860" t="s">
        <v>639</v>
      </c>
      <c r="J49" s="1660" t="s">
        <v>465</v>
      </c>
      <c r="K49" s="1660" t="s">
        <v>466</v>
      </c>
      <c r="L49" s="861" t="s">
        <v>291</v>
      </c>
      <c r="M49" s="108"/>
      <c r="N49" s="1805" t="s">
        <v>580</v>
      </c>
      <c r="O49" s="1806"/>
      <c r="P49" s="1806"/>
      <c r="Q49" s="1806"/>
      <c r="R49" s="1806"/>
      <c r="S49" s="1806"/>
      <c r="T49" s="1806"/>
      <c r="U49" s="1806"/>
      <c r="V49" s="1807"/>
      <c r="W49" s="411"/>
      <c r="X49" s="411"/>
      <c r="Y49" s="198"/>
      <c r="Z49" s="198"/>
      <c r="AA49" s="204"/>
      <c r="AB49" s="198"/>
      <c r="AC49" s="198"/>
      <c r="AD49" s="198"/>
      <c r="AE49" s="198"/>
      <c r="AF49" s="198"/>
      <c r="AG49" s="199"/>
    </row>
    <row r="50" spans="1:33" ht="27" thickBot="1">
      <c r="A50" s="197"/>
      <c r="B50" s="197"/>
      <c r="C50" s="198"/>
      <c r="D50" s="665"/>
      <c r="E50" s="1650" t="s">
        <v>1019</v>
      </c>
      <c r="F50" s="1650" t="s">
        <v>972</v>
      </c>
      <c r="G50" s="1650" t="s">
        <v>664</v>
      </c>
      <c r="H50" s="1650" t="s">
        <v>947</v>
      </c>
      <c r="I50" s="1650" t="s">
        <v>1008</v>
      </c>
      <c r="J50" s="1650" t="s">
        <v>967</v>
      </c>
      <c r="K50" s="1650" t="s">
        <v>980</v>
      </c>
      <c r="L50" s="1650" t="s">
        <v>1059</v>
      </c>
      <c r="M50" s="1106"/>
      <c r="N50" s="665" t="s">
        <v>579</v>
      </c>
      <c r="O50" s="1650" t="s">
        <v>1019</v>
      </c>
      <c r="P50" s="625" t="str">
        <f t="shared" si="6" ref="P50:U50">F50</f>
        <v>502 Jct Substation</v>
      </c>
      <c r="Q50" s="625" t="str">
        <f t="shared" si="6"/>
        <v>Black Oak</v>
      </c>
      <c r="R50" s="625" t="str">
        <f t="shared" si="6"/>
        <v>Osage Whiteley</v>
      </c>
      <c r="S50" s="625" t="str">
        <f t="shared" si="6"/>
        <v>Squab Hollow SS</v>
      </c>
      <c r="T50" s="625" t="str">
        <f t="shared" si="6"/>
        <v>Doubs SS</v>
      </c>
      <c r="U50" s="625" t="str">
        <f t="shared" si="6"/>
        <v>Hunterstown</v>
      </c>
      <c r="V50" s="625" t="str">
        <f>L50</f>
        <v>Wylie Ridge</v>
      </c>
      <c r="W50" s="411"/>
      <c r="X50" s="411"/>
      <c r="Y50" s="198"/>
      <c r="Z50" s="198"/>
      <c r="AA50" s="204"/>
      <c r="AB50" s="198"/>
      <c r="AC50" s="198"/>
      <c r="AD50" s="198"/>
      <c r="AE50" s="198"/>
      <c r="AF50" s="198"/>
      <c r="AG50" s="199"/>
    </row>
    <row r="51" spans="1:33" ht="14.4" thickBot="1">
      <c r="A51" s="197"/>
      <c r="B51" s="197"/>
      <c r="C51" s="198"/>
      <c r="D51" s="858"/>
      <c r="E51" s="625" t="s">
        <v>632</v>
      </c>
      <c r="F51" s="625" t="s">
        <v>632</v>
      </c>
      <c r="G51" s="625" t="s">
        <v>632</v>
      </c>
      <c r="H51" s="625" t="s">
        <v>632</v>
      </c>
      <c r="I51" s="625" t="s">
        <v>632</v>
      </c>
      <c r="J51" s="625" t="s">
        <v>632</v>
      </c>
      <c r="K51" s="625" t="s">
        <v>632</v>
      </c>
      <c r="L51" s="1107" t="s">
        <v>632</v>
      </c>
      <c r="M51" s="1106"/>
      <c r="N51" s="859"/>
      <c r="O51" s="625" t="s">
        <v>632</v>
      </c>
      <c r="P51" s="625" t="s">
        <v>632</v>
      </c>
      <c r="Q51" s="625" t="s">
        <v>632</v>
      </c>
      <c r="R51" s="625" t="s">
        <v>632</v>
      </c>
      <c r="S51" s="625" t="s">
        <v>632</v>
      </c>
      <c r="T51" s="625" t="s">
        <v>632</v>
      </c>
      <c r="U51" s="625" t="s">
        <v>632</v>
      </c>
      <c r="V51" s="625" t="s">
        <v>632</v>
      </c>
      <c r="W51" s="411"/>
      <c r="X51" s="411"/>
      <c r="Y51" s="198"/>
      <c r="Z51" s="198"/>
      <c r="AA51" s="204"/>
      <c r="AB51" s="198"/>
      <c r="AC51" s="198"/>
      <c r="AD51" s="198"/>
      <c r="AE51" s="198"/>
      <c r="AF51" s="198"/>
      <c r="AG51" s="199"/>
    </row>
    <row r="52" spans="1:33" ht="21.6">
      <c r="A52" s="197"/>
      <c r="B52" s="197"/>
      <c r="C52" s="1108" t="s">
        <v>122</v>
      </c>
      <c r="D52" s="1110" t="s">
        <v>258</v>
      </c>
      <c r="E52" s="1695"/>
      <c r="F52" s="1694">
        <v>-17809</v>
      </c>
      <c r="G52" s="1695">
        <v>288233</v>
      </c>
      <c r="H52" s="1695"/>
      <c r="I52" s="1695">
        <v>221980</v>
      </c>
      <c r="J52" s="1695">
        <v>23524</v>
      </c>
      <c r="K52" s="1695"/>
      <c r="L52" s="1700"/>
      <c r="M52" s="855"/>
      <c r="N52" s="402"/>
      <c r="O52" s="1697">
        <f t="shared" si="7" ref="O52:V52">E52</f>
        <v>0</v>
      </c>
      <c r="P52" s="1697">
        <f t="shared" si="7"/>
        <v>-17809</v>
      </c>
      <c r="Q52" s="1697">
        <f t="shared" si="7"/>
        <v>288233</v>
      </c>
      <c r="R52" s="1697">
        <f t="shared" si="7"/>
        <v>0</v>
      </c>
      <c r="S52" s="1697">
        <f t="shared" si="7"/>
        <v>221980</v>
      </c>
      <c r="T52" s="1697">
        <f t="shared" si="7"/>
        <v>23524</v>
      </c>
      <c r="U52" s="1697">
        <f t="shared" si="7"/>
        <v>0</v>
      </c>
      <c r="V52" s="1698">
        <f t="shared" si="7"/>
        <v>0</v>
      </c>
      <c r="W52" s="411"/>
      <c r="X52" s="411"/>
      <c r="Y52" s="198"/>
      <c r="Z52" s="198"/>
      <c r="AA52" s="204"/>
      <c r="AB52" s="198"/>
      <c r="AC52" s="198"/>
      <c r="AD52" s="198"/>
      <c r="AE52" s="198"/>
      <c r="AF52" s="198"/>
      <c r="AG52" s="199"/>
    </row>
    <row r="53" spans="1:33" ht="13.8">
      <c r="A53" s="197"/>
      <c r="B53" s="197"/>
      <c r="C53" s="334" t="s">
        <v>1417</v>
      </c>
      <c r="D53" s="1110" t="s">
        <v>258</v>
      </c>
      <c r="E53" s="1695"/>
      <c r="F53" s="1699">
        <v>225009</v>
      </c>
      <c r="G53" s="1695">
        <v>15814</v>
      </c>
      <c r="H53" s="1695">
        <v>792631</v>
      </c>
      <c r="I53" s="1695">
        <v>0</v>
      </c>
      <c r="J53" s="1695">
        <v>-23951</v>
      </c>
      <c r="K53" s="1695"/>
      <c r="L53" s="1700"/>
      <c r="M53" s="1701"/>
      <c r="N53" s="265"/>
      <c r="O53" s="856">
        <f t="shared" si="8" ref="O53:V64">O52+E53</f>
        <v>0</v>
      </c>
      <c r="P53" s="856">
        <f t="shared" si="8"/>
        <v>207200</v>
      </c>
      <c r="Q53" s="856">
        <f t="shared" si="8"/>
        <v>304047</v>
      </c>
      <c r="R53" s="856">
        <f t="shared" si="8"/>
        <v>792631</v>
      </c>
      <c r="S53" s="856">
        <f t="shared" si="8"/>
        <v>221980</v>
      </c>
      <c r="T53" s="856">
        <f t="shared" si="8"/>
        <v>-427</v>
      </c>
      <c r="U53" s="856">
        <f t="shared" si="8"/>
        <v>0</v>
      </c>
      <c r="V53" s="1702">
        <f t="shared" si="8"/>
        <v>0</v>
      </c>
      <c r="W53" s="411"/>
      <c r="X53" s="411"/>
      <c r="Y53" s="198"/>
      <c r="Z53" s="198"/>
      <c r="AA53" s="204"/>
      <c r="AB53" s="198"/>
      <c r="AC53" s="198"/>
      <c r="AD53" s="198"/>
      <c r="AE53" s="198"/>
      <c r="AF53" s="198"/>
      <c r="AG53" s="199"/>
    </row>
    <row r="54" spans="1:33" ht="13.8">
      <c r="A54" s="197"/>
      <c r="B54" s="197"/>
      <c r="C54" s="198" t="s">
        <v>271</v>
      </c>
      <c r="D54" s="1110" t="s">
        <v>258</v>
      </c>
      <c r="E54" s="1695"/>
      <c r="F54" s="1699">
        <v>100330.21</v>
      </c>
      <c r="G54" s="1695">
        <v>-2007.64</v>
      </c>
      <c r="H54" s="1695">
        <v>-2428.09</v>
      </c>
      <c r="I54" s="1695">
        <v>0</v>
      </c>
      <c r="J54" s="1695">
        <v>3817.26</v>
      </c>
      <c r="K54" s="1695"/>
      <c r="L54" s="1700"/>
      <c r="M54" s="1701"/>
      <c r="N54" s="265"/>
      <c r="O54" s="856">
        <f t="shared" si="8"/>
        <v>0</v>
      </c>
      <c r="P54" s="856">
        <f t="shared" si="8"/>
        <v>307530.21000000002</v>
      </c>
      <c r="Q54" s="856">
        <f t="shared" si="8"/>
        <v>302039.36</v>
      </c>
      <c r="R54" s="856">
        <f t="shared" si="8"/>
        <v>790202.91</v>
      </c>
      <c r="S54" s="856">
        <f t="shared" si="8"/>
        <v>221980</v>
      </c>
      <c r="T54" s="856">
        <f t="shared" si="8"/>
        <v>3390.26</v>
      </c>
      <c r="U54" s="856">
        <f t="shared" si="8"/>
        <v>0</v>
      </c>
      <c r="V54" s="1702">
        <f t="shared" si="8"/>
        <v>0</v>
      </c>
      <c r="W54" s="411"/>
      <c r="X54" s="411"/>
      <c r="Y54" s="198"/>
      <c r="Z54" s="198"/>
      <c r="AA54" s="204"/>
      <c r="AB54" s="198"/>
      <c r="AC54" s="198"/>
      <c r="AD54" s="198"/>
      <c r="AE54" s="198"/>
      <c r="AF54" s="198"/>
      <c r="AG54" s="199"/>
    </row>
    <row r="55" spans="1:33" ht="13.8">
      <c r="A55" s="197"/>
      <c r="B55" s="197"/>
      <c r="C55" s="198" t="s">
        <v>272</v>
      </c>
      <c r="D55" s="1110" t="s">
        <v>258</v>
      </c>
      <c r="E55" s="1695"/>
      <c r="F55" s="1699">
        <v>-186792.24</v>
      </c>
      <c r="G55" s="1695">
        <v>40858.47</v>
      </c>
      <c r="H55" s="1695">
        <v>11976.30</v>
      </c>
      <c r="I55" s="1695">
        <v>801.48</v>
      </c>
      <c r="J55" s="1695"/>
      <c r="K55" s="1695"/>
      <c r="L55" s="1700"/>
      <c r="M55" s="1701"/>
      <c r="N55" s="265"/>
      <c r="O55" s="856">
        <f t="shared" si="8"/>
        <v>0</v>
      </c>
      <c r="P55" s="856">
        <f t="shared" si="8"/>
        <v>120737.97000000003</v>
      </c>
      <c r="Q55" s="856">
        <f t="shared" si="8"/>
        <v>342897.82999999996</v>
      </c>
      <c r="R55" s="856">
        <f t="shared" si="8"/>
        <v>802179.21000000008</v>
      </c>
      <c r="S55" s="856">
        <f t="shared" si="8"/>
        <v>222781.48</v>
      </c>
      <c r="T55" s="856">
        <f t="shared" si="8"/>
        <v>3390.26</v>
      </c>
      <c r="U55" s="856">
        <f t="shared" si="8"/>
        <v>0</v>
      </c>
      <c r="V55" s="1702">
        <f t="shared" si="8"/>
        <v>0</v>
      </c>
      <c r="W55" s="411"/>
      <c r="X55" s="411"/>
      <c r="Y55" s="198"/>
      <c r="Z55" s="198"/>
      <c r="AA55" s="204"/>
      <c r="AB55" s="198"/>
      <c r="AC55" s="198"/>
      <c r="AD55" s="198"/>
      <c r="AE55" s="198"/>
      <c r="AF55" s="198"/>
      <c r="AG55" s="199"/>
    </row>
    <row r="56" spans="1:33" ht="13.8">
      <c r="A56" s="197"/>
      <c r="B56" s="197"/>
      <c r="C56" s="198" t="s">
        <v>273</v>
      </c>
      <c r="D56" s="532" t="s">
        <v>259</v>
      </c>
      <c r="E56" s="1695"/>
      <c r="F56" s="1699"/>
      <c r="G56" s="1695"/>
      <c r="H56" s="1695"/>
      <c r="I56" s="1695"/>
      <c r="J56" s="1695"/>
      <c r="K56" s="1695"/>
      <c r="L56" s="1700"/>
      <c r="M56" s="1701"/>
      <c r="N56" s="265"/>
      <c r="O56" s="856">
        <f t="shared" si="8"/>
        <v>0</v>
      </c>
      <c r="P56" s="856">
        <f t="shared" si="8"/>
        <v>120737.97000000003</v>
      </c>
      <c r="Q56" s="856">
        <f t="shared" si="8"/>
        <v>342897.82999999996</v>
      </c>
      <c r="R56" s="856">
        <f t="shared" si="8"/>
        <v>802179.21000000008</v>
      </c>
      <c r="S56" s="856">
        <f t="shared" si="8"/>
        <v>222781.48</v>
      </c>
      <c r="T56" s="856">
        <f t="shared" si="8"/>
        <v>3390.26</v>
      </c>
      <c r="U56" s="856">
        <f t="shared" si="8"/>
        <v>0</v>
      </c>
      <c r="V56" s="1702">
        <f t="shared" si="8"/>
        <v>0</v>
      </c>
      <c r="W56" s="411"/>
      <c r="X56" s="411"/>
      <c r="Y56" s="198"/>
      <c r="Z56" s="198"/>
      <c r="AA56" s="204"/>
      <c r="AB56" s="198"/>
      <c r="AC56" s="198"/>
      <c r="AD56" s="198"/>
      <c r="AE56" s="198"/>
      <c r="AF56" s="198"/>
      <c r="AG56" s="199"/>
    </row>
    <row r="57" spans="1:33" ht="13.8">
      <c r="A57" s="197"/>
      <c r="B57" s="197"/>
      <c r="C57" s="198" t="s">
        <v>255</v>
      </c>
      <c r="D57" s="532" t="s">
        <v>259</v>
      </c>
      <c r="E57" s="1695"/>
      <c r="F57" s="1699"/>
      <c r="G57" s="1695"/>
      <c r="H57" s="1695"/>
      <c r="I57" s="1695"/>
      <c r="J57" s="1695"/>
      <c r="K57" s="1695"/>
      <c r="L57" s="1700"/>
      <c r="M57" s="1701"/>
      <c r="N57" s="265"/>
      <c r="O57" s="856">
        <f t="shared" si="8"/>
        <v>0</v>
      </c>
      <c r="P57" s="856">
        <f t="shared" si="8"/>
        <v>120737.97000000003</v>
      </c>
      <c r="Q57" s="856">
        <f t="shared" si="8"/>
        <v>342897.82999999996</v>
      </c>
      <c r="R57" s="856">
        <f t="shared" si="8"/>
        <v>802179.21000000008</v>
      </c>
      <c r="S57" s="856">
        <f t="shared" si="8"/>
        <v>222781.48</v>
      </c>
      <c r="T57" s="856">
        <f t="shared" si="8"/>
        <v>3390.26</v>
      </c>
      <c r="U57" s="856">
        <f t="shared" si="8"/>
        <v>0</v>
      </c>
      <c r="V57" s="1702">
        <f t="shared" si="8"/>
        <v>0</v>
      </c>
      <c r="W57" s="411"/>
      <c r="X57" s="411"/>
      <c r="Y57" s="198"/>
      <c r="Z57" s="198"/>
      <c r="AA57" s="204"/>
      <c r="AB57" s="198"/>
      <c r="AC57" s="198"/>
      <c r="AD57" s="198"/>
      <c r="AE57" s="198"/>
      <c r="AF57" s="198"/>
      <c r="AG57" s="199"/>
    </row>
    <row r="58" spans="1:33" ht="13.8">
      <c r="A58" s="197"/>
      <c r="B58" s="197"/>
      <c r="C58" s="198" t="s">
        <v>274</v>
      </c>
      <c r="D58" s="532" t="s">
        <v>259</v>
      </c>
      <c r="E58" s="1695"/>
      <c r="F58" s="1703"/>
      <c r="G58" s="1695"/>
      <c r="H58" s="1695"/>
      <c r="I58" s="1695"/>
      <c r="J58" s="1695"/>
      <c r="K58" s="1695"/>
      <c r="L58" s="1711"/>
      <c r="M58" s="1701"/>
      <c r="N58" s="265"/>
      <c r="O58" s="856">
        <f t="shared" si="8"/>
        <v>0</v>
      </c>
      <c r="P58" s="856">
        <f t="shared" si="8"/>
        <v>120737.97000000003</v>
      </c>
      <c r="Q58" s="856">
        <f t="shared" si="8"/>
        <v>342897.82999999996</v>
      </c>
      <c r="R58" s="856">
        <f t="shared" si="8"/>
        <v>802179.21000000008</v>
      </c>
      <c r="S58" s="856">
        <f t="shared" si="8"/>
        <v>222781.48</v>
      </c>
      <c r="T58" s="856">
        <f t="shared" si="8"/>
        <v>3390.26</v>
      </c>
      <c r="U58" s="856">
        <f t="shared" si="8"/>
        <v>0</v>
      </c>
      <c r="V58" s="1702">
        <f t="shared" si="8"/>
        <v>0</v>
      </c>
      <c r="W58" s="411"/>
      <c r="X58" s="411"/>
      <c r="Y58" s="198"/>
      <c r="Z58" s="198"/>
      <c r="AA58" s="204"/>
      <c r="AB58" s="198"/>
      <c r="AC58" s="198"/>
      <c r="AD58" s="198"/>
      <c r="AE58" s="198"/>
      <c r="AF58" s="198"/>
      <c r="AG58" s="199"/>
    </row>
    <row r="59" spans="1:33" ht="13.8">
      <c r="A59" s="197"/>
      <c r="B59" s="197"/>
      <c r="C59" s="198" t="s">
        <v>275</v>
      </c>
      <c r="D59" s="532" t="s">
        <v>259</v>
      </c>
      <c r="E59" s="1695"/>
      <c r="F59" s="1699"/>
      <c r="G59" s="1695"/>
      <c r="H59" s="1695"/>
      <c r="I59" s="1695"/>
      <c r="J59" s="1695"/>
      <c r="K59" s="1695"/>
      <c r="L59" s="1700"/>
      <c r="M59" s="1701"/>
      <c r="N59" s="265"/>
      <c r="O59" s="856">
        <f t="shared" si="8"/>
        <v>0</v>
      </c>
      <c r="P59" s="856">
        <f t="shared" si="8"/>
        <v>120737.97000000003</v>
      </c>
      <c r="Q59" s="856">
        <f t="shared" si="8"/>
        <v>342897.82999999996</v>
      </c>
      <c r="R59" s="856">
        <f t="shared" si="8"/>
        <v>802179.21000000008</v>
      </c>
      <c r="S59" s="856">
        <f t="shared" si="8"/>
        <v>222781.48</v>
      </c>
      <c r="T59" s="856">
        <f t="shared" si="8"/>
        <v>3390.26</v>
      </c>
      <c r="U59" s="856">
        <f t="shared" si="8"/>
        <v>0</v>
      </c>
      <c r="V59" s="1702">
        <f t="shared" si="8"/>
        <v>0</v>
      </c>
      <c r="W59" s="411"/>
      <c r="X59" s="411"/>
      <c r="Y59" s="198"/>
      <c r="Z59" s="198"/>
      <c r="AA59" s="204"/>
      <c r="AB59" s="198"/>
      <c r="AC59" s="198"/>
      <c r="AD59" s="198"/>
      <c r="AE59" s="198"/>
      <c r="AF59" s="198"/>
      <c r="AG59" s="199"/>
    </row>
    <row r="60" spans="1:33" ht="13.8">
      <c r="A60" s="197"/>
      <c r="B60" s="197"/>
      <c r="C60" s="198" t="s">
        <v>276</v>
      </c>
      <c r="D60" s="532" t="s">
        <v>259</v>
      </c>
      <c r="E60" s="1695"/>
      <c r="F60" s="1699"/>
      <c r="G60" s="1695"/>
      <c r="H60" s="1695"/>
      <c r="I60" s="1695"/>
      <c r="J60" s="1695"/>
      <c r="K60" s="1695"/>
      <c r="L60" s="1700"/>
      <c r="M60" s="1701"/>
      <c r="N60" s="265"/>
      <c r="O60" s="856">
        <f t="shared" si="8"/>
        <v>0</v>
      </c>
      <c r="P60" s="856">
        <f t="shared" si="8"/>
        <v>120737.97000000003</v>
      </c>
      <c r="Q60" s="856">
        <f t="shared" si="8"/>
        <v>342897.82999999996</v>
      </c>
      <c r="R60" s="856">
        <f t="shared" si="8"/>
        <v>802179.21000000008</v>
      </c>
      <c r="S60" s="856">
        <f t="shared" si="8"/>
        <v>222781.48</v>
      </c>
      <c r="T60" s="856">
        <f t="shared" si="8"/>
        <v>3390.26</v>
      </c>
      <c r="U60" s="856">
        <f t="shared" si="8"/>
        <v>0</v>
      </c>
      <c r="V60" s="1702">
        <f t="shared" si="8"/>
        <v>0</v>
      </c>
      <c r="W60" s="411"/>
      <c r="X60" s="411"/>
      <c r="Y60" s="198"/>
      <c r="Z60" s="198"/>
      <c r="AA60" s="204"/>
      <c r="AB60" s="198"/>
      <c r="AC60" s="198"/>
      <c r="AD60" s="198"/>
      <c r="AE60" s="198"/>
      <c r="AF60" s="198"/>
      <c r="AG60" s="199"/>
    </row>
    <row r="61" spans="1:33" ht="13.8">
      <c r="A61" s="197"/>
      <c r="B61" s="197"/>
      <c r="C61" s="198" t="s">
        <v>277</v>
      </c>
      <c r="D61" s="532" t="s">
        <v>259</v>
      </c>
      <c r="E61" s="1695"/>
      <c r="F61" s="1699"/>
      <c r="G61" s="1695"/>
      <c r="H61" s="1695"/>
      <c r="I61" s="1695"/>
      <c r="J61" s="1695"/>
      <c r="K61" s="1695"/>
      <c r="L61" s="1700"/>
      <c r="M61" s="1701"/>
      <c r="N61" s="265"/>
      <c r="O61" s="856">
        <f t="shared" si="8"/>
        <v>0</v>
      </c>
      <c r="P61" s="856">
        <f t="shared" si="8"/>
        <v>120737.97000000003</v>
      </c>
      <c r="Q61" s="856">
        <f t="shared" si="8"/>
        <v>342897.82999999996</v>
      </c>
      <c r="R61" s="856">
        <f t="shared" si="8"/>
        <v>802179.21000000008</v>
      </c>
      <c r="S61" s="856">
        <f t="shared" si="8"/>
        <v>222781.48</v>
      </c>
      <c r="T61" s="856">
        <f t="shared" si="8"/>
        <v>3390.26</v>
      </c>
      <c r="U61" s="856">
        <f t="shared" si="8"/>
        <v>0</v>
      </c>
      <c r="V61" s="1702">
        <f t="shared" si="8"/>
        <v>0</v>
      </c>
      <c r="W61" s="411"/>
      <c r="X61" s="411"/>
      <c r="Y61" s="198"/>
      <c r="Z61" s="198"/>
      <c r="AA61" s="204"/>
      <c r="AB61" s="198"/>
      <c r="AC61" s="198"/>
      <c r="AD61" s="198"/>
      <c r="AE61" s="198"/>
      <c r="AF61" s="198"/>
      <c r="AG61" s="199"/>
    </row>
    <row r="62" spans="1:33" ht="13.8">
      <c r="A62" s="197"/>
      <c r="B62" s="197"/>
      <c r="C62" s="198" t="s">
        <v>278</v>
      </c>
      <c r="D62" s="532" t="s">
        <v>259</v>
      </c>
      <c r="E62" s="1695"/>
      <c r="F62" s="1699"/>
      <c r="G62" s="1695"/>
      <c r="H62" s="1695"/>
      <c r="I62" s="1695"/>
      <c r="J62" s="1695"/>
      <c r="K62" s="1695"/>
      <c r="L62" s="1700"/>
      <c r="M62" s="1701"/>
      <c r="N62" s="265"/>
      <c r="O62" s="856">
        <f t="shared" si="8"/>
        <v>0</v>
      </c>
      <c r="P62" s="856">
        <f t="shared" si="8"/>
        <v>120737.97000000003</v>
      </c>
      <c r="Q62" s="856">
        <f t="shared" si="8"/>
        <v>342897.82999999996</v>
      </c>
      <c r="R62" s="856">
        <f t="shared" si="8"/>
        <v>802179.21000000008</v>
      </c>
      <c r="S62" s="856">
        <f t="shared" si="8"/>
        <v>222781.48</v>
      </c>
      <c r="T62" s="856">
        <f t="shared" si="8"/>
        <v>3390.26</v>
      </c>
      <c r="U62" s="856">
        <f t="shared" si="8"/>
        <v>0</v>
      </c>
      <c r="V62" s="1702">
        <f t="shared" si="8"/>
        <v>0</v>
      </c>
      <c r="W62" s="411"/>
      <c r="X62" s="411"/>
      <c r="Y62" s="198"/>
      <c r="Z62" s="198"/>
      <c r="AA62" s="204"/>
      <c r="AB62" s="198"/>
      <c r="AC62" s="198"/>
      <c r="AD62" s="198"/>
      <c r="AE62" s="198"/>
      <c r="AF62" s="198"/>
      <c r="AG62" s="199"/>
    </row>
    <row r="63" spans="1:33" ht="13.8">
      <c r="A63" s="197"/>
      <c r="B63" s="197"/>
      <c r="C63" s="198" t="s">
        <v>279</v>
      </c>
      <c r="D63" s="532" t="s">
        <v>259</v>
      </c>
      <c r="E63" s="1695"/>
      <c r="F63" s="1699"/>
      <c r="G63" s="1695"/>
      <c r="H63" s="1695"/>
      <c r="I63" s="1695"/>
      <c r="J63" s="1695"/>
      <c r="K63" s="1695"/>
      <c r="L63" s="1700"/>
      <c r="M63" s="1701"/>
      <c r="N63" s="265"/>
      <c r="O63" s="856">
        <f t="shared" si="8"/>
        <v>0</v>
      </c>
      <c r="P63" s="856">
        <f t="shared" si="8"/>
        <v>120737.97000000003</v>
      </c>
      <c r="Q63" s="856">
        <f t="shared" si="8"/>
        <v>342897.82999999996</v>
      </c>
      <c r="R63" s="856">
        <f t="shared" si="8"/>
        <v>802179.21000000008</v>
      </c>
      <c r="S63" s="856">
        <f t="shared" si="8"/>
        <v>222781.48</v>
      </c>
      <c r="T63" s="856">
        <f t="shared" si="8"/>
        <v>3390.26</v>
      </c>
      <c r="U63" s="856">
        <f t="shared" si="8"/>
        <v>0</v>
      </c>
      <c r="V63" s="1702">
        <f t="shared" si="8"/>
        <v>0</v>
      </c>
      <c r="W63" s="411"/>
      <c r="X63" s="411"/>
      <c r="Y63" s="198"/>
      <c r="Z63" s="198"/>
      <c r="AA63" s="204"/>
      <c r="AB63" s="198"/>
      <c r="AC63" s="198"/>
      <c r="AD63" s="198"/>
      <c r="AE63" s="198"/>
      <c r="AF63" s="198"/>
      <c r="AG63" s="199"/>
    </row>
    <row r="64" spans="1:33" ht="14.4" thickBot="1">
      <c r="A64" s="197"/>
      <c r="B64" s="197"/>
      <c r="C64" s="198" t="s">
        <v>280</v>
      </c>
      <c r="D64" s="401" t="s">
        <v>259</v>
      </c>
      <c r="E64" s="1705"/>
      <c r="F64" s="1706"/>
      <c r="G64" s="1705">
        <v>6810800</v>
      </c>
      <c r="H64" s="1705"/>
      <c r="I64" s="1705"/>
      <c r="J64" s="1705"/>
      <c r="K64" s="1705"/>
      <c r="L64" s="1707"/>
      <c r="M64" s="1701"/>
      <c r="N64" s="128"/>
      <c r="O64" s="1708">
        <f t="shared" si="8"/>
        <v>0</v>
      </c>
      <c r="P64" s="1708">
        <f t="shared" si="8"/>
        <v>120737.97000000003</v>
      </c>
      <c r="Q64" s="1708">
        <f t="shared" si="8"/>
        <v>7153697.8300000001</v>
      </c>
      <c r="R64" s="1708">
        <f t="shared" si="8"/>
        <v>802179.21000000008</v>
      </c>
      <c r="S64" s="1708">
        <f t="shared" si="8"/>
        <v>222781.48</v>
      </c>
      <c r="T64" s="1708">
        <f t="shared" si="8"/>
        <v>3390.26</v>
      </c>
      <c r="U64" s="1708">
        <f t="shared" si="8"/>
        <v>0</v>
      </c>
      <c r="V64" s="1709">
        <f t="shared" si="8"/>
        <v>0</v>
      </c>
      <c r="W64" s="411"/>
      <c r="X64" s="411"/>
      <c r="Y64" s="198"/>
      <c r="Z64" s="198"/>
      <c r="AA64" s="204"/>
      <c r="AB64" s="198"/>
      <c r="AC64" s="198"/>
      <c r="AD64" s="198"/>
      <c r="AE64" s="198"/>
      <c r="AF64" s="198"/>
      <c r="AG64" s="199"/>
    </row>
    <row r="65" spans="1:33" ht="13.8">
      <c r="A65" s="197"/>
      <c r="B65" s="197"/>
      <c r="C65" s="198" t="s">
        <v>524</v>
      </c>
      <c r="D65" s="204" t="s">
        <v>447</v>
      </c>
      <c r="E65" s="864">
        <f>SUM(E52:E64)</f>
        <v>0</v>
      </c>
      <c r="F65" s="864">
        <f t="shared" si="9" ref="F65:K65">SUM(F52:F64)</f>
        <v>120737.97000000003</v>
      </c>
      <c r="G65" s="864">
        <f>SUM(G52:G64)</f>
        <v>7153697.8300000001</v>
      </c>
      <c r="H65" s="864">
        <f t="shared" si="9"/>
        <v>802179.21000000008</v>
      </c>
      <c r="I65" s="864">
        <f t="shared" si="9"/>
        <v>222781.48</v>
      </c>
      <c r="J65" s="864">
        <f t="shared" si="9"/>
        <v>3390.26</v>
      </c>
      <c r="K65" s="864">
        <f t="shared" si="9"/>
        <v>0</v>
      </c>
      <c r="L65" s="864">
        <f>SUM(L52:L64)</f>
        <v>0</v>
      </c>
      <c r="M65" s="1113"/>
      <c r="O65" s="1114">
        <f t="shared" si="10" ref="O65:V65">SUM(O52:O64)</f>
        <v>0</v>
      </c>
      <c r="P65" s="1114">
        <f t="shared" si="10"/>
        <v>1704300.91</v>
      </c>
      <c r="Q65" s="1114">
        <f t="shared" si="10"/>
        <v>11134097.66</v>
      </c>
      <c r="R65" s="1114">
        <f t="shared" si="10"/>
        <v>9604626.0100000016</v>
      </c>
      <c r="S65" s="1114">
        <f t="shared" si="10"/>
        <v>2893754.80</v>
      </c>
      <c r="T65" s="1114">
        <f t="shared" si="10"/>
        <v>60389.860000000022</v>
      </c>
      <c r="U65" s="1114">
        <f t="shared" si="10"/>
        <v>0</v>
      </c>
      <c r="V65" s="1114">
        <f t="shared" si="10"/>
        <v>0</v>
      </c>
      <c r="W65" s="411"/>
      <c r="X65" s="411"/>
      <c r="Y65" s="198"/>
      <c r="Z65" s="198"/>
      <c r="AA65" s="204"/>
      <c r="AB65" s="198"/>
      <c r="AC65" s="198"/>
      <c r="AD65" s="198"/>
      <c r="AE65" s="198"/>
      <c r="AF65" s="198"/>
      <c r="AG65" s="199"/>
    </row>
    <row r="66" spans="1:33" ht="14.4" thickBot="1">
      <c r="A66" s="197"/>
      <c r="B66" s="197"/>
      <c r="C66" s="198"/>
      <c r="D66" s="204"/>
      <c r="E66" s="864"/>
      <c r="F66" s="864"/>
      <c r="G66" s="864"/>
      <c r="H66" s="864"/>
      <c r="I66" s="864"/>
      <c r="J66" s="864"/>
      <c r="K66" s="864"/>
      <c r="L66" s="864"/>
      <c r="M66" s="1113"/>
      <c r="O66" s="1114"/>
      <c r="P66" s="1114"/>
      <c r="Q66" s="1114"/>
      <c r="R66" s="1114"/>
      <c r="S66" s="1114"/>
      <c r="T66" s="1114"/>
      <c r="U66" s="1114"/>
      <c r="V66" s="1114"/>
      <c r="W66" s="411"/>
      <c r="X66" s="411"/>
      <c r="Y66" s="198"/>
      <c r="Z66" s="198"/>
      <c r="AA66" s="204"/>
      <c r="AB66" s="198"/>
      <c r="AC66" s="198"/>
      <c r="AD66" s="198"/>
      <c r="AE66" s="198"/>
      <c r="AF66" s="198"/>
      <c r="AG66" s="199"/>
    </row>
    <row r="67" spans="1:33" ht="14.4" thickBot="1">
      <c r="A67" s="197"/>
      <c r="B67" s="197"/>
      <c r="C67" s="197"/>
      <c r="D67" s="859" t="s">
        <v>355</v>
      </c>
      <c r="E67" s="860" t="s">
        <v>356</v>
      </c>
      <c r="F67" s="860" t="s">
        <v>357</v>
      </c>
      <c r="G67" s="860" t="s">
        <v>358</v>
      </c>
      <c r="H67" s="860" t="s">
        <v>633</v>
      </c>
      <c r="I67" s="860" t="s">
        <v>639</v>
      </c>
      <c r="J67" s="1115" t="s">
        <v>465</v>
      </c>
      <c r="K67" s="1115" t="s">
        <v>466</v>
      </c>
      <c r="L67" s="861" t="s">
        <v>291</v>
      </c>
      <c r="M67" s="1113"/>
      <c r="N67" s="1805" t="s">
        <v>580</v>
      </c>
      <c r="O67" s="1806"/>
      <c r="P67" s="1806"/>
      <c r="Q67" s="1806"/>
      <c r="R67" s="1806"/>
      <c r="S67" s="1806"/>
      <c r="T67" s="1806"/>
      <c r="U67" s="1806"/>
      <c r="V67" s="1807"/>
      <c r="W67" s="411"/>
      <c r="X67" s="411"/>
      <c r="Y67" s="198"/>
      <c r="Z67" s="198"/>
      <c r="AA67" s="204"/>
      <c r="AB67" s="198"/>
      <c r="AC67" s="198"/>
      <c r="AD67" s="198"/>
      <c r="AE67" s="198"/>
      <c r="AF67" s="198"/>
      <c r="AG67" s="199"/>
    </row>
    <row r="68" spans="1:33" ht="27" thickBot="1">
      <c r="A68" s="197"/>
      <c r="B68" s="197"/>
      <c r="C68" s="198"/>
      <c r="D68" s="665"/>
      <c r="E68" s="1650" t="s">
        <v>975</v>
      </c>
      <c r="F68" s="1650" t="s">
        <v>1188</v>
      </c>
      <c r="G68" s="1650" t="s">
        <v>1054</v>
      </c>
      <c r="H68" s="1650" t="s">
        <v>1060</v>
      </c>
      <c r="I68" s="1650" t="s">
        <v>987</v>
      </c>
      <c r="J68" s="1650" t="s">
        <v>1033</v>
      </c>
      <c r="K68" s="1650" t="s">
        <v>1058</v>
      </c>
      <c r="L68" s="1651" t="s">
        <v>966</v>
      </c>
      <c r="M68" s="1113"/>
      <c r="N68" s="665" t="s">
        <v>579</v>
      </c>
      <c r="O68" s="625" t="s">
        <v>975</v>
      </c>
      <c r="P68" s="625" t="s">
        <v>1188</v>
      </c>
      <c r="Q68" s="625" t="s">
        <v>1054</v>
      </c>
      <c r="R68" s="625" t="s">
        <v>1060</v>
      </c>
      <c r="S68" s="625" t="s">
        <v>987</v>
      </c>
      <c r="T68" s="625" t="s">
        <v>1033</v>
      </c>
      <c r="U68" s="625" t="s">
        <v>1058</v>
      </c>
      <c r="V68" s="625" t="s">
        <v>966</v>
      </c>
      <c r="W68" s="411"/>
      <c r="X68" s="411"/>
      <c r="Y68" s="198"/>
      <c r="Z68" s="198"/>
      <c r="AA68" s="204"/>
      <c r="AB68" s="198"/>
      <c r="AC68" s="198"/>
      <c r="AD68" s="198"/>
      <c r="AE68" s="198"/>
      <c r="AF68" s="198"/>
      <c r="AG68" s="199"/>
    </row>
    <row r="69" spans="1:33" ht="14.4" thickBot="1">
      <c r="A69" s="197"/>
      <c r="B69" s="197"/>
      <c r="C69" s="198"/>
      <c r="D69" s="858"/>
      <c r="E69" s="625" t="s">
        <v>632</v>
      </c>
      <c r="F69" s="625" t="s">
        <v>632</v>
      </c>
      <c r="G69" s="625" t="s">
        <v>632</v>
      </c>
      <c r="H69" s="625" t="s">
        <v>632</v>
      </c>
      <c r="I69" s="625" t="s">
        <v>632</v>
      </c>
      <c r="J69" s="625" t="s">
        <v>632</v>
      </c>
      <c r="K69" s="625" t="s">
        <v>632</v>
      </c>
      <c r="L69" s="1107" t="s">
        <v>632</v>
      </c>
      <c r="M69" s="1113"/>
      <c r="N69" s="859"/>
      <c r="O69" s="625" t="s">
        <v>632</v>
      </c>
      <c r="P69" s="625" t="s">
        <v>632</v>
      </c>
      <c r="Q69" s="625" t="s">
        <v>632</v>
      </c>
      <c r="R69" s="625" t="s">
        <v>632</v>
      </c>
      <c r="S69" s="625" t="s">
        <v>632</v>
      </c>
      <c r="T69" s="625" t="s">
        <v>632</v>
      </c>
      <c r="U69" s="625" t="s">
        <v>632</v>
      </c>
      <c r="V69" s="625" t="s">
        <v>632</v>
      </c>
      <c r="W69" s="411"/>
      <c r="X69" s="411"/>
      <c r="Y69" s="198"/>
      <c r="Z69" s="198"/>
      <c r="AA69" s="204"/>
      <c r="AB69" s="198"/>
      <c r="AC69" s="198"/>
      <c r="AD69" s="198"/>
      <c r="AE69" s="198"/>
      <c r="AF69" s="198"/>
      <c r="AG69" s="199"/>
    </row>
    <row r="70" spans="1:33" ht="21.6">
      <c r="A70" s="197"/>
      <c r="B70" s="197"/>
      <c r="C70" s="1108" t="s">
        <v>122</v>
      </c>
      <c r="D70" s="1110" t="s">
        <v>258</v>
      </c>
      <c r="E70" s="1695"/>
      <c r="F70" s="1695">
        <v>-6961</v>
      </c>
      <c r="G70" s="1695">
        <v>12511</v>
      </c>
      <c r="H70" s="1695">
        <v>8126</v>
      </c>
      <c r="I70" s="1695">
        <v>71531</v>
      </c>
      <c r="J70" s="1695">
        <v>-6170.84</v>
      </c>
      <c r="K70" s="1695">
        <v>433</v>
      </c>
      <c r="L70" s="1700"/>
      <c r="M70" s="1113"/>
      <c r="N70" s="402"/>
      <c r="O70" s="1697">
        <f t="shared" si="11" ref="O70:V70">E70</f>
        <v>0</v>
      </c>
      <c r="P70" s="1697">
        <f t="shared" si="11"/>
        <v>-6961</v>
      </c>
      <c r="Q70" s="1697">
        <f t="shared" si="11"/>
        <v>12511</v>
      </c>
      <c r="R70" s="1697">
        <f t="shared" si="11"/>
        <v>8126</v>
      </c>
      <c r="S70" s="1697">
        <f t="shared" si="11"/>
        <v>71531</v>
      </c>
      <c r="T70" s="1697">
        <f t="shared" si="11"/>
        <v>-6170.84</v>
      </c>
      <c r="U70" s="1697">
        <f t="shared" si="11"/>
        <v>433</v>
      </c>
      <c r="V70" s="1698">
        <f t="shared" si="11"/>
        <v>0</v>
      </c>
      <c r="W70" s="411"/>
      <c r="X70" s="411"/>
      <c r="Y70" s="198"/>
      <c r="Z70" s="198"/>
      <c r="AA70" s="204"/>
      <c r="AB70" s="198"/>
      <c r="AC70" s="198"/>
      <c r="AD70" s="198"/>
      <c r="AE70" s="198"/>
      <c r="AF70" s="198"/>
      <c r="AG70" s="199"/>
    </row>
    <row r="71" spans="1:33" ht="13.8">
      <c r="A71" s="197"/>
      <c r="B71" s="197"/>
      <c r="C71" s="334" t="s">
        <v>1417</v>
      </c>
      <c r="D71" s="1110" t="s">
        <v>258</v>
      </c>
      <c r="E71" s="1695"/>
      <c r="F71" s="1695">
        <v>-7321</v>
      </c>
      <c r="G71" s="1695">
        <v>-19236</v>
      </c>
      <c r="H71" s="1695">
        <v>3733</v>
      </c>
      <c r="I71" s="1695">
        <v>8188</v>
      </c>
      <c r="J71" s="1695">
        <v>-10697</v>
      </c>
      <c r="K71" s="1695"/>
      <c r="L71" s="1700">
        <v>346339</v>
      </c>
      <c r="M71" s="1113"/>
      <c r="N71" s="265"/>
      <c r="O71" s="856">
        <f t="shared" si="12" ref="O71:V82">O70+E71</f>
        <v>0</v>
      </c>
      <c r="P71" s="856">
        <f t="shared" si="12"/>
        <v>-14282</v>
      </c>
      <c r="Q71" s="856">
        <f>Q70+G71</f>
        <v>-6725</v>
      </c>
      <c r="R71" s="856">
        <f t="shared" si="12"/>
        <v>11859</v>
      </c>
      <c r="S71" s="856">
        <f t="shared" si="12"/>
        <v>79719</v>
      </c>
      <c r="T71" s="856">
        <f t="shared" si="12"/>
        <v>-16867.84</v>
      </c>
      <c r="U71" s="856">
        <f t="shared" si="12"/>
        <v>433</v>
      </c>
      <c r="V71" s="1702">
        <f t="shared" si="12"/>
        <v>346339</v>
      </c>
      <c r="W71" s="411"/>
      <c r="X71" s="411"/>
      <c r="Y71" s="198"/>
      <c r="Z71" s="198"/>
      <c r="AA71" s="204"/>
      <c r="AB71" s="198"/>
      <c r="AC71" s="198"/>
      <c r="AD71" s="198"/>
      <c r="AE71" s="198"/>
      <c r="AF71" s="198"/>
      <c r="AG71" s="199"/>
    </row>
    <row r="72" spans="1:33" ht="13.8">
      <c r="A72" s="197"/>
      <c r="B72" s="197"/>
      <c r="C72" s="198" t="s">
        <v>271</v>
      </c>
      <c r="D72" s="1110" t="s">
        <v>258</v>
      </c>
      <c r="E72" s="1695"/>
      <c r="F72" s="1695">
        <v>1920.83</v>
      </c>
      <c r="G72" s="1695">
        <v>8679.90</v>
      </c>
      <c r="H72" s="1695">
        <v>-8.25</v>
      </c>
      <c r="I72" s="1695">
        <v>0.01</v>
      </c>
      <c r="J72" s="1695">
        <v>17756.53</v>
      </c>
      <c r="K72" s="1695"/>
      <c r="L72" s="1700">
        <v>16226.60</v>
      </c>
      <c r="M72" s="1113"/>
      <c r="N72" s="265"/>
      <c r="O72" s="856">
        <f t="shared" si="12"/>
        <v>0</v>
      </c>
      <c r="P72" s="856">
        <f t="shared" si="12"/>
        <v>-12361.17</v>
      </c>
      <c r="Q72" s="856">
        <f>Q71+G72</f>
        <v>1954.8999999999996</v>
      </c>
      <c r="R72" s="856">
        <f t="shared" si="12"/>
        <v>11850.75</v>
      </c>
      <c r="S72" s="856">
        <f t="shared" si="12"/>
        <v>79719.009999999995</v>
      </c>
      <c r="T72" s="856">
        <f t="shared" si="12"/>
        <v>888.68999999999869</v>
      </c>
      <c r="U72" s="856">
        <f t="shared" si="12"/>
        <v>433</v>
      </c>
      <c r="V72" s="1702">
        <f t="shared" si="12"/>
        <v>362565.60</v>
      </c>
      <c r="W72" s="411"/>
      <c r="X72" s="411"/>
      <c r="Y72" s="198"/>
      <c r="Z72" s="198"/>
      <c r="AA72" s="204"/>
      <c r="AB72" s="198"/>
      <c r="AC72" s="198"/>
      <c r="AD72" s="198"/>
      <c r="AE72" s="198"/>
      <c r="AF72" s="198"/>
      <c r="AG72" s="199"/>
    </row>
    <row r="73" spans="1:33" ht="13.8">
      <c r="A73" s="197"/>
      <c r="B73" s="197"/>
      <c r="C73" s="198" t="s">
        <v>272</v>
      </c>
      <c r="D73" s="1110" t="s">
        <v>258</v>
      </c>
      <c r="E73" s="1695"/>
      <c r="F73" s="1695"/>
      <c r="G73" s="1695">
        <v>16010.29</v>
      </c>
      <c r="H73" s="1695"/>
      <c r="I73" s="1695"/>
      <c r="J73" s="1695"/>
      <c r="K73" s="1695"/>
      <c r="L73" s="1700">
        <v>-3343.06</v>
      </c>
      <c r="M73" s="1113"/>
      <c r="N73" s="265"/>
      <c r="O73" s="856">
        <f t="shared" si="12"/>
        <v>0</v>
      </c>
      <c r="P73" s="856">
        <f t="shared" si="12"/>
        <v>-12361.17</v>
      </c>
      <c r="Q73" s="856">
        <f t="shared" si="12"/>
        <v>17965.190000000002</v>
      </c>
      <c r="R73" s="856">
        <f t="shared" si="12"/>
        <v>11850.75</v>
      </c>
      <c r="S73" s="856">
        <f t="shared" si="12"/>
        <v>79719.009999999995</v>
      </c>
      <c r="T73" s="856">
        <f t="shared" si="12"/>
        <v>888.68999999999869</v>
      </c>
      <c r="U73" s="856">
        <f t="shared" si="12"/>
        <v>433</v>
      </c>
      <c r="V73" s="1702">
        <f t="shared" si="12"/>
        <v>359222.54</v>
      </c>
      <c r="W73" s="411"/>
      <c r="X73" s="411"/>
      <c r="Y73" s="198"/>
      <c r="Z73" s="198"/>
      <c r="AA73" s="204"/>
      <c r="AB73" s="198"/>
      <c r="AC73" s="198"/>
      <c r="AD73" s="198"/>
      <c r="AE73" s="198"/>
      <c r="AF73" s="198"/>
      <c r="AG73" s="199"/>
    </row>
    <row r="74" spans="1:33" ht="13.8">
      <c r="A74" s="197"/>
      <c r="B74" s="197"/>
      <c r="C74" s="198" t="s">
        <v>273</v>
      </c>
      <c r="D74" s="532" t="s">
        <v>259</v>
      </c>
      <c r="E74" s="1695"/>
      <c r="F74" s="1695"/>
      <c r="G74" s="1695"/>
      <c r="H74" s="1695"/>
      <c r="I74" s="1695"/>
      <c r="J74" s="1695"/>
      <c r="K74" s="1695"/>
      <c r="L74" s="1700"/>
      <c r="M74" s="1113"/>
      <c r="N74" s="265"/>
      <c r="O74" s="856">
        <f t="shared" si="12"/>
        <v>0</v>
      </c>
      <c r="P74" s="856">
        <f t="shared" si="12"/>
        <v>-12361.17</v>
      </c>
      <c r="Q74" s="856">
        <f t="shared" si="12"/>
        <v>17965.190000000002</v>
      </c>
      <c r="R74" s="856">
        <f t="shared" si="12"/>
        <v>11850.75</v>
      </c>
      <c r="S74" s="856">
        <f t="shared" si="12"/>
        <v>79719.009999999995</v>
      </c>
      <c r="T74" s="856">
        <f t="shared" si="12"/>
        <v>888.68999999999869</v>
      </c>
      <c r="U74" s="856">
        <f t="shared" si="12"/>
        <v>433</v>
      </c>
      <c r="V74" s="1702">
        <f t="shared" si="12"/>
        <v>359222.54</v>
      </c>
      <c r="W74" s="411"/>
      <c r="X74" s="411"/>
      <c r="Y74" s="198"/>
      <c r="Z74" s="198"/>
      <c r="AA74" s="204"/>
      <c r="AB74" s="198"/>
      <c r="AC74" s="198"/>
      <c r="AD74" s="198"/>
      <c r="AE74" s="198"/>
      <c r="AF74" s="198"/>
      <c r="AG74" s="199"/>
    </row>
    <row r="75" spans="1:33" ht="13.8">
      <c r="A75" s="197"/>
      <c r="B75" s="197"/>
      <c r="C75" s="198" t="s">
        <v>255</v>
      </c>
      <c r="D75" s="532" t="s">
        <v>259</v>
      </c>
      <c r="E75" s="1695"/>
      <c r="F75" s="1695"/>
      <c r="G75" s="1695"/>
      <c r="H75" s="1695"/>
      <c r="I75" s="1695"/>
      <c r="J75" s="1695"/>
      <c r="K75" s="1695"/>
      <c r="L75" s="1700"/>
      <c r="M75" s="1113"/>
      <c r="N75" s="265"/>
      <c r="O75" s="856">
        <f t="shared" si="12"/>
        <v>0</v>
      </c>
      <c r="P75" s="856">
        <f t="shared" si="12"/>
        <v>-12361.17</v>
      </c>
      <c r="Q75" s="856">
        <f t="shared" si="12"/>
        <v>17965.190000000002</v>
      </c>
      <c r="R75" s="856">
        <f t="shared" si="12"/>
        <v>11850.75</v>
      </c>
      <c r="S75" s="856">
        <f t="shared" si="12"/>
        <v>79719.009999999995</v>
      </c>
      <c r="T75" s="856">
        <f t="shared" si="12"/>
        <v>888.68999999999869</v>
      </c>
      <c r="U75" s="856">
        <f t="shared" si="12"/>
        <v>433</v>
      </c>
      <c r="V75" s="1702">
        <f t="shared" si="12"/>
        <v>359222.54</v>
      </c>
      <c r="W75" s="411"/>
      <c r="X75" s="411"/>
      <c r="Y75" s="198"/>
      <c r="Z75" s="198"/>
      <c r="AA75" s="204"/>
      <c r="AB75" s="198"/>
      <c r="AC75" s="198"/>
      <c r="AD75" s="198"/>
      <c r="AE75" s="198"/>
      <c r="AF75" s="198"/>
      <c r="AG75" s="199"/>
    </row>
    <row r="76" spans="1:33" ht="13.8">
      <c r="A76" s="197"/>
      <c r="B76" s="197"/>
      <c r="C76" s="198" t="s">
        <v>274</v>
      </c>
      <c r="D76" s="532" t="s">
        <v>259</v>
      </c>
      <c r="E76" s="1695"/>
      <c r="F76" s="1695"/>
      <c r="G76" s="1695"/>
      <c r="H76" s="1695"/>
      <c r="I76" s="1695"/>
      <c r="J76" s="1695"/>
      <c r="K76" s="1695"/>
      <c r="L76" s="1700"/>
      <c r="M76" s="1113"/>
      <c r="N76" s="265"/>
      <c r="O76" s="856">
        <f t="shared" si="12"/>
        <v>0</v>
      </c>
      <c r="P76" s="856">
        <f t="shared" si="12"/>
        <v>-12361.17</v>
      </c>
      <c r="Q76" s="856">
        <f t="shared" si="12"/>
        <v>17965.190000000002</v>
      </c>
      <c r="R76" s="856">
        <f t="shared" si="12"/>
        <v>11850.75</v>
      </c>
      <c r="S76" s="856">
        <f t="shared" si="12"/>
        <v>79719.009999999995</v>
      </c>
      <c r="T76" s="856">
        <f t="shared" si="12"/>
        <v>888.68999999999869</v>
      </c>
      <c r="U76" s="856">
        <f t="shared" si="12"/>
        <v>433</v>
      </c>
      <c r="V76" s="1702">
        <f t="shared" si="12"/>
        <v>359222.54</v>
      </c>
      <c r="W76" s="411"/>
      <c r="X76" s="411"/>
      <c r="Y76" s="198"/>
      <c r="Z76" s="198"/>
      <c r="AA76" s="204"/>
      <c r="AB76" s="198"/>
      <c r="AC76" s="198"/>
      <c r="AD76" s="198"/>
      <c r="AE76" s="198"/>
      <c r="AF76" s="198"/>
      <c r="AG76" s="199"/>
    </row>
    <row r="77" spans="1:33" ht="13.8">
      <c r="A77" s="197"/>
      <c r="B77" s="197"/>
      <c r="C77" s="198" t="s">
        <v>275</v>
      </c>
      <c r="D77" s="532" t="s">
        <v>259</v>
      </c>
      <c r="E77" s="1695"/>
      <c r="F77" s="1695"/>
      <c r="G77" s="1695"/>
      <c r="H77" s="1695"/>
      <c r="I77" s="1695"/>
      <c r="J77" s="1695"/>
      <c r="K77" s="1695"/>
      <c r="L77" s="1700"/>
      <c r="M77" s="1113"/>
      <c r="N77" s="265"/>
      <c r="O77" s="856">
        <f t="shared" si="12"/>
        <v>0</v>
      </c>
      <c r="P77" s="856">
        <f t="shared" si="12"/>
        <v>-12361.17</v>
      </c>
      <c r="Q77" s="856">
        <f t="shared" si="12"/>
        <v>17965.190000000002</v>
      </c>
      <c r="R77" s="856">
        <f t="shared" si="12"/>
        <v>11850.75</v>
      </c>
      <c r="S77" s="856">
        <f t="shared" si="12"/>
        <v>79719.009999999995</v>
      </c>
      <c r="T77" s="856">
        <f t="shared" si="12"/>
        <v>888.68999999999869</v>
      </c>
      <c r="U77" s="856">
        <f t="shared" si="12"/>
        <v>433</v>
      </c>
      <c r="V77" s="1702">
        <f t="shared" si="12"/>
        <v>359222.54</v>
      </c>
      <c r="W77" s="411"/>
      <c r="X77" s="411"/>
      <c r="Y77" s="198"/>
      <c r="Z77" s="198"/>
      <c r="AA77" s="204"/>
      <c r="AB77" s="198"/>
      <c r="AC77" s="198"/>
      <c r="AD77" s="198"/>
      <c r="AE77" s="198"/>
      <c r="AF77" s="198"/>
      <c r="AG77" s="199"/>
    </row>
    <row r="78" spans="1:33" ht="13.8">
      <c r="A78" s="197"/>
      <c r="B78" s="197"/>
      <c r="C78" s="198" t="s">
        <v>276</v>
      </c>
      <c r="D78" s="532" t="s">
        <v>259</v>
      </c>
      <c r="E78" s="1695"/>
      <c r="F78" s="1695"/>
      <c r="G78" s="1695"/>
      <c r="H78" s="1695"/>
      <c r="I78" s="1695"/>
      <c r="J78" s="1695"/>
      <c r="K78" s="1695"/>
      <c r="L78" s="1700"/>
      <c r="M78" s="1113"/>
      <c r="N78" s="265"/>
      <c r="O78" s="856">
        <f t="shared" si="12"/>
        <v>0</v>
      </c>
      <c r="P78" s="856">
        <f t="shared" si="12"/>
        <v>-12361.17</v>
      </c>
      <c r="Q78" s="856">
        <f t="shared" si="12"/>
        <v>17965.190000000002</v>
      </c>
      <c r="R78" s="856">
        <f t="shared" si="12"/>
        <v>11850.75</v>
      </c>
      <c r="S78" s="856">
        <f t="shared" si="12"/>
        <v>79719.009999999995</v>
      </c>
      <c r="T78" s="856">
        <f t="shared" si="12"/>
        <v>888.68999999999869</v>
      </c>
      <c r="U78" s="856">
        <f t="shared" si="12"/>
        <v>433</v>
      </c>
      <c r="V78" s="1702">
        <f t="shared" si="12"/>
        <v>359222.54</v>
      </c>
      <c r="W78" s="411"/>
      <c r="X78" s="411"/>
      <c r="Y78" s="198"/>
      <c r="Z78" s="198"/>
      <c r="AA78" s="204"/>
      <c r="AB78" s="198"/>
      <c r="AC78" s="198"/>
      <c r="AD78" s="198"/>
      <c r="AE78" s="198"/>
      <c r="AF78" s="198"/>
      <c r="AG78" s="199"/>
    </row>
    <row r="79" spans="1:33" ht="13.8">
      <c r="A79" s="197"/>
      <c r="B79" s="197"/>
      <c r="C79" s="198" t="s">
        <v>277</v>
      </c>
      <c r="D79" s="532" t="s">
        <v>259</v>
      </c>
      <c r="E79" s="1695"/>
      <c r="F79" s="1695"/>
      <c r="G79" s="1695"/>
      <c r="H79" s="1695"/>
      <c r="I79" s="1695"/>
      <c r="J79" s="1695"/>
      <c r="K79" s="1695"/>
      <c r="L79" s="1700"/>
      <c r="M79" s="1113"/>
      <c r="N79" s="265"/>
      <c r="O79" s="856">
        <f t="shared" si="12"/>
        <v>0</v>
      </c>
      <c r="P79" s="856">
        <f t="shared" si="12"/>
        <v>-12361.17</v>
      </c>
      <c r="Q79" s="856">
        <f t="shared" si="12"/>
        <v>17965.190000000002</v>
      </c>
      <c r="R79" s="856">
        <f t="shared" si="12"/>
        <v>11850.75</v>
      </c>
      <c r="S79" s="856">
        <f t="shared" si="12"/>
        <v>79719.009999999995</v>
      </c>
      <c r="T79" s="856">
        <f t="shared" si="12"/>
        <v>888.68999999999869</v>
      </c>
      <c r="U79" s="856">
        <f t="shared" si="12"/>
        <v>433</v>
      </c>
      <c r="V79" s="1702">
        <f t="shared" si="12"/>
        <v>359222.54</v>
      </c>
      <c r="W79" s="411"/>
      <c r="X79" s="411"/>
      <c r="Y79" s="198"/>
      <c r="Z79" s="198"/>
      <c r="AA79" s="204"/>
      <c r="AB79" s="198"/>
      <c r="AC79" s="198"/>
      <c r="AD79" s="198"/>
      <c r="AE79" s="198"/>
      <c r="AF79" s="198"/>
      <c r="AG79" s="199"/>
    </row>
    <row r="80" spans="1:33" ht="13.8">
      <c r="A80" s="197"/>
      <c r="B80" s="197"/>
      <c r="C80" s="198" t="s">
        <v>278</v>
      </c>
      <c r="D80" s="532" t="s">
        <v>259</v>
      </c>
      <c r="E80" s="1695"/>
      <c r="F80" s="1695"/>
      <c r="G80" s="1695"/>
      <c r="H80" s="1695"/>
      <c r="I80" s="1695"/>
      <c r="J80" s="1695"/>
      <c r="K80" s="1695"/>
      <c r="L80" s="1700"/>
      <c r="M80" s="1113"/>
      <c r="N80" s="265"/>
      <c r="O80" s="856">
        <f t="shared" si="12"/>
        <v>0</v>
      </c>
      <c r="P80" s="856">
        <f t="shared" si="12"/>
        <v>-12361.17</v>
      </c>
      <c r="Q80" s="856">
        <f t="shared" si="12"/>
        <v>17965.190000000002</v>
      </c>
      <c r="R80" s="856">
        <f t="shared" si="12"/>
        <v>11850.75</v>
      </c>
      <c r="S80" s="856">
        <f t="shared" si="12"/>
        <v>79719.009999999995</v>
      </c>
      <c r="T80" s="856">
        <f t="shared" si="12"/>
        <v>888.68999999999869</v>
      </c>
      <c r="U80" s="856">
        <f t="shared" si="12"/>
        <v>433</v>
      </c>
      <c r="V80" s="1702">
        <f t="shared" si="12"/>
        <v>359222.54</v>
      </c>
      <c r="W80" s="411"/>
      <c r="X80" s="411"/>
      <c r="Y80" s="198"/>
      <c r="Z80" s="198"/>
      <c r="AA80" s="204"/>
      <c r="AB80" s="198"/>
      <c r="AC80" s="198"/>
      <c r="AD80" s="198"/>
      <c r="AE80" s="198"/>
      <c r="AF80" s="198"/>
      <c r="AG80" s="199"/>
    </row>
    <row r="81" spans="1:33" ht="13.8">
      <c r="A81" s="197"/>
      <c r="B81" s="197"/>
      <c r="C81" s="198" t="s">
        <v>279</v>
      </c>
      <c r="D81" s="532" t="s">
        <v>259</v>
      </c>
      <c r="E81" s="1695"/>
      <c r="F81" s="1695"/>
      <c r="G81" s="1695"/>
      <c r="H81" s="1695"/>
      <c r="I81" s="1695"/>
      <c r="J81" s="1695"/>
      <c r="K81" s="1695"/>
      <c r="L81" s="1700"/>
      <c r="M81" s="1113"/>
      <c r="N81" s="265"/>
      <c r="O81" s="856">
        <f t="shared" si="12"/>
        <v>0</v>
      </c>
      <c r="P81" s="856">
        <f t="shared" si="12"/>
        <v>-12361.17</v>
      </c>
      <c r="Q81" s="856">
        <f t="shared" si="12"/>
        <v>17965.190000000002</v>
      </c>
      <c r="R81" s="856">
        <f t="shared" si="12"/>
        <v>11850.75</v>
      </c>
      <c r="S81" s="856">
        <f t="shared" si="12"/>
        <v>79719.009999999995</v>
      </c>
      <c r="T81" s="856">
        <f t="shared" si="12"/>
        <v>888.68999999999869</v>
      </c>
      <c r="U81" s="856">
        <f t="shared" si="12"/>
        <v>433</v>
      </c>
      <c r="V81" s="1702">
        <f t="shared" si="12"/>
        <v>359222.54</v>
      </c>
      <c r="W81" s="411"/>
      <c r="X81" s="411"/>
      <c r="Y81" s="198"/>
      <c r="Z81" s="198"/>
      <c r="AA81" s="204"/>
      <c r="AB81" s="198"/>
      <c r="AC81" s="198"/>
      <c r="AD81" s="198"/>
      <c r="AE81" s="198"/>
      <c r="AF81" s="198"/>
      <c r="AG81" s="199"/>
    </row>
    <row r="82" spans="1:33" ht="14.4" thickBot="1">
      <c r="A82" s="197"/>
      <c r="B82" s="197"/>
      <c r="C82" s="198" t="s">
        <v>280</v>
      </c>
      <c r="D82" s="401" t="s">
        <v>259</v>
      </c>
      <c r="E82" s="1705"/>
      <c r="F82" s="1705"/>
      <c r="G82" s="1705"/>
      <c r="H82" s="1705"/>
      <c r="I82" s="1705"/>
      <c r="J82" s="1705"/>
      <c r="K82" s="1705"/>
      <c r="L82" s="1707"/>
      <c r="M82" s="1113"/>
      <c r="N82" s="128"/>
      <c r="O82" s="1708">
        <f t="shared" si="12"/>
        <v>0</v>
      </c>
      <c r="P82" s="1708">
        <f t="shared" si="12"/>
        <v>-12361.17</v>
      </c>
      <c r="Q82" s="1708">
        <f t="shared" si="12"/>
        <v>17965.190000000002</v>
      </c>
      <c r="R82" s="1708">
        <f t="shared" si="12"/>
        <v>11850.75</v>
      </c>
      <c r="S82" s="1708">
        <f t="shared" si="12"/>
        <v>79719.009999999995</v>
      </c>
      <c r="T82" s="1708">
        <f t="shared" si="12"/>
        <v>888.68999999999869</v>
      </c>
      <c r="U82" s="1708">
        <f t="shared" si="12"/>
        <v>433</v>
      </c>
      <c r="V82" s="1709">
        <f t="shared" si="12"/>
        <v>359222.54</v>
      </c>
      <c r="W82" s="411"/>
      <c r="X82" s="411"/>
      <c r="Y82" s="198"/>
      <c r="Z82" s="198"/>
      <c r="AA82" s="204"/>
      <c r="AB82" s="198"/>
      <c r="AC82" s="198"/>
      <c r="AD82" s="198"/>
      <c r="AE82" s="198"/>
      <c r="AF82" s="198"/>
      <c r="AG82" s="199"/>
    </row>
    <row r="83" spans="1:33" ht="13.8">
      <c r="A83" s="197"/>
      <c r="B83" s="197"/>
      <c r="C83" s="198" t="s">
        <v>524</v>
      </c>
      <c r="D83" s="204" t="s">
        <v>447</v>
      </c>
      <c r="E83" s="864">
        <f>SUM(E70:E82)</f>
        <v>0</v>
      </c>
      <c r="F83" s="864">
        <f t="shared" si="13" ref="F83:L83">SUM(F70:F82)</f>
        <v>-12361.17</v>
      </c>
      <c r="G83" s="864">
        <f t="shared" si="13"/>
        <v>17965.190000000002</v>
      </c>
      <c r="H83" s="864">
        <f t="shared" si="13"/>
        <v>11850.75</v>
      </c>
      <c r="I83" s="864">
        <f t="shared" si="13"/>
        <v>79719.009999999995</v>
      </c>
      <c r="J83" s="864">
        <f t="shared" si="13"/>
        <v>888.68999999999869</v>
      </c>
      <c r="K83" s="864">
        <f t="shared" si="13"/>
        <v>433</v>
      </c>
      <c r="L83" s="864">
        <f t="shared" si="13"/>
        <v>359222.54</v>
      </c>
      <c r="M83" s="1113"/>
      <c r="O83" s="1114">
        <f>SUM(O70:O82)</f>
        <v>0</v>
      </c>
      <c r="P83" s="1114">
        <f t="shared" si="14" ref="P83:V83">SUM(P70:P82)</f>
        <v>-157215.87000000002</v>
      </c>
      <c r="Q83" s="1114">
        <f t="shared" si="14"/>
        <v>187392.80000000002</v>
      </c>
      <c r="R83" s="1114">
        <f t="shared" si="14"/>
        <v>150343.25</v>
      </c>
      <c r="S83" s="1114">
        <f t="shared" si="14"/>
        <v>1028159.1100000001</v>
      </c>
      <c r="T83" s="1114">
        <f t="shared" si="14"/>
        <v>-13263.090000000015</v>
      </c>
      <c r="U83" s="1114">
        <f t="shared" si="14"/>
        <v>5629</v>
      </c>
      <c r="V83" s="1114">
        <f t="shared" si="14"/>
        <v>4301130</v>
      </c>
      <c r="W83" s="411"/>
      <c r="X83" s="411"/>
      <c r="Y83" s="198"/>
      <c r="Z83" s="198"/>
      <c r="AA83" s="204"/>
      <c r="AB83" s="198"/>
      <c r="AC83" s="198"/>
      <c r="AD83" s="198"/>
      <c r="AE83" s="198"/>
      <c r="AF83" s="198"/>
      <c r="AG83" s="199"/>
    </row>
    <row r="84" spans="1:33" ht="14.4" thickBot="1">
      <c r="A84" s="197"/>
      <c r="B84" s="197"/>
      <c r="C84" s="198"/>
      <c r="D84" s="204"/>
      <c r="E84" s="864"/>
      <c r="F84" s="864"/>
      <c r="G84" s="864"/>
      <c r="H84" s="864"/>
      <c r="I84" s="864"/>
      <c r="J84" s="864"/>
      <c r="K84" s="864"/>
      <c r="L84" s="864"/>
      <c r="M84" s="1113"/>
      <c r="O84" s="1114"/>
      <c r="P84" s="1114"/>
      <c r="Q84" s="1114"/>
      <c r="R84" s="1114"/>
      <c r="S84" s="1114"/>
      <c r="T84" s="1114"/>
      <c r="U84" s="1114"/>
      <c r="V84" s="1114"/>
      <c r="W84" s="411"/>
      <c r="X84" s="411"/>
      <c r="Y84" s="198"/>
      <c r="Z84" s="198"/>
      <c r="AA84" s="204"/>
      <c r="AB84" s="198"/>
      <c r="AC84" s="198"/>
      <c r="AD84" s="198"/>
      <c r="AE84" s="198"/>
      <c r="AF84" s="198"/>
      <c r="AG84" s="199"/>
    </row>
    <row r="85" spans="1:33" ht="14.4" thickBot="1">
      <c r="A85" s="197"/>
      <c r="B85" s="197"/>
      <c r="M85" s="1113"/>
      <c r="N85" s="1805" t="s">
        <v>580</v>
      </c>
      <c r="O85" s="1806"/>
      <c r="P85" s="1806"/>
      <c r="Q85" s="1806"/>
      <c r="R85" s="1806"/>
      <c r="S85" s="1806"/>
      <c r="T85" s="1806"/>
      <c r="U85" s="1806"/>
      <c r="V85" s="1807"/>
      <c r="W85" s="411"/>
      <c r="X85" s="411"/>
      <c r="Y85" s="198"/>
      <c r="Z85" s="198"/>
      <c r="AA85" s="204"/>
      <c r="AB85" s="198"/>
      <c r="AC85" s="198"/>
      <c r="AD85" s="198"/>
      <c r="AE85" s="198"/>
      <c r="AF85" s="198"/>
      <c r="AG85" s="199"/>
    </row>
    <row r="86" spans="1:33" ht="27" thickBot="1">
      <c r="A86" s="197"/>
      <c r="B86" s="197"/>
      <c r="C86" s="197"/>
      <c r="D86" s="859" t="s">
        <v>355</v>
      </c>
      <c r="E86" s="860" t="s">
        <v>356</v>
      </c>
      <c r="F86" s="860" t="s">
        <v>357</v>
      </c>
      <c r="G86" s="860" t="s">
        <v>358</v>
      </c>
      <c r="H86" s="860" t="s">
        <v>633</v>
      </c>
      <c r="I86" s="860" t="s">
        <v>639</v>
      </c>
      <c r="J86" s="1115" t="s">
        <v>465</v>
      </c>
      <c r="K86" s="1115" t="s">
        <v>466</v>
      </c>
      <c r="L86" s="861" t="s">
        <v>291</v>
      </c>
      <c r="M86" s="1113"/>
      <c r="N86" s="665" t="s">
        <v>579</v>
      </c>
      <c r="O86" s="625" t="str">
        <f t="shared" si="15" ref="O86:V89">E86</f>
        <v>(B)</v>
      </c>
      <c r="P86" s="625" t="str">
        <f t="shared" si="15"/>
        <v>(C)</v>
      </c>
      <c r="Q86" s="625" t="str">
        <f t="shared" si="15"/>
        <v>(D)</v>
      </c>
      <c r="R86" s="625" t="str">
        <f t="shared" si="15"/>
        <v>(E)</v>
      </c>
      <c r="S86" s="625" t="str">
        <f t="shared" si="15"/>
        <v>(F)</v>
      </c>
      <c r="T86" s="625" t="str">
        <f t="shared" si="15"/>
        <v>(G)</v>
      </c>
      <c r="U86" s="625" t="str">
        <f t="shared" si="15"/>
        <v>(H)</v>
      </c>
      <c r="V86" s="625" t="str">
        <f t="shared" si="15"/>
        <v>(I)</v>
      </c>
      <c r="W86" s="411"/>
      <c r="X86" s="411"/>
      <c r="Y86" s="198"/>
      <c r="Z86" s="198"/>
      <c r="AA86" s="204"/>
      <c r="AB86" s="198"/>
      <c r="AC86" s="198"/>
      <c r="AD86" s="198"/>
      <c r="AE86" s="198"/>
      <c r="AF86" s="198"/>
      <c r="AG86" s="199"/>
    </row>
    <row r="87" spans="1:33" ht="30.75" customHeight="1" thickBot="1">
      <c r="A87" s="197"/>
      <c r="B87" s="197"/>
      <c r="C87" s="198"/>
      <c r="D87" s="665"/>
      <c r="E87" s="1650" t="s">
        <v>1043</v>
      </c>
      <c r="F87" s="1650" t="s">
        <v>1052</v>
      </c>
      <c r="G87" s="1650" t="s">
        <v>1002</v>
      </c>
      <c r="H87" s="1650" t="s">
        <v>1061</v>
      </c>
      <c r="I87" s="1650" t="s">
        <v>1189</v>
      </c>
      <c r="J87" s="1650" t="s">
        <v>1190</v>
      </c>
      <c r="K87" s="1650" t="s">
        <v>1001</v>
      </c>
      <c r="L87" s="1651" t="s">
        <v>1009</v>
      </c>
      <c r="M87" s="1113"/>
      <c r="N87" s="859"/>
      <c r="O87" s="625" t="s">
        <v>1043</v>
      </c>
      <c r="P87" s="625" t="s">
        <v>1052</v>
      </c>
      <c r="Q87" s="625" t="s">
        <v>1002</v>
      </c>
      <c r="R87" s="625" t="s">
        <v>1061</v>
      </c>
      <c r="S87" s="625" t="s">
        <v>1189</v>
      </c>
      <c r="T87" s="625" t="s">
        <v>1190</v>
      </c>
      <c r="U87" s="625" t="s">
        <v>1001</v>
      </c>
      <c r="V87" s="625" t="s">
        <v>1009</v>
      </c>
      <c r="W87" s="411"/>
      <c r="X87" s="411"/>
      <c r="Y87" s="198"/>
      <c r="Z87" s="198"/>
      <c r="AA87" s="204"/>
      <c r="AB87" s="198"/>
      <c r="AC87" s="198"/>
      <c r="AD87" s="198"/>
      <c r="AE87" s="198"/>
      <c r="AF87" s="198"/>
      <c r="AG87" s="199"/>
    </row>
    <row r="88" spans="1:33" ht="14.4" thickBot="1">
      <c r="A88" s="197"/>
      <c r="B88" s="197"/>
      <c r="C88" s="198"/>
      <c r="D88" s="858"/>
      <c r="E88" s="625" t="s">
        <v>632</v>
      </c>
      <c r="F88" s="625" t="s">
        <v>632</v>
      </c>
      <c r="G88" s="625" t="s">
        <v>632</v>
      </c>
      <c r="H88" s="625" t="s">
        <v>632</v>
      </c>
      <c r="I88" s="625" t="s">
        <v>632</v>
      </c>
      <c r="J88" s="625" t="s">
        <v>632</v>
      </c>
      <c r="K88" s="625" t="s">
        <v>632</v>
      </c>
      <c r="L88" s="1107" t="s">
        <v>632</v>
      </c>
      <c r="M88" s="1113"/>
      <c r="N88" s="859"/>
      <c r="O88" s="1697" t="str">
        <f t="shared" si="15"/>
        <v>(in service)</v>
      </c>
      <c r="P88" s="1697" t="str">
        <f t="shared" si="15"/>
        <v>(in service)</v>
      </c>
      <c r="Q88" s="1697" t="str">
        <f t="shared" si="15"/>
        <v>(in service)</v>
      </c>
      <c r="R88" s="1697" t="str">
        <f t="shared" si="15"/>
        <v>(in service)</v>
      </c>
      <c r="S88" s="1697" t="str">
        <f t="shared" si="15"/>
        <v>(in service)</v>
      </c>
      <c r="T88" s="1697" t="str">
        <f t="shared" si="15"/>
        <v>(in service)</v>
      </c>
      <c r="U88" s="1697" t="str">
        <f t="shared" si="15"/>
        <v>(in service)</v>
      </c>
      <c r="V88" s="1698" t="str">
        <f t="shared" si="15"/>
        <v>(in service)</v>
      </c>
      <c r="W88" s="411"/>
      <c r="X88" s="411"/>
      <c r="Y88" s="198"/>
      <c r="Z88" s="198"/>
      <c r="AA88" s="204"/>
      <c r="AB88" s="198"/>
      <c r="AC88" s="198"/>
      <c r="AD88" s="198"/>
      <c r="AE88" s="198"/>
      <c r="AF88" s="198"/>
      <c r="AG88" s="199"/>
    </row>
    <row r="89" spans="1:33" ht="30" customHeight="1">
      <c r="A89" s="197"/>
      <c r="B89" s="197"/>
      <c r="C89" s="1108" t="s">
        <v>122</v>
      </c>
      <c r="D89" s="1110" t="s">
        <v>258</v>
      </c>
      <c r="E89" s="1695"/>
      <c r="F89" s="1695">
        <v>2332</v>
      </c>
      <c r="G89" s="1695"/>
      <c r="H89" s="1695"/>
      <c r="I89" s="1695"/>
      <c r="J89" s="1695">
        <v>6185783</v>
      </c>
      <c r="K89" s="1695"/>
      <c r="L89" s="1700"/>
      <c r="M89" s="1113"/>
      <c r="N89" s="265"/>
      <c r="O89" s="1697">
        <f t="shared" si="15"/>
        <v>0</v>
      </c>
      <c r="P89" s="1697">
        <f t="shared" si="15"/>
        <v>2332</v>
      </c>
      <c r="Q89" s="1697">
        <f t="shared" si="15"/>
        <v>0</v>
      </c>
      <c r="R89" s="1697">
        <f t="shared" si="15"/>
        <v>0</v>
      </c>
      <c r="S89" s="1697">
        <f t="shared" si="15"/>
        <v>0</v>
      </c>
      <c r="T89" s="1697">
        <f t="shared" si="15"/>
        <v>6185783</v>
      </c>
      <c r="U89" s="1697">
        <f t="shared" si="15"/>
        <v>0</v>
      </c>
      <c r="V89" s="1698">
        <f t="shared" si="15"/>
        <v>0</v>
      </c>
      <c r="W89" s="411"/>
      <c r="X89" s="411"/>
      <c r="Y89" s="198"/>
      <c r="Z89" s="198"/>
      <c r="AA89" s="204"/>
      <c r="AB89" s="198"/>
      <c r="AC89" s="198"/>
      <c r="AD89" s="198"/>
      <c r="AE89" s="198"/>
      <c r="AF89" s="198"/>
      <c r="AG89" s="199"/>
    </row>
    <row r="90" spans="1:33" ht="13.8">
      <c r="A90" s="197"/>
      <c r="B90" s="197"/>
      <c r="C90" s="334" t="s">
        <v>1417</v>
      </c>
      <c r="D90" s="1110" t="s">
        <v>258</v>
      </c>
      <c r="E90" s="1695"/>
      <c r="F90" s="1695">
        <v>1424</v>
      </c>
      <c r="G90" s="1695"/>
      <c r="H90" s="1695"/>
      <c r="I90" s="1695"/>
      <c r="J90" s="1695">
        <v>6317116</v>
      </c>
      <c r="K90" s="1695"/>
      <c r="L90" s="1700"/>
      <c r="M90" s="1113"/>
      <c r="N90" s="265"/>
      <c r="O90" s="856">
        <f t="shared" si="16" ref="O90:V101">O89+E90</f>
        <v>0</v>
      </c>
      <c r="P90" s="856">
        <f t="shared" si="16"/>
        <v>3756</v>
      </c>
      <c r="Q90" s="856">
        <f t="shared" si="16"/>
        <v>0</v>
      </c>
      <c r="R90" s="856">
        <f t="shared" si="16"/>
        <v>0</v>
      </c>
      <c r="S90" s="856">
        <f t="shared" si="16"/>
        <v>0</v>
      </c>
      <c r="T90" s="856">
        <f t="shared" si="16"/>
        <v>12502899</v>
      </c>
      <c r="U90" s="856">
        <f t="shared" si="16"/>
        <v>0</v>
      </c>
      <c r="V90" s="1702">
        <f t="shared" si="16"/>
        <v>0</v>
      </c>
      <c r="W90" s="411"/>
      <c r="X90" s="411"/>
      <c r="Y90" s="198"/>
      <c r="Z90" s="198"/>
      <c r="AA90" s="204"/>
      <c r="AB90" s="198"/>
      <c r="AC90" s="198"/>
      <c r="AD90" s="198"/>
      <c r="AE90" s="198"/>
      <c r="AF90" s="198"/>
      <c r="AG90" s="199"/>
    </row>
    <row r="91" spans="1:33" ht="13.8">
      <c r="A91" s="197"/>
      <c r="B91" s="197"/>
      <c r="C91" s="198" t="s">
        <v>271</v>
      </c>
      <c r="D91" s="1110" t="s">
        <v>258</v>
      </c>
      <c r="E91" s="1695"/>
      <c r="F91" s="1695">
        <v>7252.12</v>
      </c>
      <c r="G91" s="1695"/>
      <c r="H91" s="1695"/>
      <c r="I91" s="1695"/>
      <c r="J91" s="1695">
        <v>-5959993.5800000001</v>
      </c>
      <c r="K91" s="1695"/>
      <c r="L91" s="1700"/>
      <c r="M91" s="1113"/>
      <c r="N91" s="265"/>
      <c r="O91" s="856">
        <f t="shared" si="16"/>
        <v>0</v>
      </c>
      <c r="P91" s="856">
        <f t="shared" si="16"/>
        <v>11008.12</v>
      </c>
      <c r="Q91" s="856">
        <f t="shared" si="16"/>
        <v>0</v>
      </c>
      <c r="R91" s="856">
        <f t="shared" si="16"/>
        <v>0</v>
      </c>
      <c r="S91" s="856">
        <f t="shared" si="16"/>
        <v>0</v>
      </c>
      <c r="T91" s="856">
        <f t="shared" si="16"/>
        <v>6542905.4199999999</v>
      </c>
      <c r="U91" s="856">
        <f t="shared" si="16"/>
        <v>0</v>
      </c>
      <c r="V91" s="1702">
        <f t="shared" si="16"/>
        <v>0</v>
      </c>
      <c r="W91" s="411"/>
      <c r="X91" s="411"/>
      <c r="Y91" s="198"/>
      <c r="Z91" s="198"/>
      <c r="AA91" s="204"/>
      <c r="AB91" s="198"/>
      <c r="AC91" s="198"/>
      <c r="AD91" s="198"/>
      <c r="AE91" s="198"/>
      <c r="AF91" s="198"/>
      <c r="AG91" s="199"/>
    </row>
    <row r="92" spans="1:33" ht="13.8">
      <c r="A92" s="197"/>
      <c r="B92" s="197"/>
      <c r="C92" s="198" t="s">
        <v>272</v>
      </c>
      <c r="D92" s="1110" t="s">
        <v>258</v>
      </c>
      <c r="E92" s="1695"/>
      <c r="F92" s="1695">
        <v>265.22000000000003</v>
      </c>
      <c r="G92" s="1695"/>
      <c r="H92" s="1695"/>
      <c r="I92" s="1695"/>
      <c r="J92" s="1695">
        <v>446085.69</v>
      </c>
      <c r="K92" s="1695"/>
      <c r="L92" s="1700"/>
      <c r="M92" s="1113"/>
      <c r="N92" s="265"/>
      <c r="O92" s="856">
        <f t="shared" si="16"/>
        <v>0</v>
      </c>
      <c r="P92" s="856">
        <f t="shared" si="16"/>
        <v>11273.339999999998</v>
      </c>
      <c r="Q92" s="856">
        <f t="shared" si="16"/>
        <v>0</v>
      </c>
      <c r="R92" s="856">
        <f t="shared" si="16"/>
        <v>0</v>
      </c>
      <c r="S92" s="856">
        <f t="shared" si="16"/>
        <v>0</v>
      </c>
      <c r="T92" s="856">
        <f t="shared" si="16"/>
        <v>6988991.1100000003</v>
      </c>
      <c r="U92" s="856">
        <f t="shared" si="16"/>
        <v>0</v>
      </c>
      <c r="V92" s="1702">
        <f t="shared" si="16"/>
        <v>0</v>
      </c>
      <c r="W92" s="411"/>
      <c r="X92" s="411"/>
      <c r="Y92" s="198"/>
      <c r="Z92" s="198"/>
      <c r="AA92" s="204"/>
      <c r="AB92" s="198"/>
      <c r="AC92" s="198"/>
      <c r="AD92" s="198"/>
      <c r="AE92" s="198"/>
      <c r="AF92" s="198"/>
      <c r="AG92" s="199"/>
    </row>
    <row r="93" spans="1:33" ht="13.8">
      <c r="A93" s="197"/>
      <c r="B93" s="197"/>
      <c r="C93" s="198" t="s">
        <v>273</v>
      </c>
      <c r="D93" s="532" t="s">
        <v>259</v>
      </c>
      <c r="E93" s="1695"/>
      <c r="F93" s="1695"/>
      <c r="G93" s="1695"/>
      <c r="H93" s="1695"/>
      <c r="I93" s="1695"/>
      <c r="J93" s="1695">
        <v>231041</v>
      </c>
      <c r="K93" s="1695"/>
      <c r="L93" s="1700"/>
      <c r="M93" s="1113"/>
      <c r="N93" s="265"/>
      <c r="O93" s="856">
        <f t="shared" si="16"/>
        <v>0</v>
      </c>
      <c r="P93" s="856">
        <f t="shared" si="16"/>
        <v>11273.339999999998</v>
      </c>
      <c r="Q93" s="856">
        <f t="shared" si="16"/>
        <v>0</v>
      </c>
      <c r="R93" s="856">
        <f t="shared" si="16"/>
        <v>0</v>
      </c>
      <c r="S93" s="856">
        <f t="shared" si="16"/>
        <v>0</v>
      </c>
      <c r="T93" s="856">
        <f t="shared" si="16"/>
        <v>7220032.1100000003</v>
      </c>
      <c r="U93" s="856">
        <f t="shared" si="16"/>
        <v>0</v>
      </c>
      <c r="V93" s="1702">
        <f t="shared" si="16"/>
        <v>0</v>
      </c>
      <c r="W93" s="411"/>
      <c r="X93" s="411"/>
      <c r="Y93" s="198"/>
      <c r="Z93" s="198"/>
      <c r="AA93" s="204"/>
      <c r="AB93" s="198"/>
      <c r="AC93" s="198"/>
      <c r="AD93" s="198"/>
      <c r="AE93" s="198"/>
      <c r="AF93" s="198"/>
      <c r="AG93" s="199"/>
    </row>
    <row r="94" spans="1:33" ht="13.8">
      <c r="A94" s="197"/>
      <c r="B94" s="197"/>
      <c r="C94" s="198" t="s">
        <v>255</v>
      </c>
      <c r="D94" s="532" t="s">
        <v>259</v>
      </c>
      <c r="E94" s="1695"/>
      <c r="F94" s="1695"/>
      <c r="G94" s="1695"/>
      <c r="H94" s="1695"/>
      <c r="I94" s="1695"/>
      <c r="J94" s="1695">
        <v>44849</v>
      </c>
      <c r="K94" s="1695"/>
      <c r="L94" s="1700"/>
      <c r="M94" s="1113"/>
      <c r="N94" s="265"/>
      <c r="O94" s="856">
        <f t="shared" si="16"/>
        <v>0</v>
      </c>
      <c r="P94" s="856">
        <f t="shared" si="16"/>
        <v>11273.339999999998</v>
      </c>
      <c r="Q94" s="856">
        <f t="shared" si="16"/>
        <v>0</v>
      </c>
      <c r="R94" s="856">
        <f t="shared" si="16"/>
        <v>0</v>
      </c>
      <c r="S94" s="856">
        <f t="shared" si="16"/>
        <v>0</v>
      </c>
      <c r="T94" s="856">
        <f t="shared" si="16"/>
        <v>7264881.1100000003</v>
      </c>
      <c r="U94" s="856">
        <f t="shared" si="16"/>
        <v>0</v>
      </c>
      <c r="V94" s="1702">
        <f t="shared" si="16"/>
        <v>0</v>
      </c>
      <c r="W94" s="411"/>
      <c r="X94" s="411"/>
      <c r="Y94" s="198"/>
      <c r="Z94" s="198"/>
      <c r="AA94" s="204"/>
      <c r="AB94" s="198"/>
      <c r="AC94" s="198"/>
      <c r="AD94" s="198"/>
      <c r="AE94" s="198"/>
      <c r="AF94" s="198"/>
      <c r="AG94" s="199"/>
    </row>
    <row r="95" spans="1:33" ht="13.8">
      <c r="A95" s="197"/>
      <c r="B95" s="197"/>
      <c r="C95" s="198" t="s">
        <v>274</v>
      </c>
      <c r="D95" s="532" t="s">
        <v>259</v>
      </c>
      <c r="E95" s="1695"/>
      <c r="F95" s="1695"/>
      <c r="G95" s="1695"/>
      <c r="H95" s="1695"/>
      <c r="I95" s="1695"/>
      <c r="J95" s="1704">
        <v>23298</v>
      </c>
      <c r="K95" s="1695"/>
      <c r="L95" s="1700"/>
      <c r="M95" s="1113"/>
      <c r="N95" s="265"/>
      <c r="O95" s="856">
        <f t="shared" si="16"/>
        <v>0</v>
      </c>
      <c r="P95" s="856">
        <f t="shared" si="16"/>
        <v>11273.339999999998</v>
      </c>
      <c r="Q95" s="856">
        <f t="shared" si="16"/>
        <v>0</v>
      </c>
      <c r="R95" s="856">
        <f t="shared" si="16"/>
        <v>0</v>
      </c>
      <c r="S95" s="856">
        <f t="shared" si="16"/>
        <v>0</v>
      </c>
      <c r="T95" s="856">
        <f t="shared" si="16"/>
        <v>7288179.1100000003</v>
      </c>
      <c r="U95" s="856">
        <f t="shared" si="16"/>
        <v>0</v>
      </c>
      <c r="V95" s="1702">
        <f t="shared" si="16"/>
        <v>0</v>
      </c>
      <c r="W95" s="411"/>
      <c r="X95" s="411"/>
      <c r="Y95" s="198"/>
      <c r="Z95" s="198"/>
      <c r="AA95" s="204"/>
      <c r="AB95" s="198"/>
      <c r="AC95" s="198"/>
      <c r="AD95" s="198"/>
      <c r="AE95" s="198"/>
      <c r="AF95" s="198"/>
      <c r="AG95" s="199"/>
    </row>
    <row r="96" spans="1:33" ht="13.8">
      <c r="A96" s="197"/>
      <c r="B96" s="197"/>
      <c r="C96" s="198" t="s">
        <v>275</v>
      </c>
      <c r="D96" s="532" t="s">
        <v>259</v>
      </c>
      <c r="E96" s="1695"/>
      <c r="F96" s="1695"/>
      <c r="G96" s="1695"/>
      <c r="H96" s="1695"/>
      <c r="I96" s="1695"/>
      <c r="J96" s="1695">
        <v>24074</v>
      </c>
      <c r="K96" s="1695"/>
      <c r="L96" s="1700"/>
      <c r="M96" s="1113"/>
      <c r="N96" s="265"/>
      <c r="O96" s="856">
        <f t="shared" si="16"/>
        <v>0</v>
      </c>
      <c r="P96" s="856">
        <f t="shared" si="16"/>
        <v>11273.339999999998</v>
      </c>
      <c r="Q96" s="856">
        <f t="shared" si="16"/>
        <v>0</v>
      </c>
      <c r="R96" s="856">
        <f t="shared" si="16"/>
        <v>0</v>
      </c>
      <c r="S96" s="856">
        <f t="shared" si="16"/>
        <v>0</v>
      </c>
      <c r="T96" s="856">
        <f t="shared" si="16"/>
        <v>7312253.1100000003</v>
      </c>
      <c r="U96" s="856">
        <f t="shared" si="16"/>
        <v>0</v>
      </c>
      <c r="V96" s="1702">
        <f t="shared" si="16"/>
        <v>0</v>
      </c>
      <c r="W96" s="411"/>
      <c r="X96" s="411"/>
      <c r="Y96" s="198"/>
      <c r="Z96" s="198"/>
      <c r="AA96" s="204"/>
      <c r="AB96" s="198"/>
      <c r="AC96" s="198"/>
      <c r="AD96" s="198"/>
      <c r="AE96" s="198"/>
      <c r="AF96" s="198"/>
      <c r="AG96" s="199"/>
    </row>
    <row r="97" spans="1:33" ht="13.8">
      <c r="A97" s="197"/>
      <c r="B97" s="197"/>
      <c r="C97" s="198" t="s">
        <v>276</v>
      </c>
      <c r="D97" s="532" t="s">
        <v>259</v>
      </c>
      <c r="E97" s="1695"/>
      <c r="F97" s="1695"/>
      <c r="G97" s="1695"/>
      <c r="H97" s="1695">
        <v>13847278</v>
      </c>
      <c r="I97" s="1695"/>
      <c r="J97" s="1695">
        <v>24074</v>
      </c>
      <c r="K97" s="1695"/>
      <c r="L97" s="1700"/>
      <c r="M97" s="1113"/>
      <c r="N97" s="265"/>
      <c r="O97" s="856">
        <f t="shared" si="16"/>
        <v>0</v>
      </c>
      <c r="P97" s="856">
        <f t="shared" si="16"/>
        <v>11273.339999999998</v>
      </c>
      <c r="Q97" s="856">
        <f t="shared" si="16"/>
        <v>0</v>
      </c>
      <c r="R97" s="856">
        <f t="shared" si="16"/>
        <v>13847278</v>
      </c>
      <c r="S97" s="856">
        <f t="shared" si="16"/>
        <v>0</v>
      </c>
      <c r="T97" s="856">
        <f t="shared" si="16"/>
        <v>7336327.1100000003</v>
      </c>
      <c r="U97" s="856">
        <f t="shared" si="16"/>
        <v>0</v>
      </c>
      <c r="V97" s="1702">
        <f t="shared" si="16"/>
        <v>0</v>
      </c>
      <c r="W97" s="411"/>
      <c r="X97" s="411"/>
      <c r="Y97" s="198"/>
      <c r="Z97" s="198"/>
      <c r="AA97" s="204"/>
      <c r="AB97" s="198"/>
      <c r="AC97" s="198"/>
      <c r="AD97" s="198"/>
      <c r="AE97" s="198"/>
      <c r="AF97" s="198"/>
      <c r="AG97" s="199"/>
    </row>
    <row r="98" spans="1:33" ht="13.8">
      <c r="A98" s="197"/>
      <c r="B98" s="197"/>
      <c r="C98" s="198" t="s">
        <v>277</v>
      </c>
      <c r="D98" s="532" t="s">
        <v>259</v>
      </c>
      <c r="E98" s="1695"/>
      <c r="F98" s="1695"/>
      <c r="G98" s="1695"/>
      <c r="H98" s="1695"/>
      <c r="I98" s="1695"/>
      <c r="J98" s="1695">
        <v>71827</v>
      </c>
      <c r="K98" s="1695"/>
      <c r="L98" s="1700"/>
      <c r="M98" s="1113"/>
      <c r="N98" s="265"/>
      <c r="O98" s="856">
        <f t="shared" si="16"/>
        <v>0</v>
      </c>
      <c r="P98" s="856">
        <f t="shared" si="16"/>
        <v>11273.339999999998</v>
      </c>
      <c r="Q98" s="856">
        <f t="shared" si="16"/>
        <v>0</v>
      </c>
      <c r="R98" s="856">
        <f t="shared" si="16"/>
        <v>13847278</v>
      </c>
      <c r="S98" s="856">
        <f t="shared" si="16"/>
        <v>0</v>
      </c>
      <c r="T98" s="856">
        <f t="shared" si="16"/>
        <v>7408154.1100000003</v>
      </c>
      <c r="U98" s="856">
        <f t="shared" si="16"/>
        <v>0</v>
      </c>
      <c r="V98" s="1702">
        <f t="shared" si="16"/>
        <v>0</v>
      </c>
      <c r="W98" s="411"/>
      <c r="X98" s="411"/>
      <c r="Y98" s="198"/>
      <c r="Z98" s="198"/>
      <c r="AA98" s="204"/>
      <c r="AB98" s="198"/>
      <c r="AC98" s="198"/>
      <c r="AD98" s="198"/>
      <c r="AE98" s="198"/>
      <c r="AF98" s="198"/>
      <c r="AG98" s="199"/>
    </row>
    <row r="99" spans="1:33" ht="13.8">
      <c r="A99" s="197"/>
      <c r="B99" s="197"/>
      <c r="C99" s="198" t="s">
        <v>278</v>
      </c>
      <c r="D99" s="532" t="s">
        <v>259</v>
      </c>
      <c r="E99" s="1695"/>
      <c r="F99" s="1695"/>
      <c r="G99" s="1695"/>
      <c r="H99" s="1695"/>
      <c r="I99" s="1695"/>
      <c r="J99" s="1695">
        <v>4152753</v>
      </c>
      <c r="K99" s="1695"/>
      <c r="L99" s="1700"/>
      <c r="M99" s="1113"/>
      <c r="N99" s="265"/>
      <c r="O99" s="856">
        <f t="shared" si="16"/>
        <v>0</v>
      </c>
      <c r="P99" s="856">
        <f t="shared" si="16"/>
        <v>11273.339999999998</v>
      </c>
      <c r="Q99" s="856">
        <f t="shared" si="16"/>
        <v>0</v>
      </c>
      <c r="R99" s="856">
        <f t="shared" si="16"/>
        <v>13847278</v>
      </c>
      <c r="S99" s="856">
        <f t="shared" si="16"/>
        <v>0</v>
      </c>
      <c r="T99" s="856">
        <f t="shared" si="16"/>
        <v>11560907.109999999</v>
      </c>
      <c r="U99" s="856">
        <f t="shared" si="16"/>
        <v>0</v>
      </c>
      <c r="V99" s="1702">
        <f t="shared" si="16"/>
        <v>0</v>
      </c>
      <c r="W99" s="411"/>
      <c r="X99" s="411"/>
      <c r="Y99" s="198"/>
      <c r="Z99" s="198"/>
      <c r="AA99" s="204"/>
      <c r="AB99" s="198"/>
      <c r="AC99" s="198"/>
      <c r="AD99" s="198"/>
      <c r="AE99" s="198"/>
      <c r="AF99" s="198"/>
      <c r="AG99" s="199"/>
    </row>
    <row r="100" spans="1:33" ht="13.8">
      <c r="A100" s="197"/>
      <c r="B100" s="197"/>
      <c r="C100" s="198" t="s">
        <v>279</v>
      </c>
      <c r="D100" s="532" t="s">
        <v>259</v>
      </c>
      <c r="E100" s="1695"/>
      <c r="F100" s="1695"/>
      <c r="G100" s="1695"/>
      <c r="H100" s="1695"/>
      <c r="I100" s="1695"/>
      <c r="J100" s="1695">
        <v>1479186</v>
      </c>
      <c r="K100" s="1695"/>
      <c r="L100" s="1700"/>
      <c r="M100" s="1113"/>
      <c r="N100" s="265"/>
      <c r="O100" s="856">
        <f t="shared" si="16"/>
        <v>0</v>
      </c>
      <c r="P100" s="856">
        <f t="shared" si="16"/>
        <v>11273.339999999998</v>
      </c>
      <c r="Q100" s="856">
        <f t="shared" si="16"/>
        <v>0</v>
      </c>
      <c r="R100" s="856">
        <f t="shared" si="16"/>
        <v>13847278</v>
      </c>
      <c r="S100" s="856">
        <f t="shared" si="16"/>
        <v>0</v>
      </c>
      <c r="T100" s="856">
        <f t="shared" si="16"/>
        <v>13040093.109999999</v>
      </c>
      <c r="U100" s="856">
        <f t="shared" si="16"/>
        <v>0</v>
      </c>
      <c r="V100" s="856">
        <f t="shared" si="16"/>
        <v>0</v>
      </c>
      <c r="W100" s="411"/>
      <c r="X100" s="411"/>
      <c r="Y100" s="198"/>
      <c r="Z100" s="198"/>
      <c r="AA100" s="204"/>
      <c r="AB100" s="198"/>
      <c r="AC100" s="198"/>
      <c r="AD100" s="198"/>
      <c r="AE100" s="198"/>
      <c r="AF100" s="198"/>
      <c r="AG100" s="199"/>
    </row>
    <row r="101" spans="1:33" ht="14.4" thickBot="1">
      <c r="A101" s="197"/>
      <c r="B101" s="197"/>
      <c r="C101" s="198" t="s">
        <v>280</v>
      </c>
      <c r="D101" s="401" t="s">
        <v>259</v>
      </c>
      <c r="E101" s="1705"/>
      <c r="F101" s="1705"/>
      <c r="G101" s="1705"/>
      <c r="H101" s="1705"/>
      <c r="I101" s="1705"/>
      <c r="J101" s="1705">
        <v>1431433</v>
      </c>
      <c r="K101" s="1705"/>
      <c r="L101" s="1707"/>
      <c r="M101" s="1113"/>
      <c r="N101" s="128"/>
      <c r="O101" s="1112">
        <f t="shared" si="16"/>
        <v>0</v>
      </c>
      <c r="P101" s="1112">
        <f t="shared" si="16"/>
        <v>11273.339999999998</v>
      </c>
      <c r="Q101" s="1112">
        <f t="shared" si="16"/>
        <v>0</v>
      </c>
      <c r="R101" s="1112">
        <f t="shared" si="16"/>
        <v>13847278</v>
      </c>
      <c r="S101" s="1112">
        <f t="shared" si="16"/>
        <v>0</v>
      </c>
      <c r="T101" s="1112">
        <f t="shared" si="16"/>
        <v>14471526.109999999</v>
      </c>
      <c r="U101" s="1112">
        <f t="shared" si="16"/>
        <v>0</v>
      </c>
      <c r="V101" s="1112">
        <f t="shared" si="16"/>
        <v>0</v>
      </c>
      <c r="W101" s="411"/>
      <c r="X101" s="411"/>
      <c r="Y101" s="198"/>
      <c r="Z101" s="198"/>
      <c r="AA101" s="204"/>
      <c r="AB101" s="198"/>
      <c r="AC101" s="198"/>
      <c r="AD101" s="198"/>
      <c r="AE101" s="198"/>
      <c r="AF101" s="198"/>
      <c r="AG101" s="199"/>
    </row>
    <row r="102" spans="1:33" ht="13.8">
      <c r="A102" s="197"/>
      <c r="B102" s="197"/>
      <c r="C102" s="198" t="s">
        <v>524</v>
      </c>
      <c r="D102" s="204" t="s">
        <v>447</v>
      </c>
      <c r="E102" s="864">
        <f>SUM(E89:E101)</f>
        <v>0</v>
      </c>
      <c r="F102" s="864">
        <f t="shared" si="17" ref="F102:L102">SUM(F89:F101)</f>
        <v>11273.339999999998</v>
      </c>
      <c r="G102" s="864">
        <f t="shared" si="17"/>
        <v>0</v>
      </c>
      <c r="H102" s="864">
        <f>SUM(H89:H101)</f>
        <v>13847278</v>
      </c>
      <c r="I102" s="864">
        <f t="shared" si="17"/>
        <v>0</v>
      </c>
      <c r="J102" s="864">
        <f>SUM(J89:J101)</f>
        <v>14471526.109999999</v>
      </c>
      <c r="K102" s="864">
        <f t="shared" si="17"/>
        <v>0</v>
      </c>
      <c r="L102" s="864">
        <f t="shared" si="17"/>
        <v>0</v>
      </c>
      <c r="M102" s="1113"/>
      <c r="O102" s="1114">
        <f>SUM(O89:O101)</f>
        <v>0</v>
      </c>
      <c r="P102" s="1114">
        <f>SUM(P89:P101)</f>
        <v>129829.51999999997</v>
      </c>
      <c r="Q102" s="1114">
        <f>SUM(Q89:Q101)</f>
        <v>0</v>
      </c>
      <c r="R102" s="1114">
        <f>SUM(R89:R101)</f>
        <v>69236390</v>
      </c>
      <c r="S102" s="1114">
        <f t="shared" si="18" ref="S102:V102">SUM(S89:S101)</f>
        <v>0</v>
      </c>
      <c r="T102" s="1114">
        <f t="shared" si="18"/>
        <v>115122931.52</v>
      </c>
      <c r="U102" s="1114">
        <f t="shared" si="18"/>
        <v>0</v>
      </c>
      <c r="V102" s="1114">
        <f t="shared" si="18"/>
        <v>0</v>
      </c>
      <c r="W102" s="411"/>
      <c r="X102" s="411"/>
      <c r="Y102" s="198"/>
      <c r="Z102" s="198"/>
      <c r="AA102" s="204"/>
      <c r="AB102" s="198"/>
      <c r="AC102" s="198"/>
      <c r="AD102" s="198"/>
      <c r="AE102" s="198"/>
      <c r="AF102" s="198"/>
      <c r="AG102" s="199"/>
    </row>
    <row r="103" spans="1:33" ht="13.8">
      <c r="A103" s="197"/>
      <c r="B103" s="197"/>
      <c r="C103" s="198"/>
      <c r="D103" s="204"/>
      <c r="E103" s="864"/>
      <c r="F103" s="864"/>
      <c r="G103" s="864"/>
      <c r="H103" s="864"/>
      <c r="I103" s="864"/>
      <c r="J103" s="864"/>
      <c r="K103" s="864"/>
      <c r="L103" s="864"/>
      <c r="M103" s="1113"/>
      <c r="O103" s="1114"/>
      <c r="P103" s="1114"/>
      <c r="Q103" s="1114"/>
      <c r="R103" s="1114"/>
      <c r="S103" s="1114"/>
      <c r="T103" s="1114"/>
      <c r="U103" s="1114"/>
      <c r="V103" s="1114"/>
      <c r="W103" s="411"/>
      <c r="X103" s="411"/>
      <c r="Y103" s="198"/>
      <c r="Z103" s="198"/>
      <c r="AA103" s="204"/>
      <c r="AB103" s="198"/>
      <c r="AC103" s="198"/>
      <c r="AD103" s="198"/>
      <c r="AE103" s="198"/>
      <c r="AF103" s="198"/>
      <c r="AG103" s="199"/>
    </row>
    <row r="104" spans="1:33" ht="14.4" thickBot="1">
      <c r="A104" s="197"/>
      <c r="B104" s="197"/>
      <c r="C104" s="198"/>
      <c r="D104" s="204"/>
      <c r="E104" s="864"/>
      <c r="F104" s="864"/>
      <c r="G104" s="864"/>
      <c r="H104" s="864"/>
      <c r="I104" s="864"/>
      <c r="J104" s="864"/>
      <c r="K104" s="864"/>
      <c r="L104" s="864"/>
      <c r="M104" s="1113"/>
      <c r="O104" s="1114"/>
      <c r="P104" s="1114"/>
      <c r="Q104" s="1114"/>
      <c r="R104" s="1114"/>
      <c r="S104" s="1114"/>
      <c r="T104" s="1114"/>
      <c r="U104" s="1114"/>
      <c r="V104" s="1114"/>
      <c r="W104" s="411"/>
      <c r="X104" s="411"/>
      <c r="Y104" s="198"/>
      <c r="Z104" s="198"/>
      <c r="AA104" s="204"/>
      <c r="AB104" s="198"/>
      <c r="AC104" s="198"/>
      <c r="AD104" s="198"/>
      <c r="AE104" s="198"/>
      <c r="AF104" s="198"/>
      <c r="AG104" s="199"/>
    </row>
    <row r="105" spans="1:33" ht="14.4" thickBot="1">
      <c r="A105" s="197"/>
      <c r="B105" s="197"/>
      <c r="C105" s="197"/>
      <c r="D105" s="859" t="s">
        <v>355</v>
      </c>
      <c r="E105" s="860" t="s">
        <v>356</v>
      </c>
      <c r="F105" s="860" t="s">
        <v>357</v>
      </c>
      <c r="G105" s="860" t="s">
        <v>358</v>
      </c>
      <c r="H105" s="860" t="s">
        <v>633</v>
      </c>
      <c r="I105" s="860" t="s">
        <v>639</v>
      </c>
      <c r="J105" s="1115" t="s">
        <v>465</v>
      </c>
      <c r="K105" s="1115" t="s">
        <v>466</v>
      </c>
      <c r="L105" s="861" t="s">
        <v>291</v>
      </c>
      <c r="M105" s="1113"/>
      <c r="N105" s="1799" t="s">
        <v>580</v>
      </c>
      <c r="O105" s="1800"/>
      <c r="P105" s="1800"/>
      <c r="Q105" s="1800"/>
      <c r="R105" s="1800"/>
      <c r="S105" s="1800"/>
      <c r="T105" s="1800"/>
      <c r="U105" s="1800"/>
      <c r="V105" s="1801"/>
      <c r="W105" s="411"/>
      <c r="X105" s="411"/>
      <c r="Y105" s="198"/>
      <c r="Z105" s="198"/>
      <c r="AA105" s="204"/>
      <c r="AB105" s="198"/>
      <c r="AC105" s="198"/>
      <c r="AD105" s="198"/>
      <c r="AE105" s="198"/>
      <c r="AF105" s="198"/>
      <c r="AG105" s="199"/>
    </row>
    <row r="106" spans="1:33" ht="27" thickBot="1">
      <c r="A106" s="197"/>
      <c r="B106" s="197"/>
      <c r="C106" s="198"/>
      <c r="D106" s="665"/>
      <c r="E106" s="1650" t="s">
        <v>1191</v>
      </c>
      <c r="F106" s="1650" t="s">
        <v>1192</v>
      </c>
      <c r="G106" s="1650" t="s">
        <v>990</v>
      </c>
      <c r="H106" s="1650" t="s">
        <v>1005</v>
      </c>
      <c r="I106" s="1650" t="s">
        <v>988</v>
      </c>
      <c r="J106" s="1650" t="s">
        <v>1007</v>
      </c>
      <c r="K106" s="1650"/>
      <c r="L106" s="1651"/>
      <c r="M106" s="1113"/>
      <c r="N106" s="665" t="s">
        <v>579</v>
      </c>
      <c r="O106" s="625" t="str">
        <f>E106</f>
        <v>Clayburg Ring Bus</v>
      </c>
      <c r="P106" s="625" t="str">
        <f>F106</f>
        <v>Johnstown SS Capacitor</v>
      </c>
      <c r="Q106" s="625" t="str">
        <f t="shared" si="19" ref="Q106:R106">G106</f>
        <v>Shawville</v>
      </c>
      <c r="R106" s="625" t="str">
        <f t="shared" si="19"/>
        <v>Monocacy SS</v>
      </c>
      <c r="S106" s="625" t="str">
        <f>I106</f>
        <v>Yeagertown</v>
      </c>
      <c r="T106" s="625" t="str">
        <f>J106</f>
        <v>Nyswaner</v>
      </c>
      <c r="U106" s="625"/>
      <c r="V106" s="1107"/>
      <c r="W106" s="411"/>
      <c r="X106" s="411"/>
      <c r="Y106" s="198"/>
      <c r="Z106" s="198"/>
      <c r="AA106" s="204"/>
      <c r="AB106" s="198"/>
      <c r="AC106" s="198"/>
      <c r="AD106" s="198"/>
      <c r="AE106" s="198"/>
      <c r="AF106" s="198"/>
      <c r="AG106" s="199"/>
    </row>
    <row r="107" spans="1:33" ht="14.4" thickBot="1">
      <c r="A107" s="197"/>
      <c r="B107" s="197"/>
      <c r="C107" s="198"/>
      <c r="D107" s="858"/>
      <c r="E107" s="625" t="s">
        <v>632</v>
      </c>
      <c r="F107" s="625" t="s">
        <v>632</v>
      </c>
      <c r="G107" s="625" t="s">
        <v>632</v>
      </c>
      <c r="H107" s="625" t="s">
        <v>632</v>
      </c>
      <c r="I107" s="625" t="s">
        <v>632</v>
      </c>
      <c r="J107" s="625" t="s">
        <v>632</v>
      </c>
      <c r="K107" s="625" t="s">
        <v>632</v>
      </c>
      <c r="L107" s="1107" t="s">
        <v>632</v>
      </c>
      <c r="M107" s="1113"/>
      <c r="N107" s="859"/>
      <c r="O107" s="625" t="str">
        <f>E107</f>
        <v>(in service)</v>
      </c>
      <c r="P107" s="625" t="s">
        <v>447</v>
      </c>
      <c r="Q107" s="625" t="s">
        <v>447</v>
      </c>
      <c r="R107" s="625" t="s">
        <v>632</v>
      </c>
      <c r="S107" s="625" t="s">
        <v>632</v>
      </c>
      <c r="T107" s="625" t="s">
        <v>632</v>
      </c>
      <c r="U107" s="625" t="s">
        <v>632</v>
      </c>
      <c r="V107" s="1107" t="s">
        <v>632</v>
      </c>
      <c r="W107" s="411"/>
      <c r="X107" s="411"/>
      <c r="Y107" s="198"/>
      <c r="Z107" s="198"/>
      <c r="AA107" s="204"/>
      <c r="AB107" s="198"/>
      <c r="AC107" s="198"/>
      <c r="AD107" s="198"/>
      <c r="AE107" s="198"/>
      <c r="AF107" s="198"/>
      <c r="AG107" s="199"/>
    </row>
    <row r="108" spans="1:33" ht="21.6">
      <c r="A108" s="197"/>
      <c r="B108" s="197"/>
      <c r="C108" s="1108" t="s">
        <v>122</v>
      </c>
      <c r="D108" s="1110" t="s">
        <v>258</v>
      </c>
      <c r="E108" s="1695">
        <v>0</v>
      </c>
      <c r="F108" s="1695">
        <v>1246639</v>
      </c>
      <c r="G108" s="1695"/>
      <c r="H108" s="1695">
        <v>534413</v>
      </c>
      <c r="I108" s="1695"/>
      <c r="J108" s="1695"/>
      <c r="K108" s="1695">
        <v>24985</v>
      </c>
      <c r="L108" s="1700">
        <v>547</v>
      </c>
      <c r="M108" s="1113"/>
      <c r="N108" s="1116"/>
      <c r="O108" s="1117">
        <f t="shared" si="20" ref="O108:V108">E108</f>
        <v>0</v>
      </c>
      <c r="P108" s="1117">
        <f t="shared" si="20"/>
        <v>1246639</v>
      </c>
      <c r="Q108" s="1117">
        <f t="shared" si="20"/>
        <v>0</v>
      </c>
      <c r="R108" s="1117">
        <f t="shared" si="20"/>
        <v>534413</v>
      </c>
      <c r="S108" s="1117">
        <f>I108</f>
        <v>0</v>
      </c>
      <c r="T108" s="1117">
        <f t="shared" si="20"/>
        <v>0</v>
      </c>
      <c r="U108" s="1117">
        <f t="shared" si="20"/>
        <v>24985</v>
      </c>
      <c r="V108" s="1118">
        <f t="shared" si="20"/>
        <v>547</v>
      </c>
      <c r="W108" s="411"/>
      <c r="X108" s="411"/>
      <c r="Y108" s="198"/>
      <c r="Z108" s="198"/>
      <c r="AA108" s="204"/>
      <c r="AB108" s="198"/>
      <c r="AC108" s="198"/>
      <c r="AD108" s="198"/>
      <c r="AE108" s="198"/>
      <c r="AF108" s="198"/>
      <c r="AG108" s="199"/>
    </row>
    <row r="109" spans="1:33" ht="13.8">
      <c r="A109" s="197"/>
      <c r="B109" s="197"/>
      <c r="C109" s="334" t="s">
        <v>1417</v>
      </c>
      <c r="D109" s="1110" t="s">
        <v>258</v>
      </c>
      <c r="E109" s="1695"/>
      <c r="F109" s="1695">
        <v>86992</v>
      </c>
      <c r="G109" s="1695">
        <v>5410</v>
      </c>
      <c r="H109" s="1695">
        <v>13433</v>
      </c>
      <c r="I109" s="1695"/>
      <c r="J109" s="1695"/>
      <c r="K109" s="1695">
        <v>44254</v>
      </c>
      <c r="L109" s="1700">
        <v>51</v>
      </c>
      <c r="M109" s="1113"/>
      <c r="N109" s="1119"/>
      <c r="O109" s="1017">
        <f t="shared" si="21" ref="O109:V120">O108+E109</f>
        <v>0</v>
      </c>
      <c r="P109" s="1017">
        <f t="shared" si="21"/>
        <v>1333631</v>
      </c>
      <c r="Q109" s="1017">
        <f t="shared" si="21"/>
        <v>5410</v>
      </c>
      <c r="R109" s="1017">
        <f t="shared" si="21"/>
        <v>547846</v>
      </c>
      <c r="S109" s="1017">
        <f>S108+I109</f>
        <v>0</v>
      </c>
      <c r="T109" s="1017">
        <f t="shared" si="21"/>
        <v>0</v>
      </c>
      <c r="U109" s="1017">
        <f t="shared" si="21"/>
        <v>69239</v>
      </c>
      <c r="V109" s="1120">
        <f t="shared" si="21"/>
        <v>598</v>
      </c>
      <c r="W109" s="411"/>
      <c r="X109" s="411"/>
      <c r="Y109" s="198"/>
      <c r="Z109" s="198"/>
      <c r="AA109" s="204"/>
      <c r="AB109" s="198"/>
      <c r="AC109" s="198"/>
      <c r="AD109" s="198"/>
      <c r="AE109" s="198"/>
      <c r="AF109" s="198"/>
      <c r="AG109" s="199"/>
    </row>
    <row r="110" spans="1:33" ht="13.8">
      <c r="A110" s="197"/>
      <c r="B110" s="197"/>
      <c r="C110" s="198" t="s">
        <v>271</v>
      </c>
      <c r="D110" s="1110" t="s">
        <v>258</v>
      </c>
      <c r="E110" s="1695"/>
      <c r="F110" s="1695">
        <v>-5478.57</v>
      </c>
      <c r="G110" s="1695"/>
      <c r="H110" s="1695">
        <v>1795.12</v>
      </c>
      <c r="I110" s="1695"/>
      <c r="J110" s="1695"/>
      <c r="K110" s="1695">
        <v>-213608.55</v>
      </c>
      <c r="L110" s="1700"/>
      <c r="M110" s="1113"/>
      <c r="N110" s="1119"/>
      <c r="O110" s="1017">
        <f t="shared" si="21"/>
        <v>0</v>
      </c>
      <c r="P110" s="1017">
        <f t="shared" si="21"/>
        <v>1328152.43</v>
      </c>
      <c r="Q110" s="1017">
        <f t="shared" si="21"/>
        <v>5410</v>
      </c>
      <c r="R110" s="1017">
        <f t="shared" si="21"/>
        <v>549641.12</v>
      </c>
      <c r="S110" s="1017">
        <f t="shared" si="21"/>
        <v>0</v>
      </c>
      <c r="T110" s="1017">
        <f t="shared" si="21"/>
        <v>0</v>
      </c>
      <c r="U110" s="1017">
        <f t="shared" si="21"/>
        <v>-144369.54999999999</v>
      </c>
      <c r="V110" s="1120">
        <f t="shared" si="21"/>
        <v>598</v>
      </c>
      <c r="W110" s="411"/>
      <c r="X110" s="411"/>
      <c r="Y110" s="198"/>
      <c r="Z110" s="198"/>
      <c r="AA110" s="204"/>
      <c r="AB110" s="198"/>
      <c r="AC110" s="198"/>
      <c r="AD110" s="198"/>
      <c r="AE110" s="198"/>
      <c r="AF110" s="198"/>
      <c r="AG110" s="199"/>
    </row>
    <row r="111" spans="1:33" ht="13.8">
      <c r="A111" s="197"/>
      <c r="B111" s="197"/>
      <c r="C111" s="198" t="s">
        <v>272</v>
      </c>
      <c r="D111" s="532" t="s">
        <v>259</v>
      </c>
      <c r="E111" s="1695"/>
      <c r="F111" s="1695">
        <v>442.46</v>
      </c>
      <c r="G111" s="1695">
        <v>2661.14</v>
      </c>
      <c r="H111" s="1695">
        <v>2393.60</v>
      </c>
      <c r="I111" s="1695"/>
      <c r="J111" s="1695"/>
      <c r="K111" s="1695">
        <v>29726.46</v>
      </c>
      <c r="L111" s="1700"/>
      <c r="M111" s="1113"/>
      <c r="N111" s="1119"/>
      <c r="O111" s="1017">
        <f t="shared" si="21"/>
        <v>0</v>
      </c>
      <c r="P111" s="1017">
        <f t="shared" si="21"/>
        <v>1328594.8899999999</v>
      </c>
      <c r="Q111" s="1017">
        <f t="shared" si="21"/>
        <v>8071.1399999999994</v>
      </c>
      <c r="R111" s="1017">
        <f t="shared" si="21"/>
        <v>552034.72</v>
      </c>
      <c r="S111" s="1017">
        <f t="shared" si="21"/>
        <v>0</v>
      </c>
      <c r="T111" s="1017">
        <f t="shared" si="21"/>
        <v>0</v>
      </c>
      <c r="U111" s="1017">
        <f t="shared" si="21"/>
        <v>-114643.09</v>
      </c>
      <c r="V111" s="1120">
        <f t="shared" si="21"/>
        <v>598</v>
      </c>
      <c r="W111" s="411"/>
      <c r="X111" s="411"/>
      <c r="Y111" s="198"/>
      <c r="Z111" s="198"/>
      <c r="AA111" s="204"/>
      <c r="AB111" s="198"/>
      <c r="AC111" s="198"/>
      <c r="AD111" s="198"/>
      <c r="AE111" s="198"/>
      <c r="AF111" s="198"/>
      <c r="AG111" s="199"/>
    </row>
    <row r="112" spans="1:33" ht="13.8">
      <c r="A112" s="197"/>
      <c r="B112" s="197"/>
      <c r="C112" s="198" t="s">
        <v>273</v>
      </c>
      <c r="D112" s="532" t="s">
        <v>259</v>
      </c>
      <c r="E112" s="1695"/>
      <c r="F112" s="1695"/>
      <c r="G112" s="1695"/>
      <c r="H112" s="1695"/>
      <c r="I112" s="1695"/>
      <c r="J112" s="1695"/>
      <c r="K112" s="1695"/>
      <c r="L112" s="1700"/>
      <c r="M112" s="1113"/>
      <c r="N112" s="1119"/>
      <c r="O112" s="1017">
        <f t="shared" si="21"/>
        <v>0</v>
      </c>
      <c r="P112" s="1017">
        <f t="shared" si="21"/>
        <v>1328594.8899999999</v>
      </c>
      <c r="Q112" s="1017">
        <f t="shared" si="21"/>
        <v>8071.1399999999994</v>
      </c>
      <c r="R112" s="1017">
        <f t="shared" si="21"/>
        <v>552034.72</v>
      </c>
      <c r="S112" s="1017">
        <f t="shared" si="21"/>
        <v>0</v>
      </c>
      <c r="T112" s="1017">
        <f t="shared" si="21"/>
        <v>0</v>
      </c>
      <c r="U112" s="1017">
        <f t="shared" si="21"/>
        <v>-114643.09</v>
      </c>
      <c r="V112" s="1120">
        <f t="shared" si="21"/>
        <v>598</v>
      </c>
      <c r="W112" s="411"/>
      <c r="X112" s="411"/>
      <c r="Y112" s="198"/>
      <c r="Z112" s="198"/>
      <c r="AA112" s="204"/>
      <c r="AB112" s="198"/>
      <c r="AC112" s="198"/>
      <c r="AD112" s="198"/>
      <c r="AE112" s="198"/>
      <c r="AF112" s="198"/>
      <c r="AG112" s="199"/>
    </row>
    <row r="113" spans="1:33" ht="13.8">
      <c r="A113" s="197"/>
      <c r="B113" s="197"/>
      <c r="C113" s="198" t="s">
        <v>255</v>
      </c>
      <c r="D113" s="532" t="s">
        <v>259</v>
      </c>
      <c r="E113" s="1695"/>
      <c r="F113" s="1695"/>
      <c r="G113" s="1695"/>
      <c r="H113" s="1695"/>
      <c r="I113" s="1695"/>
      <c r="J113" s="1695"/>
      <c r="K113" s="1695"/>
      <c r="L113" s="1700"/>
      <c r="M113" s="1113"/>
      <c r="N113" s="1119"/>
      <c r="O113" s="1017">
        <f t="shared" si="21"/>
        <v>0</v>
      </c>
      <c r="P113" s="1017">
        <f t="shared" si="21"/>
        <v>1328594.8899999999</v>
      </c>
      <c r="Q113" s="1017">
        <f t="shared" si="21"/>
        <v>8071.1399999999994</v>
      </c>
      <c r="R113" s="1017">
        <f t="shared" si="21"/>
        <v>552034.72</v>
      </c>
      <c r="S113" s="1017">
        <f t="shared" si="21"/>
        <v>0</v>
      </c>
      <c r="T113" s="1017">
        <f t="shared" si="21"/>
        <v>0</v>
      </c>
      <c r="U113" s="1017">
        <f t="shared" si="21"/>
        <v>-114643.09</v>
      </c>
      <c r="V113" s="1120">
        <f t="shared" si="21"/>
        <v>598</v>
      </c>
      <c r="W113" s="411"/>
      <c r="X113" s="411"/>
      <c r="Y113" s="198"/>
      <c r="Z113" s="198"/>
      <c r="AA113" s="204"/>
      <c r="AB113" s="198"/>
      <c r="AC113" s="198"/>
      <c r="AD113" s="198"/>
      <c r="AE113" s="198"/>
      <c r="AF113" s="198"/>
      <c r="AG113" s="199"/>
    </row>
    <row r="114" spans="1:33" ht="13.8">
      <c r="A114" s="197"/>
      <c r="B114" s="197"/>
      <c r="C114" s="198" t="s">
        <v>274</v>
      </c>
      <c r="D114" s="532" t="s">
        <v>259</v>
      </c>
      <c r="E114" s="1695"/>
      <c r="F114" s="1695"/>
      <c r="G114" s="1695"/>
      <c r="H114" s="1695"/>
      <c r="I114" s="1695"/>
      <c r="J114" s="1695"/>
      <c r="K114" s="1695"/>
      <c r="L114" s="1700"/>
      <c r="M114" s="1113"/>
      <c r="N114" s="1119"/>
      <c r="O114" s="1017">
        <f t="shared" si="21"/>
        <v>0</v>
      </c>
      <c r="P114" s="1017">
        <f t="shared" si="21"/>
        <v>1328594.8899999999</v>
      </c>
      <c r="Q114" s="1017">
        <f t="shared" si="21"/>
        <v>8071.1399999999994</v>
      </c>
      <c r="R114" s="1017">
        <f t="shared" si="21"/>
        <v>552034.72</v>
      </c>
      <c r="S114" s="1017">
        <f t="shared" si="21"/>
        <v>0</v>
      </c>
      <c r="T114" s="1017">
        <f t="shared" si="21"/>
        <v>0</v>
      </c>
      <c r="U114" s="1017">
        <f t="shared" si="21"/>
        <v>-114643.09</v>
      </c>
      <c r="V114" s="1120">
        <f t="shared" si="21"/>
        <v>598</v>
      </c>
      <c r="W114" s="411"/>
      <c r="X114" s="411"/>
      <c r="Y114" s="198"/>
      <c r="Z114" s="198"/>
      <c r="AA114" s="204"/>
      <c r="AB114" s="198"/>
      <c r="AC114" s="198"/>
      <c r="AD114" s="198"/>
      <c r="AE114" s="198"/>
      <c r="AF114" s="198"/>
      <c r="AG114" s="199"/>
    </row>
    <row r="115" spans="1:33" ht="13.8">
      <c r="A115" s="197"/>
      <c r="B115" s="197"/>
      <c r="C115" s="198" t="s">
        <v>275</v>
      </c>
      <c r="D115" s="532" t="s">
        <v>259</v>
      </c>
      <c r="E115" s="1695"/>
      <c r="F115" s="1695"/>
      <c r="G115" s="1695"/>
      <c r="H115" s="1695"/>
      <c r="I115" s="1695"/>
      <c r="J115" s="1695"/>
      <c r="K115" s="1695"/>
      <c r="L115" s="1700"/>
      <c r="M115" s="1113"/>
      <c r="N115" s="1119"/>
      <c r="O115" s="1017">
        <f t="shared" si="21"/>
        <v>0</v>
      </c>
      <c r="P115" s="1017">
        <f t="shared" si="21"/>
        <v>1328594.8899999999</v>
      </c>
      <c r="Q115" s="1017">
        <f t="shared" si="21"/>
        <v>8071.1399999999994</v>
      </c>
      <c r="R115" s="1017">
        <f t="shared" si="21"/>
        <v>552034.72</v>
      </c>
      <c r="S115" s="1017">
        <f t="shared" si="21"/>
        <v>0</v>
      </c>
      <c r="T115" s="1017">
        <f t="shared" si="21"/>
        <v>0</v>
      </c>
      <c r="U115" s="1017">
        <f t="shared" si="21"/>
        <v>-114643.09</v>
      </c>
      <c r="V115" s="1120">
        <f t="shared" si="21"/>
        <v>598</v>
      </c>
      <c r="W115" s="411"/>
      <c r="X115" s="411"/>
      <c r="Y115" s="198"/>
      <c r="Z115" s="198"/>
      <c r="AA115" s="204"/>
      <c r="AB115" s="198"/>
      <c r="AC115" s="198"/>
      <c r="AD115" s="198"/>
      <c r="AE115" s="198"/>
      <c r="AF115" s="198"/>
      <c r="AG115" s="199"/>
    </row>
    <row r="116" spans="1:33" ht="13.8">
      <c r="A116" s="197"/>
      <c r="B116" s="197"/>
      <c r="C116" s="198" t="s">
        <v>276</v>
      </c>
      <c r="D116" s="532" t="s">
        <v>259</v>
      </c>
      <c r="E116" s="1695"/>
      <c r="F116" s="1695"/>
      <c r="G116" s="1695"/>
      <c r="H116" s="1695"/>
      <c r="I116" s="1695"/>
      <c r="J116" s="1695"/>
      <c r="K116" s="1695"/>
      <c r="L116" s="1700"/>
      <c r="M116" s="1113"/>
      <c r="N116" s="1119"/>
      <c r="O116" s="1017">
        <f t="shared" si="21"/>
        <v>0</v>
      </c>
      <c r="P116" s="1017">
        <f t="shared" si="21"/>
        <v>1328594.8899999999</v>
      </c>
      <c r="Q116" s="1017">
        <f t="shared" si="21"/>
        <v>8071.1399999999994</v>
      </c>
      <c r="R116" s="1017">
        <f t="shared" si="21"/>
        <v>552034.72</v>
      </c>
      <c r="S116" s="1017">
        <f t="shared" si="21"/>
        <v>0</v>
      </c>
      <c r="T116" s="1017">
        <f t="shared" si="21"/>
        <v>0</v>
      </c>
      <c r="U116" s="1017">
        <f t="shared" si="21"/>
        <v>-114643.09</v>
      </c>
      <c r="V116" s="1120">
        <f t="shared" si="21"/>
        <v>598</v>
      </c>
      <c r="W116" s="411"/>
      <c r="X116" s="411"/>
      <c r="Y116" s="198"/>
      <c r="Z116" s="198"/>
      <c r="AA116" s="204"/>
      <c r="AB116" s="198"/>
      <c r="AC116" s="198"/>
      <c r="AD116" s="198"/>
      <c r="AE116" s="198"/>
      <c r="AF116" s="198"/>
      <c r="AG116" s="199"/>
    </row>
    <row r="117" spans="1:33" ht="13.8">
      <c r="A117" s="197"/>
      <c r="B117" s="197"/>
      <c r="C117" s="198" t="s">
        <v>277</v>
      </c>
      <c r="D117" s="532" t="s">
        <v>259</v>
      </c>
      <c r="E117" s="1695"/>
      <c r="F117" s="1695"/>
      <c r="G117" s="1695"/>
      <c r="H117" s="1695"/>
      <c r="I117" s="1695"/>
      <c r="J117" s="1695"/>
      <c r="K117" s="1695"/>
      <c r="L117" s="1700"/>
      <c r="M117" s="1113"/>
      <c r="N117" s="1119"/>
      <c r="O117" s="1017">
        <f t="shared" si="21"/>
        <v>0</v>
      </c>
      <c r="P117" s="1017">
        <f t="shared" si="21"/>
        <v>1328594.8899999999</v>
      </c>
      <c r="Q117" s="1017">
        <f t="shared" si="21"/>
        <v>8071.1399999999994</v>
      </c>
      <c r="R117" s="1017">
        <f t="shared" si="21"/>
        <v>552034.72</v>
      </c>
      <c r="S117" s="1017">
        <f t="shared" si="21"/>
        <v>0</v>
      </c>
      <c r="T117" s="1017">
        <f t="shared" si="21"/>
        <v>0</v>
      </c>
      <c r="U117" s="1017">
        <f t="shared" si="21"/>
        <v>-114643.09</v>
      </c>
      <c r="V117" s="1120">
        <f t="shared" si="21"/>
        <v>598</v>
      </c>
      <c r="W117" s="411"/>
      <c r="X117" s="411"/>
      <c r="Y117" s="198"/>
      <c r="Z117" s="198"/>
      <c r="AA117" s="204"/>
      <c r="AB117" s="198"/>
      <c r="AC117" s="198"/>
      <c r="AD117" s="198"/>
      <c r="AE117" s="198"/>
      <c r="AF117" s="198"/>
      <c r="AG117" s="199"/>
    </row>
    <row r="118" spans="1:33" ht="13.8">
      <c r="A118" s="197"/>
      <c r="B118" s="197"/>
      <c r="C118" s="198" t="s">
        <v>278</v>
      </c>
      <c r="D118" s="532" t="s">
        <v>259</v>
      </c>
      <c r="E118" s="1695">
        <v>137725</v>
      </c>
      <c r="F118" s="1695"/>
      <c r="G118" s="1695"/>
      <c r="H118" s="1695"/>
      <c r="I118" s="1695"/>
      <c r="J118" s="1695"/>
      <c r="K118" s="1695"/>
      <c r="L118" s="1700"/>
      <c r="M118" s="1113"/>
      <c r="N118" s="1119"/>
      <c r="O118" s="1017">
        <f t="shared" si="21"/>
        <v>137725</v>
      </c>
      <c r="P118" s="1017">
        <f t="shared" si="21"/>
        <v>1328594.8899999999</v>
      </c>
      <c r="Q118" s="1017">
        <f t="shared" si="21"/>
        <v>8071.1399999999994</v>
      </c>
      <c r="R118" s="1017">
        <f t="shared" si="21"/>
        <v>552034.72</v>
      </c>
      <c r="S118" s="1017">
        <f t="shared" si="21"/>
        <v>0</v>
      </c>
      <c r="T118" s="1017">
        <f t="shared" si="21"/>
        <v>0</v>
      </c>
      <c r="U118" s="1017">
        <f t="shared" si="21"/>
        <v>-114643.09</v>
      </c>
      <c r="V118" s="1120">
        <f t="shared" si="21"/>
        <v>598</v>
      </c>
      <c r="W118" s="411"/>
      <c r="X118" s="411"/>
      <c r="Y118" s="198"/>
      <c r="Z118" s="198"/>
      <c r="AA118" s="204"/>
      <c r="AB118" s="198"/>
      <c r="AC118" s="198"/>
      <c r="AD118" s="198"/>
      <c r="AE118" s="198"/>
      <c r="AF118" s="198"/>
      <c r="AG118" s="199"/>
    </row>
    <row r="119" spans="1:33" ht="13.8">
      <c r="A119" s="197"/>
      <c r="B119" s="197"/>
      <c r="C119" s="198" t="s">
        <v>279</v>
      </c>
      <c r="D119" s="532" t="s">
        <v>259</v>
      </c>
      <c r="E119" s="1695"/>
      <c r="F119" s="1695"/>
      <c r="G119" s="1695"/>
      <c r="H119" s="1695"/>
      <c r="I119" s="1695"/>
      <c r="J119" s="1695"/>
      <c r="K119" s="1695"/>
      <c r="L119" s="1700"/>
      <c r="M119" s="1113"/>
      <c r="N119" s="1119"/>
      <c r="O119" s="1017">
        <f t="shared" si="21"/>
        <v>137725</v>
      </c>
      <c r="P119" s="1017">
        <f t="shared" si="21"/>
        <v>1328594.8899999999</v>
      </c>
      <c r="Q119" s="1017">
        <f t="shared" si="21"/>
        <v>8071.1399999999994</v>
      </c>
      <c r="R119" s="1017">
        <f t="shared" si="21"/>
        <v>552034.72</v>
      </c>
      <c r="S119" s="1017">
        <f t="shared" si="21"/>
        <v>0</v>
      </c>
      <c r="T119" s="1017">
        <f t="shared" si="21"/>
        <v>0</v>
      </c>
      <c r="U119" s="1017">
        <f t="shared" si="21"/>
        <v>-114643.09</v>
      </c>
      <c r="V119" s="1120">
        <f t="shared" si="21"/>
        <v>598</v>
      </c>
      <c r="W119" s="411"/>
      <c r="X119" s="411"/>
      <c r="Y119" s="198"/>
      <c r="Z119" s="198"/>
      <c r="AA119" s="204"/>
      <c r="AB119" s="198"/>
      <c r="AC119" s="198"/>
      <c r="AD119" s="198"/>
      <c r="AE119" s="198"/>
      <c r="AF119" s="198"/>
      <c r="AG119" s="199"/>
    </row>
    <row r="120" spans="1:33" ht="14.4" thickBot="1">
      <c r="A120" s="197"/>
      <c r="B120" s="197"/>
      <c r="C120" s="198" t="s">
        <v>280</v>
      </c>
      <c r="D120" s="401" t="s">
        <v>259</v>
      </c>
      <c r="E120" s="1705"/>
      <c r="F120" s="1704"/>
      <c r="G120" s="1705"/>
      <c r="H120" s="1705"/>
      <c r="I120" s="1705"/>
      <c r="J120" s="1705"/>
      <c r="K120" s="1705"/>
      <c r="L120" s="1707"/>
      <c r="M120" s="1113"/>
      <c r="N120" s="1121"/>
      <c r="O120" s="1122">
        <f t="shared" si="21"/>
        <v>137725</v>
      </c>
      <c r="P120" s="1122">
        <f t="shared" si="21"/>
        <v>1328594.8899999999</v>
      </c>
      <c r="Q120" s="1122">
        <f t="shared" si="21"/>
        <v>8071.1399999999994</v>
      </c>
      <c r="R120" s="1122">
        <f t="shared" si="21"/>
        <v>552034.72</v>
      </c>
      <c r="S120" s="1122">
        <f t="shared" si="21"/>
        <v>0</v>
      </c>
      <c r="T120" s="1122">
        <f t="shared" si="21"/>
        <v>0</v>
      </c>
      <c r="U120" s="1122">
        <f t="shared" si="21"/>
        <v>-114643.09</v>
      </c>
      <c r="V120" s="1123">
        <f t="shared" si="21"/>
        <v>598</v>
      </c>
      <c r="W120" s="411"/>
      <c r="X120" s="411"/>
      <c r="Y120" s="198"/>
      <c r="Z120" s="198"/>
      <c r="AA120" s="204"/>
      <c r="AB120" s="198"/>
      <c r="AC120" s="198"/>
      <c r="AD120" s="198"/>
      <c r="AE120" s="198"/>
      <c r="AF120" s="198"/>
      <c r="AG120" s="199"/>
    </row>
    <row r="121" spans="1:33" ht="13.8">
      <c r="A121" s="197"/>
      <c r="B121" s="197"/>
      <c r="C121" s="198" t="s">
        <v>524</v>
      </c>
      <c r="D121" s="204" t="s">
        <v>447</v>
      </c>
      <c r="E121" s="864">
        <f t="shared" si="22" ref="E121:L121">SUM(E108:E120)</f>
        <v>137725</v>
      </c>
      <c r="F121" s="864">
        <f t="shared" si="22"/>
        <v>1328594.8899999999</v>
      </c>
      <c r="G121" s="864">
        <f t="shared" si="22"/>
        <v>8071.1399999999994</v>
      </c>
      <c r="H121" s="864">
        <f t="shared" si="22"/>
        <v>552034.72</v>
      </c>
      <c r="I121" s="864">
        <f>SUM(I108:I120)</f>
        <v>0</v>
      </c>
      <c r="J121" s="864">
        <f t="shared" si="22"/>
        <v>0</v>
      </c>
      <c r="K121" s="864">
        <f t="shared" si="22"/>
        <v>-114643.09</v>
      </c>
      <c r="L121" s="864">
        <f t="shared" si="22"/>
        <v>598</v>
      </c>
      <c r="M121" s="1113"/>
      <c r="N121" s="299"/>
      <c r="O121" s="1114">
        <f t="shared" si="23" ref="O121:V121">SUM(O108:O120)</f>
        <v>413175</v>
      </c>
      <c r="P121" s="1114">
        <f t="shared" si="23"/>
        <v>17194371.330000002</v>
      </c>
      <c r="Q121" s="1114">
        <f t="shared" si="23"/>
        <v>91531.40</v>
      </c>
      <c r="R121" s="1114">
        <f t="shared" si="23"/>
        <v>7152247.3199999975</v>
      </c>
      <c r="S121" s="1114">
        <f t="shared" si="23"/>
        <v>0</v>
      </c>
      <c r="T121" s="1114">
        <f t="shared" si="23"/>
        <v>0</v>
      </c>
      <c r="U121" s="1114">
        <f t="shared" si="23"/>
        <v>-1196576.45</v>
      </c>
      <c r="V121" s="1114">
        <f t="shared" si="23"/>
        <v>7723</v>
      </c>
      <c r="W121" s="411"/>
      <c r="X121" s="411"/>
      <c r="Y121" s="198"/>
      <c r="Z121" s="198"/>
      <c r="AA121" s="204"/>
      <c r="AB121" s="198"/>
      <c r="AC121" s="198"/>
      <c r="AD121" s="198"/>
      <c r="AE121" s="198"/>
      <c r="AF121" s="198"/>
      <c r="AG121" s="199"/>
    </row>
    <row r="122" spans="1:33" ht="13.8">
      <c r="A122" s="197"/>
      <c r="B122" s="197"/>
      <c r="C122" s="198" t="s">
        <v>260</v>
      </c>
      <c r="E122" s="316"/>
      <c r="F122" s="316"/>
      <c r="G122" s="204"/>
      <c r="H122" s="204"/>
      <c r="I122" s="204"/>
      <c r="J122" s="204"/>
      <c r="K122" s="204"/>
      <c r="L122" s="299"/>
      <c r="M122" s="1113"/>
      <c r="N122" s="316"/>
      <c r="O122" s="839">
        <f>O121/13</f>
        <v>31782.692307692309</v>
      </c>
      <c r="P122" s="839">
        <f t="shared" si="24" ref="P122:V122">P121/13</f>
        <v>1322643.9484615386</v>
      </c>
      <c r="Q122" s="839">
        <f t="shared" si="24"/>
        <v>7040.876923076923</v>
      </c>
      <c r="R122" s="839">
        <f t="shared" si="24"/>
        <v>550172.87076923053</v>
      </c>
      <c r="S122" s="839">
        <f t="shared" si="24"/>
        <v>0</v>
      </c>
      <c r="T122" s="839">
        <f t="shared" si="24"/>
        <v>0</v>
      </c>
      <c r="U122" s="839">
        <f t="shared" si="24"/>
        <v>-92044.342307692306</v>
      </c>
      <c r="V122" s="839">
        <f t="shared" si="24"/>
        <v>594.07692307692309</v>
      </c>
      <c r="W122" s="411"/>
      <c r="X122" s="411"/>
      <c r="Y122" s="198"/>
      <c r="Z122" s="198"/>
      <c r="AA122" s="204"/>
      <c r="AB122" s="198"/>
      <c r="AC122" s="198"/>
      <c r="AD122" s="198"/>
      <c r="AE122" s="198"/>
      <c r="AF122" s="198"/>
      <c r="AG122" s="199"/>
    </row>
    <row r="123" spans="1:33" ht="13.8">
      <c r="A123" s="197"/>
      <c r="B123" s="197"/>
      <c r="C123" s="198"/>
      <c r="D123" s="204"/>
      <c r="E123" s="864"/>
      <c r="F123" s="864"/>
      <c r="G123" s="864"/>
      <c r="H123" s="864"/>
      <c r="I123" s="864"/>
      <c r="J123" s="864"/>
      <c r="K123" s="864"/>
      <c r="L123" s="864"/>
      <c r="M123" s="1113"/>
      <c r="O123" s="1114"/>
      <c r="P123" s="1114"/>
      <c r="Q123" s="1114"/>
      <c r="R123" s="1114"/>
      <c r="S123" s="1114"/>
      <c r="T123" s="1114"/>
      <c r="U123" s="1114"/>
      <c r="V123" s="1114"/>
      <c r="W123" s="411"/>
      <c r="X123" s="411"/>
      <c r="Y123" s="198"/>
      <c r="Z123" s="198"/>
      <c r="AA123" s="204"/>
      <c r="AB123" s="198"/>
      <c r="AC123" s="198"/>
      <c r="AD123" s="198"/>
      <c r="AE123" s="198"/>
      <c r="AF123" s="198"/>
      <c r="AG123" s="199"/>
    </row>
    <row r="124" spans="1:33" ht="13.8">
      <c r="A124" s="197"/>
      <c r="B124" s="197"/>
      <c r="C124" s="198"/>
      <c r="D124" s="204"/>
      <c r="E124" s="864"/>
      <c r="F124" s="864"/>
      <c r="G124" s="864"/>
      <c r="H124" s="864"/>
      <c r="I124" s="864"/>
      <c r="J124" s="864"/>
      <c r="K124" s="864"/>
      <c r="L124" s="864"/>
      <c r="M124" s="1113"/>
      <c r="O124" s="1114"/>
      <c r="P124" s="1114"/>
      <c r="Q124" s="1114"/>
      <c r="R124" s="1114"/>
      <c r="S124" s="1114"/>
      <c r="T124" s="1114"/>
      <c r="U124" s="1114"/>
      <c r="V124" s="1114"/>
      <c r="W124" s="411"/>
      <c r="X124" s="411"/>
      <c r="Y124" s="198"/>
      <c r="Z124" s="198"/>
      <c r="AA124" s="204"/>
      <c r="AB124" s="198"/>
      <c r="AC124" s="198"/>
      <c r="AD124" s="198"/>
      <c r="AE124" s="198"/>
      <c r="AF124" s="198"/>
      <c r="AG124" s="199"/>
    </row>
    <row r="125" spans="1:33" ht="13.8">
      <c r="A125" s="197"/>
      <c r="B125" s="197"/>
      <c r="C125" s="198"/>
      <c r="D125" s="204"/>
      <c r="E125" s="864"/>
      <c r="F125" s="864"/>
      <c r="G125" s="864"/>
      <c r="H125" s="864"/>
      <c r="I125" s="864"/>
      <c r="J125" s="864"/>
      <c r="K125" s="864"/>
      <c r="L125" s="864"/>
      <c r="M125" s="1113"/>
      <c r="O125" s="1114"/>
      <c r="P125" s="1114"/>
      <c r="Q125" s="1114"/>
      <c r="R125" s="1114"/>
      <c r="S125" s="1114"/>
      <c r="T125" s="1114"/>
      <c r="U125" s="1114"/>
      <c r="V125" s="1114"/>
      <c r="W125" s="411"/>
      <c r="X125" s="411"/>
      <c r="Y125" s="198"/>
      <c r="Z125" s="198"/>
      <c r="AA125" s="204"/>
      <c r="AB125" s="198"/>
      <c r="AC125" s="198"/>
      <c r="AD125" s="198"/>
      <c r="AE125" s="198"/>
      <c r="AF125" s="198"/>
      <c r="AG125" s="199"/>
    </row>
    <row r="126" spans="1:33" ht="13.8">
      <c r="A126" s="197"/>
      <c r="B126" s="197"/>
      <c r="C126" s="198"/>
      <c r="D126" s="204"/>
      <c r="E126" s="864"/>
      <c r="F126" s="864"/>
      <c r="G126" s="864"/>
      <c r="H126" s="864"/>
      <c r="I126" s="864"/>
      <c r="J126" s="864"/>
      <c r="K126" s="864"/>
      <c r="L126" s="864"/>
      <c r="M126" s="1113"/>
      <c r="O126" s="1114"/>
      <c r="P126" s="1114"/>
      <c r="Q126" s="1114"/>
      <c r="R126" s="1114"/>
      <c r="S126" s="1114"/>
      <c r="T126" s="1114"/>
      <c r="U126" s="1114"/>
      <c r="V126" s="1114"/>
      <c r="W126" s="411"/>
      <c r="X126" s="411"/>
      <c r="Y126" s="198"/>
      <c r="Z126" s="198"/>
      <c r="AA126" s="204"/>
      <c r="AB126" s="198"/>
      <c r="AC126" s="198"/>
      <c r="AD126" s="198"/>
      <c r="AE126" s="198"/>
      <c r="AF126" s="198"/>
      <c r="AG126" s="199"/>
    </row>
    <row r="127" spans="1:33" ht="13.8">
      <c r="A127" s="197"/>
      <c r="B127" s="197"/>
      <c r="C127" s="198"/>
      <c r="D127" s="204"/>
      <c r="E127" s="864"/>
      <c r="F127" s="864"/>
      <c r="G127" s="864"/>
      <c r="H127" s="864"/>
      <c r="I127" s="864"/>
      <c r="J127" s="864"/>
      <c r="K127" s="864"/>
      <c r="L127" s="864"/>
      <c r="M127" s="1113"/>
      <c r="O127" s="1114"/>
      <c r="P127" s="1114"/>
      <c r="Q127" s="1114"/>
      <c r="R127" s="1114"/>
      <c r="S127" s="1114"/>
      <c r="T127" s="1114"/>
      <c r="U127" s="1114"/>
      <c r="V127" s="1114"/>
      <c r="W127" s="411"/>
      <c r="X127" s="411"/>
      <c r="Y127" s="198"/>
      <c r="Z127" s="198"/>
      <c r="AA127" s="204"/>
      <c r="AB127" s="198"/>
      <c r="AC127" s="198"/>
      <c r="AD127" s="198"/>
      <c r="AE127" s="198"/>
      <c r="AF127" s="198"/>
      <c r="AG127" s="199"/>
    </row>
    <row r="128" spans="1:33" ht="13.8">
      <c r="A128" s="197"/>
      <c r="B128" s="197"/>
      <c r="C128" s="198"/>
      <c r="D128" s="198"/>
      <c r="F128" s="204"/>
      <c r="G128" s="204"/>
      <c r="H128" s="1710"/>
      <c r="I128" s="204"/>
      <c r="J128" s="204"/>
      <c r="N128" s="591"/>
      <c r="O128" s="1712"/>
      <c r="P128" s="1712"/>
      <c r="Q128" s="1712"/>
      <c r="R128" s="1712"/>
      <c r="S128" s="1712"/>
      <c r="T128" s="1712"/>
      <c r="U128" s="1712"/>
      <c r="V128" s="204"/>
      <c r="W128" s="411"/>
      <c r="X128" s="411"/>
      <c r="Y128" s="198"/>
      <c r="Z128" s="198"/>
      <c r="AA128" s="204"/>
      <c r="AB128" s="198"/>
      <c r="AC128" s="198"/>
      <c r="AD128" s="198"/>
      <c r="AE128" s="198"/>
      <c r="AF128" s="198"/>
      <c r="AG128" s="199"/>
    </row>
    <row r="129" spans="1:33" ht="13.8">
      <c r="A129" s="197">
        <f>A11</f>
        <v>3</v>
      </c>
      <c r="B129" s="197" t="str">
        <f>B11</f>
        <v>April</v>
      </c>
      <c r="C129" s="197" t="str">
        <f>C11</f>
        <v>Year 2</v>
      </c>
      <c r="D129" s="535"/>
      <c r="E129" s="203" t="str">
        <f>+E11</f>
        <v>TO adds Cap Adds and CWIP to plant in service in Formula (Appendix A, Lines 16 and 33)</v>
      </c>
      <c r="F129" s="198"/>
      <c r="G129" s="198"/>
      <c r="H129" s="198"/>
      <c r="I129" s="198"/>
      <c r="J129" s="1710"/>
      <c r="K129" s="411"/>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9"/>
    </row>
    <row r="130" spans="1:33" ht="13.8">
      <c r="A130" s="197"/>
      <c r="B130" s="197"/>
      <c r="C130" s="197"/>
      <c r="D130" s="197"/>
      <c r="E130" s="205"/>
      <c r="F130" s="198"/>
      <c r="G130" s="198"/>
      <c r="H130" s="198"/>
      <c r="I130" s="198"/>
      <c r="J130" s="198"/>
      <c r="K130" s="198"/>
      <c r="L130" s="198"/>
      <c r="M130" s="411"/>
      <c r="N130" s="197"/>
      <c r="O130" s="1713"/>
      <c r="P130" s="204"/>
      <c r="Q130" s="198"/>
      <c r="R130" s="198"/>
      <c r="S130" s="198"/>
      <c r="T130" s="198"/>
      <c r="U130" s="198"/>
      <c r="V130" s="198"/>
      <c r="W130" s="198"/>
      <c r="X130" s="198"/>
      <c r="Y130" s="198"/>
      <c r="Z130" s="198"/>
      <c r="AA130" s="198"/>
      <c r="AB130" s="198"/>
      <c r="AC130" s="198"/>
      <c r="AD130" s="198"/>
      <c r="AE130" s="198"/>
      <c r="AF130" s="198"/>
      <c r="AG130" s="199"/>
    </row>
    <row r="131" spans="1:33" ht="13.8">
      <c r="A131" s="197"/>
      <c r="B131" s="197"/>
      <c r="C131" s="197"/>
      <c r="D131" s="197"/>
      <c r="E131" s="205"/>
      <c r="F131" s="197"/>
      <c r="G131" s="197"/>
      <c r="H131" s="197"/>
      <c r="I131" s="197"/>
      <c r="J131" s="197"/>
      <c r="K131" s="197"/>
      <c r="L131" s="197"/>
      <c r="M131" s="204"/>
      <c r="N131" s="197"/>
      <c r="O131" s="197"/>
      <c r="P131" s="204"/>
      <c r="Q131" s="198"/>
      <c r="R131" s="198"/>
      <c r="S131" s="198"/>
      <c r="T131" s="198"/>
      <c r="U131" s="198"/>
      <c r="V131" s="198"/>
      <c r="W131" s="198"/>
      <c r="X131" s="198"/>
      <c r="Y131" s="198"/>
      <c r="Z131" s="198"/>
      <c r="AA131" s="198"/>
      <c r="AB131" s="198"/>
      <c r="AC131" s="198"/>
      <c r="AD131" s="198"/>
      <c r="AE131" s="198"/>
      <c r="AF131" s="198"/>
      <c r="AG131" s="199"/>
    </row>
    <row r="132" spans="1:33" ht="14.4" thickBot="1">
      <c r="A132" s="197">
        <v>4</v>
      </c>
      <c r="B132" s="197" t="str">
        <f>+B12</f>
        <v>May</v>
      </c>
      <c r="C132" s="197" t="str">
        <f>+C129</f>
        <v>Year 2</v>
      </c>
      <c r="D132" s="197"/>
      <c r="E132" s="198" t="str">
        <f>+E12</f>
        <v>Post results of Step 3 on PJM web site</v>
      </c>
      <c r="F132" s="198"/>
      <c r="G132" s="198"/>
      <c r="H132" s="1105"/>
      <c r="I132" s="198"/>
      <c r="J132" s="198"/>
      <c r="K132" s="198"/>
      <c r="L132" s="198"/>
      <c r="M132" s="198"/>
      <c r="N132" s="198"/>
      <c r="O132" s="198"/>
      <c r="P132" s="1714"/>
      <c r="Q132" s="1714"/>
      <c r="R132" s="198"/>
      <c r="S132" s="198"/>
      <c r="T132" s="198"/>
      <c r="U132" s="198"/>
      <c r="V132" s="198"/>
      <c r="W132" s="198"/>
      <c r="X132" s="198"/>
      <c r="Y132" s="198"/>
      <c r="Z132" s="198"/>
      <c r="AA132" s="198"/>
      <c r="AB132" s="198"/>
      <c r="AC132" s="198"/>
      <c r="AD132" s="198"/>
      <c r="AE132" s="198"/>
      <c r="AF132" s="198"/>
      <c r="AG132" s="199"/>
    </row>
    <row r="133" spans="1:33" ht="58.5" customHeight="1">
      <c r="A133" s="197"/>
      <c r="B133" s="197"/>
      <c r="C133" s="1715"/>
      <c r="D133" s="1602" t="s">
        <v>782</v>
      </c>
      <c r="E133" s="1602" t="s">
        <v>781</v>
      </c>
      <c r="F133" s="1602" t="s">
        <v>322</v>
      </c>
      <c r="G133" s="1602" t="s">
        <v>783</v>
      </c>
      <c r="H133" s="1602" t="s">
        <v>385</v>
      </c>
      <c r="I133" s="1124" t="s">
        <v>384</v>
      </c>
      <c r="J133" s="1602" t="s">
        <v>386</v>
      </c>
      <c r="K133" s="1124" t="s">
        <v>659</v>
      </c>
      <c r="L133" s="1124" t="s">
        <v>407</v>
      </c>
      <c r="M133" s="1124" t="s">
        <v>654</v>
      </c>
      <c r="N133" s="1124" t="s">
        <v>992</v>
      </c>
      <c r="O133" s="1602" t="s">
        <v>980</v>
      </c>
      <c r="P133" s="1124" t="s">
        <v>949</v>
      </c>
      <c r="Q133" s="1602" t="s">
        <v>950</v>
      </c>
      <c r="R133" s="1602" t="s">
        <v>967</v>
      </c>
      <c r="S133" s="1602" t="s">
        <v>993</v>
      </c>
      <c r="T133" s="1602" t="s">
        <v>994</v>
      </c>
      <c r="U133" s="1602" t="s">
        <v>968</v>
      </c>
      <c r="V133" s="1603" t="s">
        <v>387</v>
      </c>
      <c r="W133" s="198"/>
      <c r="X133" s="198"/>
      <c r="Y133" s="198"/>
      <c r="Z133" s="198"/>
      <c r="AA133" s="198"/>
      <c r="AB133" s="198"/>
      <c r="AC133" s="198"/>
      <c r="AD133" s="198"/>
      <c r="AE133" s="198"/>
      <c r="AF133" s="198"/>
      <c r="AG133" s="199"/>
    </row>
    <row r="134" spans="1:33" ht="15" thickBot="1">
      <c r="A134" s="197"/>
      <c r="B134" s="197"/>
      <c r="C134" s="197"/>
      <c r="D134" s="967">
        <v>2622338.473787629</v>
      </c>
      <c r="E134" s="1652">
        <v>5413901.5829354953</v>
      </c>
      <c r="F134" s="1652">
        <v>211057.89607605498</v>
      </c>
      <c r="G134" s="1652">
        <v>853213.93347505725</v>
      </c>
      <c r="H134" s="1652">
        <v>993917.75819344504</v>
      </c>
      <c r="I134" s="1652">
        <v>689372.54290886561</v>
      </c>
      <c r="J134" s="1140">
        <v>4222774.184345033</v>
      </c>
      <c r="K134" s="1140">
        <v>572191.35938215652</v>
      </c>
      <c r="L134" s="1140">
        <v>549340.97548931697</v>
      </c>
      <c r="M134" s="1140">
        <v>606204.24781132</v>
      </c>
      <c r="N134" s="1140">
        <v>952466.23239183088</v>
      </c>
      <c r="O134" s="1140">
        <v>5270898.250536738</v>
      </c>
      <c r="P134" s="1141">
        <v>346463.44699180807</v>
      </c>
      <c r="Q134" s="1140">
        <v>97984.41857264025</v>
      </c>
      <c r="R134" s="1140">
        <v>711638.8386609155</v>
      </c>
      <c r="S134" s="1140">
        <v>248015.52948020521</v>
      </c>
      <c r="T134" s="1140">
        <v>2929379.2880529389</v>
      </c>
      <c r="U134" s="1142">
        <v>7452233.7532879505</v>
      </c>
      <c r="V134" s="1142">
        <v>128391122.34900224</v>
      </c>
      <c r="W134" s="198"/>
      <c r="X134" s="198"/>
      <c r="Y134" s="198"/>
      <c r="Z134" s="198"/>
      <c r="AA134" s="198"/>
      <c r="AB134" s="198"/>
      <c r="AC134" s="198"/>
      <c r="AD134" s="198"/>
      <c r="AE134" s="198"/>
      <c r="AF134" s="198"/>
      <c r="AG134" s="199"/>
    </row>
    <row r="135" spans="1:33" ht="14.4" thickBot="1">
      <c r="A135" s="197"/>
      <c r="B135" s="197"/>
      <c r="C135" s="197"/>
      <c r="D135" s="197"/>
      <c r="E135" s="198"/>
      <c r="F135" s="198"/>
      <c r="G135" s="198"/>
      <c r="H135" s="198"/>
      <c r="I135" s="198"/>
      <c r="J135" s="299"/>
      <c r="K135" s="299"/>
      <c r="L135" s="299"/>
      <c r="M135" s="299"/>
      <c r="N135" s="299"/>
      <c r="O135" s="299"/>
      <c r="P135" s="299"/>
      <c r="Q135" s="299"/>
      <c r="R135" s="299"/>
      <c r="S135" s="198"/>
      <c r="T135" s="198"/>
      <c r="U135" s="198"/>
      <c r="V135" s="198"/>
      <c r="W135" s="198"/>
      <c r="X135" s="198"/>
      <c r="Y135" s="198"/>
      <c r="Z135" s="198"/>
      <c r="AA135" s="198"/>
      <c r="AB135" s="198"/>
      <c r="AC135" s="198"/>
      <c r="AD135" s="198"/>
      <c r="AE135" s="198"/>
      <c r="AF135" s="198"/>
      <c r="AG135" s="199"/>
    </row>
    <row r="136" spans="1:33" ht="24" customHeight="1">
      <c r="A136" s="197"/>
      <c r="B136" s="197"/>
      <c r="C136" s="197"/>
      <c r="D136" s="611" t="s">
        <v>1018</v>
      </c>
      <c r="E136" s="1653" t="s">
        <v>984</v>
      </c>
      <c r="F136" s="1653" t="s">
        <v>987</v>
      </c>
      <c r="G136" s="1653" t="s">
        <v>978</v>
      </c>
      <c r="H136" s="1653" t="s">
        <v>985</v>
      </c>
      <c r="I136" s="1653" t="s">
        <v>981</v>
      </c>
      <c r="J136" s="1653" t="s">
        <v>988</v>
      </c>
      <c r="K136" s="1653" t="s">
        <v>961</v>
      </c>
      <c r="L136" s="1653" t="s">
        <v>989</v>
      </c>
      <c r="M136" s="1653" t="s">
        <v>974</v>
      </c>
      <c r="N136" s="1653" t="s">
        <v>975</v>
      </c>
      <c r="O136" s="1653" t="s">
        <v>983</v>
      </c>
      <c r="P136" s="1653" t="s">
        <v>979</v>
      </c>
      <c r="Q136" s="1653" t="s">
        <v>990</v>
      </c>
      <c r="R136" s="1653" t="s">
        <v>1037</v>
      </c>
      <c r="S136" s="1653" t="s">
        <v>1019</v>
      </c>
      <c r="T136" s="1653" t="s">
        <v>982</v>
      </c>
      <c r="U136" s="1653" t="s">
        <v>1016</v>
      </c>
      <c r="V136" s="1125" t="s">
        <v>1020</v>
      </c>
      <c r="W136" s="198"/>
      <c r="X136" s="198"/>
      <c r="Y136" s="198"/>
      <c r="Z136" s="198"/>
      <c r="AA136" s="198"/>
      <c r="AB136" s="198"/>
      <c r="AC136" s="198"/>
      <c r="AD136" s="198"/>
      <c r="AE136" s="198"/>
      <c r="AF136" s="198"/>
      <c r="AG136" s="199"/>
    </row>
    <row r="137" spans="1:33" ht="15" thickBot="1">
      <c r="A137" s="197"/>
      <c r="B137" s="197"/>
      <c r="C137" s="197"/>
      <c r="D137" s="952">
        <v>2397199.9291874641</v>
      </c>
      <c r="E137" s="1652">
        <v>7433326.1943748286</v>
      </c>
      <c r="F137" s="1654">
        <v>3455170.6222732514</v>
      </c>
      <c r="G137" s="1652">
        <v>446265.59012419631</v>
      </c>
      <c r="H137" s="1652">
        <v>1163822.7102895901</v>
      </c>
      <c r="I137" s="1652">
        <v>899127.94742827467</v>
      </c>
      <c r="J137" s="1140">
        <v>132524.5612325265</v>
      </c>
      <c r="K137" s="1140">
        <v>76584.766900435789</v>
      </c>
      <c r="L137" s="1140">
        <v>4353511.5546827232</v>
      </c>
      <c r="M137" s="1143">
        <v>142730.24978758281</v>
      </c>
      <c r="N137" s="1143">
        <v>210817.51822575758</v>
      </c>
      <c r="O137" s="1143">
        <v>954627.20521711279</v>
      </c>
      <c r="P137" s="1143">
        <v>67621.301445534336</v>
      </c>
      <c r="Q137" s="1143">
        <v>264278.42883040145</v>
      </c>
      <c r="R137" s="1143">
        <v>13834102.913462851</v>
      </c>
      <c r="S137" s="1143">
        <v>203803.2362484982</v>
      </c>
      <c r="T137" s="1143">
        <v>52116.194691753612</v>
      </c>
      <c r="U137" s="1143">
        <v>0</v>
      </c>
      <c r="V137" s="1144">
        <v>107471.79436533077</v>
      </c>
      <c r="W137" s="198"/>
      <c r="X137" s="198"/>
      <c r="Y137" s="198"/>
      <c r="Z137" s="198"/>
      <c r="AA137" s="198"/>
      <c r="AB137" s="198"/>
      <c r="AC137" s="198"/>
      <c r="AD137" s="198"/>
      <c r="AE137" s="198"/>
      <c r="AF137" s="198"/>
      <c r="AG137" s="199"/>
    </row>
    <row r="138" spans="1:33" ht="14.4" thickBot="1">
      <c r="A138" s="197"/>
      <c r="B138" s="197"/>
      <c r="C138" s="197"/>
      <c r="E138" s="198"/>
      <c r="F138" s="198"/>
      <c r="G138" s="198"/>
      <c r="H138" s="198"/>
      <c r="I138" s="198"/>
      <c r="J138" s="198"/>
      <c r="K138" s="198"/>
      <c r="L138" s="198"/>
      <c r="M138" s="198"/>
      <c r="N138" s="198"/>
      <c r="O138" s="198"/>
      <c r="P138" s="214"/>
      <c r="Q138" s="198"/>
      <c r="R138" s="198"/>
      <c r="S138" s="198"/>
      <c r="T138" s="198"/>
      <c r="U138" s="198"/>
      <c r="V138" s="198"/>
      <c r="W138" s="198"/>
      <c r="X138" s="198"/>
      <c r="Y138" s="198"/>
      <c r="Z138" s="198"/>
      <c r="AA138" s="198"/>
      <c r="AB138" s="198"/>
      <c r="AC138" s="198"/>
      <c r="AD138" s="198"/>
      <c r="AE138" s="198"/>
      <c r="AF138" s="198"/>
      <c r="AG138" s="199"/>
    </row>
    <row r="139" spans="1:33" ht="26.4">
      <c r="A139" s="197"/>
      <c r="B139" s="197"/>
      <c r="C139" s="197"/>
      <c r="D139" s="611" t="s">
        <v>1041</v>
      </c>
      <c r="E139" s="1653" t="s">
        <v>976</v>
      </c>
      <c r="F139" s="1653" t="s">
        <v>1021</v>
      </c>
      <c r="G139" s="1653" t="s">
        <v>1012</v>
      </c>
      <c r="H139" s="1653" t="s">
        <v>1039</v>
      </c>
      <c r="I139" s="1653" t="s">
        <v>1005</v>
      </c>
      <c r="J139" s="1653" t="s">
        <v>1013</v>
      </c>
      <c r="K139" s="1653" t="s">
        <v>1006</v>
      </c>
      <c r="L139" s="1653" t="s">
        <v>1014</v>
      </c>
      <c r="M139" s="1653" t="s">
        <v>1003</v>
      </c>
      <c r="N139" s="1653" t="s">
        <v>1042</v>
      </c>
      <c r="O139" s="1653" t="s">
        <v>1008</v>
      </c>
      <c r="P139" s="1653" t="s">
        <v>1009</v>
      </c>
      <c r="Q139" s="1653" t="s">
        <v>1017</v>
      </c>
      <c r="R139" s="1124" t="s">
        <v>1007</v>
      </c>
      <c r="S139" s="1653" t="s">
        <v>966</v>
      </c>
      <c r="T139" s="1124" t="s">
        <v>1040</v>
      </c>
      <c r="U139" s="1126" t="s">
        <v>1047</v>
      </c>
      <c r="V139" s="1127" t="s">
        <v>1045</v>
      </c>
      <c r="W139" s="198"/>
      <c r="X139" s="198"/>
      <c r="Y139" s="198"/>
      <c r="Z139" s="198"/>
      <c r="AA139" s="198"/>
      <c r="AB139" s="198"/>
      <c r="AC139" s="198"/>
      <c r="AD139" s="198"/>
      <c r="AE139" s="198"/>
      <c r="AF139" s="198"/>
      <c r="AG139" s="199"/>
    </row>
    <row r="140" spans="1:33" ht="15" thickBot="1">
      <c r="A140" s="197"/>
      <c r="B140" s="197"/>
      <c r="C140" s="197"/>
      <c r="D140" s="952">
        <v>8984262.8857174963</v>
      </c>
      <c r="E140" s="1652">
        <v>1519437.989018932</v>
      </c>
      <c r="F140" s="1654">
        <v>118431.59842342844</v>
      </c>
      <c r="G140" s="1652">
        <v>2187202.8718401156</v>
      </c>
      <c r="H140" s="1652">
        <v>5553282.8485716945</v>
      </c>
      <c r="I140" s="1652">
        <v>4677429.8125015451</v>
      </c>
      <c r="J140" s="1140">
        <v>80067.505397045708</v>
      </c>
      <c r="K140" s="1140">
        <v>4078025.1740019349</v>
      </c>
      <c r="L140" s="1140">
        <v>162213.64382243977</v>
      </c>
      <c r="M140" s="1143">
        <v>894935.72007262474</v>
      </c>
      <c r="N140" s="1143">
        <v>5820132.6729634386</v>
      </c>
      <c r="O140" s="1143">
        <v>1975056.4999326393</v>
      </c>
      <c r="P140" s="1143">
        <v>3865969.4442076371</v>
      </c>
      <c r="Q140" s="1143">
        <v>202879.10161737935</v>
      </c>
      <c r="R140" s="1140">
        <v>109493.31520356146</v>
      </c>
      <c r="S140" s="1143">
        <v>1891828.2795129926</v>
      </c>
      <c r="T140" s="1140">
        <v>4707600.5405604197</v>
      </c>
      <c r="U140" s="1138">
        <v>683586.94529547542</v>
      </c>
      <c r="V140" s="1137">
        <v>2583652.2818459752</v>
      </c>
      <c r="W140" s="198"/>
      <c r="X140" s="198"/>
      <c r="Y140" s="198"/>
      <c r="Z140" s="198"/>
      <c r="AA140" s="198"/>
      <c r="AB140" s="198"/>
      <c r="AC140" s="198"/>
      <c r="AD140" s="198"/>
      <c r="AE140" s="198"/>
      <c r="AF140" s="198"/>
      <c r="AG140" s="199"/>
    </row>
    <row r="141" spans="1:33" ht="14.4" thickBot="1">
      <c r="A141" s="197"/>
      <c r="B141" s="197"/>
      <c r="C141" s="197"/>
      <c r="E141" s="198"/>
      <c r="F141" s="198"/>
      <c r="G141" s="198"/>
      <c r="H141" s="198"/>
      <c r="I141" s="198"/>
      <c r="J141" s="198"/>
      <c r="K141" s="198"/>
      <c r="L141" s="198"/>
      <c r="M141" s="198"/>
      <c r="N141" s="198"/>
      <c r="O141" s="198"/>
      <c r="P141" s="214"/>
      <c r="Q141" s="198"/>
      <c r="R141" s="198"/>
      <c r="S141" s="198"/>
      <c r="T141" s="198"/>
      <c r="U141" s="198"/>
      <c r="V141" s="198"/>
      <c r="W141" s="198"/>
      <c r="X141" s="198"/>
      <c r="Y141" s="198"/>
      <c r="Z141" s="198"/>
      <c r="AA141" s="198"/>
      <c r="AB141" s="198"/>
      <c r="AC141" s="198"/>
      <c r="AD141" s="198"/>
      <c r="AE141" s="198"/>
      <c r="AF141" s="198"/>
      <c r="AG141" s="199"/>
    </row>
    <row r="142" spans="1:33" ht="29.25" customHeight="1">
      <c r="A142" s="197"/>
      <c r="B142" s="197"/>
      <c r="C142" s="197"/>
      <c r="D142" s="1656" t="s">
        <v>850</v>
      </c>
      <c r="E142" s="198"/>
      <c r="F142" s="198"/>
      <c r="G142" s="198"/>
      <c r="H142" s="198"/>
      <c r="I142" s="198"/>
      <c r="J142" s="198"/>
      <c r="K142" s="198"/>
      <c r="L142" s="198"/>
      <c r="M142" s="198"/>
      <c r="N142" s="198"/>
      <c r="O142" s="198"/>
      <c r="P142" s="214"/>
      <c r="Q142" s="198"/>
      <c r="R142" s="198"/>
      <c r="S142" s="1604" t="s">
        <v>1190</v>
      </c>
      <c r="T142" s="1604" t="s">
        <v>1193</v>
      </c>
      <c r="U142" s="1716" t="s">
        <v>1053</v>
      </c>
      <c r="V142" s="1716" t="s">
        <v>1048</v>
      </c>
      <c r="W142" s="198"/>
      <c r="X142" s="198"/>
      <c r="Y142" s="198"/>
      <c r="Z142" s="198"/>
      <c r="AA142" s="198"/>
      <c r="AB142" s="198"/>
      <c r="AC142" s="198"/>
      <c r="AD142" s="198"/>
      <c r="AE142" s="198"/>
      <c r="AF142" s="198"/>
      <c r="AG142" s="199"/>
    </row>
    <row r="143" spans="1:33" ht="15" thickBot="1">
      <c r="A143" s="197"/>
      <c r="B143" s="197"/>
      <c r="C143" s="197"/>
      <c r="D143" s="942">
        <f>SUM(D134:V134,D137:V137,D140:V140,S143:V143)</f>
        <v>271421519.47673196</v>
      </c>
      <c r="E143" s="198"/>
      <c r="F143" s="198"/>
      <c r="G143" s="198"/>
      <c r="H143" s="198"/>
      <c r="I143" s="198"/>
      <c r="J143" s="198"/>
      <c r="K143" s="198"/>
      <c r="L143" s="198"/>
      <c r="M143" s="198"/>
      <c r="N143" s="198"/>
      <c r="O143" s="198"/>
      <c r="P143" s="214"/>
      <c r="Q143" s="198"/>
      <c r="R143" s="198"/>
      <c r="S143" s="1137">
        <v>19946135.846870173</v>
      </c>
      <c r="T143" s="1717">
        <v>0</v>
      </c>
      <c r="U143" s="1718">
        <v>2050276.7192052505</v>
      </c>
      <c r="V143" s="1718">
        <v>0</v>
      </c>
      <c r="W143" s="198"/>
      <c r="X143" s="198"/>
      <c r="Y143" s="198"/>
      <c r="Z143" s="198"/>
      <c r="AA143" s="198"/>
      <c r="AB143" s="198"/>
      <c r="AC143" s="198"/>
      <c r="AD143" s="198"/>
      <c r="AE143" s="198"/>
      <c r="AF143" s="198"/>
      <c r="AG143" s="199"/>
    </row>
    <row r="144" spans="1:33" ht="14.4">
      <c r="A144" s="197"/>
      <c r="B144" s="197"/>
      <c r="C144" s="197"/>
      <c r="D144" s="1719"/>
      <c r="E144" s="1720"/>
      <c r="F144" s="1720"/>
      <c r="G144" s="1720"/>
      <c r="H144" s="1720"/>
      <c r="I144" s="1720"/>
      <c r="J144" s="1111"/>
      <c r="K144" s="1111"/>
      <c r="L144" s="1111"/>
      <c r="M144" s="1111"/>
      <c r="N144" s="1111"/>
      <c r="O144" s="1111"/>
      <c r="P144" s="1111"/>
      <c r="Q144" s="1111"/>
      <c r="R144" s="1111"/>
      <c r="S144" s="1111"/>
      <c r="T144" s="1111"/>
      <c r="U144" s="1111"/>
      <c r="V144" s="1111"/>
      <c r="W144" s="198"/>
      <c r="X144" s="198"/>
      <c r="Y144" s="198"/>
      <c r="Z144" s="198"/>
      <c r="AA144" s="198"/>
      <c r="AB144" s="198"/>
      <c r="AC144" s="198"/>
      <c r="AD144" s="198"/>
      <c r="AE144" s="198"/>
      <c r="AF144" s="198"/>
      <c r="AG144" s="199"/>
    </row>
    <row r="145" spans="1:33" ht="13.8">
      <c r="A145" s="197">
        <f>+A13</f>
        <v>5</v>
      </c>
      <c r="B145" s="197" t="str">
        <f>+B13</f>
        <v>June</v>
      </c>
      <c r="C145" s="197" t="str">
        <f>+C13</f>
        <v>Year 2</v>
      </c>
      <c r="D145" s="535"/>
      <c r="E145" s="203" t="str">
        <f>+E13</f>
        <v>Results of Step 3 go into effect</v>
      </c>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9"/>
    </row>
    <row r="146" spans="1:33" ht="13.8">
      <c r="A146" s="197"/>
      <c r="B146" s="197"/>
      <c r="C146" s="197"/>
      <c r="D146" s="197"/>
      <c r="E146" s="203"/>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9"/>
    </row>
    <row r="147" spans="1:33" ht="15.6">
      <c r="A147" s="533"/>
      <c r="B147" s="533"/>
      <c r="C147" s="533"/>
      <c r="D147" s="533"/>
      <c r="E147" s="1605"/>
      <c r="F147" s="533"/>
      <c r="G147" s="198"/>
      <c r="H147" s="198"/>
      <c r="I147" s="198"/>
      <c r="J147" s="198"/>
      <c r="K147" s="198"/>
      <c r="L147" s="198"/>
      <c r="M147" s="198"/>
      <c r="N147" s="198"/>
      <c r="O147" s="198"/>
      <c r="P147" s="198"/>
      <c r="Q147" s="198"/>
      <c r="R147" s="198"/>
      <c r="S147" s="198"/>
      <c r="T147" s="1606"/>
      <c r="U147" s="198"/>
      <c r="V147" s="198"/>
      <c r="W147" s="198"/>
      <c r="X147" s="198"/>
      <c r="Y147" s="198"/>
      <c r="Z147" s="198"/>
      <c r="AA147" s="198"/>
      <c r="AB147" s="198"/>
      <c r="AC147" s="198"/>
      <c r="AD147" s="198"/>
      <c r="AE147" s="198"/>
      <c r="AF147" s="198"/>
      <c r="AG147" s="199"/>
    </row>
    <row r="148" spans="1:33" ht="13.8">
      <c r="A148" s="197">
        <f>+A16</f>
        <v>6</v>
      </c>
      <c r="B148" s="197" t="str">
        <f>+B16</f>
        <v>April</v>
      </c>
      <c r="C148" s="197" t="str">
        <f>+C16</f>
        <v>Year 3</v>
      </c>
      <c r="D148" s="535"/>
      <c r="E148" s="203" t="str">
        <f>+E16</f>
        <v>TO estimates all transmission Cap Adds and CWIP during Year 3 based each project's cost using the average of 13 monthly balances.  Cap Adds  are expected be in service in Year 3.</v>
      </c>
      <c r="F148" s="198"/>
      <c r="G148" s="198"/>
      <c r="H148" s="198"/>
      <c r="I148" s="198"/>
      <c r="J148" s="198"/>
      <c r="K148" s="198"/>
      <c r="L148" s="198"/>
      <c r="M148" s="198"/>
      <c r="N148" s="198"/>
      <c r="O148" s="198"/>
      <c r="P148" s="198"/>
      <c r="Q148" s="198"/>
      <c r="S148" s="198"/>
      <c r="T148" s="1606"/>
      <c r="U148" s="198"/>
      <c r="V148" s="198"/>
      <c r="W148" s="198"/>
      <c r="X148" s="198"/>
      <c r="Y148" s="198"/>
      <c r="Z148" s="198"/>
      <c r="AA148" s="198"/>
      <c r="AB148" s="198"/>
      <c r="AC148" s="198"/>
      <c r="AD148" s="198"/>
      <c r="AE148" s="198"/>
      <c r="AF148" s="198"/>
      <c r="AG148" s="199"/>
    </row>
    <row r="149" spans="1:33" ht="14.4" thickBot="1">
      <c r="A149" s="197"/>
      <c r="B149" s="197"/>
      <c r="C149" s="197"/>
      <c r="D149" s="197"/>
      <c r="E149" s="203"/>
      <c r="F149" s="198"/>
      <c r="G149" s="198"/>
      <c r="H149" s="198"/>
      <c r="I149" s="198"/>
      <c r="R149" s="198"/>
      <c r="Y149" s="198"/>
      <c r="Z149" s="198"/>
      <c r="AA149" s="198"/>
      <c r="AB149" s="198"/>
      <c r="AC149" s="198"/>
      <c r="AD149" s="198"/>
      <c r="AE149" s="198"/>
      <c r="AF149" s="198"/>
      <c r="AG149" s="199"/>
    </row>
    <row r="150" spans="1:33" ht="47.25" customHeight="1" thickBot="1">
      <c r="A150" s="197"/>
      <c r="B150" s="197"/>
      <c r="C150" s="197"/>
      <c r="D150" s="398" t="s">
        <v>355</v>
      </c>
      <c r="E150" s="399" t="s">
        <v>356</v>
      </c>
      <c r="F150" s="399" t="s">
        <v>357</v>
      </c>
      <c r="G150" s="399" t="s">
        <v>358</v>
      </c>
      <c r="H150" s="399" t="s">
        <v>633</v>
      </c>
      <c r="I150" s="399" t="s">
        <v>639</v>
      </c>
      <c r="J150" s="336" t="s">
        <v>465</v>
      </c>
      <c r="K150" s="336" t="s">
        <v>466</v>
      </c>
      <c r="L150" s="664" t="s">
        <v>291</v>
      </c>
      <c r="M150" s="108"/>
      <c r="N150" s="1805" t="s">
        <v>580</v>
      </c>
      <c r="O150" s="1806"/>
      <c r="P150" s="1806"/>
      <c r="Q150" s="1806"/>
      <c r="R150" s="1806"/>
      <c r="S150" s="1806"/>
      <c r="T150" s="1806"/>
      <c r="U150" s="1806"/>
      <c r="V150" s="1807"/>
      <c r="W150" s="1108"/>
      <c r="X150" s="1108"/>
      <c r="Z150" s="198"/>
      <c r="AA150" s="198"/>
      <c r="AB150" s="198"/>
      <c r="AC150" s="198"/>
      <c r="AD150" s="198"/>
      <c r="AE150" s="198"/>
      <c r="AF150" s="198"/>
      <c r="AG150" s="199"/>
    </row>
    <row r="151" spans="1:33" ht="62.25" customHeight="1" thickBot="1">
      <c r="A151" s="197"/>
      <c r="B151" s="197"/>
      <c r="C151" s="198"/>
      <c r="D151" s="857"/>
      <c r="E151" s="1650" t="s">
        <v>1041</v>
      </c>
      <c r="F151" s="1650" t="s">
        <v>1039</v>
      </c>
      <c r="G151" s="1650" t="s">
        <v>1042</v>
      </c>
      <c r="H151" s="1650" t="s">
        <v>1037</v>
      </c>
      <c r="I151" s="1650" t="s">
        <v>1044</v>
      </c>
      <c r="J151" s="1650" t="s">
        <v>1185</v>
      </c>
      <c r="K151" s="1650" t="s">
        <v>1186</v>
      </c>
      <c r="L151" s="1107" t="s">
        <v>488</v>
      </c>
      <c r="M151" s="1106"/>
      <c r="N151" s="665" t="s">
        <v>579</v>
      </c>
      <c r="O151" s="625" t="str">
        <f t="shared" si="25" ref="O151:V151">E151</f>
        <v>Richwood Hill</v>
      </c>
      <c r="P151" s="625" t="str">
        <f t="shared" si="25"/>
        <v>Erie South</v>
      </c>
      <c r="Q151" s="625" t="str">
        <f t="shared" si="25"/>
        <v>Joffre Sub</v>
      </c>
      <c r="R151" s="625" t="str">
        <f t="shared" si="25"/>
        <v>Oak Mound</v>
      </c>
      <c r="S151" s="625" t="str">
        <f t="shared" si="25"/>
        <v>Damascus SS</v>
      </c>
      <c r="T151" s="625" t="str">
        <f t="shared" si="25"/>
        <v>Warren SS</v>
      </c>
      <c r="U151" s="625" t="str">
        <f t="shared" si="25"/>
        <v>Kammer SS</v>
      </c>
      <c r="V151" s="1107" t="str">
        <f t="shared" si="25"/>
        <v xml:space="preserve">  502 Junction - Territorial Line  (monthly additions)</v>
      </c>
      <c r="W151" s="1106"/>
      <c r="X151" s="1106"/>
      <c r="Z151" s="1106"/>
      <c r="AA151" s="1106"/>
      <c r="AB151" s="1106"/>
      <c r="AC151" s="1106"/>
      <c r="AD151" s="198"/>
      <c r="AE151" s="198"/>
      <c r="AF151" s="198"/>
      <c r="AG151" s="199"/>
    </row>
    <row r="152" spans="1:33" ht="14.4" thickBot="1">
      <c r="A152" s="197"/>
      <c r="B152" s="197"/>
      <c r="C152" s="198"/>
      <c r="D152" s="858"/>
      <c r="E152" s="625" t="s">
        <v>632</v>
      </c>
      <c r="F152" s="625" t="s">
        <v>632</v>
      </c>
      <c r="G152" s="625" t="s">
        <v>632</v>
      </c>
      <c r="H152" s="625" t="s">
        <v>632</v>
      </c>
      <c r="I152" s="625" t="s">
        <v>632</v>
      </c>
      <c r="J152" s="625" t="s">
        <v>632</v>
      </c>
      <c r="K152" s="625" t="s">
        <v>632</v>
      </c>
      <c r="L152" s="1107" t="s">
        <v>632</v>
      </c>
      <c r="M152" s="1106"/>
      <c r="N152" s="859"/>
      <c r="O152" s="625" t="s">
        <v>632</v>
      </c>
      <c r="P152" s="625" t="s">
        <v>632</v>
      </c>
      <c r="Q152" s="625" t="s">
        <v>632</v>
      </c>
      <c r="R152" s="625" t="s">
        <v>632</v>
      </c>
      <c r="S152" s="625" t="s">
        <v>632</v>
      </c>
      <c r="T152" s="625" t="s">
        <v>632</v>
      </c>
      <c r="U152" s="625" t="s">
        <v>632</v>
      </c>
      <c r="V152" s="1107" t="s">
        <v>632</v>
      </c>
      <c r="W152" s="1106"/>
      <c r="X152" s="1106"/>
      <c r="Y152" s="1106"/>
      <c r="AA152" s="1106"/>
      <c r="AB152" s="1106"/>
      <c r="AC152" s="1106"/>
      <c r="AD152" s="198"/>
      <c r="AE152" s="198"/>
      <c r="AF152" s="198"/>
      <c r="AG152" s="199"/>
    </row>
    <row r="153" spans="1:33" ht="40.5" customHeight="1">
      <c r="A153" s="197"/>
      <c r="B153" s="197"/>
      <c r="C153" s="1108" t="s">
        <v>122</v>
      </c>
      <c r="D153" s="1109" t="s">
        <v>258</v>
      </c>
      <c r="E153" s="1111">
        <v>3632.42</v>
      </c>
      <c r="F153" s="1111"/>
      <c r="G153" s="1111">
        <v>105327.03</v>
      </c>
      <c r="H153" s="1111">
        <v>107119.55</v>
      </c>
      <c r="I153" s="1111">
        <v>21896.77</v>
      </c>
      <c r="J153" s="1111"/>
      <c r="K153" s="1111"/>
      <c r="L153" s="1542">
        <v>723102.55</v>
      </c>
      <c r="M153" s="855"/>
      <c r="N153" s="1116"/>
      <c r="O153" s="1117">
        <f>E153</f>
        <v>3632.42</v>
      </c>
      <c r="P153" s="1117">
        <f>F153</f>
        <v>0</v>
      </c>
      <c r="Q153" s="1117">
        <f>G153</f>
        <v>105327.03</v>
      </c>
      <c r="R153" s="1117">
        <f t="shared" si="26" ref="R153:V153">H153</f>
        <v>107119.55</v>
      </c>
      <c r="S153" s="1117">
        <f t="shared" si="26"/>
        <v>21896.77</v>
      </c>
      <c r="T153" s="1117">
        <f t="shared" si="26"/>
        <v>0</v>
      </c>
      <c r="U153" s="1117">
        <f t="shared" si="26"/>
        <v>0</v>
      </c>
      <c r="V153" s="1118">
        <f t="shared" si="26"/>
        <v>723102.55</v>
      </c>
      <c r="W153" s="204"/>
      <c r="X153" s="204"/>
      <c r="Y153" s="1106"/>
      <c r="AA153" s="255"/>
      <c r="AB153" s="397"/>
      <c r="AC153" s="255"/>
      <c r="AE153" s="204"/>
      <c r="AF153" s="198"/>
      <c r="AG153" s="199"/>
    </row>
    <row r="154" spans="1:33" ht="13.8">
      <c r="A154" s="197"/>
      <c r="B154" s="197"/>
      <c r="C154" s="334" t="s">
        <v>1444</v>
      </c>
      <c r="D154" s="1110" t="s">
        <v>258</v>
      </c>
      <c r="E154" s="1111">
        <v>1816.28</v>
      </c>
      <c r="F154" s="1111"/>
      <c r="G154" s="1111">
        <v>-3155.14</v>
      </c>
      <c r="H154" s="1111">
        <v>-25744.72</v>
      </c>
      <c r="I154" s="1111">
        <v>-951695.81</v>
      </c>
      <c r="J154" s="1111"/>
      <c r="K154" s="1111"/>
      <c r="L154" s="1543">
        <v>112749.60</v>
      </c>
      <c r="M154" s="855"/>
      <c r="N154" s="1119"/>
      <c r="O154" s="1017">
        <f>O153+E154</f>
        <v>5448.70</v>
      </c>
      <c r="P154" s="1017">
        <f t="shared" si="27" ref="P154:R165">P153+F154</f>
        <v>0</v>
      </c>
      <c r="Q154" s="1017">
        <f>Q153+G154</f>
        <v>102171.89</v>
      </c>
      <c r="R154" s="1017">
        <f>R153+H154</f>
        <v>81374.83</v>
      </c>
      <c r="S154" s="1017">
        <f t="shared" si="28" ref="S154:V165">S153+I154</f>
        <v>-929799.04</v>
      </c>
      <c r="T154" s="1017">
        <f t="shared" si="28"/>
        <v>0</v>
      </c>
      <c r="U154" s="1017">
        <f t="shared" si="28"/>
        <v>0</v>
      </c>
      <c r="V154" s="1120">
        <f t="shared" si="28"/>
        <v>835852.15</v>
      </c>
      <c r="W154" s="204"/>
      <c r="X154" s="204"/>
      <c r="Z154" s="198"/>
      <c r="AA154" s="255"/>
      <c r="AB154" s="397"/>
      <c r="AC154" s="255"/>
      <c r="AE154" s="204"/>
      <c r="AF154" s="198"/>
      <c r="AG154" s="199"/>
    </row>
    <row r="155" spans="1:33" ht="13.8">
      <c r="A155" s="197"/>
      <c r="B155" s="197"/>
      <c r="C155" s="198" t="s">
        <v>271</v>
      </c>
      <c r="D155" s="1110" t="s">
        <v>258</v>
      </c>
      <c r="E155" s="1111">
        <v>0</v>
      </c>
      <c r="F155" s="1111">
        <v>0</v>
      </c>
      <c r="G155" s="1111">
        <v>34698.85065481998</v>
      </c>
      <c r="H155" s="1111">
        <v>9691.430840570014</v>
      </c>
      <c r="I155" s="1111">
        <v>0</v>
      </c>
      <c r="J155" s="1111">
        <v>0</v>
      </c>
      <c r="K155" s="1111">
        <v>700000</v>
      </c>
      <c r="L155" s="1543">
        <v>1203648.4300000034</v>
      </c>
      <c r="M155" s="855"/>
      <c r="N155" s="1119"/>
      <c r="O155" s="1017">
        <f t="shared" si="29" ref="O155:O165">O154+E155</f>
        <v>5448.70</v>
      </c>
      <c r="P155" s="1017">
        <f t="shared" si="27"/>
        <v>0</v>
      </c>
      <c r="Q155" s="1017">
        <f t="shared" si="27"/>
        <v>136870.74065481999</v>
      </c>
      <c r="R155" s="1017">
        <f>R154+H155</f>
        <v>91066.260840570016</v>
      </c>
      <c r="S155" s="1017">
        <f t="shared" si="28"/>
        <v>-929799.04</v>
      </c>
      <c r="T155" s="1017">
        <f t="shared" si="28"/>
        <v>0</v>
      </c>
      <c r="U155" s="1017">
        <f t="shared" si="28"/>
        <v>700000</v>
      </c>
      <c r="V155" s="1120">
        <f t="shared" si="28"/>
        <v>2039500.5800000033</v>
      </c>
      <c r="W155" s="204"/>
      <c r="X155" s="204"/>
      <c r="Z155" s="198"/>
      <c r="AA155" s="255"/>
      <c r="AB155" s="397"/>
      <c r="AC155" s="255"/>
      <c r="AE155" s="204"/>
      <c r="AF155" s="198"/>
      <c r="AG155" s="199"/>
    </row>
    <row r="156" spans="1:33" ht="13.8">
      <c r="A156" s="197"/>
      <c r="B156" s="197"/>
      <c r="C156" s="198" t="s">
        <v>272</v>
      </c>
      <c r="D156" s="1110" t="s">
        <v>258</v>
      </c>
      <c r="E156" s="1111">
        <v>21680.562928421128</v>
      </c>
      <c r="F156" s="1111">
        <v>10336.57</v>
      </c>
      <c r="G156" s="1111">
        <v>9737.641534652339</v>
      </c>
      <c r="H156" s="1111">
        <v>94222.042715480566</v>
      </c>
      <c r="I156" s="1111">
        <v>500.12743066011052</v>
      </c>
      <c r="J156" s="1111">
        <v>6014.1411615177112</v>
      </c>
      <c r="K156" s="1111">
        <v>8379.5082942260033</v>
      </c>
      <c r="L156" s="1543">
        <v>336112.99</v>
      </c>
      <c r="M156" s="855"/>
      <c r="N156" s="1119"/>
      <c r="O156" s="1017">
        <f t="shared" si="29"/>
        <v>27129.262928421129</v>
      </c>
      <c r="P156" s="1017">
        <f t="shared" si="27"/>
        <v>10336.57</v>
      </c>
      <c r="Q156" s="1017">
        <f t="shared" si="27"/>
        <v>146608.38218947232</v>
      </c>
      <c r="R156" s="1017">
        <f t="shared" si="27"/>
        <v>185288.30355605058</v>
      </c>
      <c r="S156" s="1017">
        <f t="shared" si="28"/>
        <v>-929298.91256933997</v>
      </c>
      <c r="T156" s="1017">
        <f t="shared" si="28"/>
        <v>6014.1411615177112</v>
      </c>
      <c r="U156" s="1017">
        <f t="shared" si="28"/>
        <v>708379.50829422602</v>
      </c>
      <c r="V156" s="1120">
        <f t="shared" si="28"/>
        <v>2375613.5700000031</v>
      </c>
      <c r="W156" s="204"/>
      <c r="X156" s="204"/>
      <c r="Z156" s="198"/>
      <c r="AA156" s="255"/>
      <c r="AB156" s="397"/>
      <c r="AC156" s="255"/>
      <c r="AE156" s="204"/>
      <c r="AF156" s="198"/>
      <c r="AG156" s="199"/>
    </row>
    <row r="157" spans="1:33" ht="13.8">
      <c r="A157" s="197"/>
      <c r="B157" s="197"/>
      <c r="C157" s="198" t="s">
        <v>273</v>
      </c>
      <c r="D157" s="532" t="s">
        <v>259</v>
      </c>
      <c r="E157" s="1111"/>
      <c r="F157" s="1111"/>
      <c r="G157" s="1111"/>
      <c r="H157" s="1111"/>
      <c r="I157" s="1111"/>
      <c r="J157" s="1111"/>
      <c r="K157" s="1111"/>
      <c r="L157" s="1543">
        <f>138671+140</f>
        <v>138811</v>
      </c>
      <c r="M157" s="855"/>
      <c r="N157" s="1119"/>
      <c r="O157" s="1017">
        <f t="shared" si="29"/>
        <v>27129.262928421129</v>
      </c>
      <c r="P157" s="1017">
        <f t="shared" si="27"/>
        <v>10336.57</v>
      </c>
      <c r="Q157" s="1017">
        <f t="shared" si="27"/>
        <v>146608.38218947232</v>
      </c>
      <c r="R157" s="1017">
        <f t="shared" si="27"/>
        <v>185288.30355605058</v>
      </c>
      <c r="S157" s="1017">
        <f t="shared" si="28"/>
        <v>-929298.91256933997</v>
      </c>
      <c r="T157" s="1017">
        <f t="shared" si="28"/>
        <v>6014.1411615177112</v>
      </c>
      <c r="U157" s="1017">
        <f t="shared" si="28"/>
        <v>708379.50829422602</v>
      </c>
      <c r="V157" s="1120">
        <f t="shared" si="28"/>
        <v>2514424.5700000031</v>
      </c>
      <c r="W157" s="204"/>
      <c r="X157" s="204"/>
      <c r="Z157" s="198"/>
      <c r="AA157" s="255"/>
      <c r="AB157" s="397"/>
      <c r="AC157" s="255"/>
      <c r="AE157" s="204"/>
      <c r="AF157" s="198"/>
      <c r="AG157" s="199"/>
    </row>
    <row r="158" spans="1:33" ht="13.8">
      <c r="A158" s="197"/>
      <c r="B158" s="197"/>
      <c r="C158" s="198" t="s">
        <v>255</v>
      </c>
      <c r="D158" s="532" t="s">
        <v>259</v>
      </c>
      <c r="E158" s="1111"/>
      <c r="F158" s="1111"/>
      <c r="G158" s="1111"/>
      <c r="H158" s="1111"/>
      <c r="I158" s="1111"/>
      <c r="J158" s="1111"/>
      <c r="K158" s="1111"/>
      <c r="L158" s="1543"/>
      <c r="M158" s="855"/>
      <c r="N158" s="1119"/>
      <c r="O158" s="1017">
        <f t="shared" si="29"/>
        <v>27129.262928421129</v>
      </c>
      <c r="P158" s="1017">
        <f t="shared" si="27"/>
        <v>10336.57</v>
      </c>
      <c r="Q158" s="1017">
        <f t="shared" si="27"/>
        <v>146608.38218947232</v>
      </c>
      <c r="R158" s="1017">
        <f t="shared" si="27"/>
        <v>185288.30355605058</v>
      </c>
      <c r="S158" s="1017">
        <f t="shared" si="28"/>
        <v>-929298.91256933997</v>
      </c>
      <c r="T158" s="1017">
        <f t="shared" si="28"/>
        <v>6014.1411615177112</v>
      </c>
      <c r="U158" s="1017">
        <f t="shared" si="28"/>
        <v>708379.50829422602</v>
      </c>
      <c r="V158" s="1120">
        <f t="shared" si="28"/>
        <v>2514424.5700000031</v>
      </c>
      <c r="W158" s="204"/>
      <c r="X158" s="204"/>
      <c r="Z158" s="198"/>
      <c r="AA158" s="255"/>
      <c r="AB158" s="397"/>
      <c r="AC158" s="255"/>
      <c r="AE158" s="204"/>
      <c r="AF158" s="198"/>
      <c r="AG158" s="199"/>
    </row>
    <row r="159" spans="1:33" ht="13.8">
      <c r="A159" s="197"/>
      <c r="B159" s="197"/>
      <c r="C159" s="198" t="s">
        <v>274</v>
      </c>
      <c r="D159" s="532" t="s">
        <v>259</v>
      </c>
      <c r="E159" s="1111"/>
      <c r="F159" s="1111"/>
      <c r="G159" s="1111"/>
      <c r="H159" s="1111"/>
      <c r="I159" s="1111"/>
      <c r="J159" s="1111"/>
      <c r="K159" s="1111"/>
      <c r="L159" s="1543">
        <v>458527</v>
      </c>
      <c r="M159" s="855"/>
      <c r="N159" s="1119"/>
      <c r="O159" s="1017">
        <f t="shared" si="29"/>
        <v>27129.262928421129</v>
      </c>
      <c r="P159" s="1017">
        <f t="shared" si="27"/>
        <v>10336.57</v>
      </c>
      <c r="Q159" s="1017">
        <f t="shared" si="27"/>
        <v>146608.38218947232</v>
      </c>
      <c r="R159" s="1017">
        <f t="shared" si="27"/>
        <v>185288.30355605058</v>
      </c>
      <c r="S159" s="1017">
        <f t="shared" si="28"/>
        <v>-929298.91256933997</v>
      </c>
      <c r="T159" s="1017">
        <f t="shared" si="28"/>
        <v>6014.1411615177112</v>
      </c>
      <c r="U159" s="1017">
        <f t="shared" si="28"/>
        <v>708379.50829422602</v>
      </c>
      <c r="V159" s="1120">
        <f t="shared" si="28"/>
        <v>2972951.5700000031</v>
      </c>
      <c r="W159" s="204"/>
      <c r="X159" s="204"/>
      <c r="Z159" s="198"/>
      <c r="AA159" s="255"/>
      <c r="AB159" s="397"/>
      <c r="AC159" s="255"/>
      <c r="AE159" s="204"/>
      <c r="AF159" s="198"/>
      <c r="AG159" s="199"/>
    </row>
    <row r="160" spans="1:33" ht="13.8">
      <c r="A160" s="197"/>
      <c r="B160" s="197"/>
      <c r="C160" s="198" t="s">
        <v>275</v>
      </c>
      <c r="D160" s="532" t="s">
        <v>259</v>
      </c>
      <c r="E160" s="1111"/>
      <c r="F160" s="1111"/>
      <c r="G160" s="1111"/>
      <c r="H160" s="1111">
        <v>1434019</v>
      </c>
      <c r="I160" s="1111"/>
      <c r="J160" s="1111"/>
      <c r="K160" s="1111"/>
      <c r="L160" s="1543"/>
      <c r="M160" s="855"/>
      <c r="N160" s="1119"/>
      <c r="O160" s="1017">
        <f>O159+E160</f>
        <v>27129.262928421129</v>
      </c>
      <c r="P160" s="1017">
        <f t="shared" si="27"/>
        <v>10336.57</v>
      </c>
      <c r="Q160" s="1017">
        <f>Q159+G160</f>
        <v>146608.38218947232</v>
      </c>
      <c r="R160" s="1017">
        <f>R159+H160</f>
        <v>1619307.3035560506</v>
      </c>
      <c r="S160" s="1017">
        <f t="shared" si="28"/>
        <v>-929298.91256933997</v>
      </c>
      <c r="T160" s="1017">
        <f t="shared" si="28"/>
        <v>6014.1411615177112</v>
      </c>
      <c r="U160" s="1017">
        <f t="shared" si="28"/>
        <v>708379.50829422602</v>
      </c>
      <c r="V160" s="1120">
        <f t="shared" si="28"/>
        <v>2972951.5700000031</v>
      </c>
      <c r="W160" s="204"/>
      <c r="X160" s="204"/>
      <c r="Z160" s="198"/>
      <c r="AA160" s="255"/>
      <c r="AB160" s="397"/>
      <c r="AC160" s="255"/>
      <c r="AE160" s="204"/>
      <c r="AF160" s="198"/>
      <c r="AG160" s="199"/>
    </row>
    <row r="161" spans="1:33" ht="13.8">
      <c r="A161" s="197"/>
      <c r="B161" s="197"/>
      <c r="C161" s="198" t="s">
        <v>276</v>
      </c>
      <c r="D161" s="532" t="s">
        <v>259</v>
      </c>
      <c r="E161" s="1111">
        <v>64033</v>
      </c>
      <c r="F161" s="1111"/>
      <c r="G161" s="1111"/>
      <c r="H161" s="1111">
        <v>196186</v>
      </c>
      <c r="I161" s="1111"/>
      <c r="J161" s="1111"/>
      <c r="K161" s="1111"/>
      <c r="L161" s="1543"/>
      <c r="M161" s="855"/>
      <c r="N161" s="1119"/>
      <c r="O161" s="1017">
        <f t="shared" si="29"/>
        <v>91162.262928421129</v>
      </c>
      <c r="P161" s="1017">
        <f t="shared" si="27"/>
        <v>10336.57</v>
      </c>
      <c r="Q161" s="1017">
        <f t="shared" si="27"/>
        <v>146608.38218947232</v>
      </c>
      <c r="R161" s="1017">
        <f>R160+H161</f>
        <v>1815493.3035560506</v>
      </c>
      <c r="S161" s="1017">
        <f t="shared" si="28"/>
        <v>-929298.91256933997</v>
      </c>
      <c r="T161" s="1017">
        <f t="shared" si="28"/>
        <v>6014.1411615177112</v>
      </c>
      <c r="U161" s="1017">
        <f t="shared" si="28"/>
        <v>708379.50829422602</v>
      </c>
      <c r="V161" s="1120">
        <f t="shared" si="28"/>
        <v>2972951.5700000031</v>
      </c>
      <c r="W161" s="204"/>
      <c r="X161" s="204"/>
      <c r="Z161" s="198"/>
      <c r="AA161" s="255"/>
      <c r="AB161" s="397"/>
      <c r="AC161" s="255"/>
      <c r="AE161" s="204"/>
      <c r="AF161" s="198"/>
      <c r="AG161" s="199"/>
    </row>
    <row r="162" spans="1:33" ht="13.8">
      <c r="A162" s="197"/>
      <c r="B162" s="197"/>
      <c r="C162" s="198" t="s">
        <v>277</v>
      </c>
      <c r="D162" s="532" t="s">
        <v>259</v>
      </c>
      <c r="E162" s="1111"/>
      <c r="F162" s="1111"/>
      <c r="G162" s="1111"/>
      <c r="H162" s="1111"/>
      <c r="I162" s="1111"/>
      <c r="J162" s="1111"/>
      <c r="K162" s="1111"/>
      <c r="L162" s="1543">
        <v>156275</v>
      </c>
      <c r="M162" s="855"/>
      <c r="N162" s="1119"/>
      <c r="O162" s="1017">
        <f t="shared" si="29"/>
        <v>91162.262928421129</v>
      </c>
      <c r="P162" s="1017">
        <f t="shared" si="27"/>
        <v>10336.57</v>
      </c>
      <c r="Q162" s="1017">
        <f t="shared" si="27"/>
        <v>146608.38218947232</v>
      </c>
      <c r="R162" s="1017">
        <f t="shared" si="27"/>
        <v>1815493.3035560506</v>
      </c>
      <c r="S162" s="1017">
        <f t="shared" si="28"/>
        <v>-929298.91256933997</v>
      </c>
      <c r="T162" s="1017">
        <f t="shared" si="28"/>
        <v>6014.1411615177112</v>
      </c>
      <c r="U162" s="1017">
        <f t="shared" si="28"/>
        <v>708379.50829422602</v>
      </c>
      <c r="V162" s="1120">
        <f t="shared" si="28"/>
        <v>3129226.5700000031</v>
      </c>
      <c r="W162" s="204"/>
      <c r="X162" s="204"/>
      <c r="Z162" s="198"/>
      <c r="AA162" s="255"/>
      <c r="AB162" s="397"/>
      <c r="AC162" s="255"/>
      <c r="AE162" s="204"/>
      <c r="AF162" s="198"/>
      <c r="AG162" s="199"/>
    </row>
    <row r="163" spans="1:33" ht="13.8">
      <c r="A163" s="197"/>
      <c r="B163" s="197"/>
      <c r="C163" s="198" t="s">
        <v>278</v>
      </c>
      <c r="D163" s="532" t="s">
        <v>259</v>
      </c>
      <c r="E163" s="1111">
        <v>91971</v>
      </c>
      <c r="F163" s="1111"/>
      <c r="G163" s="1111"/>
      <c r="H163" s="1111"/>
      <c r="I163" s="1111"/>
      <c r="J163" s="1111"/>
      <c r="K163" s="1111"/>
      <c r="L163" s="1543"/>
      <c r="M163" s="855"/>
      <c r="N163" s="1119"/>
      <c r="O163" s="1017">
        <f t="shared" si="29"/>
        <v>183133.26292842114</v>
      </c>
      <c r="P163" s="1017">
        <f t="shared" si="27"/>
        <v>10336.57</v>
      </c>
      <c r="Q163" s="1017">
        <f t="shared" si="27"/>
        <v>146608.38218947232</v>
      </c>
      <c r="R163" s="1017">
        <f>R162+H163</f>
        <v>1815493.3035560506</v>
      </c>
      <c r="S163" s="1017">
        <f t="shared" si="28"/>
        <v>-929298.91256933997</v>
      </c>
      <c r="T163" s="1017">
        <f t="shared" si="28"/>
        <v>6014.1411615177112</v>
      </c>
      <c r="U163" s="1017">
        <f t="shared" si="28"/>
        <v>708379.50829422602</v>
      </c>
      <c r="V163" s="1120">
        <f>V162+L163</f>
        <v>3129226.5700000031</v>
      </c>
      <c r="W163" s="204"/>
      <c r="X163" s="204"/>
      <c r="Z163" s="198"/>
      <c r="AA163" s="255"/>
      <c r="AB163" s="397"/>
      <c r="AC163" s="255"/>
      <c r="AE163" s="204"/>
      <c r="AF163" s="198"/>
      <c r="AG163" s="199"/>
    </row>
    <row r="164" spans="1:33" ht="13.8">
      <c r="A164" s="197"/>
      <c r="B164" s="197"/>
      <c r="C164" s="198" t="s">
        <v>279</v>
      </c>
      <c r="D164" s="532" t="s">
        <v>259</v>
      </c>
      <c r="E164" s="1111"/>
      <c r="F164" s="1111"/>
      <c r="G164" s="1111"/>
      <c r="H164" s="1111"/>
      <c r="I164" s="1111"/>
      <c r="J164" s="1111"/>
      <c r="K164" s="1111"/>
      <c r="L164" s="1543">
        <v>139043</v>
      </c>
      <c r="M164" s="855"/>
      <c r="N164" s="1119"/>
      <c r="O164" s="1017">
        <f t="shared" si="29"/>
        <v>183133.26292842114</v>
      </c>
      <c r="P164" s="1017">
        <f t="shared" si="27"/>
        <v>10336.57</v>
      </c>
      <c r="Q164" s="1017">
        <f t="shared" si="27"/>
        <v>146608.38218947232</v>
      </c>
      <c r="R164" s="1017">
        <f t="shared" si="27"/>
        <v>1815493.3035560506</v>
      </c>
      <c r="S164" s="1017">
        <f t="shared" si="28"/>
        <v>-929298.91256933997</v>
      </c>
      <c r="T164" s="1017">
        <f t="shared" si="28"/>
        <v>6014.1411615177112</v>
      </c>
      <c r="U164" s="1017">
        <f t="shared" si="28"/>
        <v>708379.50829422602</v>
      </c>
      <c r="V164" s="1120">
        <f t="shared" si="28"/>
        <v>3268269.5700000031</v>
      </c>
      <c r="W164" s="204"/>
      <c r="X164" s="204"/>
      <c r="Z164" s="198"/>
      <c r="AB164" s="397"/>
      <c r="AC164" s="255"/>
      <c r="AE164" s="204"/>
      <c r="AF164" s="198"/>
      <c r="AG164" s="199"/>
    </row>
    <row r="165" spans="1:33" ht="14.4" thickBot="1">
      <c r="A165" s="197"/>
      <c r="B165" s="197"/>
      <c r="C165" s="198" t="s">
        <v>280</v>
      </c>
      <c r="D165" s="401" t="s">
        <v>259</v>
      </c>
      <c r="E165" s="1112"/>
      <c r="F165" s="1112"/>
      <c r="G165" s="1112"/>
      <c r="H165" s="1112">
        <v>270263</v>
      </c>
      <c r="I165" s="1112"/>
      <c r="J165" s="1112"/>
      <c r="K165" s="1112"/>
      <c r="L165" s="1544">
        <v>117172</v>
      </c>
      <c r="M165" s="855"/>
      <c r="N165" s="1121"/>
      <c r="O165" s="1122">
        <f t="shared" si="29"/>
        <v>183133.26292842114</v>
      </c>
      <c r="P165" s="1122">
        <f t="shared" si="27"/>
        <v>10336.57</v>
      </c>
      <c r="Q165" s="1122">
        <f>Q164+G165</f>
        <v>146608.38218947232</v>
      </c>
      <c r="R165" s="1122">
        <f t="shared" si="27"/>
        <v>2085756.3035560506</v>
      </c>
      <c r="S165" s="1122">
        <f t="shared" si="28"/>
        <v>-929298.91256933997</v>
      </c>
      <c r="T165" s="1122">
        <f t="shared" si="28"/>
        <v>6014.1411615177112</v>
      </c>
      <c r="U165" s="1122">
        <f t="shared" si="28"/>
        <v>708379.50829422602</v>
      </c>
      <c r="V165" s="1123">
        <f>V164+L165</f>
        <v>3385441.5700000031</v>
      </c>
      <c r="W165" s="204"/>
      <c r="X165" s="204"/>
      <c r="Z165" s="198"/>
      <c r="AB165" s="397"/>
      <c r="AC165" s="255"/>
      <c r="AE165" s="204"/>
      <c r="AF165" s="198"/>
      <c r="AG165" s="199"/>
    </row>
    <row r="166" spans="1:33" ht="13.8">
      <c r="A166" s="197"/>
      <c r="B166" s="197"/>
      <c r="C166" s="198" t="s">
        <v>524</v>
      </c>
      <c r="D166" s="204" t="s">
        <v>447</v>
      </c>
      <c r="E166" s="864">
        <f t="shared" si="30" ref="E166:K166">SUM(E153:E165)</f>
        <v>183133.26292842114</v>
      </c>
      <c r="F166" s="864">
        <f t="shared" si="30"/>
        <v>10336.57</v>
      </c>
      <c r="G166" s="864">
        <f>SUM(G153:G165)</f>
        <v>146608.38218947232</v>
      </c>
      <c r="H166" s="864">
        <f t="shared" si="30"/>
        <v>2085756.3035560506</v>
      </c>
      <c r="I166" s="864">
        <f t="shared" si="30"/>
        <v>-929298.91256933997</v>
      </c>
      <c r="J166" s="864">
        <f t="shared" si="30"/>
        <v>6014.1411615177112</v>
      </c>
      <c r="K166" s="864">
        <f t="shared" si="30"/>
        <v>708379.50829422602</v>
      </c>
      <c r="L166" s="983">
        <f>SUM(L153:L165)</f>
        <v>3385441.5700000031</v>
      </c>
      <c r="M166" s="1113"/>
      <c r="N166" s="299"/>
      <c r="O166" s="1114">
        <f>SUM(O153:O165)</f>
        <v>881900.44928421138</v>
      </c>
      <c r="P166" s="1114">
        <f>SUM(P153:P165)</f>
        <v>103365.70000000001</v>
      </c>
      <c r="Q166" s="1114">
        <f>SUM(Q153:Q165)</f>
        <v>1810453.4825495426</v>
      </c>
      <c r="R166" s="1114">
        <f>SUM(R153:R165)</f>
        <v>11987750.676401079</v>
      </c>
      <c r="S166" s="1114">
        <f t="shared" si="31" ref="S166:U166">SUM(S153:S165)</f>
        <v>-11130690.435693402</v>
      </c>
      <c r="T166" s="1114">
        <f t="shared" si="31"/>
        <v>60141.411615177123</v>
      </c>
      <c r="U166" s="1114">
        <f t="shared" si="31"/>
        <v>7783795.0829422586</v>
      </c>
      <c r="V166" s="1114">
        <f>SUM(V153:V165)</f>
        <v>32833936.980000041</v>
      </c>
      <c r="W166" s="204"/>
      <c r="X166" s="204"/>
      <c r="Y166" s="203"/>
      <c r="AA166" s="397"/>
      <c r="AB166" s="198"/>
      <c r="AC166" s="204"/>
      <c r="AD166" s="204"/>
      <c r="AE166" s="204"/>
      <c r="AF166" s="198"/>
      <c r="AG166" s="199"/>
    </row>
    <row r="167" spans="1:33" ht="13.8">
      <c r="A167" s="197"/>
      <c r="B167" s="197"/>
      <c r="C167" s="198" t="s">
        <v>260</v>
      </c>
      <c r="E167" s="316"/>
      <c r="F167" s="316"/>
      <c r="G167" s="204"/>
      <c r="H167" s="204"/>
      <c r="I167" s="204"/>
      <c r="J167" s="204" t="s">
        <v>447</v>
      </c>
      <c r="K167" s="204"/>
      <c r="L167" s="299"/>
      <c r="M167" s="299"/>
      <c r="N167" s="316"/>
      <c r="O167" s="316">
        <f>O166/13</f>
        <v>67838.496098785487</v>
      </c>
      <c r="P167" s="316">
        <f>P166/13</f>
        <v>7951.2076923076929</v>
      </c>
      <c r="Q167" s="316">
        <f>Q166/13</f>
        <v>139265.65250381097</v>
      </c>
      <c r="R167" s="316">
        <f>R166/13</f>
        <v>922134.66741546756</v>
      </c>
      <c r="S167" s="316">
        <f t="shared" si="32" ref="S167:V167">S166/13</f>
        <v>-856206.95659180009</v>
      </c>
      <c r="T167" s="316">
        <f t="shared" si="32"/>
        <v>4626.2624319367014</v>
      </c>
      <c r="U167" s="316">
        <f t="shared" si="32"/>
        <v>598753.46791863523</v>
      </c>
      <c r="V167" s="316">
        <f t="shared" si="32"/>
        <v>2525687.4600000032</v>
      </c>
      <c r="W167" s="411"/>
      <c r="X167" s="411"/>
      <c r="Z167" s="203"/>
      <c r="AA167" s="204"/>
      <c r="AB167" s="198"/>
      <c r="AC167" s="198"/>
      <c r="AD167" s="198"/>
      <c r="AE167" s="198"/>
      <c r="AF167" s="198"/>
      <c r="AG167" s="199"/>
    </row>
    <row r="168" spans="1:33" ht="13.8">
      <c r="A168" s="197"/>
      <c r="B168" s="197"/>
      <c r="C168" s="198"/>
      <c r="D168" s="198"/>
      <c r="E168" s="299"/>
      <c r="F168" s="204"/>
      <c r="G168" s="204"/>
      <c r="H168" s="1128"/>
      <c r="I168" s="204"/>
      <c r="J168" s="204"/>
      <c r="K168" s="299"/>
      <c r="L168" s="299"/>
      <c r="M168" s="299"/>
      <c r="N168" s="591"/>
      <c r="O168" s="591"/>
      <c r="P168" s="591"/>
      <c r="Q168" s="591"/>
      <c r="R168" s="591"/>
      <c r="S168" s="591"/>
      <c r="T168" s="591"/>
      <c r="U168" s="198"/>
      <c r="V168" s="204"/>
      <c r="W168" s="411"/>
      <c r="X168" s="411"/>
      <c r="Z168" s="203"/>
      <c r="AA168" s="204"/>
      <c r="AB168" s="198"/>
      <c r="AC168" s="198"/>
      <c r="AD168" s="198"/>
      <c r="AE168" s="198"/>
      <c r="AF168" s="198"/>
      <c r="AG168" s="199"/>
    </row>
    <row r="169" spans="1:33" ht="14.4" thickBot="1">
      <c r="A169" s="197"/>
      <c r="B169" s="197"/>
      <c r="C169" s="198"/>
      <c r="D169" s="198"/>
      <c r="E169" s="299"/>
      <c r="F169" s="204"/>
      <c r="G169" s="204"/>
      <c r="H169" s="1128"/>
      <c r="I169" s="204"/>
      <c r="J169" s="204"/>
      <c r="K169" s="299"/>
      <c r="L169" s="299"/>
      <c r="M169" s="299"/>
      <c r="N169" s="591"/>
      <c r="O169" s="591"/>
      <c r="P169" s="591"/>
      <c r="Q169" s="591"/>
      <c r="R169" s="591"/>
      <c r="S169" s="591"/>
      <c r="T169" s="591"/>
      <c r="U169" s="198"/>
      <c r="V169" s="204"/>
      <c r="W169" s="411"/>
      <c r="X169" s="411"/>
      <c r="Z169" s="203"/>
      <c r="AA169" s="204"/>
      <c r="AB169" s="198"/>
      <c r="AC169" s="198"/>
      <c r="AD169" s="198"/>
      <c r="AE169" s="198"/>
      <c r="AF169" s="198"/>
      <c r="AG169" s="199"/>
    </row>
    <row r="170" spans="1:33" ht="14.4" thickBot="1">
      <c r="A170" s="197"/>
      <c r="B170" s="197"/>
      <c r="C170" s="197"/>
      <c r="D170" s="859" t="s">
        <v>355</v>
      </c>
      <c r="E170" s="860" t="s">
        <v>356</v>
      </c>
      <c r="F170" s="860" t="s">
        <v>357</v>
      </c>
      <c r="G170" s="860" t="s">
        <v>358</v>
      </c>
      <c r="H170" s="860" t="s">
        <v>633</v>
      </c>
      <c r="I170" s="860" t="s">
        <v>639</v>
      </c>
      <c r="J170" s="1115" t="s">
        <v>465</v>
      </c>
      <c r="K170" s="1115" t="s">
        <v>466</v>
      </c>
      <c r="L170" s="861" t="s">
        <v>291</v>
      </c>
      <c r="M170" s="298"/>
      <c r="N170" s="1799" t="s">
        <v>580</v>
      </c>
      <c r="O170" s="1800"/>
      <c r="P170" s="1800"/>
      <c r="Q170" s="1800"/>
      <c r="R170" s="1800"/>
      <c r="S170" s="1800"/>
      <c r="T170" s="1800"/>
      <c r="U170" s="1800"/>
      <c r="V170" s="1801"/>
      <c r="W170" s="411"/>
      <c r="X170" s="411"/>
      <c r="Z170" s="203"/>
      <c r="AA170" s="204"/>
      <c r="AB170" s="198"/>
      <c r="AC170" s="198"/>
      <c r="AD170" s="198"/>
      <c r="AE170" s="198"/>
      <c r="AF170" s="198"/>
      <c r="AG170" s="199"/>
    </row>
    <row r="171" spans="1:33" ht="27" thickBot="1">
      <c r="A171" s="197"/>
      <c r="B171" s="197"/>
      <c r="C171" s="198"/>
      <c r="D171" s="665"/>
      <c r="E171" s="1650" t="s">
        <v>1019</v>
      </c>
      <c r="F171" s="1650" t="s">
        <v>972</v>
      </c>
      <c r="G171" s="1650" t="s">
        <v>664</v>
      </c>
      <c r="H171" s="1650" t="s">
        <v>947</v>
      </c>
      <c r="I171" s="1650" t="s">
        <v>1008</v>
      </c>
      <c r="J171" s="1650" t="s">
        <v>967</v>
      </c>
      <c r="K171" s="1650" t="s">
        <v>980</v>
      </c>
      <c r="L171" s="1650" t="s">
        <v>1059</v>
      </c>
      <c r="M171" s="1106"/>
      <c r="N171" s="665" t="s">
        <v>579</v>
      </c>
      <c r="O171" s="625" t="str">
        <f t="shared" si="33" ref="O171:V171">E171</f>
        <v>Shuman Hill</v>
      </c>
      <c r="P171" s="625" t="str">
        <f t="shared" si="33"/>
        <v>502 Jct Substation</v>
      </c>
      <c r="Q171" s="625" t="str">
        <f t="shared" si="33"/>
        <v>Black Oak</v>
      </c>
      <c r="R171" s="625" t="str">
        <f t="shared" si="33"/>
        <v>Osage Whiteley</v>
      </c>
      <c r="S171" s="625" t="str">
        <f t="shared" si="33"/>
        <v>Squab Hollow SS</v>
      </c>
      <c r="T171" s="625" t="str">
        <f t="shared" si="33"/>
        <v>Doubs SS</v>
      </c>
      <c r="U171" s="625" t="str">
        <f t="shared" si="33"/>
        <v>Hunterstown</v>
      </c>
      <c r="V171" s="1107" t="str">
        <f t="shared" si="33"/>
        <v>Wylie Ridge</v>
      </c>
      <c r="W171" s="411"/>
      <c r="X171" s="411"/>
      <c r="Z171" s="203"/>
      <c r="AA171" s="204"/>
      <c r="AB171" s="198"/>
      <c r="AC171" s="198"/>
      <c r="AD171" s="198"/>
      <c r="AE171" s="198"/>
      <c r="AF171" s="198"/>
      <c r="AG171" s="199"/>
    </row>
    <row r="172" spans="1:33" ht="14.4" thickBot="1">
      <c r="A172" s="197"/>
      <c r="B172" s="197"/>
      <c r="C172" s="198"/>
      <c r="D172" s="858"/>
      <c r="E172" s="625" t="s">
        <v>632</v>
      </c>
      <c r="F172" s="625" t="s">
        <v>632</v>
      </c>
      <c r="G172" s="625" t="s">
        <v>632</v>
      </c>
      <c r="H172" s="625" t="s">
        <v>632</v>
      </c>
      <c r="I172" s="625" t="s">
        <v>632</v>
      </c>
      <c r="J172" s="625" t="s">
        <v>632</v>
      </c>
      <c r="K172" s="625" t="s">
        <v>632</v>
      </c>
      <c r="L172" s="1721" t="s">
        <v>632</v>
      </c>
      <c r="M172" s="1106"/>
      <c r="N172" s="859"/>
      <c r="O172" s="625" t="s">
        <v>632</v>
      </c>
      <c r="P172" s="625" t="s">
        <v>632</v>
      </c>
      <c r="Q172" s="625" t="s">
        <v>632</v>
      </c>
      <c r="R172" s="625" t="s">
        <v>632</v>
      </c>
      <c r="S172" s="625" t="s">
        <v>632</v>
      </c>
      <c r="T172" s="625" t="s">
        <v>632</v>
      </c>
      <c r="U172" s="625" t="s">
        <v>632</v>
      </c>
      <c r="V172" s="1107" t="s">
        <v>632</v>
      </c>
      <c r="W172" s="411"/>
      <c r="X172" s="411"/>
      <c r="Z172" s="203"/>
      <c r="AA172" s="204"/>
      <c r="AB172" s="198"/>
      <c r="AC172" s="198"/>
      <c r="AD172" s="198"/>
      <c r="AE172" s="198"/>
      <c r="AF172" s="198"/>
      <c r="AG172" s="199"/>
    </row>
    <row r="173" spans="1:33" ht="21.6">
      <c r="A173" s="197"/>
      <c r="B173" s="197"/>
      <c r="C173" s="1108" t="s">
        <v>122</v>
      </c>
      <c r="D173" s="1110" t="s">
        <v>258</v>
      </c>
      <c r="E173" s="1111"/>
      <c r="F173" s="1111">
        <v>-84036.26</v>
      </c>
      <c r="G173" s="1111">
        <v>6061979.4299999997</v>
      </c>
      <c r="H173" s="1111"/>
      <c r="I173" s="1111">
        <v>-35234.50</v>
      </c>
      <c r="J173" s="1111">
        <v>487327.61</v>
      </c>
      <c r="K173" s="1111"/>
      <c r="L173" s="1543">
        <v>-3511.80</v>
      </c>
      <c r="M173" s="855"/>
      <c r="N173" s="1116"/>
      <c r="O173" s="1117">
        <f t="shared" si="34" ref="O173:V173">E173</f>
        <v>0</v>
      </c>
      <c r="P173" s="1117">
        <f t="shared" si="34"/>
        <v>-84036.26</v>
      </c>
      <c r="Q173" s="1117">
        <f t="shared" si="34"/>
        <v>6061979.4299999997</v>
      </c>
      <c r="R173" s="1117">
        <f t="shared" si="34"/>
        <v>0</v>
      </c>
      <c r="S173" s="1117">
        <f t="shared" si="34"/>
        <v>-35234.50</v>
      </c>
      <c r="T173" s="1117">
        <f t="shared" si="34"/>
        <v>487327.61</v>
      </c>
      <c r="U173" s="1117">
        <v>0</v>
      </c>
      <c r="V173" s="1118">
        <f t="shared" si="34"/>
        <v>-3511.80</v>
      </c>
      <c r="W173" s="411"/>
      <c r="X173" s="411"/>
      <c r="Z173" s="203"/>
      <c r="AA173" s="204"/>
      <c r="AB173" s="198"/>
      <c r="AC173" s="198"/>
      <c r="AD173" s="198"/>
      <c r="AE173" s="198"/>
      <c r="AF173" s="198"/>
      <c r="AG173" s="199"/>
    </row>
    <row r="174" spans="1:33" ht="13.8">
      <c r="A174" s="197"/>
      <c r="B174" s="197"/>
      <c r="C174" s="334" t="s">
        <v>1444</v>
      </c>
      <c r="D174" s="1110" t="s">
        <v>258</v>
      </c>
      <c r="E174" s="1111"/>
      <c r="F174" s="1111">
        <v>-130399.73</v>
      </c>
      <c r="G174" s="1111">
        <v>99808.48</v>
      </c>
      <c r="H174" s="1111"/>
      <c r="I174" s="1111">
        <v>-110249.69</v>
      </c>
      <c r="J174" s="1111"/>
      <c r="K174" s="1111"/>
      <c r="L174" s="1543">
        <v>42988.03</v>
      </c>
      <c r="M174" s="855"/>
      <c r="N174" s="1119"/>
      <c r="O174" s="1017">
        <f t="shared" si="35" ref="O174:P185">O173+E174</f>
        <v>0</v>
      </c>
      <c r="P174" s="1017">
        <f>P173+F174</f>
        <v>-214435.99</v>
      </c>
      <c r="Q174" s="1017">
        <f t="shared" si="36" ref="Q174:V185">Q173+G174</f>
        <v>6161787.9100000001</v>
      </c>
      <c r="R174" s="1017">
        <f t="shared" si="36"/>
        <v>0</v>
      </c>
      <c r="S174" s="1017">
        <f t="shared" si="36"/>
        <v>-145484.19</v>
      </c>
      <c r="T174" s="1017">
        <f t="shared" si="36"/>
        <v>487327.61</v>
      </c>
      <c r="U174" s="1017">
        <f t="shared" si="36"/>
        <v>0</v>
      </c>
      <c r="V174" s="1120">
        <f t="shared" si="36"/>
        <v>39476.229999999996</v>
      </c>
      <c r="W174" s="411"/>
      <c r="X174" s="411"/>
      <c r="Z174" s="203"/>
      <c r="AA174" s="204"/>
      <c r="AB174" s="198"/>
      <c r="AC174" s="198"/>
      <c r="AD174" s="198"/>
      <c r="AE174" s="198"/>
      <c r="AF174" s="198"/>
      <c r="AG174" s="199"/>
    </row>
    <row r="175" spans="1:33" ht="13.8">
      <c r="A175" s="197"/>
      <c r="B175" s="197"/>
      <c r="C175" s="198" t="s">
        <v>271</v>
      </c>
      <c r="D175" s="1110" t="s">
        <v>258</v>
      </c>
      <c r="E175" s="1111">
        <v>0</v>
      </c>
      <c r="F175" s="1111">
        <v>918455.29257982993</v>
      </c>
      <c r="G175" s="1111">
        <v>-9007.1799999999348</v>
      </c>
      <c r="H175" s="1111">
        <v>0</v>
      </c>
      <c r="I175" s="1111">
        <v>-1941.6026909279753</v>
      </c>
      <c r="J175" s="1111">
        <v>0</v>
      </c>
      <c r="K175" s="1111">
        <v>0</v>
      </c>
      <c r="L175" s="1543">
        <v>-7180.4860189569881</v>
      </c>
      <c r="M175" s="855"/>
      <c r="N175" s="1119"/>
      <c r="O175" s="1017">
        <f t="shared" si="35"/>
        <v>0</v>
      </c>
      <c r="P175" s="1017">
        <f>P174+F175</f>
        <v>704019.30257982993</v>
      </c>
      <c r="Q175" s="1017">
        <f t="shared" si="36"/>
        <v>6152780.7300000004</v>
      </c>
      <c r="R175" s="1017">
        <f t="shared" si="36"/>
        <v>0</v>
      </c>
      <c r="S175" s="1017">
        <f t="shared" si="36"/>
        <v>-147425.79269092798</v>
      </c>
      <c r="T175" s="1017">
        <f t="shared" si="36"/>
        <v>487327.61</v>
      </c>
      <c r="U175" s="1017">
        <f t="shared" si="36"/>
        <v>0</v>
      </c>
      <c r="V175" s="1120">
        <f t="shared" si="36"/>
        <v>32295.743981043008</v>
      </c>
      <c r="W175" s="411"/>
      <c r="X175" s="411"/>
      <c r="Z175" s="203"/>
      <c r="AA175" s="204"/>
      <c r="AB175" s="198"/>
      <c r="AC175" s="198"/>
      <c r="AD175" s="198"/>
      <c r="AE175" s="198"/>
      <c r="AF175" s="198"/>
      <c r="AG175" s="199"/>
    </row>
    <row r="176" spans="1:33" ht="13.8">
      <c r="A176" s="197"/>
      <c r="B176" s="197"/>
      <c r="C176" s="198" t="s">
        <v>272</v>
      </c>
      <c r="D176" s="1110" t="s">
        <v>258</v>
      </c>
      <c r="E176" s="1111">
        <v>325.28139527887447</v>
      </c>
      <c r="F176" s="1111">
        <v>29630.8151571708</v>
      </c>
      <c r="G176" s="1111">
        <v>7981.87</v>
      </c>
      <c r="H176" s="1111">
        <v>5580.2733437072266</v>
      </c>
      <c r="I176" s="1111">
        <v>-5135.9270505717432</v>
      </c>
      <c r="J176" s="1111">
        <v>1664.742226645599</v>
      </c>
      <c r="K176" s="1111">
        <v>10570.803289140395</v>
      </c>
      <c r="L176" s="1543">
        <v>4579.04</v>
      </c>
      <c r="M176" s="855"/>
      <c r="N176" s="1119"/>
      <c r="O176" s="1017">
        <f t="shared" si="35"/>
        <v>325.28139527887447</v>
      </c>
      <c r="P176" s="1017">
        <f t="shared" si="35"/>
        <v>733650.11773700069</v>
      </c>
      <c r="Q176" s="1017">
        <f t="shared" si="36"/>
        <v>6160762.6000000006</v>
      </c>
      <c r="R176" s="1017">
        <f t="shared" si="36"/>
        <v>5580.2733437072266</v>
      </c>
      <c r="S176" s="1017">
        <f t="shared" si="36"/>
        <v>-152561.71974149972</v>
      </c>
      <c r="T176" s="1017">
        <f t="shared" si="36"/>
        <v>488992.35222664557</v>
      </c>
      <c r="U176" s="1017">
        <f t="shared" si="36"/>
        <v>10570.803289140395</v>
      </c>
      <c r="V176" s="1120">
        <f t="shared" si="36"/>
        <v>36874.783981043009</v>
      </c>
      <c r="W176" s="411"/>
      <c r="X176" s="411"/>
      <c r="Z176" s="203"/>
      <c r="AA176" s="204"/>
      <c r="AB176" s="198"/>
      <c r="AC176" s="198"/>
      <c r="AD176" s="198"/>
      <c r="AE176" s="198"/>
      <c r="AF176" s="198"/>
      <c r="AG176" s="199"/>
    </row>
    <row r="177" spans="1:33" ht="13.8">
      <c r="A177" s="197"/>
      <c r="B177" s="197"/>
      <c r="C177" s="198" t="s">
        <v>273</v>
      </c>
      <c r="D177" s="532" t="s">
        <v>259</v>
      </c>
      <c r="E177" s="1111"/>
      <c r="F177" s="1111">
        <v>7410565</v>
      </c>
      <c r="G177" s="1111">
        <v>2760</v>
      </c>
      <c r="H177" s="1111"/>
      <c r="I177" s="1111"/>
      <c r="J177" s="1111"/>
      <c r="K177" s="1111"/>
      <c r="L177" s="1543">
        <v>10655</v>
      </c>
      <c r="M177" s="855"/>
      <c r="N177" s="1119"/>
      <c r="O177" s="1017">
        <f t="shared" si="35"/>
        <v>325.28139527887447</v>
      </c>
      <c r="P177" s="1017">
        <f t="shared" si="35"/>
        <v>8144215.1177370008</v>
      </c>
      <c r="Q177" s="1017">
        <f t="shared" si="36"/>
        <v>6163522.6000000006</v>
      </c>
      <c r="R177" s="1017">
        <f t="shared" si="36"/>
        <v>5580.2733437072266</v>
      </c>
      <c r="S177" s="1017">
        <f t="shared" si="36"/>
        <v>-152561.71974149972</v>
      </c>
      <c r="T177" s="1017">
        <f t="shared" si="36"/>
        <v>488992.35222664557</v>
      </c>
      <c r="U177" s="1017">
        <f t="shared" si="36"/>
        <v>10570.803289140395</v>
      </c>
      <c r="V177" s="1120">
        <f t="shared" si="36"/>
        <v>47529.783981043009</v>
      </c>
      <c r="W177" s="411"/>
      <c r="X177" s="411"/>
      <c r="Z177" s="203"/>
      <c r="AA177" s="204"/>
      <c r="AB177" s="198"/>
      <c r="AC177" s="198"/>
      <c r="AD177" s="198"/>
      <c r="AE177" s="198"/>
      <c r="AF177" s="198"/>
      <c r="AG177" s="199"/>
    </row>
    <row r="178" spans="1:33" ht="13.8">
      <c r="A178" s="197"/>
      <c r="B178" s="197"/>
      <c r="C178" s="198" t="s">
        <v>255</v>
      </c>
      <c r="D178" s="532" t="s">
        <v>259</v>
      </c>
      <c r="E178" s="1111"/>
      <c r="F178" s="1111">
        <v>47247</v>
      </c>
      <c r="G178" s="1111"/>
      <c r="H178" s="1111"/>
      <c r="I178" s="1111"/>
      <c r="J178" s="1111"/>
      <c r="K178" s="1111"/>
      <c r="L178" s="1543"/>
      <c r="M178" s="855"/>
      <c r="N178" s="1119"/>
      <c r="O178" s="1017">
        <f t="shared" si="35"/>
        <v>325.28139527887447</v>
      </c>
      <c r="P178" s="1017">
        <f t="shared" si="35"/>
        <v>8191462.1177370008</v>
      </c>
      <c r="Q178" s="1017">
        <f t="shared" si="36"/>
        <v>6163522.6000000006</v>
      </c>
      <c r="R178" s="1017">
        <f t="shared" si="36"/>
        <v>5580.2733437072266</v>
      </c>
      <c r="S178" s="1017">
        <f t="shared" si="36"/>
        <v>-152561.71974149972</v>
      </c>
      <c r="T178" s="1017">
        <f t="shared" si="36"/>
        <v>488992.35222664557</v>
      </c>
      <c r="U178" s="1017">
        <f t="shared" si="36"/>
        <v>10570.803289140395</v>
      </c>
      <c r="V178" s="1120">
        <f t="shared" si="36"/>
        <v>47529.783981043009</v>
      </c>
      <c r="W178" s="411"/>
      <c r="X178" s="411"/>
      <c r="Z178" s="203"/>
      <c r="AA178" s="204"/>
      <c r="AB178" s="198"/>
      <c r="AC178" s="198"/>
      <c r="AD178" s="198"/>
      <c r="AE178" s="198"/>
      <c r="AF178" s="198"/>
      <c r="AG178" s="199"/>
    </row>
    <row r="179" spans="1:33" ht="13.8">
      <c r="A179" s="197"/>
      <c r="B179" s="197"/>
      <c r="C179" s="198" t="s">
        <v>274</v>
      </c>
      <c r="D179" s="532" t="s">
        <v>259</v>
      </c>
      <c r="E179" s="1111"/>
      <c r="F179" s="1111">
        <v>180465</v>
      </c>
      <c r="G179" s="1111">
        <v>70825</v>
      </c>
      <c r="H179" s="1111"/>
      <c r="I179" s="1111"/>
      <c r="J179" s="1111"/>
      <c r="K179" s="1111"/>
      <c r="L179" s="1543"/>
      <c r="M179" s="855"/>
      <c r="N179" s="1119"/>
      <c r="O179" s="1017">
        <f t="shared" si="35"/>
        <v>325.28139527887447</v>
      </c>
      <c r="P179" s="1017">
        <f t="shared" si="35"/>
        <v>8371927.1177370008</v>
      </c>
      <c r="Q179" s="1017">
        <f t="shared" si="36"/>
        <v>6234347.6000000006</v>
      </c>
      <c r="R179" s="1017">
        <f t="shared" si="36"/>
        <v>5580.2733437072266</v>
      </c>
      <c r="S179" s="1017">
        <f t="shared" si="36"/>
        <v>-152561.71974149972</v>
      </c>
      <c r="T179" s="1017">
        <f t="shared" si="36"/>
        <v>488992.35222664557</v>
      </c>
      <c r="U179" s="1017">
        <f t="shared" si="36"/>
        <v>10570.803289140395</v>
      </c>
      <c r="V179" s="1120">
        <f t="shared" si="36"/>
        <v>47529.783981043009</v>
      </c>
      <c r="W179" s="411"/>
      <c r="X179" s="411"/>
      <c r="Z179" s="203"/>
      <c r="AA179" s="204"/>
      <c r="AB179" s="198"/>
      <c r="AC179" s="198"/>
      <c r="AD179" s="198"/>
      <c r="AE179" s="198"/>
      <c r="AF179" s="198"/>
      <c r="AG179" s="199"/>
    </row>
    <row r="180" spans="1:33" ht="13.8">
      <c r="A180" s="197"/>
      <c r="B180" s="197"/>
      <c r="C180" s="198" t="s">
        <v>275</v>
      </c>
      <c r="D180" s="532" t="s">
        <v>259</v>
      </c>
      <c r="E180" s="1111"/>
      <c r="F180" s="1111"/>
      <c r="G180" s="1111"/>
      <c r="H180" s="1111"/>
      <c r="I180" s="1111"/>
      <c r="J180" s="1111"/>
      <c r="K180" s="1111"/>
      <c r="L180" s="1543"/>
      <c r="M180" s="855"/>
      <c r="N180" s="1119"/>
      <c r="O180" s="1017">
        <f t="shared" si="35"/>
        <v>325.28139527887447</v>
      </c>
      <c r="P180" s="1017">
        <f t="shared" si="35"/>
        <v>8371927.1177370008</v>
      </c>
      <c r="Q180" s="1017">
        <f t="shared" si="36"/>
        <v>6234347.6000000006</v>
      </c>
      <c r="R180" s="1017">
        <f t="shared" si="36"/>
        <v>5580.2733437072266</v>
      </c>
      <c r="S180" s="1017">
        <f t="shared" si="36"/>
        <v>-152561.71974149972</v>
      </c>
      <c r="T180" s="1017">
        <f t="shared" si="36"/>
        <v>488992.35222664557</v>
      </c>
      <c r="U180" s="1017">
        <f t="shared" si="36"/>
        <v>10570.803289140395</v>
      </c>
      <c r="V180" s="1120">
        <f t="shared" si="36"/>
        <v>47529.783981043009</v>
      </c>
      <c r="W180" s="411"/>
      <c r="X180" s="411"/>
      <c r="Z180" s="203"/>
      <c r="AA180" s="204"/>
      <c r="AB180" s="198"/>
      <c r="AC180" s="198"/>
      <c r="AD180" s="198"/>
      <c r="AE180" s="198"/>
      <c r="AF180" s="198"/>
      <c r="AG180" s="199"/>
    </row>
    <row r="181" spans="1:33" ht="13.8">
      <c r="A181" s="197"/>
      <c r="B181" s="197"/>
      <c r="C181" s="198" t="s">
        <v>276</v>
      </c>
      <c r="D181" s="532" t="s">
        <v>259</v>
      </c>
      <c r="E181" s="1111"/>
      <c r="F181" s="1111"/>
      <c r="G181" s="1111"/>
      <c r="H181" s="1111"/>
      <c r="I181" s="1111"/>
      <c r="J181" s="1111"/>
      <c r="K181" s="1111"/>
      <c r="L181" s="1543"/>
      <c r="M181" s="855"/>
      <c r="N181" s="1119"/>
      <c r="O181" s="1017">
        <f t="shared" si="35"/>
        <v>325.28139527887447</v>
      </c>
      <c r="P181" s="1017">
        <f t="shared" si="35"/>
        <v>8371927.1177370008</v>
      </c>
      <c r="Q181" s="1017">
        <f t="shared" si="36"/>
        <v>6234347.6000000006</v>
      </c>
      <c r="R181" s="1017">
        <f t="shared" si="36"/>
        <v>5580.2733437072266</v>
      </c>
      <c r="S181" s="1017">
        <f t="shared" si="36"/>
        <v>-152561.71974149972</v>
      </c>
      <c r="T181" s="1017">
        <f t="shared" si="36"/>
        <v>488992.35222664557</v>
      </c>
      <c r="U181" s="1017">
        <f t="shared" si="36"/>
        <v>10570.803289140395</v>
      </c>
      <c r="V181" s="1120">
        <f t="shared" si="36"/>
        <v>47529.783981043009</v>
      </c>
      <c r="W181" s="411"/>
      <c r="X181" s="411"/>
      <c r="Z181" s="203"/>
      <c r="AA181" s="204"/>
      <c r="AB181" s="198"/>
      <c r="AC181" s="198"/>
      <c r="AD181" s="198"/>
      <c r="AE181" s="198"/>
      <c r="AF181" s="198"/>
      <c r="AG181" s="199"/>
    </row>
    <row r="182" spans="1:33" ht="13.8">
      <c r="A182" s="197"/>
      <c r="B182" s="197"/>
      <c r="C182" s="198" t="s">
        <v>277</v>
      </c>
      <c r="D182" s="532" t="s">
        <v>259</v>
      </c>
      <c r="E182" s="1111"/>
      <c r="F182" s="1111"/>
      <c r="G182" s="1111"/>
      <c r="H182" s="1111"/>
      <c r="I182" s="1111"/>
      <c r="J182" s="1111"/>
      <c r="K182" s="1111"/>
      <c r="L182" s="1543"/>
      <c r="M182" s="855"/>
      <c r="N182" s="1119"/>
      <c r="O182" s="1017">
        <f t="shared" si="35"/>
        <v>325.28139527887447</v>
      </c>
      <c r="P182" s="1017">
        <f t="shared" si="35"/>
        <v>8371927.1177370008</v>
      </c>
      <c r="Q182" s="1017">
        <f t="shared" si="36"/>
        <v>6234347.6000000006</v>
      </c>
      <c r="R182" s="1017">
        <f t="shared" si="36"/>
        <v>5580.2733437072266</v>
      </c>
      <c r="S182" s="1017">
        <f t="shared" si="36"/>
        <v>-152561.71974149972</v>
      </c>
      <c r="T182" s="1017">
        <f t="shared" si="36"/>
        <v>488992.35222664557</v>
      </c>
      <c r="U182" s="1017">
        <f t="shared" si="36"/>
        <v>10570.803289140395</v>
      </c>
      <c r="V182" s="1120">
        <f t="shared" si="36"/>
        <v>47529.783981043009</v>
      </c>
      <c r="W182" s="411"/>
      <c r="X182" s="411"/>
      <c r="Z182" s="203"/>
      <c r="AA182" s="204"/>
      <c r="AB182" s="198"/>
      <c r="AC182" s="198"/>
      <c r="AD182" s="198"/>
      <c r="AE182" s="198"/>
      <c r="AF182" s="198"/>
      <c r="AG182" s="199"/>
    </row>
    <row r="183" spans="1:33" ht="13.8">
      <c r="A183" s="197"/>
      <c r="B183" s="197"/>
      <c r="C183" s="198" t="s">
        <v>278</v>
      </c>
      <c r="D183" s="532" t="s">
        <v>259</v>
      </c>
      <c r="E183" s="1111"/>
      <c r="F183" s="1111"/>
      <c r="G183" s="1111">
        <v>38409</v>
      </c>
      <c r="H183" s="1111"/>
      <c r="I183" s="1111"/>
      <c r="J183" s="1111"/>
      <c r="K183" s="1111"/>
      <c r="L183" s="1543"/>
      <c r="M183" s="855"/>
      <c r="N183" s="1119"/>
      <c r="O183" s="1017">
        <f t="shared" si="35"/>
        <v>325.28139527887447</v>
      </c>
      <c r="P183" s="1017">
        <f t="shared" si="35"/>
        <v>8371927.1177370008</v>
      </c>
      <c r="Q183" s="1017">
        <f t="shared" si="36"/>
        <v>6272756.6000000006</v>
      </c>
      <c r="R183" s="1017">
        <f t="shared" si="36"/>
        <v>5580.2733437072266</v>
      </c>
      <c r="S183" s="1017">
        <f t="shared" si="36"/>
        <v>-152561.71974149972</v>
      </c>
      <c r="T183" s="1017">
        <f t="shared" si="36"/>
        <v>488992.35222664557</v>
      </c>
      <c r="U183" s="1017">
        <f t="shared" si="36"/>
        <v>10570.803289140395</v>
      </c>
      <c r="V183" s="1120">
        <f t="shared" si="36"/>
        <v>47529.783981043009</v>
      </c>
      <c r="W183" s="411"/>
      <c r="X183" s="411"/>
      <c r="Z183" s="203"/>
      <c r="AA183" s="204"/>
      <c r="AB183" s="198"/>
      <c r="AC183" s="198"/>
      <c r="AD183" s="198"/>
      <c r="AE183" s="198"/>
      <c r="AF183" s="198"/>
      <c r="AG183" s="199"/>
    </row>
    <row r="184" spans="1:33" ht="13.8">
      <c r="A184" s="197"/>
      <c r="B184" s="197"/>
      <c r="C184" s="198" t="s">
        <v>279</v>
      </c>
      <c r="D184" s="532" t="s">
        <v>259</v>
      </c>
      <c r="E184" s="1111"/>
      <c r="F184" s="1111"/>
      <c r="G184" s="1111"/>
      <c r="H184" s="1111"/>
      <c r="I184" s="1111"/>
      <c r="J184" s="1111"/>
      <c r="K184" s="1111"/>
      <c r="L184" s="1543"/>
      <c r="M184" s="855"/>
      <c r="N184" s="1119"/>
      <c r="O184" s="1017">
        <f t="shared" si="35"/>
        <v>325.28139527887447</v>
      </c>
      <c r="P184" s="1017">
        <f t="shared" si="35"/>
        <v>8371927.1177370008</v>
      </c>
      <c r="Q184" s="1017">
        <f t="shared" si="36"/>
        <v>6272756.6000000006</v>
      </c>
      <c r="R184" s="1017">
        <f t="shared" si="36"/>
        <v>5580.2733437072266</v>
      </c>
      <c r="S184" s="1017">
        <f t="shared" si="36"/>
        <v>-152561.71974149972</v>
      </c>
      <c r="T184" s="1017">
        <f t="shared" si="36"/>
        <v>488992.35222664557</v>
      </c>
      <c r="U184" s="1017">
        <f t="shared" si="36"/>
        <v>10570.803289140395</v>
      </c>
      <c r="V184" s="1120">
        <f t="shared" si="36"/>
        <v>47529.783981043009</v>
      </c>
      <c r="W184" s="411"/>
      <c r="X184" s="411"/>
      <c r="Z184" s="203"/>
      <c r="AA184" s="204"/>
      <c r="AB184" s="198"/>
      <c r="AC184" s="198"/>
      <c r="AD184" s="198"/>
      <c r="AE184" s="198"/>
      <c r="AF184" s="198"/>
      <c r="AG184" s="199"/>
    </row>
    <row r="185" spans="1:33" ht="14.4" thickBot="1">
      <c r="A185" s="197"/>
      <c r="B185" s="197"/>
      <c r="C185" s="198" t="s">
        <v>280</v>
      </c>
      <c r="D185" s="401" t="s">
        <v>259</v>
      </c>
      <c r="E185" s="1112"/>
      <c r="F185" s="1112"/>
      <c r="G185" s="1112"/>
      <c r="H185" s="1112"/>
      <c r="I185" s="1112"/>
      <c r="J185" s="1112"/>
      <c r="K185" s="1112"/>
      <c r="L185" s="1544"/>
      <c r="M185" s="855"/>
      <c r="N185" s="1121"/>
      <c r="O185" s="1122">
        <f t="shared" si="35"/>
        <v>325.28139527887447</v>
      </c>
      <c r="P185" s="1122">
        <f t="shared" si="35"/>
        <v>8371927.1177370008</v>
      </c>
      <c r="Q185" s="1122">
        <f t="shared" si="36"/>
        <v>6272756.6000000006</v>
      </c>
      <c r="R185" s="1122">
        <f t="shared" si="36"/>
        <v>5580.2733437072266</v>
      </c>
      <c r="S185" s="1122">
        <f t="shared" si="36"/>
        <v>-152561.71974149972</v>
      </c>
      <c r="T185" s="1122">
        <f t="shared" si="36"/>
        <v>488992.35222664557</v>
      </c>
      <c r="U185" s="1122">
        <f t="shared" si="36"/>
        <v>10570.803289140395</v>
      </c>
      <c r="V185" s="1123">
        <f t="shared" si="36"/>
        <v>47529.783981043009</v>
      </c>
      <c r="W185" s="411"/>
      <c r="X185" s="411"/>
      <c r="Z185" s="203"/>
      <c r="AA185" s="204"/>
      <c r="AB185" s="198"/>
      <c r="AC185" s="198"/>
      <c r="AD185" s="198"/>
      <c r="AE185" s="198"/>
      <c r="AF185" s="198"/>
      <c r="AG185" s="199"/>
    </row>
    <row r="186" spans="1:33" ht="13.8">
      <c r="A186" s="197"/>
      <c r="B186" s="197"/>
      <c r="C186" s="198" t="s">
        <v>524</v>
      </c>
      <c r="D186" s="204" t="s">
        <v>447</v>
      </c>
      <c r="E186" s="864">
        <f t="shared" si="37" ref="E186:L186">SUM(E173:E185)</f>
        <v>325.28139527887447</v>
      </c>
      <c r="F186" s="864">
        <f t="shared" si="37"/>
        <v>8371927.1177370008</v>
      </c>
      <c r="G186" s="864">
        <f>SUM(G173:G185)</f>
        <v>6272756.6000000006</v>
      </c>
      <c r="H186" s="864">
        <f t="shared" si="37"/>
        <v>5580.2733437072266</v>
      </c>
      <c r="I186" s="864">
        <f t="shared" si="37"/>
        <v>-152561.71974149972</v>
      </c>
      <c r="J186" s="864">
        <f t="shared" si="37"/>
        <v>488992.35222664557</v>
      </c>
      <c r="K186" s="864">
        <f t="shared" si="37"/>
        <v>10570.803289140395</v>
      </c>
      <c r="L186" s="864">
        <f t="shared" si="37"/>
        <v>47529.783981043009</v>
      </c>
      <c r="M186" s="1113"/>
      <c r="N186" s="299"/>
      <c r="O186" s="1114">
        <f t="shared" si="38" ref="O186:V186">SUM(O173:O185)</f>
        <v>3252.8139527887452</v>
      </c>
      <c r="P186" s="1114">
        <f t="shared" si="38"/>
        <v>76078364.229949832</v>
      </c>
      <c r="Q186" s="1114">
        <f t="shared" si="38"/>
        <v>80620016.069999993</v>
      </c>
      <c r="R186" s="1114">
        <f t="shared" si="38"/>
        <v>55802.733437072253</v>
      </c>
      <c r="S186" s="1114">
        <f t="shared" si="38"/>
        <v>-1853761.6801059253</v>
      </c>
      <c r="T186" s="1114">
        <f t="shared" si="38"/>
        <v>6351906.3522664569</v>
      </c>
      <c r="U186" s="1114">
        <f t="shared" si="38"/>
        <v>105708.03289140396</v>
      </c>
      <c r="V186" s="1114">
        <f t="shared" si="38"/>
        <v>532903.01379147312</v>
      </c>
      <c r="W186" s="411"/>
      <c r="X186" s="411"/>
      <c r="Z186" s="203"/>
      <c r="AA186" s="204"/>
      <c r="AB186" s="198"/>
      <c r="AC186" s="198"/>
      <c r="AD186" s="198"/>
      <c r="AE186" s="198"/>
      <c r="AF186" s="198"/>
      <c r="AG186" s="199"/>
    </row>
    <row r="187" spans="1:33" ht="13.8">
      <c r="A187" s="197"/>
      <c r="B187" s="197"/>
      <c r="C187" s="198" t="s">
        <v>260</v>
      </c>
      <c r="E187" s="316"/>
      <c r="F187" s="316"/>
      <c r="G187" s="204"/>
      <c r="H187" s="204"/>
      <c r="I187" s="204"/>
      <c r="J187" s="204"/>
      <c r="K187" s="204"/>
      <c r="L187" s="299"/>
      <c r="M187" s="299"/>
      <c r="N187" s="316"/>
      <c r="O187" s="839">
        <f>O186/13</f>
        <v>250.21645790682655</v>
      </c>
      <c r="P187" s="839">
        <f t="shared" si="39" ref="P187:V187">P186/13</f>
        <v>5852181.8638422946</v>
      </c>
      <c r="Q187" s="839">
        <f t="shared" si="39"/>
        <v>6201539.6976923067</v>
      </c>
      <c r="R187" s="839">
        <f t="shared" si="39"/>
        <v>4292.5179566978659</v>
      </c>
      <c r="S187" s="839">
        <f t="shared" si="39"/>
        <v>-142597.05231584041</v>
      </c>
      <c r="T187" s="839">
        <f t="shared" si="39"/>
        <v>488608.18094357359</v>
      </c>
      <c r="U187" s="839">
        <f t="shared" si="39"/>
        <v>8131.387145492612</v>
      </c>
      <c r="V187" s="839">
        <f t="shared" si="39"/>
        <v>40992.539522421008</v>
      </c>
      <c r="W187" s="411"/>
      <c r="X187" s="411"/>
      <c r="Z187" s="203"/>
      <c r="AA187" s="204"/>
      <c r="AB187" s="198"/>
      <c r="AC187" s="198"/>
      <c r="AD187" s="198"/>
      <c r="AE187" s="198"/>
      <c r="AF187" s="198"/>
      <c r="AG187" s="199"/>
    </row>
    <row r="188" spans="1:33" ht="13.8">
      <c r="A188" s="197"/>
      <c r="B188" s="197"/>
      <c r="C188" s="198"/>
      <c r="E188" s="316"/>
      <c r="F188" s="316"/>
      <c r="G188" s="204"/>
      <c r="H188" s="204"/>
      <c r="I188" s="204"/>
      <c r="J188" s="204"/>
      <c r="K188" s="204"/>
      <c r="L188" s="299"/>
      <c r="M188" s="299"/>
      <c r="N188" s="316"/>
      <c r="O188" s="316"/>
      <c r="P188" s="316"/>
      <c r="Q188" s="316"/>
      <c r="R188" s="316"/>
      <c r="S188" s="316"/>
      <c r="T188" s="316"/>
      <c r="U188" s="411"/>
      <c r="V188" s="299"/>
      <c r="W188" s="411"/>
      <c r="X188" s="411"/>
      <c r="Z188" s="203"/>
      <c r="AA188" s="204"/>
      <c r="AB188" s="198"/>
      <c r="AC188" s="198"/>
      <c r="AD188" s="198"/>
      <c r="AE188" s="198"/>
      <c r="AF188" s="198"/>
      <c r="AG188" s="199"/>
    </row>
    <row r="189" spans="1:33" ht="14.4" thickBot="1">
      <c r="A189" s="197"/>
      <c r="B189" s="197"/>
      <c r="C189" s="198"/>
      <c r="E189" s="316"/>
      <c r="F189" s="316"/>
      <c r="G189" s="204"/>
      <c r="H189" s="204"/>
      <c r="I189" s="204"/>
      <c r="J189" s="204"/>
      <c r="K189" s="204"/>
      <c r="L189" s="299"/>
      <c r="M189" s="299"/>
      <c r="N189" s="316"/>
      <c r="O189" s="316"/>
      <c r="P189" s="316"/>
      <c r="Q189" s="316"/>
      <c r="R189" s="316"/>
      <c r="S189" s="316"/>
      <c r="T189" s="316"/>
      <c r="U189" s="411"/>
      <c r="V189" s="299"/>
      <c r="W189" s="411"/>
      <c r="X189" s="411"/>
      <c r="Z189" s="203"/>
      <c r="AA189" s="204"/>
      <c r="AB189" s="198"/>
      <c r="AC189" s="198"/>
      <c r="AD189" s="198"/>
      <c r="AE189" s="198"/>
      <c r="AF189" s="198"/>
      <c r="AG189" s="199"/>
    </row>
    <row r="190" spans="1:33" ht="14.4" thickBot="1">
      <c r="A190" s="197"/>
      <c r="B190" s="197"/>
      <c r="C190" s="197"/>
      <c r="D190" s="859" t="s">
        <v>355</v>
      </c>
      <c r="E190" s="860" t="s">
        <v>356</v>
      </c>
      <c r="F190" s="860" t="s">
        <v>357</v>
      </c>
      <c r="G190" s="860" t="s">
        <v>358</v>
      </c>
      <c r="H190" s="860" t="s">
        <v>633</v>
      </c>
      <c r="I190" s="860" t="s">
        <v>639</v>
      </c>
      <c r="J190" s="1115" t="s">
        <v>465</v>
      </c>
      <c r="K190" s="1115" t="s">
        <v>466</v>
      </c>
      <c r="L190" s="861" t="s">
        <v>291</v>
      </c>
      <c r="M190" s="298"/>
      <c r="N190" s="1799" t="s">
        <v>580</v>
      </c>
      <c r="O190" s="1800"/>
      <c r="P190" s="1800"/>
      <c r="Q190" s="1800"/>
      <c r="R190" s="1800"/>
      <c r="S190" s="1800"/>
      <c r="T190" s="1800"/>
      <c r="U190" s="1800"/>
      <c r="V190" s="1801"/>
      <c r="W190" s="411"/>
      <c r="X190" s="411"/>
      <c r="Z190" s="203"/>
      <c r="AA190" s="204"/>
      <c r="AB190" s="198"/>
      <c r="AC190" s="198"/>
      <c r="AD190" s="198"/>
      <c r="AE190" s="198"/>
      <c r="AF190" s="198"/>
      <c r="AG190" s="199"/>
    </row>
    <row r="191" spans="1:33" ht="27" thickBot="1">
      <c r="A191" s="197"/>
      <c r="B191" s="197"/>
      <c r="C191" s="198"/>
      <c r="D191" s="665"/>
      <c r="E191" s="1650" t="s">
        <v>975</v>
      </c>
      <c r="F191" s="1650" t="s">
        <v>1188</v>
      </c>
      <c r="G191" s="1650" t="s">
        <v>1054</v>
      </c>
      <c r="H191" s="1650" t="s">
        <v>1060</v>
      </c>
      <c r="I191" s="1650" t="s">
        <v>987</v>
      </c>
      <c r="J191" s="1650" t="s">
        <v>1033</v>
      </c>
      <c r="K191" s="1650" t="s">
        <v>1058</v>
      </c>
      <c r="L191" s="1651" t="s">
        <v>966</v>
      </c>
      <c r="M191" s="1106"/>
      <c r="N191" s="665" t="s">
        <v>579</v>
      </c>
      <c r="O191" s="625" t="str">
        <f>E191</f>
        <v>Grandpoint &amp; Guilford</v>
      </c>
      <c r="P191" s="625" t="str">
        <f>F191</f>
        <v>PA Farmers Valley</v>
      </c>
      <c r="Q191" s="625" t="str">
        <f t="shared" si="40" ref="Q191:V191">G191</f>
        <v>Waldo Run SS</v>
      </c>
      <c r="R191" s="625" t="str">
        <f t="shared" si="40"/>
        <v>Meadowbrook SS Capacitor</v>
      </c>
      <c r="S191" s="625" t="str">
        <f t="shared" si="40"/>
        <v>Conemaugh</v>
      </c>
      <c r="T191" s="625" t="str">
        <f t="shared" si="40"/>
        <v>Rider</v>
      </c>
      <c r="U191" s="625" t="str">
        <f t="shared" si="40"/>
        <v>Cabot Substation</v>
      </c>
      <c r="V191" s="1107" t="str">
        <f t="shared" si="40"/>
        <v>Armstrong</v>
      </c>
      <c r="W191" s="411"/>
      <c r="X191" s="411"/>
      <c r="Z191" s="203"/>
      <c r="AA191" s="204"/>
      <c r="AB191" s="198"/>
      <c r="AC191" s="198"/>
      <c r="AD191" s="198"/>
      <c r="AE191" s="198"/>
      <c r="AF191" s="198"/>
      <c r="AG191" s="199"/>
    </row>
    <row r="192" spans="1:33" ht="14.4" thickBot="1">
      <c r="A192" s="197"/>
      <c r="B192" s="197"/>
      <c r="C192" s="198"/>
      <c r="D192" s="858"/>
      <c r="E192" s="625" t="s">
        <v>632</v>
      </c>
      <c r="F192" s="625" t="s">
        <v>632</v>
      </c>
      <c r="G192" s="625" t="s">
        <v>632</v>
      </c>
      <c r="H192" s="625" t="s">
        <v>632</v>
      </c>
      <c r="I192" s="625" t="s">
        <v>632</v>
      </c>
      <c r="J192" s="625" t="s">
        <v>632</v>
      </c>
      <c r="K192" s="625" t="s">
        <v>632</v>
      </c>
      <c r="L192" s="1107" t="s">
        <v>632</v>
      </c>
      <c r="M192" s="1106"/>
      <c r="N192" s="859"/>
      <c r="O192" s="625" t="s">
        <v>447</v>
      </c>
      <c r="P192" s="625" t="s">
        <v>632</v>
      </c>
      <c r="Q192" s="625" t="s">
        <v>632</v>
      </c>
      <c r="R192" s="625" t="s">
        <v>632</v>
      </c>
      <c r="S192" s="625" t="s">
        <v>632</v>
      </c>
      <c r="T192" s="625" t="s">
        <v>632</v>
      </c>
      <c r="U192" s="625" t="s">
        <v>632</v>
      </c>
      <c r="V192" s="1107" t="s">
        <v>632</v>
      </c>
      <c r="W192" s="411"/>
      <c r="X192" s="411"/>
      <c r="Z192" s="203"/>
      <c r="AA192" s="204"/>
      <c r="AB192" s="198"/>
      <c r="AC192" s="198"/>
      <c r="AD192" s="198"/>
      <c r="AE192" s="198"/>
      <c r="AF192" s="198"/>
      <c r="AG192" s="199"/>
    </row>
    <row r="193" spans="1:33" ht="21.6">
      <c r="A193" s="197"/>
      <c r="B193" s="197"/>
      <c r="C193" s="1108" t="s">
        <v>122</v>
      </c>
      <c r="D193" s="1110" t="s">
        <v>258</v>
      </c>
      <c r="E193" s="1111"/>
      <c r="F193" s="1111"/>
      <c r="G193" s="1111"/>
      <c r="H193" s="1111">
        <v>4442.71</v>
      </c>
      <c r="I193" s="1111"/>
      <c r="J193" s="1111"/>
      <c r="K193" s="1111">
        <v>10204.14</v>
      </c>
      <c r="L193" s="1543"/>
      <c r="M193" s="855"/>
      <c r="N193" s="1116"/>
      <c r="O193" s="1117">
        <f t="shared" si="41" ref="O193:V193">E193</f>
        <v>0</v>
      </c>
      <c r="P193" s="1117">
        <f t="shared" si="41"/>
        <v>0</v>
      </c>
      <c r="Q193" s="1117">
        <f t="shared" si="41"/>
        <v>0</v>
      </c>
      <c r="R193" s="1117">
        <f t="shared" si="41"/>
        <v>4442.71</v>
      </c>
      <c r="S193" s="1117">
        <f t="shared" si="41"/>
        <v>0</v>
      </c>
      <c r="T193" s="1117">
        <f t="shared" si="41"/>
        <v>0</v>
      </c>
      <c r="U193" s="1117">
        <f t="shared" si="41"/>
        <v>10204.14</v>
      </c>
      <c r="V193" s="1118">
        <f t="shared" si="41"/>
        <v>0</v>
      </c>
      <c r="W193" s="411"/>
      <c r="X193" s="411"/>
      <c r="Z193" s="203"/>
      <c r="AA193" s="204"/>
      <c r="AB193" s="198"/>
      <c r="AC193" s="198"/>
      <c r="AD193" s="198"/>
      <c r="AE193" s="198"/>
      <c r="AF193" s="198"/>
      <c r="AG193" s="199"/>
    </row>
    <row r="194" spans="1:33" ht="13.8">
      <c r="A194" s="197"/>
      <c r="B194" s="197"/>
      <c r="C194" s="334" t="s">
        <v>1444</v>
      </c>
      <c r="D194" s="1110" t="s">
        <v>258</v>
      </c>
      <c r="E194" s="1111"/>
      <c r="F194" s="1111"/>
      <c r="G194" s="1111"/>
      <c r="H194" s="1111">
        <v>-40876.19</v>
      </c>
      <c r="I194" s="1111"/>
      <c r="J194" s="1111"/>
      <c r="K194" s="1111">
        <v>38372.75</v>
      </c>
      <c r="L194" s="1543"/>
      <c r="M194" s="855"/>
      <c r="N194" s="1119"/>
      <c r="O194" s="1017">
        <f t="shared" si="42" ref="O194:V205">O193+E194</f>
        <v>0</v>
      </c>
      <c r="P194" s="1017">
        <f t="shared" si="42"/>
        <v>0</v>
      </c>
      <c r="Q194" s="1017">
        <f t="shared" si="42"/>
        <v>0</v>
      </c>
      <c r="R194" s="1017">
        <f t="shared" si="42"/>
        <v>-36433.480000000003</v>
      </c>
      <c r="S194" s="1017">
        <f t="shared" si="42"/>
        <v>0</v>
      </c>
      <c r="T194" s="1017">
        <f t="shared" si="42"/>
        <v>0</v>
      </c>
      <c r="U194" s="1017">
        <f t="shared" si="42"/>
        <v>48576.89</v>
      </c>
      <c r="V194" s="1120">
        <f t="shared" si="42"/>
        <v>0</v>
      </c>
      <c r="W194" s="411"/>
      <c r="X194" s="411"/>
      <c r="Z194" s="203"/>
      <c r="AA194" s="204"/>
      <c r="AB194" s="198"/>
      <c r="AC194" s="198"/>
      <c r="AD194" s="198"/>
      <c r="AE194" s="198"/>
      <c r="AF194" s="198"/>
      <c r="AG194" s="199"/>
    </row>
    <row r="195" spans="1:33" ht="13.8">
      <c r="A195" s="197"/>
      <c r="B195" s="197"/>
      <c r="C195" s="198" t="s">
        <v>271</v>
      </c>
      <c r="D195" s="1110" t="s">
        <v>258</v>
      </c>
      <c r="E195" s="1111">
        <v>0</v>
      </c>
      <c r="F195" s="1111">
        <v>0</v>
      </c>
      <c r="G195" s="1111">
        <v>0</v>
      </c>
      <c r="H195" s="1111">
        <v>806.23580017010681</v>
      </c>
      <c r="I195" s="1111">
        <v>0</v>
      </c>
      <c r="J195" s="1111">
        <v>0</v>
      </c>
      <c r="K195" s="1111">
        <v>-4057.2742230469885</v>
      </c>
      <c r="L195" s="1543">
        <v>0</v>
      </c>
      <c r="M195" s="855"/>
      <c r="N195" s="1119"/>
      <c r="O195" s="1017">
        <f t="shared" si="42"/>
        <v>0</v>
      </c>
      <c r="P195" s="1017">
        <f t="shared" si="42"/>
        <v>0</v>
      </c>
      <c r="Q195" s="1017">
        <f t="shared" si="42"/>
        <v>0</v>
      </c>
      <c r="R195" s="1017">
        <f t="shared" si="42"/>
        <v>-35627.244199829896</v>
      </c>
      <c r="S195" s="1017">
        <f t="shared" si="42"/>
        <v>0</v>
      </c>
      <c r="T195" s="1017">
        <f t="shared" si="42"/>
        <v>0</v>
      </c>
      <c r="U195" s="1017">
        <f t="shared" si="42"/>
        <v>44519.615776953011</v>
      </c>
      <c r="V195" s="1120">
        <f t="shared" si="42"/>
        <v>0</v>
      </c>
      <c r="W195" s="411"/>
      <c r="X195" s="411"/>
      <c r="Z195" s="203"/>
      <c r="AA195" s="204"/>
      <c r="AB195" s="198"/>
      <c r="AC195" s="198"/>
      <c r="AD195" s="198"/>
      <c r="AE195" s="198"/>
      <c r="AF195" s="198"/>
      <c r="AG195" s="199"/>
    </row>
    <row r="196" spans="1:33" ht="13.8">
      <c r="A196" s="197"/>
      <c r="B196" s="197"/>
      <c r="C196" s="198" t="s">
        <v>272</v>
      </c>
      <c r="D196" s="1110" t="s">
        <v>258</v>
      </c>
      <c r="E196" s="1111">
        <v>431.00561788477853</v>
      </c>
      <c r="F196" s="1111">
        <v>834.48275877562389</v>
      </c>
      <c r="G196" s="1111">
        <v>14514.508437508308</v>
      </c>
      <c r="H196" s="1111">
        <v>15688.92144299245</v>
      </c>
      <c r="I196" s="1111">
        <v>6872.6927356000215</v>
      </c>
      <c r="J196" s="1111">
        <v>4391.2952891032937</v>
      </c>
      <c r="K196" s="1111">
        <v>27957.096944729077</v>
      </c>
      <c r="L196" s="1543">
        <v>4140.8498183655274</v>
      </c>
      <c r="M196" s="862"/>
      <c r="N196" s="1119"/>
      <c r="O196" s="1017">
        <f t="shared" si="42"/>
        <v>431.00561788477853</v>
      </c>
      <c r="P196" s="1017">
        <f t="shared" si="42"/>
        <v>834.48275877562389</v>
      </c>
      <c r="Q196" s="1017">
        <f t="shared" si="42"/>
        <v>14514.508437508308</v>
      </c>
      <c r="R196" s="1017">
        <f t="shared" si="42"/>
        <v>-19938.322756837446</v>
      </c>
      <c r="S196" s="1017">
        <f t="shared" si="42"/>
        <v>6872.6927356000215</v>
      </c>
      <c r="T196" s="1017">
        <f t="shared" si="42"/>
        <v>4391.2952891032937</v>
      </c>
      <c r="U196" s="1017">
        <f t="shared" si="42"/>
        <v>72476.712721682095</v>
      </c>
      <c r="V196" s="1120">
        <f t="shared" si="42"/>
        <v>4140.8498183655274</v>
      </c>
      <c r="W196" s="411"/>
      <c r="X196" s="411"/>
      <c r="Z196" s="203"/>
      <c r="AA196" s="204"/>
      <c r="AB196" s="198"/>
      <c r="AC196" s="198"/>
      <c r="AD196" s="198"/>
      <c r="AE196" s="198"/>
      <c r="AF196" s="198"/>
      <c r="AG196" s="199"/>
    </row>
    <row r="197" spans="1:33" ht="13.8">
      <c r="A197" s="197"/>
      <c r="B197" s="197"/>
      <c r="C197" s="198" t="s">
        <v>273</v>
      </c>
      <c r="D197" s="532" t="s">
        <v>259</v>
      </c>
      <c r="E197" s="1111"/>
      <c r="F197" s="1111"/>
      <c r="G197" s="1111"/>
      <c r="H197" s="1111"/>
      <c r="I197" s="1111"/>
      <c r="J197" s="1111"/>
      <c r="K197" s="1111"/>
      <c r="L197" s="1543"/>
      <c r="M197" s="855"/>
      <c r="N197" s="1119"/>
      <c r="O197" s="1017">
        <f t="shared" si="42"/>
        <v>431.00561788477853</v>
      </c>
      <c r="P197" s="1017">
        <f t="shared" si="42"/>
        <v>834.48275877562389</v>
      </c>
      <c r="Q197" s="1017">
        <f t="shared" si="42"/>
        <v>14514.508437508308</v>
      </c>
      <c r="R197" s="1017">
        <f t="shared" si="42"/>
        <v>-19938.322756837446</v>
      </c>
      <c r="S197" s="1017">
        <f t="shared" si="42"/>
        <v>6872.6927356000215</v>
      </c>
      <c r="T197" s="1017">
        <f t="shared" si="42"/>
        <v>4391.2952891032937</v>
      </c>
      <c r="U197" s="1017">
        <f t="shared" si="42"/>
        <v>72476.712721682095</v>
      </c>
      <c r="V197" s="1120">
        <f t="shared" si="42"/>
        <v>4140.8498183655274</v>
      </c>
      <c r="W197" s="411"/>
      <c r="X197" s="411"/>
      <c r="Z197" s="203"/>
      <c r="AA197" s="204"/>
      <c r="AB197" s="198"/>
      <c r="AC197" s="198"/>
      <c r="AD197" s="198"/>
      <c r="AE197" s="198"/>
      <c r="AF197" s="198"/>
      <c r="AG197" s="199"/>
    </row>
    <row r="198" spans="1:33" ht="13.8">
      <c r="A198" s="197"/>
      <c r="B198" s="197"/>
      <c r="C198" s="198" t="s">
        <v>255</v>
      </c>
      <c r="D198" s="532" t="s">
        <v>259</v>
      </c>
      <c r="E198" s="1111"/>
      <c r="F198" s="1111"/>
      <c r="G198" s="1111"/>
      <c r="H198" s="1111">
        <v>4218449</v>
      </c>
      <c r="I198" s="1111"/>
      <c r="J198" s="1111"/>
      <c r="K198" s="1111"/>
      <c r="L198" s="1543"/>
      <c r="M198" s="855"/>
      <c r="N198" s="1119"/>
      <c r="O198" s="1017">
        <f t="shared" si="42"/>
        <v>431.00561788477853</v>
      </c>
      <c r="P198" s="1017">
        <f t="shared" si="42"/>
        <v>834.48275877562389</v>
      </c>
      <c r="Q198" s="1017">
        <f t="shared" si="42"/>
        <v>14514.508437508308</v>
      </c>
      <c r="R198" s="1017">
        <f t="shared" si="42"/>
        <v>4198510.6772431629</v>
      </c>
      <c r="S198" s="1017">
        <f t="shared" si="42"/>
        <v>6872.6927356000215</v>
      </c>
      <c r="T198" s="1017">
        <f t="shared" si="42"/>
        <v>4391.2952891032937</v>
      </c>
      <c r="U198" s="1017">
        <f t="shared" si="42"/>
        <v>72476.712721682095</v>
      </c>
      <c r="V198" s="1120">
        <f t="shared" si="42"/>
        <v>4140.8498183655274</v>
      </c>
      <c r="W198" s="411"/>
      <c r="X198" s="411"/>
      <c r="Z198" s="203"/>
      <c r="AA198" s="204"/>
      <c r="AB198" s="198"/>
      <c r="AC198" s="198"/>
      <c r="AD198" s="198"/>
      <c r="AE198" s="198"/>
      <c r="AF198" s="198"/>
      <c r="AG198" s="199"/>
    </row>
    <row r="199" spans="1:33" ht="13.8">
      <c r="A199" s="197"/>
      <c r="B199" s="197"/>
      <c r="C199" s="198" t="s">
        <v>274</v>
      </c>
      <c r="D199" s="532" t="s">
        <v>259</v>
      </c>
      <c r="E199" s="1111"/>
      <c r="F199" s="1111"/>
      <c r="G199" s="1111"/>
      <c r="H199" s="1111"/>
      <c r="I199" s="1111"/>
      <c r="J199" s="1111"/>
      <c r="K199" s="1111"/>
      <c r="L199" s="1543"/>
      <c r="M199" s="855"/>
      <c r="N199" s="1119"/>
      <c r="O199" s="1017">
        <f t="shared" si="42"/>
        <v>431.00561788477853</v>
      </c>
      <c r="P199" s="1017">
        <f t="shared" si="42"/>
        <v>834.48275877562389</v>
      </c>
      <c r="Q199" s="1017">
        <f t="shared" si="42"/>
        <v>14514.508437508308</v>
      </c>
      <c r="R199" s="1017">
        <f t="shared" si="42"/>
        <v>4198510.6772431629</v>
      </c>
      <c r="S199" s="1017">
        <f t="shared" si="42"/>
        <v>6872.6927356000215</v>
      </c>
      <c r="T199" s="1017">
        <f t="shared" si="42"/>
        <v>4391.2952891032937</v>
      </c>
      <c r="U199" s="1017">
        <f t="shared" si="42"/>
        <v>72476.712721682095</v>
      </c>
      <c r="V199" s="1120">
        <f t="shared" si="42"/>
        <v>4140.8498183655274</v>
      </c>
      <c r="W199" s="411"/>
      <c r="X199" s="411"/>
      <c r="Z199" s="203"/>
      <c r="AA199" s="204"/>
      <c r="AB199" s="198"/>
      <c r="AC199" s="198"/>
      <c r="AD199" s="198"/>
      <c r="AE199" s="198"/>
      <c r="AF199" s="198"/>
      <c r="AG199" s="199"/>
    </row>
    <row r="200" spans="1:33" ht="13.8">
      <c r="A200" s="197"/>
      <c r="B200" s="197"/>
      <c r="C200" s="198" t="s">
        <v>275</v>
      </c>
      <c r="D200" s="532" t="s">
        <v>259</v>
      </c>
      <c r="E200" s="1111"/>
      <c r="F200" s="1111"/>
      <c r="G200" s="1111"/>
      <c r="H200" s="1111"/>
      <c r="I200" s="1111"/>
      <c r="J200" s="1111"/>
      <c r="K200" s="1111"/>
      <c r="L200" s="1543"/>
      <c r="M200" s="855"/>
      <c r="N200" s="1119"/>
      <c r="O200" s="1017">
        <f t="shared" si="42"/>
        <v>431.00561788477853</v>
      </c>
      <c r="P200" s="1017">
        <f t="shared" si="42"/>
        <v>834.48275877562389</v>
      </c>
      <c r="Q200" s="1017">
        <f t="shared" si="42"/>
        <v>14514.508437508308</v>
      </c>
      <c r="R200" s="1017">
        <f t="shared" si="42"/>
        <v>4198510.6772431629</v>
      </c>
      <c r="S200" s="1017">
        <f t="shared" si="42"/>
        <v>6872.6927356000215</v>
      </c>
      <c r="T200" s="1017">
        <f t="shared" si="42"/>
        <v>4391.2952891032937</v>
      </c>
      <c r="U200" s="1017">
        <f t="shared" si="42"/>
        <v>72476.712721682095</v>
      </c>
      <c r="V200" s="1120">
        <f t="shared" si="42"/>
        <v>4140.8498183655274</v>
      </c>
      <c r="W200" s="411"/>
      <c r="X200" s="411"/>
      <c r="Z200" s="203"/>
      <c r="AA200" s="204"/>
      <c r="AB200" s="198"/>
      <c r="AC200" s="198"/>
      <c r="AD200" s="198"/>
      <c r="AE200" s="198"/>
      <c r="AF200" s="198"/>
      <c r="AG200" s="199"/>
    </row>
    <row r="201" spans="1:33" ht="13.8">
      <c r="A201" s="197"/>
      <c r="B201" s="197"/>
      <c r="C201" s="198" t="s">
        <v>276</v>
      </c>
      <c r="D201" s="532" t="s">
        <v>259</v>
      </c>
      <c r="E201" s="1111"/>
      <c r="F201" s="1111"/>
      <c r="G201" s="1111"/>
      <c r="H201" s="1111"/>
      <c r="I201" s="1111"/>
      <c r="J201" s="1111"/>
      <c r="K201" s="1111"/>
      <c r="L201" s="1543"/>
      <c r="M201" s="855"/>
      <c r="N201" s="1119"/>
      <c r="O201" s="1017">
        <f t="shared" si="42"/>
        <v>431.00561788477853</v>
      </c>
      <c r="P201" s="1017">
        <f t="shared" si="42"/>
        <v>834.48275877562389</v>
      </c>
      <c r="Q201" s="1017">
        <f t="shared" si="42"/>
        <v>14514.508437508308</v>
      </c>
      <c r="R201" s="1017">
        <f t="shared" si="42"/>
        <v>4198510.6772431629</v>
      </c>
      <c r="S201" s="1017">
        <f t="shared" si="42"/>
        <v>6872.6927356000215</v>
      </c>
      <c r="T201" s="1017">
        <f t="shared" si="42"/>
        <v>4391.2952891032937</v>
      </c>
      <c r="U201" s="1017">
        <f t="shared" si="42"/>
        <v>72476.712721682095</v>
      </c>
      <c r="V201" s="1120">
        <f t="shared" si="42"/>
        <v>4140.8498183655274</v>
      </c>
      <c r="W201" s="411"/>
      <c r="X201" s="411"/>
      <c r="Z201" s="203"/>
      <c r="AA201" s="204"/>
      <c r="AB201" s="198"/>
      <c r="AC201" s="198"/>
      <c r="AD201" s="198"/>
      <c r="AE201" s="198"/>
      <c r="AF201" s="198"/>
      <c r="AG201" s="199"/>
    </row>
    <row r="202" spans="1:33" ht="13.8">
      <c r="A202" s="197"/>
      <c r="B202" s="197"/>
      <c r="C202" s="198" t="s">
        <v>277</v>
      </c>
      <c r="D202" s="532" t="s">
        <v>259</v>
      </c>
      <c r="E202" s="1111"/>
      <c r="F202" s="1111"/>
      <c r="G202" s="1111">
        <v>90142</v>
      </c>
      <c r="H202" s="1111"/>
      <c r="I202" s="1111"/>
      <c r="J202" s="1111"/>
      <c r="K202" s="1111"/>
      <c r="L202" s="1543"/>
      <c r="M202" s="855"/>
      <c r="N202" s="1119"/>
      <c r="O202" s="1017">
        <f t="shared" si="42"/>
        <v>431.00561788477853</v>
      </c>
      <c r="P202" s="1017">
        <f t="shared" si="42"/>
        <v>834.48275877562389</v>
      </c>
      <c r="Q202" s="1017">
        <f t="shared" si="42"/>
        <v>104656.50843750831</v>
      </c>
      <c r="R202" s="1017">
        <f t="shared" si="42"/>
        <v>4198510.6772431629</v>
      </c>
      <c r="S202" s="1017">
        <f t="shared" si="42"/>
        <v>6872.6927356000215</v>
      </c>
      <c r="T202" s="1017">
        <f t="shared" si="42"/>
        <v>4391.2952891032937</v>
      </c>
      <c r="U202" s="1017">
        <f t="shared" si="42"/>
        <v>72476.712721682095</v>
      </c>
      <c r="V202" s="1120">
        <f t="shared" si="42"/>
        <v>4140.8498183655274</v>
      </c>
      <c r="W202" s="411"/>
      <c r="X202" s="411"/>
      <c r="Z202" s="203"/>
      <c r="AA202" s="204"/>
      <c r="AB202" s="198"/>
      <c r="AC202" s="198"/>
      <c r="AD202" s="198"/>
      <c r="AE202" s="198"/>
      <c r="AF202" s="198"/>
      <c r="AG202" s="199"/>
    </row>
    <row r="203" spans="1:33" ht="13.8">
      <c r="A203" s="197"/>
      <c r="B203" s="197"/>
      <c r="C203" s="198" t="s">
        <v>278</v>
      </c>
      <c r="D203" s="532" t="s">
        <v>259</v>
      </c>
      <c r="E203" s="1111"/>
      <c r="F203" s="1111"/>
      <c r="G203" s="1111"/>
      <c r="H203" s="1111"/>
      <c r="I203" s="1111"/>
      <c r="J203" s="1111"/>
      <c r="K203" s="1111"/>
      <c r="L203" s="1543"/>
      <c r="M203" s="855"/>
      <c r="N203" s="1119"/>
      <c r="O203" s="1017">
        <f t="shared" si="42"/>
        <v>431.00561788477853</v>
      </c>
      <c r="P203" s="1017">
        <f t="shared" si="42"/>
        <v>834.48275877562389</v>
      </c>
      <c r="Q203" s="1017">
        <f t="shared" si="42"/>
        <v>104656.50843750831</v>
      </c>
      <c r="R203" s="1017">
        <f t="shared" si="42"/>
        <v>4198510.6772431629</v>
      </c>
      <c r="S203" s="1017">
        <f t="shared" si="42"/>
        <v>6872.6927356000215</v>
      </c>
      <c r="T203" s="1017">
        <f t="shared" si="42"/>
        <v>4391.2952891032937</v>
      </c>
      <c r="U203" s="1017">
        <f t="shared" si="42"/>
        <v>72476.712721682095</v>
      </c>
      <c r="V203" s="1120">
        <f t="shared" si="42"/>
        <v>4140.8498183655274</v>
      </c>
      <c r="W203" s="411"/>
      <c r="X203" s="411"/>
      <c r="Z203" s="203"/>
      <c r="AA203" s="204"/>
      <c r="AB203" s="198"/>
      <c r="AC203" s="198"/>
      <c r="AD203" s="198"/>
      <c r="AE203" s="198"/>
      <c r="AF203" s="198"/>
      <c r="AG203" s="199"/>
    </row>
    <row r="204" spans="1:33" ht="13.8">
      <c r="A204" s="197"/>
      <c r="B204" s="197"/>
      <c r="C204" s="198" t="s">
        <v>279</v>
      </c>
      <c r="D204" s="532" t="s">
        <v>259</v>
      </c>
      <c r="E204" s="1111"/>
      <c r="F204" s="1111"/>
      <c r="G204" s="1111"/>
      <c r="H204" s="1111">
        <v>195371</v>
      </c>
      <c r="I204" s="1111"/>
      <c r="J204" s="1111"/>
      <c r="K204" s="1111"/>
      <c r="L204" s="1543"/>
      <c r="M204" s="855"/>
      <c r="N204" s="1119"/>
      <c r="O204" s="1017">
        <f t="shared" si="42"/>
        <v>431.00561788477853</v>
      </c>
      <c r="P204" s="1017">
        <f t="shared" si="42"/>
        <v>834.48275877562389</v>
      </c>
      <c r="Q204" s="1017">
        <f t="shared" si="42"/>
        <v>104656.50843750831</v>
      </c>
      <c r="R204" s="1017">
        <f t="shared" si="42"/>
        <v>4393881.6772431629</v>
      </c>
      <c r="S204" s="1017">
        <f t="shared" si="42"/>
        <v>6872.6927356000215</v>
      </c>
      <c r="T204" s="1017">
        <f t="shared" si="42"/>
        <v>4391.2952891032937</v>
      </c>
      <c r="U204" s="1017">
        <f t="shared" si="42"/>
        <v>72476.712721682095</v>
      </c>
      <c r="V204" s="1120">
        <f t="shared" si="42"/>
        <v>4140.8498183655274</v>
      </c>
      <c r="W204" s="411"/>
      <c r="X204" s="411"/>
      <c r="Z204" s="203"/>
      <c r="AA204" s="204"/>
      <c r="AB204" s="198"/>
      <c r="AC204" s="198"/>
      <c r="AD204" s="198"/>
      <c r="AE204" s="198"/>
      <c r="AF204" s="198"/>
      <c r="AG204" s="199"/>
    </row>
    <row r="205" spans="1:33" ht="14.4" thickBot="1">
      <c r="A205" s="197"/>
      <c r="B205" s="197"/>
      <c r="C205" s="198" t="s">
        <v>280</v>
      </c>
      <c r="D205" s="401" t="s">
        <v>259</v>
      </c>
      <c r="E205" s="1112"/>
      <c r="F205" s="1112"/>
      <c r="G205" s="1112"/>
      <c r="H205" s="1112">
        <v>43653</v>
      </c>
      <c r="I205" s="1112"/>
      <c r="J205" s="1112"/>
      <c r="K205" s="1112"/>
      <c r="L205" s="1544"/>
      <c r="M205" s="855"/>
      <c r="N205" s="1121"/>
      <c r="O205" s="1122">
        <f t="shared" si="42"/>
        <v>431.00561788477853</v>
      </c>
      <c r="P205" s="1122">
        <f t="shared" si="42"/>
        <v>834.48275877562389</v>
      </c>
      <c r="Q205" s="1122">
        <f t="shared" si="42"/>
        <v>104656.50843750831</v>
      </c>
      <c r="R205" s="1122">
        <f t="shared" si="42"/>
        <v>4437534.6772431629</v>
      </c>
      <c r="S205" s="1122">
        <f t="shared" si="42"/>
        <v>6872.6927356000215</v>
      </c>
      <c r="T205" s="1122">
        <f t="shared" si="42"/>
        <v>4391.2952891032937</v>
      </c>
      <c r="U205" s="1122">
        <f t="shared" si="42"/>
        <v>72476.712721682095</v>
      </c>
      <c r="V205" s="1123">
        <f t="shared" si="42"/>
        <v>4140.8498183655274</v>
      </c>
      <c r="W205" s="411"/>
      <c r="X205" s="411"/>
      <c r="Z205" s="203"/>
      <c r="AA205" s="204"/>
      <c r="AB205" s="198"/>
      <c r="AC205" s="198"/>
      <c r="AD205" s="198"/>
      <c r="AE205" s="198"/>
      <c r="AF205" s="198"/>
      <c r="AG205" s="199"/>
    </row>
    <row r="206" spans="1:33" ht="13.8">
      <c r="A206" s="197"/>
      <c r="B206" s="197"/>
      <c r="C206" s="198" t="s">
        <v>524</v>
      </c>
      <c r="D206" s="204" t="s">
        <v>447</v>
      </c>
      <c r="E206" s="864">
        <f t="shared" si="43" ref="E206:L206">SUM(E193:E205)</f>
        <v>431.00561788477853</v>
      </c>
      <c r="F206" s="864">
        <f t="shared" si="43"/>
        <v>834.48275877562389</v>
      </c>
      <c r="G206" s="864">
        <f t="shared" si="43"/>
        <v>104656.50843750831</v>
      </c>
      <c r="H206" s="864">
        <f t="shared" si="43"/>
        <v>4437534.6772431629</v>
      </c>
      <c r="I206" s="864">
        <f t="shared" si="43"/>
        <v>6872.6927356000215</v>
      </c>
      <c r="J206" s="864">
        <f t="shared" si="43"/>
        <v>4391.2952891032937</v>
      </c>
      <c r="K206" s="864">
        <f t="shared" si="43"/>
        <v>72476.712721682095</v>
      </c>
      <c r="L206" s="864">
        <f t="shared" si="43"/>
        <v>4140.8498183655274</v>
      </c>
      <c r="M206" s="1113"/>
      <c r="N206" s="299"/>
      <c r="O206" s="1114">
        <f t="shared" si="44" ref="O206:V206">SUM(O193:O205)</f>
        <v>4310.0561788477853</v>
      </c>
      <c r="P206" s="1114">
        <f t="shared" si="44"/>
        <v>8344.8275877562373</v>
      </c>
      <c r="Q206" s="1114">
        <f t="shared" si="44"/>
        <v>505713.0843750831</v>
      </c>
      <c r="R206" s="1114">
        <f t="shared" si="44"/>
        <v>33914985.758231796</v>
      </c>
      <c r="S206" s="1114">
        <f t="shared" si="44"/>
        <v>68726.927356000218</v>
      </c>
      <c r="T206" s="1114">
        <f t="shared" si="44"/>
        <v>43912.952891032932</v>
      </c>
      <c r="U206" s="1114">
        <f t="shared" si="44"/>
        <v>828067.77299377415</v>
      </c>
      <c r="V206" s="1114">
        <f t="shared" si="44"/>
        <v>41408.498183655269</v>
      </c>
      <c r="W206" s="411"/>
      <c r="X206" s="411"/>
      <c r="Z206" s="203"/>
      <c r="AA206" s="204"/>
      <c r="AB206" s="198"/>
      <c r="AC206" s="198"/>
      <c r="AD206" s="198"/>
      <c r="AE206" s="198"/>
      <c r="AF206" s="198"/>
      <c r="AG206" s="199"/>
    </row>
    <row r="207" spans="1:33" ht="13.8">
      <c r="A207" s="197"/>
      <c r="B207" s="197"/>
      <c r="C207" s="198" t="s">
        <v>260</v>
      </c>
      <c r="E207" s="316"/>
      <c r="F207" s="316"/>
      <c r="G207" s="204"/>
      <c r="H207" s="204"/>
      <c r="I207" s="204"/>
      <c r="J207" s="204"/>
      <c r="K207" s="204"/>
      <c r="L207" s="299"/>
      <c r="M207" s="299"/>
      <c r="N207" s="316"/>
      <c r="O207" s="839">
        <f>O206/13</f>
        <v>331.54278298829115</v>
      </c>
      <c r="P207" s="839">
        <f t="shared" si="45" ref="P207:V207">P206/13</f>
        <v>641.90981444278748</v>
      </c>
      <c r="Q207" s="839">
        <f t="shared" si="45"/>
        <v>38901.00649039101</v>
      </c>
      <c r="R207" s="839">
        <f t="shared" si="45"/>
        <v>2608845.0583255226</v>
      </c>
      <c r="S207" s="839">
        <f t="shared" si="45"/>
        <v>5286.6867196923249</v>
      </c>
      <c r="T207" s="839">
        <f t="shared" si="45"/>
        <v>3377.9194531563794</v>
      </c>
      <c r="U207" s="839">
        <f t="shared" si="45"/>
        <v>63697.52099952109</v>
      </c>
      <c r="V207" s="839">
        <f t="shared" si="45"/>
        <v>3185.2690910504052</v>
      </c>
      <c r="W207" s="411"/>
      <c r="X207" s="411"/>
      <c r="Z207" s="203"/>
      <c r="AA207" s="204"/>
      <c r="AB207" s="198"/>
      <c r="AC207" s="198"/>
      <c r="AD207" s="198"/>
      <c r="AE207" s="198"/>
      <c r="AF207" s="198"/>
      <c r="AG207" s="199"/>
    </row>
    <row r="208" spans="1:33" ht="13.8">
      <c r="A208" s="197"/>
      <c r="B208" s="197"/>
      <c r="C208" s="198"/>
      <c r="E208" s="316"/>
      <c r="F208" s="316"/>
      <c r="G208" s="204"/>
      <c r="H208" s="204"/>
      <c r="I208" s="204"/>
      <c r="J208" s="204"/>
      <c r="K208" s="204"/>
      <c r="L208" s="299"/>
      <c r="M208" s="299"/>
      <c r="N208" s="316"/>
      <c r="O208" s="839"/>
      <c r="P208" s="839"/>
      <c r="Q208" s="839"/>
      <c r="R208" s="839"/>
      <c r="S208" s="839"/>
      <c r="T208" s="839"/>
      <c r="U208" s="839"/>
      <c r="V208" s="839"/>
      <c r="W208" s="411"/>
      <c r="X208" s="411"/>
      <c r="Z208" s="203"/>
      <c r="AA208" s="204"/>
      <c r="AB208" s="198"/>
      <c r="AC208" s="198"/>
      <c r="AD208" s="198"/>
      <c r="AE208" s="198"/>
      <c r="AF208" s="198"/>
      <c r="AG208" s="199"/>
    </row>
    <row r="209" spans="1:33" ht="14.4" thickBot="1">
      <c r="A209" s="197"/>
      <c r="B209" s="197"/>
      <c r="C209" s="198"/>
      <c r="E209" s="316"/>
      <c r="F209" s="316"/>
      <c r="G209" s="204"/>
      <c r="H209" s="204"/>
      <c r="I209" s="204"/>
      <c r="J209" s="204"/>
      <c r="K209" s="204"/>
      <c r="L209" s="299"/>
      <c r="M209" s="299"/>
      <c r="N209" s="316"/>
      <c r="O209" s="839"/>
      <c r="P209" s="839"/>
      <c r="Q209" s="839"/>
      <c r="R209" s="839"/>
      <c r="S209" s="839"/>
      <c r="T209" s="839"/>
      <c r="U209" s="839"/>
      <c r="V209" s="839"/>
      <c r="W209" s="411"/>
      <c r="X209" s="411"/>
      <c r="Z209" s="203"/>
      <c r="AA209" s="204"/>
      <c r="AB209" s="198"/>
      <c r="AC209" s="198"/>
      <c r="AD209" s="198"/>
      <c r="AE209" s="198"/>
      <c r="AF209" s="198"/>
      <c r="AG209" s="199"/>
    </row>
    <row r="210" spans="1:33" ht="14.4" thickBot="1">
      <c r="A210" s="197"/>
      <c r="B210" s="197"/>
      <c r="C210" s="197"/>
      <c r="D210" s="859" t="s">
        <v>355</v>
      </c>
      <c r="E210" s="860" t="s">
        <v>356</v>
      </c>
      <c r="F210" s="860" t="s">
        <v>357</v>
      </c>
      <c r="G210" s="860" t="s">
        <v>358</v>
      </c>
      <c r="H210" s="860" t="s">
        <v>633</v>
      </c>
      <c r="I210" s="860" t="s">
        <v>639</v>
      </c>
      <c r="J210" s="1115" t="s">
        <v>465</v>
      </c>
      <c r="K210" s="1115" t="s">
        <v>466</v>
      </c>
      <c r="L210" s="861" t="s">
        <v>291</v>
      </c>
      <c r="M210" s="299"/>
      <c r="N210" s="1799" t="s">
        <v>580</v>
      </c>
      <c r="O210" s="1800"/>
      <c r="P210" s="1800"/>
      <c r="Q210" s="1800"/>
      <c r="R210" s="1800"/>
      <c r="S210" s="1800"/>
      <c r="T210" s="1800"/>
      <c r="U210" s="1800"/>
      <c r="V210" s="1801"/>
      <c r="W210" s="411"/>
      <c r="X210" s="411"/>
      <c r="Z210" s="203"/>
      <c r="AA210" s="204"/>
      <c r="AB210" s="198"/>
      <c r="AC210" s="198"/>
      <c r="AD210" s="198"/>
      <c r="AE210" s="198"/>
      <c r="AF210" s="198"/>
      <c r="AG210" s="199"/>
    </row>
    <row r="211" spans="1:33" ht="27" thickBot="1">
      <c r="A211" s="197"/>
      <c r="B211" s="197"/>
      <c r="C211" s="198"/>
      <c r="D211" s="665"/>
      <c r="E211" s="1650" t="s">
        <v>1043</v>
      </c>
      <c r="F211" s="1650" t="s">
        <v>1052</v>
      </c>
      <c r="G211" s="1650" t="s">
        <v>1002</v>
      </c>
      <c r="H211" s="1650" t="s">
        <v>1061</v>
      </c>
      <c r="I211" s="1650"/>
      <c r="J211" s="1650" t="s">
        <v>1190</v>
      </c>
      <c r="K211" s="1650" t="s">
        <v>1001</v>
      </c>
      <c r="L211" s="1651" t="s">
        <v>1009</v>
      </c>
      <c r="M211" s="299"/>
      <c r="N211" s="665" t="s">
        <v>579</v>
      </c>
      <c r="O211" s="625" t="str">
        <f>E211</f>
        <v>Mainsburg</v>
      </c>
      <c r="P211" s="625" t="str">
        <f>F211</f>
        <v>Piercebrook SS</v>
      </c>
      <c r="Q211" s="625" t="str">
        <f t="shared" si="46" ref="Q211:R211">G211</f>
        <v>Shingletown</v>
      </c>
      <c r="R211" s="625" t="str">
        <f t="shared" si="46"/>
        <v>Farmers Valley SS</v>
      </c>
      <c r="S211" s="625">
        <f>I211</f>
        <v>0</v>
      </c>
      <c r="T211" s="625" t="str">
        <f>J211</f>
        <v>Flint Run Substation</v>
      </c>
      <c r="U211" s="625" t="str">
        <f>K211</f>
        <v>Bartonville</v>
      </c>
      <c r="V211" s="1107" t="str">
        <f>L211</f>
        <v>Squab Hollow SVC</v>
      </c>
      <c r="W211" s="411"/>
      <c r="X211" s="411"/>
      <c r="Z211" s="203"/>
      <c r="AA211" s="204"/>
      <c r="AB211" s="198"/>
      <c r="AC211" s="198"/>
      <c r="AD211" s="198"/>
      <c r="AE211" s="198"/>
      <c r="AF211" s="198"/>
      <c r="AG211" s="199"/>
    </row>
    <row r="212" spans="1:33" ht="14.4" thickBot="1">
      <c r="A212" s="197"/>
      <c r="B212" s="197"/>
      <c r="C212" s="198"/>
      <c r="D212" s="858"/>
      <c r="E212" s="625" t="s">
        <v>632</v>
      </c>
      <c r="F212" s="625" t="s">
        <v>632</v>
      </c>
      <c r="G212" s="625" t="s">
        <v>632</v>
      </c>
      <c r="H212" s="625" t="s">
        <v>632</v>
      </c>
      <c r="I212" s="625" t="s">
        <v>632</v>
      </c>
      <c r="J212" s="625" t="s">
        <v>632</v>
      </c>
      <c r="K212" s="625" t="s">
        <v>632</v>
      </c>
      <c r="L212" s="1107" t="s">
        <v>632</v>
      </c>
      <c r="M212" s="299"/>
      <c r="N212" s="859"/>
      <c r="O212" s="625" t="str">
        <f>E212</f>
        <v>(in service)</v>
      </c>
      <c r="P212" s="625" t="s">
        <v>447</v>
      </c>
      <c r="Q212" s="625" t="s">
        <v>447</v>
      </c>
      <c r="R212" s="625" t="s">
        <v>632</v>
      </c>
      <c r="S212" s="625" t="s">
        <v>632</v>
      </c>
      <c r="T212" s="625" t="s">
        <v>632</v>
      </c>
      <c r="U212" s="625" t="s">
        <v>632</v>
      </c>
      <c r="V212" s="1107" t="s">
        <v>632</v>
      </c>
      <c r="W212" s="411"/>
      <c r="X212" s="411"/>
      <c r="Z212" s="203"/>
      <c r="AA212" s="204"/>
      <c r="AB212" s="198"/>
      <c r="AC212" s="198"/>
      <c r="AD212" s="198"/>
      <c r="AE212" s="198"/>
      <c r="AF212" s="198"/>
      <c r="AG212" s="199"/>
    </row>
    <row r="213" spans="1:33" ht="21.6">
      <c r="A213" s="197"/>
      <c r="B213" s="197"/>
      <c r="C213" s="1108" t="s">
        <v>122</v>
      </c>
      <c r="D213" s="1110" t="s">
        <v>258</v>
      </c>
      <c r="E213" s="1111"/>
      <c r="F213" s="1111"/>
      <c r="G213" s="1111"/>
      <c r="H213" s="1111"/>
      <c r="I213" s="1111"/>
      <c r="J213" s="1111">
        <v>2790004.06</v>
      </c>
      <c r="K213" s="1111"/>
      <c r="L213" s="1543"/>
      <c r="M213" s="299"/>
      <c r="N213" s="1116"/>
      <c r="O213" s="1117">
        <f t="shared" si="47" ref="O213:V213">E213</f>
        <v>0</v>
      </c>
      <c r="P213" s="1117">
        <f t="shared" si="47"/>
        <v>0</v>
      </c>
      <c r="Q213" s="1117">
        <f t="shared" si="47"/>
        <v>0</v>
      </c>
      <c r="R213" s="1117">
        <f t="shared" si="47"/>
        <v>0</v>
      </c>
      <c r="S213" s="1117">
        <f t="shared" si="47"/>
        <v>0</v>
      </c>
      <c r="T213" s="1117">
        <f t="shared" si="47"/>
        <v>2790004.06</v>
      </c>
      <c r="U213" s="1117">
        <f t="shared" si="47"/>
        <v>0</v>
      </c>
      <c r="V213" s="1118">
        <f t="shared" si="47"/>
        <v>0</v>
      </c>
      <c r="W213" s="411"/>
      <c r="X213" s="411"/>
      <c r="Z213" s="203"/>
      <c r="AA213" s="204"/>
      <c r="AB213" s="198"/>
      <c r="AC213" s="198"/>
      <c r="AD213" s="198"/>
      <c r="AE213" s="198"/>
      <c r="AF213" s="198"/>
      <c r="AG213" s="199"/>
    </row>
    <row r="214" spans="1:33" ht="13.8">
      <c r="A214" s="197"/>
      <c r="B214" s="197"/>
      <c r="C214" s="334" t="s">
        <v>1444</v>
      </c>
      <c r="D214" s="1110" t="s">
        <v>258</v>
      </c>
      <c r="E214" s="1111"/>
      <c r="F214" s="1111"/>
      <c r="G214" s="1111"/>
      <c r="H214" s="1111"/>
      <c r="I214" s="1111"/>
      <c r="J214" s="1111">
        <v>-861612.32</v>
      </c>
      <c r="K214" s="1111"/>
      <c r="L214" s="1543"/>
      <c r="M214" s="299"/>
      <c r="N214" s="1119"/>
      <c r="O214" s="1017">
        <f t="shared" si="48" ref="O214:V225">O213+E214</f>
        <v>0</v>
      </c>
      <c r="P214" s="1017">
        <f t="shared" si="48"/>
        <v>0</v>
      </c>
      <c r="Q214" s="1017">
        <f t="shared" si="48"/>
        <v>0</v>
      </c>
      <c r="R214" s="1017">
        <f t="shared" si="48"/>
        <v>0</v>
      </c>
      <c r="S214" s="1017">
        <f t="shared" si="48"/>
        <v>0</v>
      </c>
      <c r="T214" s="1017">
        <f t="shared" si="48"/>
        <v>1928391.7400000002</v>
      </c>
      <c r="U214" s="1017">
        <f t="shared" si="48"/>
        <v>0</v>
      </c>
      <c r="V214" s="1120">
        <f t="shared" si="48"/>
        <v>0</v>
      </c>
      <c r="W214" s="411"/>
      <c r="X214" s="411"/>
      <c r="Z214" s="203"/>
      <c r="AA214" s="204"/>
      <c r="AB214" s="198"/>
      <c r="AC214" s="198"/>
      <c r="AD214" s="198"/>
      <c r="AE214" s="198"/>
      <c r="AF214" s="198"/>
      <c r="AG214" s="199"/>
    </row>
    <row r="215" spans="1:33" ht="13.8">
      <c r="A215" s="197"/>
      <c r="B215" s="197"/>
      <c r="C215" s="198" t="s">
        <v>271</v>
      </c>
      <c r="D215" s="1110" t="s">
        <v>258</v>
      </c>
      <c r="E215" s="1111">
        <v>0</v>
      </c>
      <c r="F215" s="1111">
        <v>0</v>
      </c>
      <c r="G215" s="1111">
        <v>0</v>
      </c>
      <c r="H215" s="1111">
        <v>0</v>
      </c>
      <c r="I215" s="1111"/>
      <c r="J215" s="1111">
        <v>95049.964398449287</v>
      </c>
      <c r="K215" s="1111">
        <v>0</v>
      </c>
      <c r="L215" s="1543">
        <v>0</v>
      </c>
      <c r="M215" s="299"/>
      <c r="N215" s="1119"/>
      <c r="O215" s="1017">
        <f t="shared" si="48"/>
        <v>0</v>
      </c>
      <c r="P215" s="1017">
        <f t="shared" si="48"/>
        <v>0</v>
      </c>
      <c r="Q215" s="1017">
        <f t="shared" si="48"/>
        <v>0</v>
      </c>
      <c r="R215" s="1017">
        <f t="shared" si="48"/>
        <v>0</v>
      </c>
      <c r="S215" s="1017">
        <f t="shared" si="48"/>
        <v>0</v>
      </c>
      <c r="T215" s="1017">
        <f t="shared" si="48"/>
        <v>2023441.7043984495</v>
      </c>
      <c r="U215" s="1017">
        <f t="shared" si="48"/>
        <v>0</v>
      </c>
      <c r="V215" s="1120">
        <f t="shared" si="48"/>
        <v>0</v>
      </c>
      <c r="W215" s="411"/>
      <c r="X215" s="411"/>
      <c r="Z215" s="203"/>
      <c r="AA215" s="204"/>
      <c r="AB215" s="198"/>
      <c r="AC215" s="198"/>
      <c r="AD215" s="198"/>
      <c r="AE215" s="198"/>
      <c r="AF215" s="198"/>
      <c r="AG215" s="199"/>
    </row>
    <row r="216" spans="1:33" ht="13.8">
      <c r="A216" s="197"/>
      <c r="B216" s="197"/>
      <c r="C216" s="198" t="s">
        <v>272</v>
      </c>
      <c r="D216" s="1110" t="s">
        <v>258</v>
      </c>
      <c r="E216" s="1111">
        <v>469372.11084773327</v>
      </c>
      <c r="F216" s="1111">
        <v>696226.87438594748</v>
      </c>
      <c r="G216" s="1111">
        <v>394.78448356115911</v>
      </c>
      <c r="H216" s="1111">
        <v>9572.9157189687448</v>
      </c>
      <c r="I216" s="1111"/>
      <c r="J216" s="1111">
        <v>131804.88590559765</v>
      </c>
      <c r="K216" s="1111">
        <v>164.74477327368913</v>
      </c>
      <c r="L216" s="1543">
        <v>6763.7182536818964</v>
      </c>
      <c r="M216" s="299"/>
      <c r="N216" s="1119"/>
      <c r="O216" s="1017">
        <f t="shared" si="48"/>
        <v>469372.11084773327</v>
      </c>
      <c r="P216" s="1017">
        <f t="shared" si="48"/>
        <v>696226.87438594748</v>
      </c>
      <c r="Q216" s="1017">
        <f t="shared" si="48"/>
        <v>394.78448356115911</v>
      </c>
      <c r="R216" s="1017">
        <f t="shared" si="48"/>
        <v>9572.9157189687448</v>
      </c>
      <c r="S216" s="1017">
        <f t="shared" si="48"/>
        <v>0</v>
      </c>
      <c r="T216" s="1017">
        <f t="shared" si="48"/>
        <v>2155246.5903040473</v>
      </c>
      <c r="U216" s="1017">
        <f t="shared" si="48"/>
        <v>164.74477327368913</v>
      </c>
      <c r="V216" s="1120">
        <f t="shared" si="48"/>
        <v>6763.7182536818964</v>
      </c>
      <c r="W216" s="411"/>
      <c r="X216" s="411"/>
      <c r="Z216" s="203"/>
      <c r="AA216" s="204"/>
      <c r="AB216" s="198"/>
      <c r="AC216" s="198"/>
      <c r="AD216" s="198"/>
      <c r="AE216" s="198"/>
      <c r="AF216" s="198"/>
      <c r="AG216" s="199"/>
    </row>
    <row r="217" spans="1:33" ht="13.8">
      <c r="A217" s="197"/>
      <c r="B217" s="197"/>
      <c r="C217" s="198" t="s">
        <v>273</v>
      </c>
      <c r="D217" s="532" t="s">
        <v>259</v>
      </c>
      <c r="E217" s="1111"/>
      <c r="F217" s="1111"/>
      <c r="G217" s="1111"/>
      <c r="H217" s="1111"/>
      <c r="I217" s="1111"/>
      <c r="J217" s="1111">
        <f>13899+134638</f>
        <v>148537</v>
      </c>
      <c r="K217" s="1111"/>
      <c r="L217" s="1543">
        <v>169916</v>
      </c>
      <c r="M217" s="299"/>
      <c r="N217" s="1119"/>
      <c r="O217" s="1017">
        <f t="shared" si="48"/>
        <v>469372.11084773327</v>
      </c>
      <c r="P217" s="1017">
        <f t="shared" si="48"/>
        <v>696226.87438594748</v>
      </c>
      <c r="Q217" s="1017">
        <f t="shared" si="48"/>
        <v>394.78448356115911</v>
      </c>
      <c r="R217" s="1017">
        <f t="shared" si="48"/>
        <v>9572.9157189687448</v>
      </c>
      <c r="S217" s="1017">
        <f t="shared" si="48"/>
        <v>0</v>
      </c>
      <c r="T217" s="1017">
        <f t="shared" si="48"/>
        <v>2303783.5903040473</v>
      </c>
      <c r="U217" s="1017">
        <f t="shared" si="48"/>
        <v>164.74477327368913</v>
      </c>
      <c r="V217" s="1120">
        <f t="shared" si="48"/>
        <v>176679.7182536819</v>
      </c>
      <c r="W217" s="411"/>
      <c r="X217" s="411"/>
      <c r="Z217" s="203"/>
      <c r="AA217" s="204"/>
      <c r="AB217" s="198"/>
      <c r="AC217" s="198"/>
      <c r="AD217" s="198"/>
      <c r="AE217" s="198"/>
      <c r="AF217" s="198"/>
      <c r="AG217" s="199"/>
    </row>
    <row r="218" spans="1:33" ht="13.8">
      <c r="A218" s="197"/>
      <c r="B218" s="197"/>
      <c r="C218" s="198" t="s">
        <v>255</v>
      </c>
      <c r="D218" s="532" t="s">
        <v>259</v>
      </c>
      <c r="E218" s="1111"/>
      <c r="F218" s="1111"/>
      <c r="G218" s="1111"/>
      <c r="H218" s="1111"/>
      <c r="I218" s="1111"/>
      <c r="J218" s="1111">
        <v>25274</v>
      </c>
      <c r="K218" s="1111"/>
      <c r="L218" s="1543">
        <v>2576</v>
      </c>
      <c r="M218" s="299"/>
      <c r="N218" s="1119"/>
      <c r="O218" s="1017">
        <f t="shared" si="48"/>
        <v>469372.11084773327</v>
      </c>
      <c r="P218" s="1017">
        <f t="shared" si="48"/>
        <v>696226.87438594748</v>
      </c>
      <c r="Q218" s="1017">
        <f t="shared" si="48"/>
        <v>394.78448356115911</v>
      </c>
      <c r="R218" s="1017">
        <f t="shared" si="48"/>
        <v>9572.9157189687448</v>
      </c>
      <c r="S218" s="1017">
        <f t="shared" si="48"/>
        <v>0</v>
      </c>
      <c r="T218" s="1017">
        <f t="shared" si="48"/>
        <v>2329057.5903040473</v>
      </c>
      <c r="U218" s="1017">
        <f t="shared" si="48"/>
        <v>164.74477327368913</v>
      </c>
      <c r="V218" s="1120">
        <f t="shared" si="48"/>
        <v>179255.7182536819</v>
      </c>
      <c r="W218" s="411"/>
      <c r="X218" s="411"/>
      <c r="Z218" s="203"/>
      <c r="AA218" s="204"/>
      <c r="AB218" s="198"/>
      <c r="AC218" s="198"/>
      <c r="AD218" s="198"/>
      <c r="AE218" s="198"/>
      <c r="AF218" s="198"/>
      <c r="AG218" s="199"/>
    </row>
    <row r="219" spans="1:33" ht="13.8">
      <c r="A219" s="197"/>
      <c r="B219" s="197"/>
      <c r="C219" s="198" t="s">
        <v>274</v>
      </c>
      <c r="D219" s="532" t="s">
        <v>259</v>
      </c>
      <c r="E219" s="1111">
        <v>87108</v>
      </c>
      <c r="F219" s="1111"/>
      <c r="G219" s="1111"/>
      <c r="H219" s="1111"/>
      <c r="I219" s="1111"/>
      <c r="J219" s="1111">
        <f>34474+47673</f>
        <v>82147</v>
      </c>
      <c r="K219" s="1111"/>
      <c r="L219" s="1543">
        <v>990</v>
      </c>
      <c r="M219" s="299"/>
      <c r="N219" s="1119"/>
      <c r="O219" s="1017">
        <f t="shared" si="48"/>
        <v>556480.11084773322</v>
      </c>
      <c r="P219" s="1017">
        <f t="shared" si="48"/>
        <v>696226.87438594748</v>
      </c>
      <c r="Q219" s="1017">
        <f t="shared" si="48"/>
        <v>394.78448356115911</v>
      </c>
      <c r="R219" s="1017">
        <f t="shared" si="48"/>
        <v>9572.9157189687448</v>
      </c>
      <c r="S219" s="1017">
        <f t="shared" si="48"/>
        <v>0</v>
      </c>
      <c r="T219" s="1017">
        <f t="shared" si="48"/>
        <v>2411204.5903040473</v>
      </c>
      <c r="U219" s="1017">
        <f t="shared" si="48"/>
        <v>164.74477327368913</v>
      </c>
      <c r="V219" s="1120">
        <f t="shared" si="48"/>
        <v>180245.7182536819</v>
      </c>
      <c r="W219" s="411"/>
      <c r="X219" s="411"/>
      <c r="Z219" s="203"/>
      <c r="AA219" s="204"/>
      <c r="AB219" s="198"/>
      <c r="AC219" s="198"/>
      <c r="AD219" s="198"/>
      <c r="AE219" s="198"/>
      <c r="AF219" s="198"/>
      <c r="AG219" s="199"/>
    </row>
    <row r="220" spans="1:33" ht="13.8">
      <c r="A220" s="197"/>
      <c r="B220" s="197"/>
      <c r="C220" s="198" t="s">
        <v>275</v>
      </c>
      <c r="D220" s="532" t="s">
        <v>259</v>
      </c>
      <c r="E220" s="1111">
        <v>34138</v>
      </c>
      <c r="F220" s="1111"/>
      <c r="G220" s="1111"/>
      <c r="H220" s="1111"/>
      <c r="I220" s="1111"/>
      <c r="J220" s="1111">
        <f>39599+3150</f>
        <v>42749</v>
      </c>
      <c r="K220" s="1111"/>
      <c r="L220" s="1543">
        <v>64263</v>
      </c>
      <c r="M220" s="299"/>
      <c r="N220" s="1119"/>
      <c r="O220" s="1017">
        <f t="shared" si="48"/>
        <v>590618.11084773322</v>
      </c>
      <c r="P220" s="1017">
        <f t="shared" si="48"/>
        <v>696226.87438594748</v>
      </c>
      <c r="Q220" s="1017">
        <f t="shared" si="48"/>
        <v>394.78448356115911</v>
      </c>
      <c r="R220" s="1017">
        <f t="shared" si="48"/>
        <v>9572.9157189687448</v>
      </c>
      <c r="S220" s="1017">
        <f t="shared" si="48"/>
        <v>0</v>
      </c>
      <c r="T220" s="1017">
        <f t="shared" si="48"/>
        <v>2453953.5903040473</v>
      </c>
      <c r="U220" s="1017">
        <f t="shared" si="48"/>
        <v>164.74477327368913</v>
      </c>
      <c r="V220" s="1120">
        <f t="shared" si="48"/>
        <v>244508.7182536819</v>
      </c>
      <c r="W220" s="411"/>
      <c r="X220" s="411"/>
      <c r="Z220" s="203"/>
      <c r="AA220" s="204"/>
      <c r="AB220" s="198"/>
      <c r="AC220" s="198"/>
      <c r="AD220" s="198"/>
      <c r="AE220" s="198"/>
      <c r="AF220" s="198"/>
      <c r="AG220" s="199"/>
    </row>
    <row r="221" spans="1:33" ht="13.8">
      <c r="A221" s="197"/>
      <c r="B221" s="197"/>
      <c r="C221" s="198" t="s">
        <v>276</v>
      </c>
      <c r="D221" s="532" t="s">
        <v>259</v>
      </c>
      <c r="E221" s="1111"/>
      <c r="F221" s="1111"/>
      <c r="G221" s="1111"/>
      <c r="H221" s="1111"/>
      <c r="I221" s="1111"/>
      <c r="J221" s="1111">
        <v>12599</v>
      </c>
      <c r="K221" s="1111"/>
      <c r="L221" s="1543"/>
      <c r="M221" s="299"/>
      <c r="N221" s="1119"/>
      <c r="O221" s="1017">
        <f t="shared" si="48"/>
        <v>590618.11084773322</v>
      </c>
      <c r="P221" s="1017">
        <f t="shared" si="48"/>
        <v>696226.87438594748</v>
      </c>
      <c r="Q221" s="1017">
        <f t="shared" si="48"/>
        <v>394.78448356115911</v>
      </c>
      <c r="R221" s="1017">
        <f t="shared" si="48"/>
        <v>9572.9157189687448</v>
      </c>
      <c r="S221" s="1017">
        <f t="shared" si="48"/>
        <v>0</v>
      </c>
      <c r="T221" s="1017">
        <f t="shared" si="48"/>
        <v>2466552.5903040473</v>
      </c>
      <c r="U221" s="1017">
        <f t="shared" si="48"/>
        <v>164.74477327368913</v>
      </c>
      <c r="V221" s="1120">
        <f t="shared" si="48"/>
        <v>244508.7182536819</v>
      </c>
      <c r="W221" s="411"/>
      <c r="X221" s="411"/>
      <c r="Z221" s="203"/>
      <c r="AA221" s="204"/>
      <c r="AB221" s="198"/>
      <c r="AC221" s="198"/>
      <c r="AD221" s="198"/>
      <c r="AE221" s="198"/>
      <c r="AF221" s="198"/>
      <c r="AG221" s="199"/>
    </row>
    <row r="222" spans="1:33" ht="13.8">
      <c r="A222" s="197"/>
      <c r="B222" s="197"/>
      <c r="C222" s="198" t="s">
        <v>277</v>
      </c>
      <c r="D222" s="532" t="s">
        <v>259</v>
      </c>
      <c r="E222" s="1111"/>
      <c r="F222" s="1111"/>
      <c r="G222" s="1111"/>
      <c r="H222" s="1111"/>
      <c r="I222" s="1111"/>
      <c r="J222" s="1111">
        <v>12599</v>
      </c>
      <c r="K222" s="1111"/>
      <c r="L222" s="1543"/>
      <c r="M222" s="299"/>
      <c r="N222" s="1119"/>
      <c r="O222" s="1017">
        <f t="shared" si="48"/>
        <v>590618.11084773322</v>
      </c>
      <c r="P222" s="1017">
        <f t="shared" si="48"/>
        <v>696226.87438594748</v>
      </c>
      <c r="Q222" s="1017">
        <f t="shared" si="48"/>
        <v>394.78448356115911</v>
      </c>
      <c r="R222" s="1017">
        <f t="shared" si="48"/>
        <v>9572.9157189687448</v>
      </c>
      <c r="S222" s="1017">
        <f t="shared" si="48"/>
        <v>0</v>
      </c>
      <c r="T222" s="1017">
        <f t="shared" si="48"/>
        <v>2479151.5903040473</v>
      </c>
      <c r="U222" s="1017">
        <f t="shared" si="48"/>
        <v>164.74477327368913</v>
      </c>
      <c r="V222" s="1120">
        <f t="shared" si="48"/>
        <v>244508.7182536819</v>
      </c>
      <c r="W222" s="411"/>
      <c r="X222" s="411"/>
      <c r="Z222" s="203"/>
      <c r="AA222" s="204"/>
      <c r="AB222" s="198"/>
      <c r="AC222" s="198"/>
      <c r="AD222" s="198"/>
      <c r="AE222" s="198"/>
      <c r="AF222" s="198"/>
      <c r="AG222" s="199"/>
    </row>
    <row r="223" spans="1:33" ht="13.8">
      <c r="A223" s="197"/>
      <c r="B223" s="197"/>
      <c r="C223" s="198" t="s">
        <v>278</v>
      </c>
      <c r="D223" s="532" t="s">
        <v>259</v>
      </c>
      <c r="E223" s="1111"/>
      <c r="F223" s="1111"/>
      <c r="G223" s="1111"/>
      <c r="H223" s="1111"/>
      <c r="I223" s="1111"/>
      <c r="J223" s="1111">
        <v>20474</v>
      </c>
      <c r="K223" s="1111"/>
      <c r="L223" s="1543"/>
      <c r="M223" s="299"/>
      <c r="N223" s="1119"/>
      <c r="O223" s="1017">
        <f t="shared" si="48"/>
        <v>590618.11084773322</v>
      </c>
      <c r="P223" s="1017">
        <f t="shared" si="48"/>
        <v>696226.87438594748</v>
      </c>
      <c r="Q223" s="1017">
        <f t="shared" si="48"/>
        <v>394.78448356115911</v>
      </c>
      <c r="R223" s="1017">
        <f t="shared" si="48"/>
        <v>9572.9157189687448</v>
      </c>
      <c r="S223" s="1017">
        <f t="shared" si="48"/>
        <v>0</v>
      </c>
      <c r="T223" s="1017">
        <f t="shared" si="48"/>
        <v>2499625.5903040473</v>
      </c>
      <c r="U223" s="1017">
        <f t="shared" si="48"/>
        <v>164.74477327368913</v>
      </c>
      <c r="V223" s="1120">
        <f t="shared" si="48"/>
        <v>244508.7182536819</v>
      </c>
      <c r="W223" s="411"/>
      <c r="X223" s="411"/>
      <c r="Z223" s="203"/>
      <c r="AA223" s="204"/>
      <c r="AB223" s="198"/>
      <c r="AC223" s="198"/>
      <c r="AD223" s="198"/>
      <c r="AE223" s="198"/>
      <c r="AF223" s="198"/>
      <c r="AG223" s="199"/>
    </row>
    <row r="224" spans="1:33" ht="13.8">
      <c r="A224" s="197"/>
      <c r="B224" s="197"/>
      <c r="C224" s="198" t="s">
        <v>279</v>
      </c>
      <c r="D224" s="532" t="s">
        <v>259</v>
      </c>
      <c r="E224" s="1111"/>
      <c r="F224" s="1111"/>
      <c r="G224" s="1111"/>
      <c r="H224" s="1111"/>
      <c r="I224" s="1111"/>
      <c r="J224" s="1111"/>
      <c r="K224" s="1111"/>
      <c r="L224" s="1543"/>
      <c r="M224" s="299"/>
      <c r="N224" s="1119"/>
      <c r="O224" s="1017">
        <f t="shared" si="48"/>
        <v>590618.11084773322</v>
      </c>
      <c r="P224" s="1017">
        <f t="shared" si="48"/>
        <v>696226.87438594748</v>
      </c>
      <c r="Q224" s="1017">
        <f t="shared" si="48"/>
        <v>394.78448356115911</v>
      </c>
      <c r="R224" s="1017">
        <f t="shared" si="48"/>
        <v>9572.9157189687448</v>
      </c>
      <c r="S224" s="1017">
        <f t="shared" si="48"/>
        <v>0</v>
      </c>
      <c r="T224" s="1017">
        <f t="shared" si="48"/>
        <v>2499625.5903040473</v>
      </c>
      <c r="U224" s="1017">
        <f t="shared" si="48"/>
        <v>164.74477327368913</v>
      </c>
      <c r="V224" s="1120">
        <f t="shared" si="48"/>
        <v>244508.7182536819</v>
      </c>
      <c r="W224" s="411"/>
      <c r="X224" s="411"/>
      <c r="Z224" s="203"/>
      <c r="AA224" s="204"/>
      <c r="AB224" s="198"/>
      <c r="AC224" s="198"/>
      <c r="AD224" s="198"/>
      <c r="AE224" s="198"/>
      <c r="AF224" s="198"/>
      <c r="AG224" s="199"/>
    </row>
    <row r="225" spans="1:33" ht="14.4" thickBot="1">
      <c r="A225" s="197"/>
      <c r="B225" s="197"/>
      <c r="C225" s="198" t="s">
        <v>280</v>
      </c>
      <c r="D225" s="401" t="s">
        <v>259</v>
      </c>
      <c r="E225" s="1112"/>
      <c r="F225" s="1112"/>
      <c r="G225" s="1112"/>
      <c r="H225" s="1112"/>
      <c r="I225" s="1112"/>
      <c r="J225" s="1112">
        <f>614206+583510</f>
        <v>1197716</v>
      </c>
      <c r="K225" s="1112"/>
      <c r="L225" s="1544"/>
      <c r="M225" s="299"/>
      <c r="N225" s="1121"/>
      <c r="O225" s="1122">
        <f t="shared" si="48"/>
        <v>590618.11084773322</v>
      </c>
      <c r="P225" s="1122">
        <f t="shared" si="48"/>
        <v>696226.87438594748</v>
      </c>
      <c r="Q225" s="1122">
        <f t="shared" si="48"/>
        <v>394.78448356115911</v>
      </c>
      <c r="R225" s="1122">
        <f t="shared" si="48"/>
        <v>9572.9157189687448</v>
      </c>
      <c r="S225" s="1122">
        <f t="shared" si="48"/>
        <v>0</v>
      </c>
      <c r="T225" s="1122">
        <f t="shared" si="48"/>
        <v>3697341.5903040473</v>
      </c>
      <c r="U225" s="1122">
        <f t="shared" si="48"/>
        <v>164.74477327368913</v>
      </c>
      <c r="V225" s="1123">
        <f t="shared" si="48"/>
        <v>244508.7182536819</v>
      </c>
      <c r="W225" s="411"/>
      <c r="X225" s="411"/>
      <c r="Z225" s="203"/>
      <c r="AA225" s="204"/>
      <c r="AB225" s="198"/>
      <c r="AC225" s="198"/>
      <c r="AD225" s="198"/>
      <c r="AE225" s="198"/>
      <c r="AF225" s="198"/>
      <c r="AG225" s="199"/>
    </row>
    <row r="226" spans="1:33" ht="13.8">
      <c r="A226" s="197"/>
      <c r="B226" s="197"/>
      <c r="C226" s="198" t="s">
        <v>524</v>
      </c>
      <c r="D226" s="204" t="s">
        <v>447</v>
      </c>
      <c r="E226" s="864">
        <f t="shared" si="49" ref="E226:L226">SUM(E213:E225)</f>
        <v>590618.11084773322</v>
      </c>
      <c r="F226" s="864">
        <f t="shared" si="49"/>
        <v>696226.87438594748</v>
      </c>
      <c r="G226" s="864">
        <f t="shared" si="49"/>
        <v>394.78448356115911</v>
      </c>
      <c r="H226" s="864">
        <f t="shared" si="49"/>
        <v>9572.9157189687448</v>
      </c>
      <c r="I226" s="864">
        <f t="shared" si="49"/>
        <v>0</v>
      </c>
      <c r="J226" s="864">
        <f t="shared" si="49"/>
        <v>3697341.5903040473</v>
      </c>
      <c r="K226" s="864">
        <f t="shared" si="49"/>
        <v>164.74477327368913</v>
      </c>
      <c r="L226" s="864">
        <f t="shared" si="49"/>
        <v>244508.7182536819</v>
      </c>
      <c r="M226" s="299"/>
      <c r="N226" s="299"/>
      <c r="O226" s="1114">
        <f t="shared" si="50" ref="O226:V226">SUM(O213:O225)</f>
        <v>5508305.1084773317</v>
      </c>
      <c r="P226" s="1114">
        <f t="shared" si="50"/>
        <v>6962268.7438594745</v>
      </c>
      <c r="Q226" s="1114">
        <f t="shared" si="50"/>
        <v>3947.844835611591</v>
      </c>
      <c r="R226" s="1114">
        <f t="shared" si="50"/>
        <v>95729.157189687437</v>
      </c>
      <c r="S226" s="1114">
        <f t="shared" si="50"/>
        <v>0</v>
      </c>
      <c r="T226" s="1114">
        <f t="shared" si="50"/>
        <v>32037380.407438919</v>
      </c>
      <c r="U226" s="1114">
        <f t="shared" si="50"/>
        <v>1647.4477327368913</v>
      </c>
      <c r="V226" s="1114">
        <f t="shared" si="50"/>
        <v>2009997.182536819</v>
      </c>
      <c r="W226" s="411"/>
      <c r="X226" s="411"/>
      <c r="Z226" s="203"/>
      <c r="AA226" s="204"/>
      <c r="AB226" s="198"/>
      <c r="AC226" s="198"/>
      <c r="AD226" s="198"/>
      <c r="AE226" s="198"/>
      <c r="AF226" s="198"/>
      <c r="AG226" s="199"/>
    </row>
    <row r="227" spans="1:33" ht="13.8">
      <c r="A227" s="197"/>
      <c r="B227" s="197"/>
      <c r="C227" s="198" t="s">
        <v>260</v>
      </c>
      <c r="E227" s="316"/>
      <c r="F227" s="316"/>
      <c r="G227" s="204"/>
      <c r="H227" s="204"/>
      <c r="I227" s="204"/>
      <c r="J227" s="204"/>
      <c r="K227" s="204"/>
      <c r="L227" s="299"/>
      <c r="M227" s="299"/>
      <c r="N227" s="316"/>
      <c r="O227" s="839">
        <f>O226/13</f>
        <v>423715.77757517935</v>
      </c>
      <c r="P227" s="839">
        <f t="shared" si="51" ref="P227:V227">P226/13</f>
        <v>535559.13414303656</v>
      </c>
      <c r="Q227" s="839">
        <f t="shared" si="51"/>
        <v>303.68037197012239</v>
      </c>
      <c r="R227" s="839">
        <f t="shared" si="51"/>
        <v>7363.7813222836494</v>
      </c>
      <c r="S227" s="839">
        <f t="shared" si="51"/>
        <v>0</v>
      </c>
      <c r="T227" s="839">
        <f t="shared" si="51"/>
        <v>2464413.8774953014</v>
      </c>
      <c r="U227" s="839">
        <f t="shared" si="51"/>
        <v>126.72674867206857</v>
      </c>
      <c r="V227" s="839">
        <f t="shared" si="51"/>
        <v>154615.16788744761</v>
      </c>
      <c r="W227" s="411"/>
      <c r="X227" s="411"/>
      <c r="Z227" s="203"/>
      <c r="AA227" s="204"/>
      <c r="AB227" s="198"/>
      <c r="AC227" s="198"/>
      <c r="AD227" s="198"/>
      <c r="AE227" s="198"/>
      <c r="AF227" s="198"/>
      <c r="AG227" s="199"/>
    </row>
    <row r="228" spans="1:33" ht="13.8">
      <c r="A228" s="197"/>
      <c r="B228" s="197"/>
      <c r="C228" s="198"/>
      <c r="E228" s="316"/>
      <c r="F228" s="316"/>
      <c r="G228" s="204"/>
      <c r="H228" s="204"/>
      <c r="I228" s="204"/>
      <c r="J228" s="204"/>
      <c r="K228" s="204"/>
      <c r="L228" s="299"/>
      <c r="M228" s="299"/>
      <c r="N228" s="316"/>
      <c r="O228" s="839"/>
      <c r="P228" s="839"/>
      <c r="Q228" s="839"/>
      <c r="R228" s="839"/>
      <c r="S228" s="839"/>
      <c r="T228" s="839"/>
      <c r="U228" s="839"/>
      <c r="V228" s="839"/>
      <c r="W228" s="411"/>
      <c r="X228" s="411"/>
      <c r="Z228" s="203"/>
      <c r="AA228" s="204"/>
      <c r="AB228" s="198"/>
      <c r="AC228" s="198"/>
      <c r="AD228" s="198"/>
      <c r="AE228" s="198"/>
      <c r="AF228" s="198"/>
      <c r="AG228" s="199"/>
    </row>
    <row r="229" spans="1:33" ht="14.4" thickBot="1">
      <c r="A229" s="197"/>
      <c r="B229" s="197"/>
      <c r="C229" s="198"/>
      <c r="E229" s="316"/>
      <c r="F229" s="316"/>
      <c r="G229" s="204"/>
      <c r="H229" s="204"/>
      <c r="I229" s="204"/>
      <c r="J229" s="204"/>
      <c r="K229" s="204"/>
      <c r="L229" s="299"/>
      <c r="M229" s="299"/>
      <c r="N229" s="316"/>
      <c r="O229" s="839"/>
      <c r="P229" s="839"/>
      <c r="Q229" s="839"/>
      <c r="R229" s="839"/>
      <c r="S229" s="839"/>
      <c r="T229" s="839"/>
      <c r="U229" s="839"/>
      <c r="V229" s="839"/>
      <c r="W229" s="411"/>
      <c r="X229" s="411"/>
      <c r="Z229" s="203"/>
      <c r="AA229" s="204"/>
      <c r="AB229" s="198"/>
      <c r="AC229" s="198"/>
      <c r="AD229" s="198"/>
      <c r="AE229" s="198"/>
      <c r="AF229" s="198"/>
      <c r="AG229" s="199"/>
    </row>
    <row r="230" spans="1:33" ht="14.4" thickBot="1">
      <c r="A230" s="197"/>
      <c r="B230" s="197"/>
      <c r="C230" s="197"/>
      <c r="D230" s="859" t="s">
        <v>355</v>
      </c>
      <c r="E230" s="860" t="s">
        <v>356</v>
      </c>
      <c r="F230" s="860" t="s">
        <v>357</v>
      </c>
      <c r="G230" s="860" t="s">
        <v>358</v>
      </c>
      <c r="H230" s="860" t="s">
        <v>633</v>
      </c>
      <c r="I230" s="860" t="s">
        <v>639</v>
      </c>
      <c r="J230" s="1115" t="s">
        <v>465</v>
      </c>
      <c r="K230" s="1115" t="s">
        <v>466</v>
      </c>
      <c r="L230" s="861" t="s">
        <v>291</v>
      </c>
      <c r="M230" s="299"/>
      <c r="N230" s="1799" t="s">
        <v>580</v>
      </c>
      <c r="O230" s="1800"/>
      <c r="P230" s="1800"/>
      <c r="Q230" s="1800"/>
      <c r="R230" s="1800"/>
      <c r="S230" s="1800"/>
      <c r="T230" s="1800"/>
      <c r="U230" s="1800"/>
      <c r="V230" s="1801"/>
      <c r="W230" s="411"/>
      <c r="X230" s="411"/>
      <c r="Z230" s="203"/>
      <c r="AA230" s="204"/>
      <c r="AB230" s="198"/>
      <c r="AC230" s="198"/>
      <c r="AD230" s="198"/>
      <c r="AE230" s="198"/>
      <c r="AF230" s="198"/>
      <c r="AG230" s="199"/>
    </row>
    <row r="231" spans="1:33" ht="27" thickBot="1">
      <c r="A231" s="197"/>
      <c r="B231" s="197"/>
      <c r="C231" s="198"/>
      <c r="D231" s="665"/>
      <c r="E231" s="1650" t="s">
        <v>1399</v>
      </c>
      <c r="F231" s="1650" t="s">
        <v>981</v>
      </c>
      <c r="G231" s="1650" t="s">
        <v>1005</v>
      </c>
      <c r="H231" s="1650" t="s">
        <v>1445</v>
      </c>
      <c r="I231" s="1650" t="s">
        <v>988</v>
      </c>
      <c r="J231" s="1650" t="s">
        <v>1007</v>
      </c>
      <c r="K231" s="1650" t="s">
        <v>908</v>
      </c>
      <c r="L231" s="1651" t="s">
        <v>977</v>
      </c>
      <c r="M231" s="299"/>
      <c r="N231" s="665" t="s">
        <v>579</v>
      </c>
      <c r="O231" s="625" t="str">
        <f>E231</f>
        <v>Four Mile Jct</v>
      </c>
      <c r="P231" s="625" t="str">
        <f>F231</f>
        <v>Johnstown</v>
      </c>
      <c r="Q231" s="625" t="str">
        <f t="shared" si="52" ref="Q231:R231">G231</f>
        <v>Monocacy SS</v>
      </c>
      <c r="R231" s="625" t="str">
        <f t="shared" si="52"/>
        <v>Potter SS WP-933215</v>
      </c>
      <c r="S231" s="625" t="str">
        <f>I231</f>
        <v>Yeagertown</v>
      </c>
      <c r="T231" s="625" t="str">
        <f>J231</f>
        <v>Nyswaner</v>
      </c>
      <c r="U231" s="625" t="s">
        <v>908</v>
      </c>
      <c r="V231" s="1107" t="s">
        <v>977</v>
      </c>
      <c r="W231" s="411"/>
      <c r="X231" s="411"/>
      <c r="Z231" s="203"/>
      <c r="AA231" s="204"/>
      <c r="AB231" s="198"/>
      <c r="AC231" s="198"/>
      <c r="AD231" s="198"/>
      <c r="AE231" s="198"/>
      <c r="AF231" s="198"/>
      <c r="AG231" s="199"/>
    </row>
    <row r="232" spans="1:33" ht="14.4" thickBot="1">
      <c r="A232" s="197"/>
      <c r="B232" s="197"/>
      <c r="C232" s="198"/>
      <c r="D232" s="858"/>
      <c r="E232" s="625" t="s">
        <v>632</v>
      </c>
      <c r="F232" s="625" t="s">
        <v>632</v>
      </c>
      <c r="G232" s="625" t="s">
        <v>632</v>
      </c>
      <c r="H232" s="625" t="s">
        <v>632</v>
      </c>
      <c r="I232" s="625" t="s">
        <v>632</v>
      </c>
      <c r="J232" s="625" t="s">
        <v>632</v>
      </c>
      <c r="K232" s="625" t="s">
        <v>632</v>
      </c>
      <c r="L232" s="1107" t="s">
        <v>632</v>
      </c>
      <c r="M232" s="299"/>
      <c r="N232" s="859"/>
      <c r="O232" s="625" t="str">
        <f>E232</f>
        <v>(in service)</v>
      </c>
      <c r="P232" s="625" t="s">
        <v>447</v>
      </c>
      <c r="Q232" s="625" t="s">
        <v>447</v>
      </c>
      <c r="R232" s="625" t="s">
        <v>632</v>
      </c>
      <c r="S232" s="625" t="s">
        <v>632</v>
      </c>
      <c r="T232" s="625" t="s">
        <v>632</v>
      </c>
      <c r="U232" s="625" t="s">
        <v>632</v>
      </c>
      <c r="V232" s="1107" t="s">
        <v>632</v>
      </c>
      <c r="W232" s="411"/>
      <c r="X232" s="411"/>
      <c r="Z232" s="203"/>
      <c r="AA232" s="204"/>
      <c r="AB232" s="198"/>
      <c r="AC232" s="198"/>
      <c r="AD232" s="198"/>
      <c r="AE232" s="198"/>
      <c r="AF232" s="198"/>
      <c r="AG232" s="199"/>
    </row>
    <row r="233" spans="1:33" ht="21.6">
      <c r="A233" s="197"/>
      <c r="B233" s="197"/>
      <c r="C233" s="1108" t="s">
        <v>122</v>
      </c>
      <c r="D233" s="1110" t="s">
        <v>258</v>
      </c>
      <c r="E233" s="1111"/>
      <c r="F233" s="1111">
        <v>-924.50</v>
      </c>
      <c r="G233" s="1111">
        <v>291811.09000000003</v>
      </c>
      <c r="H233" s="1111"/>
      <c r="I233" s="1111"/>
      <c r="J233" s="1111"/>
      <c r="K233" s="1111"/>
      <c r="L233" s="862">
        <v>10382.57</v>
      </c>
      <c r="M233" s="299"/>
      <c r="N233" s="1116"/>
      <c r="O233" s="1117">
        <f t="shared" si="53" ref="O233:V233">E233</f>
        <v>0</v>
      </c>
      <c r="P233" s="1117">
        <f>F233</f>
        <v>-924.50</v>
      </c>
      <c r="Q233" s="1117">
        <f t="shared" si="53"/>
        <v>291811.09000000003</v>
      </c>
      <c r="R233" s="1117">
        <f t="shared" si="53"/>
        <v>0</v>
      </c>
      <c r="S233" s="1117">
        <f t="shared" si="53"/>
        <v>0</v>
      </c>
      <c r="T233" s="1117">
        <f t="shared" si="53"/>
        <v>0</v>
      </c>
      <c r="U233" s="1117">
        <f t="shared" si="53"/>
        <v>0</v>
      </c>
      <c r="V233" s="1118">
        <f t="shared" si="53"/>
        <v>10382.57</v>
      </c>
      <c r="W233" s="411"/>
      <c r="X233" s="411"/>
      <c r="Z233" s="203"/>
      <c r="AA233" s="204"/>
      <c r="AB233" s="198"/>
      <c r="AC233" s="198"/>
      <c r="AD233" s="198"/>
      <c r="AE233" s="198"/>
      <c r="AF233" s="198"/>
      <c r="AG233" s="199"/>
    </row>
    <row r="234" spans="1:33" ht="13.8">
      <c r="A234" s="197"/>
      <c r="B234" s="197"/>
      <c r="C234" s="334" t="s">
        <v>1444</v>
      </c>
      <c r="D234" s="1110" t="s">
        <v>258</v>
      </c>
      <c r="E234" s="1111"/>
      <c r="F234" s="1111"/>
      <c r="G234" s="1111">
        <v>10806.03</v>
      </c>
      <c r="H234" s="1111"/>
      <c r="I234" s="1111"/>
      <c r="J234" s="1111"/>
      <c r="K234" s="1111"/>
      <c r="L234" s="862">
        <v>-1108.77</v>
      </c>
      <c r="M234" s="299"/>
      <c r="N234" s="1119"/>
      <c r="O234" s="1017">
        <f t="shared" si="54" ref="O234:V245">O233+E234</f>
        <v>0</v>
      </c>
      <c r="P234" s="1017">
        <f>P233+F234</f>
        <v>-924.50</v>
      </c>
      <c r="Q234" s="1017">
        <f t="shared" si="54"/>
        <v>302617.12000000005</v>
      </c>
      <c r="R234" s="1017">
        <f t="shared" si="54"/>
        <v>0</v>
      </c>
      <c r="S234" s="1017">
        <f t="shared" si="54"/>
        <v>0</v>
      </c>
      <c r="T234" s="1017">
        <f t="shared" si="54"/>
        <v>0</v>
      </c>
      <c r="U234" s="1017">
        <f t="shared" si="54"/>
        <v>0</v>
      </c>
      <c r="V234" s="1120">
        <f t="shared" si="54"/>
        <v>9273.7999999999993</v>
      </c>
      <c r="W234" s="411"/>
      <c r="X234" s="411"/>
      <c r="Z234" s="203"/>
      <c r="AA234" s="204"/>
      <c r="AB234" s="198"/>
      <c r="AC234" s="198"/>
      <c r="AD234" s="198"/>
      <c r="AE234" s="198"/>
      <c r="AF234" s="198"/>
      <c r="AG234" s="199"/>
    </row>
    <row r="235" spans="1:33" ht="13.8">
      <c r="A235" s="197"/>
      <c r="B235" s="197"/>
      <c r="C235" s="198" t="s">
        <v>271</v>
      </c>
      <c r="D235" s="1110" t="s">
        <v>258</v>
      </c>
      <c r="E235" s="1111">
        <v>0</v>
      </c>
      <c r="F235" s="1111">
        <v>0</v>
      </c>
      <c r="G235" s="1111">
        <v>8960.2607384250732</v>
      </c>
      <c r="H235" s="1111">
        <v>0</v>
      </c>
      <c r="I235" s="1111">
        <v>0</v>
      </c>
      <c r="J235" s="1111">
        <v>9999.9999999999982</v>
      </c>
      <c r="K235" s="1111">
        <v>0</v>
      </c>
      <c r="L235" s="862">
        <v>0</v>
      </c>
      <c r="M235" s="299"/>
      <c r="N235" s="1119"/>
      <c r="O235" s="1017">
        <f t="shared" si="54"/>
        <v>0</v>
      </c>
      <c r="P235" s="1017">
        <f t="shared" si="54"/>
        <v>-924.50</v>
      </c>
      <c r="Q235" s="1017">
        <f t="shared" si="54"/>
        <v>311577.38073842513</v>
      </c>
      <c r="R235" s="1017">
        <f t="shared" si="54"/>
        <v>0</v>
      </c>
      <c r="S235" s="1017">
        <f t="shared" si="54"/>
        <v>0</v>
      </c>
      <c r="T235" s="1017">
        <f t="shared" si="54"/>
        <v>9999.9999999999982</v>
      </c>
      <c r="U235" s="1017">
        <f t="shared" si="54"/>
        <v>0</v>
      </c>
      <c r="V235" s="1120">
        <f t="shared" si="54"/>
        <v>9273.7999999999993</v>
      </c>
      <c r="W235" s="411"/>
      <c r="X235" s="411"/>
      <c r="Z235" s="203"/>
      <c r="AA235" s="204"/>
      <c r="AB235" s="198"/>
      <c r="AC235" s="198"/>
      <c r="AD235" s="198"/>
      <c r="AE235" s="198"/>
      <c r="AF235" s="198"/>
      <c r="AG235" s="199"/>
    </row>
    <row r="236" spans="1:33" ht="13.8">
      <c r="A236" s="197"/>
      <c r="B236" s="197"/>
      <c r="C236" s="198" t="s">
        <v>272</v>
      </c>
      <c r="D236" s="1110" t="s">
        <v>258</v>
      </c>
      <c r="E236" s="1111">
        <v>2406.5405596393548</v>
      </c>
      <c r="F236" s="1111">
        <v>1543.4009877507151</v>
      </c>
      <c r="G236" s="1111">
        <v>37156.68722661717</v>
      </c>
      <c r="H236" s="1111">
        <v>532.18833000827033</v>
      </c>
      <c r="I236" s="1111">
        <v>272.44408541024922</v>
      </c>
      <c r="J236" s="1111">
        <v>225.19177973886104</v>
      </c>
      <c r="K236" s="1111">
        <v>2058.7851260844786</v>
      </c>
      <c r="L236" s="862">
        <v>8908.8783493660703</v>
      </c>
      <c r="M236" s="299"/>
      <c r="N236" s="1119"/>
      <c r="O236" s="1017">
        <f t="shared" si="54"/>
        <v>2406.5405596393548</v>
      </c>
      <c r="P236" s="1017">
        <f t="shared" si="54"/>
        <v>618.9009877507151</v>
      </c>
      <c r="Q236" s="1017">
        <f t="shared" si="54"/>
        <v>348734.06796504231</v>
      </c>
      <c r="R236" s="1017">
        <f t="shared" si="54"/>
        <v>532.18833000827033</v>
      </c>
      <c r="S236" s="1017">
        <f t="shared" si="54"/>
        <v>272.44408541024922</v>
      </c>
      <c r="T236" s="1017">
        <f t="shared" si="54"/>
        <v>10225.19177973886</v>
      </c>
      <c r="U236" s="1017">
        <f t="shared" si="54"/>
        <v>2058.7851260844786</v>
      </c>
      <c r="V236" s="1120">
        <f t="shared" si="54"/>
        <v>18182.67834936607</v>
      </c>
      <c r="W236" s="411"/>
      <c r="X236" s="411"/>
      <c r="Z236" s="203"/>
      <c r="AA236" s="204"/>
      <c r="AB236" s="198"/>
      <c r="AC236" s="198"/>
      <c r="AD236" s="198"/>
      <c r="AE236" s="198"/>
      <c r="AF236" s="198"/>
      <c r="AG236" s="199"/>
    </row>
    <row r="237" spans="1:33" ht="13.8">
      <c r="A237" s="197"/>
      <c r="B237" s="197"/>
      <c r="C237" s="198" t="s">
        <v>273</v>
      </c>
      <c r="D237" s="532" t="s">
        <v>259</v>
      </c>
      <c r="E237" s="1111">
        <v>347590</v>
      </c>
      <c r="F237" s="1111"/>
      <c r="G237" s="1111">
        <v>920</v>
      </c>
      <c r="H237" s="1111"/>
      <c r="I237" s="1111"/>
      <c r="J237" s="1111"/>
      <c r="K237" s="1111">
        <f>694973+72940</f>
        <v>767913</v>
      </c>
      <c r="L237" s="862"/>
      <c r="M237" s="299"/>
      <c r="N237" s="1119"/>
      <c r="O237" s="1017">
        <f t="shared" si="54"/>
        <v>349996.54055963934</v>
      </c>
      <c r="P237" s="1017">
        <f t="shared" si="54"/>
        <v>618.9009877507151</v>
      </c>
      <c r="Q237" s="1017">
        <f t="shared" si="54"/>
        <v>349654.06796504231</v>
      </c>
      <c r="R237" s="1017">
        <f t="shared" si="54"/>
        <v>532.18833000827033</v>
      </c>
      <c r="S237" s="1017">
        <f t="shared" si="54"/>
        <v>272.44408541024922</v>
      </c>
      <c r="T237" s="1017">
        <f t="shared" si="54"/>
        <v>10225.19177973886</v>
      </c>
      <c r="U237" s="1017">
        <f t="shared" si="54"/>
        <v>769971.78512608446</v>
      </c>
      <c r="V237" s="1120">
        <f t="shared" si="54"/>
        <v>18182.67834936607</v>
      </c>
      <c r="W237" s="411"/>
      <c r="X237" s="411"/>
      <c r="Z237" s="203"/>
      <c r="AA237" s="204"/>
      <c r="AB237" s="198"/>
      <c r="AC237" s="198"/>
      <c r="AD237" s="198"/>
      <c r="AE237" s="198"/>
      <c r="AF237" s="198"/>
      <c r="AG237" s="199"/>
    </row>
    <row r="238" spans="1:33" ht="13.8">
      <c r="A238" s="197"/>
      <c r="B238" s="197"/>
      <c r="C238" s="198" t="s">
        <v>255</v>
      </c>
      <c r="D238" s="532" t="s">
        <v>259</v>
      </c>
      <c r="E238" s="1111">
        <f>22862+160</f>
        <v>23022</v>
      </c>
      <c r="F238" s="1111"/>
      <c r="G238" s="1111">
        <v>920</v>
      </c>
      <c r="H238" s="1111"/>
      <c r="I238" s="1111"/>
      <c r="J238" s="1111"/>
      <c r="K238" s="1111">
        <v>2631</v>
      </c>
      <c r="L238" s="862"/>
      <c r="M238" s="299"/>
      <c r="N238" s="1119"/>
      <c r="O238" s="1017">
        <f t="shared" si="54"/>
        <v>373018.54055963934</v>
      </c>
      <c r="P238" s="1017">
        <f t="shared" si="54"/>
        <v>618.9009877507151</v>
      </c>
      <c r="Q238" s="1017">
        <f t="shared" si="54"/>
        <v>350574.06796504231</v>
      </c>
      <c r="R238" s="1017">
        <f t="shared" si="54"/>
        <v>532.18833000827033</v>
      </c>
      <c r="S238" s="1017">
        <f t="shared" si="54"/>
        <v>272.44408541024922</v>
      </c>
      <c r="T238" s="1017">
        <f t="shared" si="54"/>
        <v>10225.19177973886</v>
      </c>
      <c r="U238" s="1017">
        <f t="shared" si="54"/>
        <v>772602.78512608446</v>
      </c>
      <c r="V238" s="1120">
        <f t="shared" si="54"/>
        <v>18182.67834936607</v>
      </c>
      <c r="W238" s="411"/>
      <c r="X238" s="411"/>
      <c r="Z238" s="203"/>
      <c r="AA238" s="204"/>
      <c r="AB238" s="198"/>
      <c r="AC238" s="198"/>
      <c r="AD238" s="198"/>
      <c r="AE238" s="198"/>
      <c r="AF238" s="198"/>
      <c r="AG238" s="199"/>
    </row>
    <row r="239" spans="1:33" ht="13.8">
      <c r="A239" s="197"/>
      <c r="B239" s="197"/>
      <c r="C239" s="198" t="s">
        <v>274</v>
      </c>
      <c r="D239" s="532" t="s">
        <v>259</v>
      </c>
      <c r="E239" s="1111">
        <v>920</v>
      </c>
      <c r="F239" s="1111"/>
      <c r="G239" s="1111">
        <v>920</v>
      </c>
      <c r="H239" s="1111"/>
      <c r="I239" s="1111"/>
      <c r="J239" s="1111"/>
      <c r="K239" s="1111">
        <v>442182</v>
      </c>
      <c r="L239" s="862"/>
      <c r="M239" s="299"/>
      <c r="N239" s="1119"/>
      <c r="O239" s="1017">
        <f t="shared" si="54"/>
        <v>373938.54055963934</v>
      </c>
      <c r="P239" s="1017">
        <f t="shared" si="54"/>
        <v>618.9009877507151</v>
      </c>
      <c r="Q239" s="1017">
        <f t="shared" si="54"/>
        <v>351494.06796504231</v>
      </c>
      <c r="R239" s="1017">
        <f t="shared" si="54"/>
        <v>532.18833000827033</v>
      </c>
      <c r="S239" s="1017">
        <f t="shared" si="54"/>
        <v>272.44408541024922</v>
      </c>
      <c r="T239" s="1017">
        <f t="shared" si="54"/>
        <v>10225.19177973886</v>
      </c>
      <c r="U239" s="1017">
        <f t="shared" si="54"/>
        <v>1214784.7851260845</v>
      </c>
      <c r="V239" s="1120">
        <f t="shared" si="54"/>
        <v>18182.67834936607</v>
      </c>
      <c r="W239" s="411"/>
      <c r="X239" s="411"/>
      <c r="Z239" s="203"/>
      <c r="AA239" s="204"/>
      <c r="AB239" s="198"/>
      <c r="AC239" s="198"/>
      <c r="AD239" s="198"/>
      <c r="AE239" s="198"/>
      <c r="AF239" s="198"/>
      <c r="AG239" s="199"/>
    </row>
    <row r="240" spans="1:33" ht="13.8">
      <c r="A240" s="197"/>
      <c r="B240" s="197"/>
      <c r="C240" s="198" t="s">
        <v>275</v>
      </c>
      <c r="D240" s="532" t="s">
        <v>259</v>
      </c>
      <c r="E240" s="1111"/>
      <c r="F240" s="1111"/>
      <c r="G240" s="1111">
        <v>882189</v>
      </c>
      <c r="H240" s="1111"/>
      <c r="I240" s="1111"/>
      <c r="J240" s="1111"/>
      <c r="K240" s="1111"/>
      <c r="L240" s="862"/>
      <c r="M240" s="299"/>
      <c r="N240" s="1119"/>
      <c r="O240" s="1017">
        <f t="shared" si="54"/>
        <v>373938.54055963934</v>
      </c>
      <c r="P240" s="1017">
        <f t="shared" si="54"/>
        <v>618.9009877507151</v>
      </c>
      <c r="Q240" s="1017">
        <f t="shared" si="54"/>
        <v>1233683.0679650423</v>
      </c>
      <c r="R240" s="1017">
        <f t="shared" si="54"/>
        <v>532.18833000827033</v>
      </c>
      <c r="S240" s="1017">
        <f t="shared" si="54"/>
        <v>272.44408541024922</v>
      </c>
      <c r="T240" s="1017">
        <f t="shared" si="54"/>
        <v>10225.19177973886</v>
      </c>
      <c r="U240" s="1017">
        <f t="shared" si="54"/>
        <v>1214784.7851260845</v>
      </c>
      <c r="V240" s="1120">
        <f t="shared" si="54"/>
        <v>18182.67834936607</v>
      </c>
      <c r="W240" s="411"/>
      <c r="X240" s="411"/>
      <c r="Z240" s="203"/>
      <c r="AA240" s="204"/>
      <c r="AB240" s="198"/>
      <c r="AC240" s="198"/>
      <c r="AD240" s="198"/>
      <c r="AE240" s="198"/>
      <c r="AF240" s="198"/>
      <c r="AG240" s="199"/>
    </row>
    <row r="241" spans="1:33" ht="13.8">
      <c r="A241" s="197"/>
      <c r="B241" s="197"/>
      <c r="C241" s="198" t="s">
        <v>276</v>
      </c>
      <c r="D241" s="532" t="s">
        <v>259</v>
      </c>
      <c r="E241" s="1111"/>
      <c r="F241" s="1111"/>
      <c r="G241" s="1111"/>
      <c r="H241" s="1111"/>
      <c r="I241" s="1111"/>
      <c r="J241" s="1111"/>
      <c r="K241" s="1111"/>
      <c r="L241" s="862"/>
      <c r="M241" s="299"/>
      <c r="N241" s="1119"/>
      <c r="O241" s="1017">
        <f t="shared" si="54"/>
        <v>373938.54055963934</v>
      </c>
      <c r="P241" s="1017">
        <f t="shared" si="54"/>
        <v>618.9009877507151</v>
      </c>
      <c r="Q241" s="1017">
        <f t="shared" si="54"/>
        <v>1233683.0679650423</v>
      </c>
      <c r="R241" s="1017">
        <f t="shared" si="54"/>
        <v>532.18833000827033</v>
      </c>
      <c r="S241" s="1017">
        <f t="shared" si="54"/>
        <v>272.44408541024922</v>
      </c>
      <c r="T241" s="1017">
        <f t="shared" si="54"/>
        <v>10225.19177973886</v>
      </c>
      <c r="U241" s="1017">
        <f t="shared" si="54"/>
        <v>1214784.7851260845</v>
      </c>
      <c r="V241" s="1120">
        <f t="shared" si="54"/>
        <v>18182.67834936607</v>
      </c>
      <c r="W241" s="411"/>
      <c r="X241" s="411"/>
      <c r="Z241" s="203"/>
      <c r="AA241" s="204"/>
      <c r="AB241" s="198"/>
      <c r="AC241" s="198"/>
      <c r="AD241" s="198"/>
      <c r="AE241" s="198"/>
      <c r="AF241" s="198"/>
      <c r="AG241" s="199"/>
    </row>
    <row r="242" spans="1:33" ht="13.8">
      <c r="A242" s="197"/>
      <c r="B242" s="197"/>
      <c r="C242" s="198" t="s">
        <v>277</v>
      </c>
      <c r="D242" s="532" t="s">
        <v>259</v>
      </c>
      <c r="E242" s="1111"/>
      <c r="F242" s="1111"/>
      <c r="G242" s="1111"/>
      <c r="H242" s="1111"/>
      <c r="I242" s="1111"/>
      <c r="J242" s="1111"/>
      <c r="K242" s="1111"/>
      <c r="L242" s="862"/>
      <c r="M242" s="299"/>
      <c r="N242" s="1119"/>
      <c r="O242" s="1017">
        <f t="shared" si="54"/>
        <v>373938.54055963934</v>
      </c>
      <c r="P242" s="1017">
        <f t="shared" si="54"/>
        <v>618.9009877507151</v>
      </c>
      <c r="Q242" s="1017">
        <f t="shared" si="54"/>
        <v>1233683.0679650423</v>
      </c>
      <c r="R242" s="1017">
        <f t="shared" si="54"/>
        <v>532.18833000827033</v>
      </c>
      <c r="S242" s="1017">
        <f t="shared" si="54"/>
        <v>272.44408541024922</v>
      </c>
      <c r="T242" s="1017">
        <f t="shared" si="54"/>
        <v>10225.19177973886</v>
      </c>
      <c r="U242" s="1017">
        <f t="shared" si="54"/>
        <v>1214784.7851260845</v>
      </c>
      <c r="V242" s="1120">
        <f t="shared" si="54"/>
        <v>18182.67834936607</v>
      </c>
      <c r="W242" s="411"/>
      <c r="X242" s="411"/>
      <c r="Z242" s="203"/>
      <c r="AA242" s="204"/>
      <c r="AB242" s="198"/>
      <c r="AC242" s="198"/>
      <c r="AD242" s="198"/>
      <c r="AE242" s="198"/>
      <c r="AF242" s="198"/>
      <c r="AG242" s="199"/>
    </row>
    <row r="243" spans="1:33" ht="13.8">
      <c r="A243" s="197"/>
      <c r="B243" s="197"/>
      <c r="C243" s="198" t="s">
        <v>278</v>
      </c>
      <c r="D243" s="532" t="s">
        <v>259</v>
      </c>
      <c r="E243" s="1111"/>
      <c r="F243" s="1111"/>
      <c r="G243" s="1111"/>
      <c r="H243" s="1111"/>
      <c r="I243" s="1111"/>
      <c r="J243" s="1111"/>
      <c r="K243" s="1111"/>
      <c r="L243" s="862"/>
      <c r="M243" s="299"/>
      <c r="N243" s="1119"/>
      <c r="O243" s="1017">
        <f t="shared" si="54"/>
        <v>373938.54055963934</v>
      </c>
      <c r="P243" s="1017">
        <f t="shared" si="54"/>
        <v>618.9009877507151</v>
      </c>
      <c r="Q243" s="1017">
        <f t="shared" si="54"/>
        <v>1233683.0679650423</v>
      </c>
      <c r="R243" s="1017">
        <f t="shared" si="54"/>
        <v>532.18833000827033</v>
      </c>
      <c r="S243" s="1017">
        <f t="shared" si="54"/>
        <v>272.44408541024922</v>
      </c>
      <c r="T243" s="1017">
        <f t="shared" si="54"/>
        <v>10225.19177973886</v>
      </c>
      <c r="U243" s="1017">
        <f t="shared" si="54"/>
        <v>1214784.7851260845</v>
      </c>
      <c r="V243" s="1120">
        <f t="shared" si="54"/>
        <v>18182.67834936607</v>
      </c>
      <c r="W243" s="411"/>
      <c r="X243" s="411"/>
      <c r="Z243" s="203"/>
      <c r="AA243" s="204"/>
      <c r="AB243" s="198"/>
      <c r="AC243" s="198"/>
      <c r="AD243" s="198"/>
      <c r="AE243" s="198"/>
      <c r="AF243" s="198"/>
      <c r="AG243" s="199"/>
    </row>
    <row r="244" spans="1:33" ht="13.8">
      <c r="A244" s="197"/>
      <c r="B244" s="197"/>
      <c r="C244" s="198" t="s">
        <v>279</v>
      </c>
      <c r="D244" s="532" t="s">
        <v>259</v>
      </c>
      <c r="E244" s="1111"/>
      <c r="F244" s="1111"/>
      <c r="G244" s="1111"/>
      <c r="H244" s="1111"/>
      <c r="I244" s="1111"/>
      <c r="J244" s="1111"/>
      <c r="K244" s="1111"/>
      <c r="L244" s="862"/>
      <c r="M244" s="299"/>
      <c r="N244" s="1119"/>
      <c r="O244" s="1017">
        <f t="shared" si="54"/>
        <v>373938.54055963934</v>
      </c>
      <c r="P244" s="1017">
        <f t="shared" si="54"/>
        <v>618.9009877507151</v>
      </c>
      <c r="Q244" s="1017">
        <f t="shared" si="54"/>
        <v>1233683.0679650423</v>
      </c>
      <c r="R244" s="1017">
        <f t="shared" si="54"/>
        <v>532.18833000827033</v>
      </c>
      <c r="S244" s="1017">
        <f t="shared" si="54"/>
        <v>272.44408541024922</v>
      </c>
      <c r="T244" s="1017">
        <f t="shared" si="54"/>
        <v>10225.19177973886</v>
      </c>
      <c r="U244" s="1017">
        <f t="shared" si="54"/>
        <v>1214784.7851260845</v>
      </c>
      <c r="V244" s="1120">
        <f t="shared" si="54"/>
        <v>18182.67834936607</v>
      </c>
      <c r="W244" s="411"/>
      <c r="X244" s="411"/>
      <c r="Z244" s="203"/>
      <c r="AA244" s="204"/>
      <c r="AB244" s="198"/>
      <c r="AC244" s="198"/>
      <c r="AD244" s="198"/>
      <c r="AE244" s="198"/>
      <c r="AF244" s="198"/>
      <c r="AG244" s="199"/>
    </row>
    <row r="245" spans="1:33" ht="14.4" thickBot="1">
      <c r="A245" s="197"/>
      <c r="B245" s="197"/>
      <c r="C245" s="198" t="s">
        <v>280</v>
      </c>
      <c r="D245" s="401" t="s">
        <v>259</v>
      </c>
      <c r="E245" s="1112"/>
      <c r="F245" s="1112"/>
      <c r="G245" s="1112"/>
      <c r="H245" s="1112"/>
      <c r="I245" s="1112"/>
      <c r="J245" s="1112"/>
      <c r="K245" s="1112"/>
      <c r="L245" s="863"/>
      <c r="M245" s="299"/>
      <c r="N245" s="1121"/>
      <c r="O245" s="1122">
        <f t="shared" si="54"/>
        <v>373938.54055963934</v>
      </c>
      <c r="P245" s="1122">
        <f t="shared" si="54"/>
        <v>618.9009877507151</v>
      </c>
      <c r="Q245" s="1122">
        <f t="shared" si="54"/>
        <v>1233683.0679650423</v>
      </c>
      <c r="R245" s="1122">
        <f t="shared" si="54"/>
        <v>532.18833000827033</v>
      </c>
      <c r="S245" s="1122">
        <f t="shared" si="54"/>
        <v>272.44408541024922</v>
      </c>
      <c r="T245" s="1122">
        <f t="shared" si="54"/>
        <v>10225.19177973886</v>
      </c>
      <c r="U245" s="1122">
        <f t="shared" si="54"/>
        <v>1214784.7851260845</v>
      </c>
      <c r="V245" s="1123">
        <f t="shared" si="54"/>
        <v>18182.67834936607</v>
      </c>
      <c r="W245" s="411"/>
      <c r="X245" s="411"/>
      <c r="Z245" s="203"/>
      <c r="AA245" s="204"/>
      <c r="AB245" s="198"/>
      <c r="AC245" s="198"/>
      <c r="AD245" s="198"/>
      <c r="AE245" s="198"/>
      <c r="AF245" s="198"/>
      <c r="AG245" s="199"/>
    </row>
    <row r="246" spans="1:33" ht="13.8">
      <c r="A246" s="197"/>
      <c r="B246" s="197"/>
      <c r="C246" s="198" t="s">
        <v>524</v>
      </c>
      <c r="D246" s="204" t="s">
        <v>447</v>
      </c>
      <c r="E246" s="864">
        <f t="shared" si="55" ref="E246:L246">SUM(E233:E245)</f>
        <v>373938.54055963934</v>
      </c>
      <c r="F246" s="864">
        <f t="shared" si="55"/>
        <v>618.9009877507151</v>
      </c>
      <c r="G246" s="864">
        <f t="shared" si="55"/>
        <v>1233683.0679650423</v>
      </c>
      <c r="H246" s="864">
        <f t="shared" si="55"/>
        <v>532.18833000827033</v>
      </c>
      <c r="I246" s="864">
        <f t="shared" si="55"/>
        <v>272.44408541024922</v>
      </c>
      <c r="J246" s="864">
        <f t="shared" si="55"/>
        <v>10225.19177973886</v>
      </c>
      <c r="K246" s="864">
        <f t="shared" si="55"/>
        <v>1214784.7851260845</v>
      </c>
      <c r="L246" s="864">
        <f t="shared" si="55"/>
        <v>18182.67834936607</v>
      </c>
      <c r="M246" s="299"/>
      <c r="N246" s="299"/>
      <c r="O246" s="1114">
        <f t="shared" si="56" ref="O246:V246">SUM(O233:O245)</f>
        <v>3342991.4055963927</v>
      </c>
      <c r="P246" s="1114">
        <f t="shared" si="56"/>
        <v>3415.509877507151</v>
      </c>
      <c r="Q246" s="1114">
        <f t="shared" si="56"/>
        <v>9708560.2703888472</v>
      </c>
      <c r="R246" s="1114">
        <f t="shared" si="56"/>
        <v>5321.8833000827026</v>
      </c>
      <c r="S246" s="1114">
        <f t="shared" si="56"/>
        <v>2724.4408541024918</v>
      </c>
      <c r="T246" s="1114">
        <f t="shared" si="56"/>
        <v>112251.9177973886</v>
      </c>
      <c r="U246" s="1114">
        <f t="shared" si="56"/>
        <v>10048126.851260845</v>
      </c>
      <c r="V246" s="1114">
        <f t="shared" si="56"/>
        <v>210756.95349366064</v>
      </c>
      <c r="W246" s="411"/>
      <c r="X246" s="411"/>
      <c r="Z246" s="203"/>
      <c r="AA246" s="204"/>
      <c r="AB246" s="198"/>
      <c r="AC246" s="198"/>
      <c r="AD246" s="198"/>
      <c r="AE246" s="198"/>
      <c r="AF246" s="198"/>
      <c r="AG246" s="199"/>
    </row>
    <row r="247" spans="1:33" ht="13.8">
      <c r="A247" s="197"/>
      <c r="B247" s="197"/>
      <c r="C247" s="198" t="s">
        <v>260</v>
      </c>
      <c r="E247" s="316"/>
      <c r="F247" s="316"/>
      <c r="G247" s="204"/>
      <c r="H247" s="204"/>
      <c r="I247" s="204"/>
      <c r="J247" s="204"/>
      <c r="K247" s="204"/>
      <c r="L247" s="299"/>
      <c r="M247" s="299"/>
      <c r="N247" s="316"/>
      <c r="O247" s="839">
        <f>O246/13</f>
        <v>257153.18504587637</v>
      </c>
      <c r="P247" s="839">
        <f>P246/13</f>
        <v>262.7315290390116</v>
      </c>
      <c r="Q247" s="839">
        <f t="shared" si="57" ref="Q247:V247">Q246/13</f>
        <v>746812.32849144982</v>
      </c>
      <c r="R247" s="839">
        <f t="shared" si="57"/>
        <v>409.37563846790022</v>
      </c>
      <c r="S247" s="839">
        <f t="shared" si="57"/>
        <v>209.57237339249937</v>
      </c>
      <c r="T247" s="839">
        <f t="shared" si="57"/>
        <v>8634.7629074914312</v>
      </c>
      <c r="U247" s="839">
        <f t="shared" si="57"/>
        <v>772932.83471237263</v>
      </c>
      <c r="V247" s="839">
        <f t="shared" si="57"/>
        <v>16212.073345666202</v>
      </c>
      <c r="W247" s="411"/>
      <c r="X247" s="411"/>
      <c r="Z247" s="203"/>
      <c r="AA247" s="204"/>
      <c r="AB247" s="198"/>
      <c r="AC247" s="198"/>
      <c r="AD247" s="198"/>
      <c r="AE247" s="198"/>
      <c r="AF247" s="198"/>
      <c r="AG247" s="199"/>
    </row>
    <row r="248" spans="1:33" ht="13.8">
      <c r="A248" s="197"/>
      <c r="B248" s="197"/>
      <c r="C248" s="198"/>
      <c r="E248" s="316"/>
      <c r="F248" s="316"/>
      <c r="G248" s="204"/>
      <c r="H248" s="204"/>
      <c r="I248" s="204"/>
      <c r="J248" s="204"/>
      <c r="K248" s="204"/>
      <c r="L248" s="299"/>
      <c r="M248" s="299"/>
      <c r="N248" s="316"/>
      <c r="O248" s="839"/>
      <c r="P248" s="839"/>
      <c r="Q248" s="839"/>
      <c r="R248" s="839"/>
      <c r="S248" s="839"/>
      <c r="T248" s="839"/>
      <c r="U248" s="839"/>
      <c r="V248" s="839"/>
      <c r="W248" s="411"/>
      <c r="X248" s="411"/>
      <c r="Z248" s="203"/>
      <c r="AA248" s="204"/>
      <c r="AB248" s="198"/>
      <c r="AC248" s="198"/>
      <c r="AD248" s="198"/>
      <c r="AE248" s="198"/>
      <c r="AF248" s="198"/>
      <c r="AG248" s="199"/>
    </row>
    <row r="249" spans="1:33" ht="14.4" thickBot="1">
      <c r="A249" s="197"/>
      <c r="B249" s="197"/>
      <c r="C249" s="198"/>
      <c r="E249" s="316"/>
      <c r="F249" s="316"/>
      <c r="G249" s="204"/>
      <c r="H249" s="204"/>
      <c r="I249" s="204"/>
      <c r="J249" s="204"/>
      <c r="K249" s="204"/>
      <c r="L249" s="299"/>
      <c r="M249" s="299"/>
      <c r="N249" s="316"/>
      <c r="O249" s="839"/>
      <c r="P249" s="839"/>
      <c r="Q249" s="839"/>
      <c r="R249" s="839"/>
      <c r="S249" s="839"/>
      <c r="T249" s="839"/>
      <c r="U249" s="839"/>
      <c r="V249" s="839"/>
      <c r="W249" s="411"/>
      <c r="X249" s="411"/>
      <c r="Z249" s="203"/>
      <c r="AA249" s="204"/>
      <c r="AB249" s="198"/>
      <c r="AC249" s="198"/>
      <c r="AD249" s="198"/>
      <c r="AE249" s="198"/>
      <c r="AF249" s="198"/>
      <c r="AG249" s="199"/>
    </row>
    <row r="250" spans="1:33" ht="14.4" thickBot="1">
      <c r="A250" s="197"/>
      <c r="B250" s="197"/>
      <c r="C250" s="197"/>
      <c r="D250" s="859" t="s">
        <v>355</v>
      </c>
      <c r="E250" s="860" t="s">
        <v>356</v>
      </c>
      <c r="F250" s="860" t="s">
        <v>357</v>
      </c>
      <c r="G250" s="860" t="s">
        <v>358</v>
      </c>
      <c r="H250" s="860" t="s">
        <v>633</v>
      </c>
      <c r="I250" s="860" t="s">
        <v>639</v>
      </c>
      <c r="J250" s="1115" t="s">
        <v>465</v>
      </c>
      <c r="K250" s="1115" t="s">
        <v>466</v>
      </c>
      <c r="L250" s="861" t="s">
        <v>291</v>
      </c>
      <c r="M250" s="299"/>
      <c r="N250" s="1799" t="s">
        <v>580</v>
      </c>
      <c r="O250" s="1800"/>
      <c r="P250" s="1800"/>
      <c r="Q250" s="1800"/>
      <c r="R250" s="1800"/>
      <c r="S250" s="1800"/>
      <c r="T250" s="1800"/>
      <c r="U250" s="1800"/>
      <c r="V250" s="1801"/>
      <c r="W250" s="411"/>
      <c r="X250" s="411"/>
      <c r="Z250" s="203"/>
      <c r="AA250" s="204"/>
      <c r="AB250" s="198"/>
      <c r="AC250" s="198"/>
      <c r="AD250" s="198"/>
      <c r="AE250" s="198"/>
      <c r="AF250" s="198"/>
      <c r="AG250" s="199"/>
    </row>
    <row r="251" spans="1:33" ht="40.2" thickBot="1">
      <c r="A251" s="197"/>
      <c r="B251" s="197"/>
      <c r="C251" s="198"/>
      <c r="D251" s="665"/>
      <c r="E251" s="1650" t="s">
        <v>1446</v>
      </c>
      <c r="F251" s="1650" t="s">
        <v>1447</v>
      </c>
      <c r="G251" s="1650" t="s">
        <v>942</v>
      </c>
      <c r="H251" s="1650" t="s">
        <v>1448</v>
      </c>
      <c r="I251" s="1650" t="s">
        <v>1449</v>
      </c>
      <c r="J251" s="1650" t="s">
        <v>1450</v>
      </c>
      <c r="K251" s="1650" t="s">
        <v>950</v>
      </c>
      <c r="L251" s="1651" t="s">
        <v>1451</v>
      </c>
      <c r="M251" s="299"/>
      <c r="N251" s="665" t="s">
        <v>579</v>
      </c>
      <c r="O251" s="625" t="s">
        <v>1446</v>
      </c>
      <c r="P251" s="625" t="s">
        <v>1447</v>
      </c>
      <c r="Q251" s="625" t="s">
        <v>942</v>
      </c>
      <c r="R251" s="625" t="s">
        <v>1448</v>
      </c>
      <c r="S251" s="625" t="s">
        <v>1449</v>
      </c>
      <c r="T251" s="625" t="s">
        <v>1450</v>
      </c>
      <c r="U251" s="625" t="s">
        <v>950</v>
      </c>
      <c r="V251" s="1107" t="s">
        <v>1451</v>
      </c>
      <c r="W251" s="411"/>
      <c r="X251" s="411"/>
      <c r="Z251" s="203"/>
      <c r="AA251" s="204"/>
      <c r="AB251" s="198"/>
      <c r="AC251" s="198"/>
      <c r="AD251" s="198"/>
      <c r="AE251" s="198"/>
      <c r="AF251" s="198"/>
      <c r="AG251" s="199"/>
    </row>
    <row r="252" spans="1:33" ht="14.4" thickBot="1">
      <c r="A252" s="197"/>
      <c r="B252" s="197"/>
      <c r="C252" s="198"/>
      <c r="D252" s="858"/>
      <c r="E252" s="625" t="s">
        <v>632</v>
      </c>
      <c r="F252" s="625" t="s">
        <v>632</v>
      </c>
      <c r="G252" s="625" t="s">
        <v>632</v>
      </c>
      <c r="H252" s="625" t="s">
        <v>632</v>
      </c>
      <c r="I252" s="625" t="s">
        <v>632</v>
      </c>
      <c r="J252" s="625" t="s">
        <v>632</v>
      </c>
      <c r="K252" s="625" t="s">
        <v>632</v>
      </c>
      <c r="L252" s="1107" t="s">
        <v>632</v>
      </c>
      <c r="M252" s="299"/>
      <c r="N252" s="859"/>
      <c r="O252" s="625" t="str">
        <f>E252</f>
        <v>(in service)</v>
      </c>
      <c r="P252" s="625" t="s">
        <v>447</v>
      </c>
      <c r="Q252" s="625" t="s">
        <v>447</v>
      </c>
      <c r="R252" s="625" t="s">
        <v>632</v>
      </c>
      <c r="S252" s="625" t="s">
        <v>632</v>
      </c>
      <c r="T252" s="625" t="s">
        <v>632</v>
      </c>
      <c r="U252" s="625" t="s">
        <v>632</v>
      </c>
      <c r="V252" s="1107" t="s">
        <v>632</v>
      </c>
      <c r="W252" s="411"/>
      <c r="X252" s="411"/>
      <c r="Z252" s="203"/>
      <c r="AA252" s="204"/>
      <c r="AB252" s="198"/>
      <c r="AC252" s="198"/>
      <c r="AD252" s="198"/>
      <c r="AE252" s="198"/>
      <c r="AF252" s="198"/>
      <c r="AG252" s="199"/>
    </row>
    <row r="253" spans="1:33" ht="21.6">
      <c r="A253" s="197"/>
      <c r="B253" s="197"/>
      <c r="C253" s="1108" t="s">
        <v>122</v>
      </c>
      <c r="D253" s="1110" t="s">
        <v>258</v>
      </c>
      <c r="E253" s="1111"/>
      <c r="F253" s="1111"/>
      <c r="G253" s="1111"/>
      <c r="H253" s="1111"/>
      <c r="I253" s="1111"/>
      <c r="J253" s="1111"/>
      <c r="K253" s="1111"/>
      <c r="L253" s="862"/>
      <c r="M253" s="299"/>
      <c r="N253" s="1116"/>
      <c r="O253" s="1117">
        <f t="shared" si="58" ref="O253">E253</f>
        <v>0</v>
      </c>
      <c r="P253" s="1117">
        <f>F253</f>
        <v>0</v>
      </c>
      <c r="Q253" s="1117">
        <f t="shared" si="59" ref="Q253">G253</f>
        <v>0</v>
      </c>
      <c r="R253" s="1117">
        <f t="shared" si="60" ref="R253">H253</f>
        <v>0</v>
      </c>
      <c r="S253" s="1117">
        <f t="shared" si="61" ref="S253">I253</f>
        <v>0</v>
      </c>
      <c r="T253" s="1117">
        <f t="shared" si="62" ref="T253">J253</f>
        <v>0</v>
      </c>
      <c r="U253" s="1117">
        <f t="shared" si="63" ref="U253">K253</f>
        <v>0</v>
      </c>
      <c r="V253" s="1118">
        <f t="shared" si="64" ref="V253">L253</f>
        <v>0</v>
      </c>
      <c r="W253" s="411"/>
      <c r="X253" s="411"/>
      <c r="Z253" s="203"/>
      <c r="AA253" s="204"/>
      <c r="AB253" s="198"/>
      <c r="AC253" s="198"/>
      <c r="AD253" s="198"/>
      <c r="AE253" s="198"/>
      <c r="AF253" s="198"/>
      <c r="AG253" s="199"/>
    </row>
    <row r="254" spans="1:33" ht="13.8">
      <c r="A254" s="197"/>
      <c r="B254" s="197"/>
      <c r="C254" s="334" t="s">
        <v>1444</v>
      </c>
      <c r="D254" s="1110" t="s">
        <v>258</v>
      </c>
      <c r="E254" s="1111"/>
      <c r="F254" s="1111"/>
      <c r="G254" s="1111"/>
      <c r="H254" s="1111"/>
      <c r="I254" s="1111">
        <v>59278.09</v>
      </c>
      <c r="J254" s="1111"/>
      <c r="K254" s="1111"/>
      <c r="L254" s="862"/>
      <c r="M254" s="299"/>
      <c r="N254" s="1119"/>
      <c r="O254" s="1017">
        <f t="shared" si="65" ref="O254:O265">O253+E254</f>
        <v>0</v>
      </c>
      <c r="P254" s="1017">
        <f>P253+F254</f>
        <v>0</v>
      </c>
      <c r="Q254" s="1017">
        <f t="shared" si="66" ref="Q254:Q265">Q253+G254</f>
        <v>0</v>
      </c>
      <c r="R254" s="1017">
        <f t="shared" si="67" ref="R254:R265">R253+H254</f>
        <v>0</v>
      </c>
      <c r="S254" s="1017">
        <f t="shared" si="68" ref="S254:S265">S253+I254</f>
        <v>59278.09</v>
      </c>
      <c r="T254" s="1017">
        <f t="shared" si="69" ref="T254:T265">T253+J254</f>
        <v>0</v>
      </c>
      <c r="U254" s="1017">
        <f t="shared" si="70" ref="U254:U265">U253+K254</f>
        <v>0</v>
      </c>
      <c r="V254" s="1120">
        <f t="shared" si="71" ref="V254:V265">V253+L254</f>
        <v>0</v>
      </c>
      <c r="W254" s="411"/>
      <c r="X254" s="411"/>
      <c r="Z254" s="203"/>
      <c r="AA254" s="204"/>
      <c r="AB254" s="198"/>
      <c r="AC254" s="198"/>
      <c r="AD254" s="198"/>
      <c r="AE254" s="198"/>
      <c r="AF254" s="198"/>
      <c r="AG254" s="199"/>
    </row>
    <row r="255" spans="1:33" ht="13.8">
      <c r="A255" s="197"/>
      <c r="B255" s="197"/>
      <c r="C255" s="198" t="s">
        <v>271</v>
      </c>
      <c r="D255" s="1110" t="s">
        <v>258</v>
      </c>
      <c r="E255" s="1111">
        <v>0</v>
      </c>
      <c r="F255" s="1111">
        <v>0</v>
      </c>
      <c r="G255" s="1111">
        <v>0</v>
      </c>
      <c r="H255" s="1111">
        <v>0</v>
      </c>
      <c r="I255" s="1111">
        <v>0</v>
      </c>
      <c r="J255" s="1111">
        <v>0</v>
      </c>
      <c r="K255" s="1111">
        <v>0</v>
      </c>
      <c r="L255" s="862">
        <v>0</v>
      </c>
      <c r="M255" s="299"/>
      <c r="N255" s="1119"/>
      <c r="O255" s="1017">
        <f t="shared" si="65"/>
        <v>0</v>
      </c>
      <c r="P255" s="1017">
        <f t="shared" si="72" ref="P255:P265">P254+F255</f>
        <v>0</v>
      </c>
      <c r="Q255" s="1017">
        <f t="shared" si="66"/>
        <v>0</v>
      </c>
      <c r="R255" s="1017">
        <f t="shared" si="67"/>
        <v>0</v>
      </c>
      <c r="S255" s="1017">
        <f t="shared" si="68"/>
        <v>59278.09</v>
      </c>
      <c r="T255" s="1017">
        <f t="shared" si="69"/>
        <v>0</v>
      </c>
      <c r="U255" s="1017">
        <f t="shared" si="70"/>
        <v>0</v>
      </c>
      <c r="V255" s="1120">
        <f t="shared" si="71"/>
        <v>0</v>
      </c>
      <c r="W255" s="411"/>
      <c r="X255" s="411"/>
      <c r="Z255" s="203"/>
      <c r="AA255" s="204"/>
      <c r="AB255" s="198"/>
      <c r="AC255" s="198"/>
      <c r="AD255" s="198"/>
      <c r="AE255" s="198"/>
      <c r="AF255" s="198"/>
      <c r="AG255" s="199"/>
    </row>
    <row r="256" spans="1:33" ht="13.8">
      <c r="A256" s="197"/>
      <c r="B256" s="197"/>
      <c r="C256" s="198" t="s">
        <v>272</v>
      </c>
      <c r="D256" s="1110" t="s">
        <v>258</v>
      </c>
      <c r="E256" s="1111">
        <v>1707.0521597776853</v>
      </c>
      <c r="F256" s="1111">
        <v>422.30383989432113</v>
      </c>
      <c r="G256" s="1111">
        <v>1380.0380486653937</v>
      </c>
      <c r="H256" s="1111">
        <v>1225.5560453157464</v>
      </c>
      <c r="I256" s="1111">
        <v>8999.8267636658675</v>
      </c>
      <c r="J256" s="1111">
        <v>1172.3069837513929</v>
      </c>
      <c r="K256" s="1111">
        <v>199.8633034262364</v>
      </c>
      <c r="L256" s="862">
        <v>155.75713562137264</v>
      </c>
      <c r="M256" s="299"/>
      <c r="N256" s="1119"/>
      <c r="O256" s="1017">
        <f t="shared" si="65"/>
        <v>1707.0521597776853</v>
      </c>
      <c r="P256" s="1017">
        <f t="shared" si="72"/>
        <v>422.30383989432113</v>
      </c>
      <c r="Q256" s="1017">
        <f t="shared" si="66"/>
        <v>1380.0380486653937</v>
      </c>
      <c r="R256" s="1017">
        <f t="shared" si="67"/>
        <v>1225.5560453157464</v>
      </c>
      <c r="S256" s="1017">
        <f t="shared" si="68"/>
        <v>68277.916763665868</v>
      </c>
      <c r="T256" s="1017">
        <f t="shared" si="69"/>
        <v>1172.3069837513929</v>
      </c>
      <c r="U256" s="1017">
        <f t="shared" si="70"/>
        <v>199.8633034262364</v>
      </c>
      <c r="V256" s="1120">
        <f t="shared" si="71"/>
        <v>155.75713562137264</v>
      </c>
      <c r="W256" s="411"/>
      <c r="X256" s="411"/>
      <c r="Z256" s="203"/>
      <c r="AA256" s="204"/>
      <c r="AB256" s="198"/>
      <c r="AC256" s="198"/>
      <c r="AD256" s="198"/>
      <c r="AE256" s="198"/>
      <c r="AF256" s="198"/>
      <c r="AG256" s="199"/>
    </row>
    <row r="257" spans="1:33" ht="13.8">
      <c r="A257" s="197"/>
      <c r="B257" s="197"/>
      <c r="C257" s="198" t="s">
        <v>273</v>
      </c>
      <c r="D257" s="532" t="s">
        <v>259</v>
      </c>
      <c r="E257" s="1111">
        <v>3584</v>
      </c>
      <c r="F257" s="1111"/>
      <c r="G257" s="1111"/>
      <c r="H257" s="1111">
        <v>468403</v>
      </c>
      <c r="I257" s="1111"/>
      <c r="J257" s="1111"/>
      <c r="K257" s="1111"/>
      <c r="L257" s="862"/>
      <c r="M257" s="299"/>
      <c r="N257" s="1119"/>
      <c r="O257" s="1017">
        <f t="shared" si="65"/>
        <v>5291.0521597776851</v>
      </c>
      <c r="P257" s="1017">
        <f t="shared" si="72"/>
        <v>422.30383989432113</v>
      </c>
      <c r="Q257" s="1017">
        <f t="shared" si="66"/>
        <v>1380.0380486653937</v>
      </c>
      <c r="R257" s="1017">
        <f t="shared" si="67"/>
        <v>469628.55604531575</v>
      </c>
      <c r="S257" s="1017">
        <f t="shared" si="68"/>
        <v>68277.916763665868</v>
      </c>
      <c r="T257" s="1017">
        <f t="shared" si="69"/>
        <v>1172.3069837513929</v>
      </c>
      <c r="U257" s="1017">
        <f t="shared" si="70"/>
        <v>199.8633034262364</v>
      </c>
      <c r="V257" s="1120">
        <f>V256+L257</f>
        <v>155.75713562137264</v>
      </c>
      <c r="W257" s="411"/>
      <c r="X257" s="411"/>
      <c r="Z257" s="203"/>
      <c r="AA257" s="204"/>
      <c r="AB257" s="198"/>
      <c r="AC257" s="198"/>
      <c r="AD257" s="198"/>
      <c r="AE257" s="198"/>
      <c r="AF257" s="198"/>
      <c r="AG257" s="199"/>
    </row>
    <row r="258" spans="1:33" ht="13.8">
      <c r="A258" s="197"/>
      <c r="B258" s="197"/>
      <c r="C258" s="198" t="s">
        <v>255</v>
      </c>
      <c r="D258" s="532" t="s">
        <v>259</v>
      </c>
      <c r="E258" s="1111">
        <v>3233</v>
      </c>
      <c r="F258" s="1111"/>
      <c r="G258" s="1111"/>
      <c r="H258" s="1111"/>
      <c r="I258" s="1111"/>
      <c r="J258" s="1111"/>
      <c r="K258" s="1111"/>
      <c r="L258" s="862"/>
      <c r="M258" s="299"/>
      <c r="N258" s="1119"/>
      <c r="O258" s="1017">
        <f t="shared" si="65"/>
        <v>8524.052159777686</v>
      </c>
      <c r="P258" s="1017">
        <f t="shared" si="72"/>
        <v>422.30383989432113</v>
      </c>
      <c r="Q258" s="1017">
        <f t="shared" si="66"/>
        <v>1380.0380486653937</v>
      </c>
      <c r="R258" s="1017">
        <f t="shared" si="67"/>
        <v>469628.55604531575</v>
      </c>
      <c r="S258" s="1017">
        <f t="shared" si="68"/>
        <v>68277.916763665868</v>
      </c>
      <c r="T258" s="1017">
        <f t="shared" si="69"/>
        <v>1172.3069837513929</v>
      </c>
      <c r="U258" s="1017">
        <f t="shared" si="70"/>
        <v>199.8633034262364</v>
      </c>
      <c r="V258" s="1120">
        <f t="shared" si="71"/>
        <v>155.75713562137264</v>
      </c>
      <c r="W258" s="411"/>
      <c r="X258" s="411"/>
      <c r="Z258" s="203"/>
      <c r="AA258" s="204"/>
      <c r="AB258" s="198"/>
      <c r="AC258" s="198"/>
      <c r="AD258" s="198"/>
      <c r="AE258" s="198"/>
      <c r="AF258" s="198"/>
      <c r="AG258" s="199"/>
    </row>
    <row r="259" spans="1:33" ht="13.8">
      <c r="A259" s="197"/>
      <c r="B259" s="197"/>
      <c r="C259" s="198" t="s">
        <v>274</v>
      </c>
      <c r="D259" s="532" t="s">
        <v>259</v>
      </c>
      <c r="E259" s="1111">
        <v>2765</v>
      </c>
      <c r="F259" s="1111"/>
      <c r="G259" s="1111"/>
      <c r="H259" s="1111">
        <v>10496419</v>
      </c>
      <c r="I259" s="1111"/>
      <c r="J259" s="1111"/>
      <c r="K259" s="1111"/>
      <c r="L259" s="862"/>
      <c r="M259" s="299"/>
      <c r="N259" s="1119"/>
      <c r="O259" s="1017">
        <f t="shared" si="65"/>
        <v>11289.052159777686</v>
      </c>
      <c r="P259" s="1017">
        <f t="shared" si="72"/>
        <v>422.30383989432113</v>
      </c>
      <c r="Q259" s="1017">
        <f t="shared" si="66"/>
        <v>1380.0380486653937</v>
      </c>
      <c r="R259" s="1017">
        <f t="shared" si="67"/>
        <v>10966047.556045316</v>
      </c>
      <c r="S259" s="1017">
        <f t="shared" si="68"/>
        <v>68277.916763665868</v>
      </c>
      <c r="T259" s="1017">
        <f t="shared" si="69"/>
        <v>1172.3069837513929</v>
      </c>
      <c r="U259" s="1017">
        <f t="shared" si="70"/>
        <v>199.8633034262364</v>
      </c>
      <c r="V259" s="1120">
        <f t="shared" si="71"/>
        <v>155.75713562137264</v>
      </c>
      <c r="W259" s="411"/>
      <c r="X259" s="411"/>
      <c r="Z259" s="203"/>
      <c r="AA259" s="204"/>
      <c r="AB259" s="198"/>
      <c r="AC259" s="198"/>
      <c r="AD259" s="198"/>
      <c r="AE259" s="198"/>
      <c r="AF259" s="198"/>
      <c r="AG259" s="199"/>
    </row>
    <row r="260" spans="1:33" ht="13.8">
      <c r="A260" s="197"/>
      <c r="B260" s="197"/>
      <c r="C260" s="198" t="s">
        <v>275</v>
      </c>
      <c r="D260" s="532" t="s">
        <v>259</v>
      </c>
      <c r="E260" s="1111">
        <v>70013</v>
      </c>
      <c r="F260" s="1111"/>
      <c r="G260" s="1111"/>
      <c r="H260" s="1111">
        <v>196720</v>
      </c>
      <c r="I260" s="1111"/>
      <c r="J260" s="1111"/>
      <c r="K260" s="1111"/>
      <c r="L260" s="862"/>
      <c r="M260" s="299"/>
      <c r="N260" s="1119"/>
      <c r="O260" s="1017">
        <f t="shared" si="65"/>
        <v>81302.052159777682</v>
      </c>
      <c r="P260" s="1017">
        <f t="shared" si="72"/>
        <v>422.30383989432113</v>
      </c>
      <c r="Q260" s="1017">
        <f t="shared" si="66"/>
        <v>1380.0380486653937</v>
      </c>
      <c r="R260" s="1017">
        <f t="shared" si="67"/>
        <v>11162767.556045316</v>
      </c>
      <c r="S260" s="1017">
        <f t="shared" si="68"/>
        <v>68277.916763665868</v>
      </c>
      <c r="T260" s="1017">
        <f t="shared" si="69"/>
        <v>1172.3069837513929</v>
      </c>
      <c r="U260" s="1017">
        <f t="shared" si="70"/>
        <v>199.8633034262364</v>
      </c>
      <c r="V260" s="1120">
        <f t="shared" si="71"/>
        <v>155.75713562137264</v>
      </c>
      <c r="W260" s="411"/>
      <c r="X260" s="411"/>
      <c r="Z260" s="203"/>
      <c r="AA260" s="204"/>
      <c r="AB260" s="198"/>
      <c r="AC260" s="198"/>
      <c r="AD260" s="198"/>
      <c r="AE260" s="198"/>
      <c r="AF260" s="198"/>
      <c r="AG260" s="199"/>
    </row>
    <row r="261" spans="1:33" ht="13.8">
      <c r="A261" s="197"/>
      <c r="B261" s="197"/>
      <c r="C261" s="198" t="s">
        <v>276</v>
      </c>
      <c r="D261" s="532" t="s">
        <v>259</v>
      </c>
      <c r="E261" s="1111">
        <v>1634</v>
      </c>
      <c r="F261" s="1111"/>
      <c r="G261" s="1111"/>
      <c r="H261" s="1111"/>
      <c r="I261" s="1111"/>
      <c r="J261" s="1111"/>
      <c r="K261" s="1111"/>
      <c r="L261" s="862"/>
      <c r="M261" s="299"/>
      <c r="N261" s="1119"/>
      <c r="O261" s="1017">
        <f t="shared" si="65"/>
        <v>82936.052159777682</v>
      </c>
      <c r="P261" s="1017">
        <f t="shared" si="72"/>
        <v>422.30383989432113</v>
      </c>
      <c r="Q261" s="1017">
        <f t="shared" si="66"/>
        <v>1380.0380486653937</v>
      </c>
      <c r="R261" s="1017">
        <f t="shared" si="67"/>
        <v>11162767.556045316</v>
      </c>
      <c r="S261" s="1017">
        <f t="shared" si="68"/>
        <v>68277.916763665868</v>
      </c>
      <c r="T261" s="1017">
        <f t="shared" si="69"/>
        <v>1172.3069837513929</v>
      </c>
      <c r="U261" s="1017">
        <f t="shared" si="70"/>
        <v>199.8633034262364</v>
      </c>
      <c r="V261" s="1120">
        <f t="shared" si="71"/>
        <v>155.75713562137264</v>
      </c>
      <c r="W261" s="411"/>
      <c r="X261" s="411"/>
      <c r="Z261" s="203"/>
      <c r="AA261" s="204"/>
      <c r="AB261" s="198"/>
      <c r="AC261" s="198"/>
      <c r="AD261" s="198"/>
      <c r="AE261" s="198"/>
      <c r="AF261" s="198"/>
      <c r="AG261" s="199"/>
    </row>
    <row r="262" spans="1:33" ht="13.8">
      <c r="A262" s="197"/>
      <c r="B262" s="197"/>
      <c r="C262" s="198" t="s">
        <v>277</v>
      </c>
      <c r="D262" s="532" t="s">
        <v>259</v>
      </c>
      <c r="E262" s="1111">
        <v>1075</v>
      </c>
      <c r="F262" s="1111"/>
      <c r="G262" s="1111"/>
      <c r="H262" s="1111"/>
      <c r="I262" s="1111"/>
      <c r="J262" s="1111"/>
      <c r="K262" s="1111"/>
      <c r="L262" s="862"/>
      <c r="M262" s="299"/>
      <c r="N262" s="1119"/>
      <c r="O262" s="1017">
        <f t="shared" si="65"/>
        <v>84011.052159777682</v>
      </c>
      <c r="P262" s="1017">
        <f t="shared" si="72"/>
        <v>422.30383989432113</v>
      </c>
      <c r="Q262" s="1017">
        <f t="shared" si="66"/>
        <v>1380.0380486653937</v>
      </c>
      <c r="R262" s="1017">
        <f t="shared" si="67"/>
        <v>11162767.556045316</v>
      </c>
      <c r="S262" s="1017">
        <f t="shared" si="68"/>
        <v>68277.916763665868</v>
      </c>
      <c r="T262" s="1017">
        <f t="shared" si="69"/>
        <v>1172.3069837513929</v>
      </c>
      <c r="U262" s="1017">
        <f t="shared" si="70"/>
        <v>199.8633034262364</v>
      </c>
      <c r="V262" s="1120">
        <f t="shared" si="71"/>
        <v>155.75713562137264</v>
      </c>
      <c r="W262" s="411"/>
      <c r="X262" s="411"/>
      <c r="Z262" s="203"/>
      <c r="AA262" s="204"/>
      <c r="AB262" s="198"/>
      <c r="AC262" s="198"/>
      <c r="AD262" s="198"/>
      <c r="AE262" s="198"/>
      <c r="AF262" s="198"/>
      <c r="AG262" s="199"/>
    </row>
    <row r="263" spans="1:33" ht="13.8">
      <c r="A263" s="197"/>
      <c r="B263" s="197"/>
      <c r="C263" s="198" t="s">
        <v>278</v>
      </c>
      <c r="D263" s="532" t="s">
        <v>259</v>
      </c>
      <c r="E263" s="1111">
        <v>608</v>
      </c>
      <c r="F263" s="1111"/>
      <c r="G263" s="1111"/>
      <c r="H263" s="1111"/>
      <c r="I263" s="1111"/>
      <c r="J263" s="1111"/>
      <c r="K263" s="1111"/>
      <c r="L263" s="862"/>
      <c r="M263" s="299"/>
      <c r="N263" s="1119"/>
      <c r="O263" s="1017">
        <f t="shared" si="65"/>
        <v>84619.052159777682</v>
      </c>
      <c r="P263" s="1017">
        <f t="shared" si="72"/>
        <v>422.30383989432113</v>
      </c>
      <c r="Q263" s="1017">
        <f t="shared" si="66"/>
        <v>1380.0380486653937</v>
      </c>
      <c r="R263" s="1017">
        <f t="shared" si="67"/>
        <v>11162767.556045316</v>
      </c>
      <c r="S263" s="1017">
        <f t="shared" si="68"/>
        <v>68277.916763665868</v>
      </c>
      <c r="T263" s="1017">
        <f t="shared" si="69"/>
        <v>1172.3069837513929</v>
      </c>
      <c r="U263" s="1017">
        <f t="shared" si="70"/>
        <v>199.8633034262364</v>
      </c>
      <c r="V263" s="1120">
        <f t="shared" si="71"/>
        <v>155.75713562137264</v>
      </c>
      <c r="W263" s="411"/>
      <c r="X263" s="411"/>
      <c r="Z263" s="203"/>
      <c r="AA263" s="204"/>
      <c r="AB263" s="198"/>
      <c r="AC263" s="198"/>
      <c r="AD263" s="198"/>
      <c r="AE263" s="198"/>
      <c r="AF263" s="198"/>
      <c r="AG263" s="199"/>
    </row>
    <row r="264" spans="1:33" ht="13.8">
      <c r="A264" s="197"/>
      <c r="B264" s="197"/>
      <c r="C264" s="198" t="s">
        <v>279</v>
      </c>
      <c r="D264" s="532" t="s">
        <v>259</v>
      </c>
      <c r="E264" s="1111">
        <v>312</v>
      </c>
      <c r="F264" s="1111"/>
      <c r="G264" s="1111"/>
      <c r="H264" s="1111"/>
      <c r="I264" s="1111"/>
      <c r="J264" s="1111"/>
      <c r="K264" s="1111"/>
      <c r="L264" s="862"/>
      <c r="M264" s="299"/>
      <c r="N264" s="1119"/>
      <c r="O264" s="1017">
        <f t="shared" si="65"/>
        <v>84931.052159777682</v>
      </c>
      <c r="P264" s="1017">
        <f t="shared" si="72"/>
        <v>422.30383989432113</v>
      </c>
      <c r="Q264" s="1017">
        <f t="shared" si="66"/>
        <v>1380.0380486653937</v>
      </c>
      <c r="R264" s="1017">
        <f t="shared" si="67"/>
        <v>11162767.556045316</v>
      </c>
      <c r="S264" s="1017">
        <f t="shared" si="68"/>
        <v>68277.916763665868</v>
      </c>
      <c r="T264" s="1017">
        <f t="shared" si="69"/>
        <v>1172.3069837513929</v>
      </c>
      <c r="U264" s="1017">
        <f t="shared" si="70"/>
        <v>199.8633034262364</v>
      </c>
      <c r="V264" s="1120">
        <f t="shared" si="71"/>
        <v>155.75713562137264</v>
      </c>
      <c r="W264" s="411"/>
      <c r="X264" s="411"/>
      <c r="Z264" s="203"/>
      <c r="AA264" s="204"/>
      <c r="AB264" s="198"/>
      <c r="AC264" s="198"/>
      <c r="AD264" s="198"/>
      <c r="AE264" s="198"/>
      <c r="AF264" s="198"/>
      <c r="AG264" s="199"/>
    </row>
    <row r="265" spans="1:33" ht="14.4" thickBot="1">
      <c r="A265" s="197"/>
      <c r="B265" s="197"/>
      <c r="C265" s="198" t="s">
        <v>280</v>
      </c>
      <c r="D265" s="401" t="s">
        <v>259</v>
      </c>
      <c r="E265" s="1112">
        <v>220</v>
      </c>
      <c r="F265" s="1112"/>
      <c r="G265" s="1112"/>
      <c r="H265" s="1112"/>
      <c r="I265" s="1112">
        <v>19788</v>
      </c>
      <c r="J265" s="1112">
        <v>19788</v>
      </c>
      <c r="K265" s="1112"/>
      <c r="L265" s="863"/>
      <c r="M265" s="299"/>
      <c r="N265" s="1121"/>
      <c r="O265" s="1122">
        <f t="shared" si="65"/>
        <v>85151.052159777682</v>
      </c>
      <c r="P265" s="1122">
        <f t="shared" si="72"/>
        <v>422.30383989432113</v>
      </c>
      <c r="Q265" s="1122">
        <f t="shared" si="66"/>
        <v>1380.0380486653937</v>
      </c>
      <c r="R265" s="1122">
        <f t="shared" si="67"/>
        <v>11162767.556045316</v>
      </c>
      <c r="S265" s="1122">
        <f t="shared" si="68"/>
        <v>88065.916763665868</v>
      </c>
      <c r="T265" s="1122">
        <f t="shared" si="69"/>
        <v>20960.306983751394</v>
      </c>
      <c r="U265" s="1122">
        <f t="shared" si="70"/>
        <v>199.8633034262364</v>
      </c>
      <c r="V265" s="1123">
        <f t="shared" si="71"/>
        <v>155.75713562137264</v>
      </c>
      <c r="W265" s="411"/>
      <c r="X265" s="411"/>
      <c r="Z265" s="203"/>
      <c r="AA265" s="204"/>
      <c r="AB265" s="198"/>
      <c r="AC265" s="198"/>
      <c r="AD265" s="198"/>
      <c r="AE265" s="198"/>
      <c r="AF265" s="198"/>
      <c r="AG265" s="199"/>
    </row>
    <row r="266" spans="1:33" ht="13.8">
      <c r="A266" s="197"/>
      <c r="B266" s="197"/>
      <c r="C266" s="198" t="s">
        <v>524</v>
      </c>
      <c r="D266" s="204" t="s">
        <v>447</v>
      </c>
      <c r="E266" s="864">
        <f t="shared" si="73" ref="E266:L266">SUM(E253:E265)</f>
        <v>85151.052159777682</v>
      </c>
      <c r="F266" s="864">
        <f t="shared" si="73"/>
        <v>422.30383989432113</v>
      </c>
      <c r="G266" s="864">
        <f t="shared" si="73"/>
        <v>1380.0380486653937</v>
      </c>
      <c r="H266" s="864">
        <f t="shared" si="73"/>
        <v>11162767.556045316</v>
      </c>
      <c r="I266" s="864">
        <f t="shared" si="73"/>
        <v>88065.916763665868</v>
      </c>
      <c r="J266" s="864">
        <f t="shared" si="73"/>
        <v>20960.306983751394</v>
      </c>
      <c r="K266" s="864">
        <f t="shared" si="73"/>
        <v>199.8633034262364</v>
      </c>
      <c r="L266" s="864">
        <f t="shared" si="73"/>
        <v>155.75713562137264</v>
      </c>
      <c r="M266" s="299"/>
      <c r="N266" s="299"/>
      <c r="O266" s="1114">
        <f t="shared" si="74" ref="O266:U266">SUM(O253:O265)</f>
        <v>529761.52159777679</v>
      </c>
      <c r="P266" s="1114">
        <f t="shared" si="74"/>
        <v>4223.0383989432121</v>
      </c>
      <c r="Q266" s="1114">
        <f t="shared" si="74"/>
        <v>13800.380486653938</v>
      </c>
      <c r="R266" s="1114">
        <f t="shared" si="74"/>
        <v>78883135.560453176</v>
      </c>
      <c r="S266" s="1114">
        <f t="shared" si="74"/>
        <v>821123.34763665858</v>
      </c>
      <c r="T266" s="1114">
        <f t="shared" si="74"/>
        <v>31511.069837513929</v>
      </c>
      <c r="U266" s="1114">
        <f t="shared" si="74"/>
        <v>1998.6330342623639</v>
      </c>
      <c r="V266" s="1114">
        <f>SUM(V253:V265)</f>
        <v>1557.5713562137262</v>
      </c>
      <c r="W266" s="411"/>
      <c r="X266" s="411"/>
      <c r="Z266" s="203"/>
      <c r="AA266" s="204"/>
      <c r="AB266" s="198"/>
      <c r="AC266" s="198"/>
      <c r="AD266" s="198"/>
      <c r="AE266" s="198"/>
      <c r="AF266" s="198"/>
      <c r="AG266" s="199"/>
    </row>
    <row r="267" spans="1:33" ht="13.8">
      <c r="A267" s="197"/>
      <c r="B267" s="197"/>
      <c r="C267" s="198" t="s">
        <v>260</v>
      </c>
      <c r="E267" s="316"/>
      <c r="F267" s="316"/>
      <c r="G267" s="204"/>
      <c r="H267" s="204"/>
      <c r="I267" s="204"/>
      <c r="J267" s="204"/>
      <c r="K267" s="204"/>
      <c r="L267" s="299"/>
      <c r="M267" s="299"/>
      <c r="N267" s="316"/>
      <c r="O267" s="839">
        <f>O266/13</f>
        <v>40750.886276752062</v>
      </c>
      <c r="P267" s="839">
        <f>P266/13</f>
        <v>324.84910761101634</v>
      </c>
      <c r="Q267" s="839">
        <f t="shared" si="75" ref="Q267:V267">Q266/13</f>
        <v>1061.5677297426105</v>
      </c>
      <c r="R267" s="839">
        <f t="shared" si="75"/>
        <v>6067933.5046502445</v>
      </c>
      <c r="S267" s="839">
        <f t="shared" si="75"/>
        <v>63163.334433589123</v>
      </c>
      <c r="T267" s="839">
        <f t="shared" si="75"/>
        <v>2423.928449039533</v>
      </c>
      <c r="U267" s="839">
        <f t="shared" si="75"/>
        <v>153.74100263556645</v>
      </c>
      <c r="V267" s="839">
        <f t="shared" si="75"/>
        <v>119.81318124720971</v>
      </c>
      <c r="W267" s="411"/>
      <c r="X267" s="411"/>
      <c r="Z267" s="203"/>
      <c r="AA267" s="204"/>
      <c r="AB267" s="198"/>
      <c r="AC267" s="198"/>
      <c r="AD267" s="198"/>
      <c r="AE267" s="198"/>
      <c r="AF267" s="198"/>
      <c r="AG267" s="199"/>
    </row>
    <row r="268" spans="1:33" ht="13.8">
      <c r="A268" s="197"/>
      <c r="B268" s="197"/>
      <c r="C268" s="198"/>
      <c r="E268" s="316"/>
      <c r="F268" s="316"/>
      <c r="G268" s="204"/>
      <c r="H268" s="204"/>
      <c r="I268" s="204"/>
      <c r="J268" s="204"/>
      <c r="K268" s="204"/>
      <c r="L268" s="299"/>
      <c r="M268" s="299"/>
      <c r="N268" s="316"/>
      <c r="O268" s="839"/>
      <c r="P268" s="839"/>
      <c r="Q268" s="839"/>
      <c r="R268" s="839"/>
      <c r="S268" s="839"/>
      <c r="T268" s="839"/>
      <c r="U268" s="839"/>
      <c r="V268" s="839"/>
      <c r="W268" s="411"/>
      <c r="X268" s="411"/>
      <c r="Z268" s="203"/>
      <c r="AA268" s="204"/>
      <c r="AB268" s="198"/>
      <c r="AC268" s="198"/>
      <c r="AD268" s="198"/>
      <c r="AE268" s="198"/>
      <c r="AF268" s="198"/>
      <c r="AG268" s="199"/>
    </row>
    <row r="269" spans="1:33" ht="14.4" thickBot="1">
      <c r="A269" s="197"/>
      <c r="B269" s="197"/>
      <c r="C269" s="198"/>
      <c r="E269" s="316"/>
      <c r="F269" s="316"/>
      <c r="G269" s="204"/>
      <c r="H269" s="204"/>
      <c r="I269" s="204"/>
      <c r="J269" s="204"/>
      <c r="K269" s="204"/>
      <c r="L269" s="299"/>
      <c r="M269" s="299"/>
      <c r="N269" s="316"/>
      <c r="O269" s="839"/>
      <c r="P269" s="839"/>
      <c r="Q269" s="839"/>
      <c r="R269" s="839"/>
      <c r="S269" s="839"/>
      <c r="T269" s="839"/>
      <c r="U269" s="839"/>
      <c r="V269" s="839"/>
      <c r="W269" s="411"/>
      <c r="X269" s="411"/>
      <c r="Z269" s="203"/>
      <c r="AA269" s="204"/>
      <c r="AB269" s="198"/>
      <c r="AC269" s="198"/>
      <c r="AD269" s="198"/>
      <c r="AE269" s="198"/>
      <c r="AF269" s="198"/>
      <c r="AG269" s="199"/>
    </row>
    <row r="270" spans="1:33" ht="14.4" thickBot="1">
      <c r="A270" s="197"/>
      <c r="B270" s="197"/>
      <c r="C270" s="197"/>
      <c r="D270" s="859" t="s">
        <v>355</v>
      </c>
      <c r="E270" s="860" t="s">
        <v>356</v>
      </c>
      <c r="F270" s="860" t="s">
        <v>357</v>
      </c>
      <c r="G270" s="860" t="s">
        <v>358</v>
      </c>
      <c r="H270" s="860" t="s">
        <v>633</v>
      </c>
      <c r="I270" s="860" t="s">
        <v>639</v>
      </c>
      <c r="J270" s="1115" t="s">
        <v>465</v>
      </c>
      <c r="K270" s="1115" t="s">
        <v>466</v>
      </c>
      <c r="L270" s="861" t="s">
        <v>291</v>
      </c>
      <c r="M270" s="299"/>
      <c r="N270" s="1799" t="s">
        <v>580</v>
      </c>
      <c r="O270" s="1800"/>
      <c r="P270" s="1800"/>
      <c r="Q270" s="1800"/>
      <c r="R270" s="1800"/>
      <c r="S270" s="1800"/>
      <c r="T270" s="1800"/>
      <c r="U270" s="1800"/>
      <c r="V270" s="1801"/>
      <c r="W270" s="411"/>
      <c r="X270" s="411"/>
      <c r="Z270" s="203"/>
      <c r="AA270" s="204"/>
      <c r="AB270" s="198"/>
      <c r="AC270" s="198"/>
      <c r="AD270" s="198"/>
      <c r="AE270" s="198"/>
      <c r="AF270" s="198"/>
      <c r="AG270" s="199"/>
    </row>
    <row r="271" spans="1:33" ht="27" thickBot="1">
      <c r="A271" s="197"/>
      <c r="B271" s="197"/>
      <c r="C271" s="198"/>
      <c r="D271" s="665"/>
      <c r="E271" s="1650" t="s">
        <v>974</v>
      </c>
      <c r="F271" s="1650" t="s">
        <v>976</v>
      </c>
      <c r="G271" s="1650" t="s">
        <v>978</v>
      </c>
      <c r="H271" s="1650" t="s">
        <v>979</v>
      </c>
      <c r="I271" s="1650" t="s">
        <v>982</v>
      </c>
      <c r="J271" s="1650" t="s">
        <v>983</v>
      </c>
      <c r="K271" s="1650" t="s">
        <v>986</v>
      </c>
      <c r="L271" s="1651" t="s">
        <v>990</v>
      </c>
      <c r="M271" s="299"/>
      <c r="N271" s="665" t="s">
        <v>579</v>
      </c>
      <c r="O271" s="625" t="s">
        <v>974</v>
      </c>
      <c r="P271" s="625" t="s">
        <v>976</v>
      </c>
      <c r="Q271" s="625" t="s">
        <v>978</v>
      </c>
      <c r="R271" s="625" t="s">
        <v>979</v>
      </c>
      <c r="S271" s="625" t="s">
        <v>982</v>
      </c>
      <c r="T271" s="625" t="s">
        <v>983</v>
      </c>
      <c r="U271" s="625" t="s">
        <v>986</v>
      </c>
      <c r="V271" s="1107" t="s">
        <v>990</v>
      </c>
      <c r="W271" s="411"/>
      <c r="X271" s="411"/>
      <c r="Z271" s="203"/>
      <c r="AA271" s="204"/>
      <c r="AB271" s="198"/>
      <c r="AC271" s="198"/>
      <c r="AD271" s="198"/>
      <c r="AE271" s="198"/>
      <c r="AF271" s="198"/>
      <c r="AG271" s="199"/>
    </row>
    <row r="272" spans="1:33" ht="14.4" thickBot="1">
      <c r="A272" s="197"/>
      <c r="B272" s="197"/>
      <c r="C272" s="198"/>
      <c r="D272" s="858"/>
      <c r="E272" s="625" t="s">
        <v>632</v>
      </c>
      <c r="F272" s="625" t="s">
        <v>632</v>
      </c>
      <c r="G272" s="625" t="s">
        <v>632</v>
      </c>
      <c r="H272" s="625" t="s">
        <v>632</v>
      </c>
      <c r="I272" s="625" t="s">
        <v>632</v>
      </c>
      <c r="J272" s="625" t="s">
        <v>632</v>
      </c>
      <c r="K272" s="625" t="s">
        <v>632</v>
      </c>
      <c r="L272" s="1107" t="s">
        <v>632</v>
      </c>
      <c r="M272" s="299"/>
      <c r="N272" s="859"/>
      <c r="O272" s="625" t="str">
        <f>E272</f>
        <v>(in service)</v>
      </c>
      <c r="P272" s="625" t="s">
        <v>447</v>
      </c>
      <c r="Q272" s="625" t="s">
        <v>447</v>
      </c>
      <c r="R272" s="625" t="s">
        <v>632</v>
      </c>
      <c r="S272" s="625" t="s">
        <v>632</v>
      </c>
      <c r="T272" s="625" t="s">
        <v>632</v>
      </c>
      <c r="U272" s="625" t="s">
        <v>632</v>
      </c>
      <c r="V272" s="1107" t="s">
        <v>632</v>
      </c>
      <c r="W272" s="411"/>
      <c r="X272" s="411"/>
      <c r="Z272" s="203"/>
      <c r="AA272" s="204"/>
      <c r="AB272" s="198"/>
      <c r="AC272" s="198"/>
      <c r="AD272" s="198"/>
      <c r="AE272" s="198"/>
      <c r="AF272" s="198"/>
      <c r="AG272" s="199"/>
    </row>
    <row r="273" spans="1:33" ht="21.6">
      <c r="A273" s="197"/>
      <c r="B273" s="197"/>
      <c r="C273" s="1108" t="s">
        <v>122</v>
      </c>
      <c r="D273" s="1110" t="s">
        <v>258</v>
      </c>
      <c r="E273" s="1111"/>
      <c r="F273" s="1111"/>
      <c r="G273" s="1111"/>
      <c r="H273" s="1111"/>
      <c r="I273" s="1111"/>
      <c r="J273" s="1111"/>
      <c r="K273" s="1111"/>
      <c r="L273" s="862"/>
      <c r="M273" s="299"/>
      <c r="N273" s="1116"/>
      <c r="O273" s="1117">
        <f t="shared" si="76" ref="O273">E273</f>
        <v>0</v>
      </c>
      <c r="P273" s="1117">
        <f>F273</f>
        <v>0</v>
      </c>
      <c r="Q273" s="1117">
        <f t="shared" si="77" ref="Q273">G273</f>
        <v>0</v>
      </c>
      <c r="R273" s="1117">
        <f t="shared" si="78" ref="R273">H273</f>
        <v>0</v>
      </c>
      <c r="S273" s="1117">
        <f t="shared" si="79" ref="S273">I273</f>
        <v>0</v>
      </c>
      <c r="T273" s="1117">
        <f t="shared" si="80" ref="T273">J273</f>
        <v>0</v>
      </c>
      <c r="U273" s="1117">
        <f t="shared" si="81" ref="U273">K273</f>
        <v>0</v>
      </c>
      <c r="V273" s="1118">
        <f t="shared" si="82" ref="V273">L273</f>
        <v>0</v>
      </c>
      <c r="W273" s="411"/>
      <c r="X273" s="411"/>
      <c r="Z273" s="203"/>
      <c r="AA273" s="204"/>
      <c r="AB273" s="198"/>
      <c r="AC273" s="198"/>
      <c r="AD273" s="198"/>
      <c r="AE273" s="198"/>
      <c r="AF273" s="198"/>
      <c r="AG273" s="199"/>
    </row>
    <row r="274" spans="1:33" ht="13.8">
      <c r="A274" s="197"/>
      <c r="B274" s="197"/>
      <c r="C274" s="334" t="s">
        <v>1444</v>
      </c>
      <c r="D274" s="1110" t="s">
        <v>258</v>
      </c>
      <c r="E274" s="1111"/>
      <c r="F274" s="1111"/>
      <c r="G274" s="1111"/>
      <c r="H274" s="1111"/>
      <c r="I274" s="1111"/>
      <c r="J274" s="1111"/>
      <c r="K274" s="1111"/>
      <c r="L274" s="862"/>
      <c r="M274" s="299"/>
      <c r="N274" s="1119"/>
      <c r="O274" s="1017">
        <f t="shared" si="83" ref="O274:O285">O273+E274</f>
        <v>0</v>
      </c>
      <c r="P274" s="1017">
        <f>P273+F274</f>
        <v>0</v>
      </c>
      <c r="Q274" s="1017">
        <f t="shared" si="84" ref="Q274:Q285">Q273+G274</f>
        <v>0</v>
      </c>
      <c r="R274" s="1017">
        <f t="shared" si="85" ref="R274:R285">R273+H274</f>
        <v>0</v>
      </c>
      <c r="S274" s="1017">
        <f t="shared" si="86" ref="S274:S285">S273+I274</f>
        <v>0</v>
      </c>
      <c r="T274" s="1017">
        <f t="shared" si="87" ref="T274:T285">T273+J274</f>
        <v>0</v>
      </c>
      <c r="U274" s="1017">
        <f t="shared" si="88" ref="U274:U285">U273+K274</f>
        <v>0</v>
      </c>
      <c r="V274" s="1120">
        <f t="shared" si="89" ref="V274:V285">V273+L274</f>
        <v>0</v>
      </c>
      <c r="W274" s="411"/>
      <c r="X274" s="411"/>
      <c r="Z274" s="203"/>
      <c r="AA274" s="204"/>
      <c r="AB274" s="198"/>
      <c r="AC274" s="198"/>
      <c r="AD274" s="198"/>
      <c r="AE274" s="198"/>
      <c r="AF274" s="198"/>
      <c r="AG274" s="199"/>
    </row>
    <row r="275" spans="1:33" ht="13.8">
      <c r="A275" s="197"/>
      <c r="B275" s="197"/>
      <c r="C275" s="198" t="s">
        <v>271</v>
      </c>
      <c r="D275" s="1110" t="s">
        <v>258</v>
      </c>
      <c r="E275" s="1111">
        <v>0</v>
      </c>
      <c r="F275" s="1111">
        <v>0</v>
      </c>
      <c r="G275" s="1111">
        <v>0</v>
      </c>
      <c r="H275" s="1111">
        <v>0</v>
      </c>
      <c r="I275" s="1111">
        <v>0</v>
      </c>
      <c r="J275" s="1111">
        <v>0</v>
      </c>
      <c r="K275" s="1111">
        <v>0</v>
      </c>
      <c r="L275" s="862">
        <v>0</v>
      </c>
      <c r="M275" s="299"/>
      <c r="N275" s="1119"/>
      <c r="O275" s="1017">
        <f t="shared" si="83"/>
        <v>0</v>
      </c>
      <c r="P275" s="1017">
        <f t="shared" si="90" ref="P275:P285">P274+F275</f>
        <v>0</v>
      </c>
      <c r="Q275" s="1017">
        <f t="shared" si="84"/>
        <v>0</v>
      </c>
      <c r="R275" s="1017">
        <f t="shared" si="85"/>
        <v>0</v>
      </c>
      <c r="S275" s="1017">
        <f t="shared" si="86"/>
        <v>0</v>
      </c>
      <c r="T275" s="1017">
        <f t="shared" si="87"/>
        <v>0</v>
      </c>
      <c r="U275" s="1017">
        <f t="shared" si="88"/>
        <v>0</v>
      </c>
      <c r="V275" s="1120">
        <f t="shared" si="89"/>
        <v>0</v>
      </c>
      <c r="W275" s="411"/>
      <c r="X275" s="411"/>
      <c r="Z275" s="203"/>
      <c r="AA275" s="204"/>
      <c r="AB275" s="198"/>
      <c r="AC275" s="198"/>
      <c r="AD275" s="198"/>
      <c r="AE275" s="198"/>
      <c r="AF275" s="198"/>
      <c r="AG275" s="199"/>
    </row>
    <row r="276" spans="1:33" ht="13.8">
      <c r="A276" s="197"/>
      <c r="B276" s="197"/>
      <c r="C276" s="198" t="s">
        <v>272</v>
      </c>
      <c r="D276" s="1110" t="s">
        <v>258</v>
      </c>
      <c r="E276" s="1111">
        <v>291.46397990834822</v>
      </c>
      <c r="F276" s="1111">
        <v>3079.8821992496114</v>
      </c>
      <c r="G276" s="1111">
        <v>919.98263643269456</v>
      </c>
      <c r="H276" s="1111">
        <v>138.23548186293161</v>
      </c>
      <c r="I276" s="1111">
        <v>106.53945754374124</v>
      </c>
      <c r="J276" s="1111">
        <v>1949.3809891928213</v>
      </c>
      <c r="K276" s="1111">
        <v>244.26350640908873</v>
      </c>
      <c r="L276" s="862">
        <v>544.89401586416784</v>
      </c>
      <c r="M276" s="299"/>
      <c r="N276" s="1119"/>
      <c r="O276" s="1017">
        <f t="shared" si="83"/>
        <v>291.46397990834822</v>
      </c>
      <c r="P276" s="1017">
        <f t="shared" si="90"/>
        <v>3079.8821992496114</v>
      </c>
      <c r="Q276" s="1017">
        <f t="shared" si="84"/>
        <v>919.98263643269456</v>
      </c>
      <c r="R276" s="1017">
        <f t="shared" si="85"/>
        <v>138.23548186293161</v>
      </c>
      <c r="S276" s="1017">
        <f t="shared" si="86"/>
        <v>106.53945754374124</v>
      </c>
      <c r="T276" s="1017">
        <f t="shared" si="87"/>
        <v>1949.3809891928213</v>
      </c>
      <c r="U276" s="1017">
        <f t="shared" si="88"/>
        <v>244.26350640908873</v>
      </c>
      <c r="V276" s="1120">
        <f t="shared" si="89"/>
        <v>544.89401586416784</v>
      </c>
      <c r="W276" s="411"/>
      <c r="X276" s="411"/>
      <c r="Z276" s="203"/>
      <c r="AA276" s="204"/>
      <c r="AB276" s="198"/>
      <c r="AC276" s="198"/>
      <c r="AD276" s="198"/>
      <c r="AE276" s="198"/>
      <c r="AF276" s="198"/>
      <c r="AG276" s="199"/>
    </row>
    <row r="277" spans="1:33" ht="13.8">
      <c r="A277" s="197"/>
      <c r="B277" s="197"/>
      <c r="C277" s="198" t="s">
        <v>273</v>
      </c>
      <c r="D277" s="532" t="s">
        <v>259</v>
      </c>
      <c r="E277" s="1111"/>
      <c r="F277" s="1111"/>
      <c r="G277" s="1111">
        <v>16378</v>
      </c>
      <c r="H277" s="1111"/>
      <c r="I277" s="1111"/>
      <c r="J277" s="1111"/>
      <c r="K277" s="1111"/>
      <c r="L277" s="862">
        <v>527789</v>
      </c>
      <c r="M277" s="299"/>
      <c r="N277" s="1119"/>
      <c r="O277" s="1017">
        <f t="shared" si="83"/>
        <v>291.46397990834822</v>
      </c>
      <c r="P277" s="1017">
        <f t="shared" si="90"/>
        <v>3079.8821992496114</v>
      </c>
      <c r="Q277" s="1017">
        <f t="shared" si="84"/>
        <v>17297.982636432695</v>
      </c>
      <c r="R277" s="1017">
        <f t="shared" si="85"/>
        <v>138.23548186293161</v>
      </c>
      <c r="S277" s="1017">
        <f t="shared" si="86"/>
        <v>106.53945754374124</v>
      </c>
      <c r="T277" s="1017">
        <f t="shared" si="87"/>
        <v>1949.3809891928213</v>
      </c>
      <c r="U277" s="1017">
        <f t="shared" si="88"/>
        <v>244.26350640908873</v>
      </c>
      <c r="V277" s="1120">
        <f t="shared" si="89"/>
        <v>528333.89401586412</v>
      </c>
      <c r="W277" s="411"/>
      <c r="X277" s="411"/>
      <c r="Z277" s="203"/>
      <c r="AA277" s="204"/>
      <c r="AB277" s="198"/>
      <c r="AC277" s="198"/>
      <c r="AD277" s="198"/>
      <c r="AE277" s="198"/>
      <c r="AF277" s="198"/>
      <c r="AG277" s="199"/>
    </row>
    <row r="278" spans="1:33" ht="13.8">
      <c r="A278" s="197"/>
      <c r="B278" s="197"/>
      <c r="C278" s="198" t="s">
        <v>255</v>
      </c>
      <c r="D278" s="532" t="s">
        <v>259</v>
      </c>
      <c r="E278" s="1111"/>
      <c r="F278" s="1111"/>
      <c r="G278" s="1111"/>
      <c r="H278" s="1111"/>
      <c r="I278" s="1111"/>
      <c r="J278" s="1111"/>
      <c r="K278" s="1111"/>
      <c r="L278" s="862">
        <v>2761</v>
      </c>
      <c r="M278" s="299"/>
      <c r="N278" s="1119"/>
      <c r="O278" s="1017">
        <f t="shared" si="83"/>
        <v>291.46397990834822</v>
      </c>
      <c r="P278" s="1017">
        <f t="shared" si="90"/>
        <v>3079.8821992496114</v>
      </c>
      <c r="Q278" s="1017">
        <f t="shared" si="84"/>
        <v>17297.982636432695</v>
      </c>
      <c r="R278" s="1017">
        <f t="shared" si="85"/>
        <v>138.23548186293161</v>
      </c>
      <c r="S278" s="1017">
        <f t="shared" si="86"/>
        <v>106.53945754374124</v>
      </c>
      <c r="T278" s="1017">
        <f t="shared" si="87"/>
        <v>1949.3809891928213</v>
      </c>
      <c r="U278" s="1017">
        <f t="shared" si="88"/>
        <v>244.26350640908873</v>
      </c>
      <c r="V278" s="1120">
        <f t="shared" si="89"/>
        <v>531094.89401586412</v>
      </c>
      <c r="W278" s="411"/>
      <c r="X278" s="411"/>
      <c r="Z278" s="203"/>
      <c r="AA278" s="204"/>
      <c r="AB278" s="198"/>
      <c r="AC278" s="198"/>
      <c r="AD278" s="198"/>
      <c r="AE278" s="198"/>
      <c r="AF278" s="198"/>
      <c r="AG278" s="199"/>
    </row>
    <row r="279" spans="1:33" ht="13.8">
      <c r="A279" s="197"/>
      <c r="B279" s="197"/>
      <c r="C279" s="198" t="s">
        <v>274</v>
      </c>
      <c r="D279" s="532" t="s">
        <v>259</v>
      </c>
      <c r="E279" s="1111"/>
      <c r="F279" s="1111"/>
      <c r="G279" s="1111"/>
      <c r="H279" s="1111"/>
      <c r="I279" s="1111"/>
      <c r="J279" s="1111"/>
      <c r="K279" s="1111"/>
      <c r="L279" s="862"/>
      <c r="M279" s="299"/>
      <c r="N279" s="1119"/>
      <c r="O279" s="1017">
        <f t="shared" si="83"/>
        <v>291.46397990834822</v>
      </c>
      <c r="P279" s="1017">
        <f t="shared" si="90"/>
        <v>3079.8821992496114</v>
      </c>
      <c r="Q279" s="1017">
        <f t="shared" si="84"/>
        <v>17297.982636432695</v>
      </c>
      <c r="R279" s="1017">
        <f t="shared" si="85"/>
        <v>138.23548186293161</v>
      </c>
      <c r="S279" s="1017">
        <f t="shared" si="86"/>
        <v>106.53945754374124</v>
      </c>
      <c r="T279" s="1017">
        <f t="shared" si="87"/>
        <v>1949.3809891928213</v>
      </c>
      <c r="U279" s="1017">
        <f t="shared" si="88"/>
        <v>244.26350640908873</v>
      </c>
      <c r="V279" s="1120">
        <f t="shared" si="89"/>
        <v>531094.89401586412</v>
      </c>
      <c r="W279" s="411"/>
      <c r="X279" s="411"/>
      <c r="Z279" s="203"/>
      <c r="AA279" s="204"/>
      <c r="AB279" s="198"/>
      <c r="AC279" s="198"/>
      <c r="AD279" s="198"/>
      <c r="AE279" s="198"/>
      <c r="AF279" s="198"/>
      <c r="AG279" s="199"/>
    </row>
    <row r="280" spans="1:33" ht="13.8">
      <c r="A280" s="197"/>
      <c r="B280" s="197"/>
      <c r="C280" s="198" t="s">
        <v>275</v>
      </c>
      <c r="D280" s="532" t="s">
        <v>259</v>
      </c>
      <c r="E280" s="1111"/>
      <c r="F280" s="1111"/>
      <c r="G280" s="1111"/>
      <c r="H280" s="1111"/>
      <c r="I280" s="1111"/>
      <c r="J280" s="1111"/>
      <c r="K280" s="1111"/>
      <c r="L280" s="862"/>
      <c r="M280" s="299"/>
      <c r="N280" s="1119"/>
      <c r="O280" s="1017">
        <f t="shared" si="83"/>
        <v>291.46397990834822</v>
      </c>
      <c r="P280" s="1017">
        <f t="shared" si="90"/>
        <v>3079.8821992496114</v>
      </c>
      <c r="Q280" s="1017">
        <f t="shared" si="84"/>
        <v>17297.982636432695</v>
      </c>
      <c r="R280" s="1017">
        <f t="shared" si="85"/>
        <v>138.23548186293161</v>
      </c>
      <c r="S280" s="1017">
        <f t="shared" si="86"/>
        <v>106.53945754374124</v>
      </c>
      <c r="T280" s="1017">
        <f t="shared" si="87"/>
        <v>1949.3809891928213</v>
      </c>
      <c r="U280" s="1017">
        <f t="shared" si="88"/>
        <v>244.26350640908873</v>
      </c>
      <c r="V280" s="1120">
        <f t="shared" si="89"/>
        <v>531094.89401586412</v>
      </c>
      <c r="W280" s="411"/>
      <c r="X280" s="411"/>
      <c r="Z280" s="203"/>
      <c r="AA280" s="204"/>
      <c r="AB280" s="198"/>
      <c r="AC280" s="198"/>
      <c r="AD280" s="198"/>
      <c r="AE280" s="198"/>
      <c r="AF280" s="198"/>
      <c r="AG280" s="199"/>
    </row>
    <row r="281" spans="1:33" ht="13.8">
      <c r="A281" s="197"/>
      <c r="B281" s="197"/>
      <c r="C281" s="198" t="s">
        <v>276</v>
      </c>
      <c r="D281" s="532" t="s">
        <v>259</v>
      </c>
      <c r="E281" s="1111"/>
      <c r="F281" s="1111"/>
      <c r="G281" s="1111"/>
      <c r="H281" s="1111"/>
      <c r="I281" s="1111"/>
      <c r="J281" s="1111"/>
      <c r="K281" s="1111"/>
      <c r="L281" s="862"/>
      <c r="M281" s="299"/>
      <c r="N281" s="1119"/>
      <c r="O281" s="1017">
        <f t="shared" si="83"/>
        <v>291.46397990834822</v>
      </c>
      <c r="P281" s="1017">
        <f t="shared" si="90"/>
        <v>3079.8821992496114</v>
      </c>
      <c r="Q281" s="1017">
        <f t="shared" si="84"/>
        <v>17297.982636432695</v>
      </c>
      <c r="R281" s="1017">
        <f t="shared" si="85"/>
        <v>138.23548186293161</v>
      </c>
      <c r="S281" s="1017">
        <f t="shared" si="86"/>
        <v>106.53945754374124</v>
      </c>
      <c r="T281" s="1017">
        <f t="shared" si="87"/>
        <v>1949.3809891928213</v>
      </c>
      <c r="U281" s="1017">
        <f t="shared" si="88"/>
        <v>244.26350640908873</v>
      </c>
      <c r="V281" s="1120">
        <f t="shared" si="89"/>
        <v>531094.89401586412</v>
      </c>
      <c r="W281" s="411"/>
      <c r="X281" s="411"/>
      <c r="Z281" s="203"/>
      <c r="AA281" s="204"/>
      <c r="AB281" s="198"/>
      <c r="AC281" s="198"/>
      <c r="AD281" s="198"/>
      <c r="AE281" s="198"/>
      <c r="AF281" s="198"/>
      <c r="AG281" s="199"/>
    </row>
    <row r="282" spans="1:33" ht="13.8">
      <c r="A282" s="197"/>
      <c r="B282" s="197"/>
      <c r="C282" s="198" t="s">
        <v>277</v>
      </c>
      <c r="D282" s="532" t="s">
        <v>259</v>
      </c>
      <c r="E282" s="1111"/>
      <c r="F282" s="1111"/>
      <c r="G282" s="1111"/>
      <c r="H282" s="1111"/>
      <c r="I282" s="1111"/>
      <c r="J282" s="1111"/>
      <c r="K282" s="1111"/>
      <c r="L282" s="862"/>
      <c r="M282" s="299"/>
      <c r="N282" s="1119"/>
      <c r="O282" s="1017">
        <f t="shared" si="83"/>
        <v>291.46397990834822</v>
      </c>
      <c r="P282" s="1017">
        <f t="shared" si="90"/>
        <v>3079.8821992496114</v>
      </c>
      <c r="Q282" s="1017">
        <f t="shared" si="84"/>
        <v>17297.982636432695</v>
      </c>
      <c r="R282" s="1017">
        <f t="shared" si="85"/>
        <v>138.23548186293161</v>
      </c>
      <c r="S282" s="1017">
        <f t="shared" si="86"/>
        <v>106.53945754374124</v>
      </c>
      <c r="T282" s="1017">
        <f t="shared" si="87"/>
        <v>1949.3809891928213</v>
      </c>
      <c r="U282" s="1017">
        <f t="shared" si="88"/>
        <v>244.26350640908873</v>
      </c>
      <c r="V282" s="1120">
        <f t="shared" si="89"/>
        <v>531094.89401586412</v>
      </c>
      <c r="W282" s="411"/>
      <c r="X282" s="411"/>
      <c r="Z282" s="203"/>
      <c r="AA282" s="204"/>
      <c r="AB282" s="198"/>
      <c r="AC282" s="198"/>
      <c r="AD282" s="198"/>
      <c r="AE282" s="198"/>
      <c r="AF282" s="198"/>
      <c r="AG282" s="199"/>
    </row>
    <row r="283" spans="1:33" ht="13.8">
      <c r="A283" s="197"/>
      <c r="B283" s="197"/>
      <c r="C283" s="198" t="s">
        <v>278</v>
      </c>
      <c r="D283" s="532" t="s">
        <v>259</v>
      </c>
      <c r="E283" s="1111"/>
      <c r="F283" s="1111"/>
      <c r="G283" s="1111"/>
      <c r="H283" s="1111"/>
      <c r="I283" s="1111"/>
      <c r="J283" s="1111"/>
      <c r="K283" s="1111"/>
      <c r="L283" s="862"/>
      <c r="M283" s="299"/>
      <c r="N283" s="1119"/>
      <c r="O283" s="1017">
        <f t="shared" si="83"/>
        <v>291.46397990834822</v>
      </c>
      <c r="P283" s="1017">
        <f t="shared" si="90"/>
        <v>3079.8821992496114</v>
      </c>
      <c r="Q283" s="1017">
        <f t="shared" si="84"/>
        <v>17297.982636432695</v>
      </c>
      <c r="R283" s="1017">
        <f t="shared" si="85"/>
        <v>138.23548186293161</v>
      </c>
      <c r="S283" s="1017">
        <f t="shared" si="86"/>
        <v>106.53945754374124</v>
      </c>
      <c r="T283" s="1017">
        <f t="shared" si="87"/>
        <v>1949.3809891928213</v>
      </c>
      <c r="U283" s="1017">
        <f t="shared" si="88"/>
        <v>244.26350640908873</v>
      </c>
      <c r="V283" s="1120">
        <f t="shared" si="89"/>
        <v>531094.89401586412</v>
      </c>
      <c r="W283" s="411"/>
      <c r="X283" s="411"/>
      <c r="Z283" s="203"/>
      <c r="AA283" s="204"/>
      <c r="AB283" s="198"/>
      <c r="AC283" s="198"/>
      <c r="AD283" s="198"/>
      <c r="AE283" s="198"/>
      <c r="AF283" s="198"/>
      <c r="AG283" s="199"/>
    </row>
    <row r="284" spans="1:33" ht="13.8">
      <c r="A284" s="197"/>
      <c r="B284" s="197"/>
      <c r="C284" s="198" t="s">
        <v>279</v>
      </c>
      <c r="D284" s="532" t="s">
        <v>259</v>
      </c>
      <c r="E284" s="1111">
        <v>227177</v>
      </c>
      <c r="F284" s="1111"/>
      <c r="G284" s="1111"/>
      <c r="H284" s="1111"/>
      <c r="I284" s="1111"/>
      <c r="J284" s="1111"/>
      <c r="K284" s="1111"/>
      <c r="L284" s="862"/>
      <c r="M284" s="299"/>
      <c r="N284" s="1119"/>
      <c r="O284" s="1017">
        <f t="shared" si="83"/>
        <v>227468.46397990835</v>
      </c>
      <c r="P284" s="1017">
        <f t="shared" si="90"/>
        <v>3079.8821992496114</v>
      </c>
      <c r="Q284" s="1017">
        <f t="shared" si="84"/>
        <v>17297.982636432695</v>
      </c>
      <c r="R284" s="1017">
        <f t="shared" si="85"/>
        <v>138.23548186293161</v>
      </c>
      <c r="S284" s="1017">
        <f t="shared" si="86"/>
        <v>106.53945754374124</v>
      </c>
      <c r="T284" s="1017">
        <f t="shared" si="87"/>
        <v>1949.3809891928213</v>
      </c>
      <c r="U284" s="1017">
        <f t="shared" si="88"/>
        <v>244.26350640908873</v>
      </c>
      <c r="V284" s="1120">
        <f t="shared" si="89"/>
        <v>531094.89401586412</v>
      </c>
      <c r="W284" s="411"/>
      <c r="X284" s="411"/>
      <c r="Z284" s="203"/>
      <c r="AA284" s="204"/>
      <c r="AB284" s="198"/>
      <c r="AC284" s="198"/>
      <c r="AD284" s="198"/>
      <c r="AE284" s="198"/>
      <c r="AF284" s="198"/>
      <c r="AG284" s="199"/>
    </row>
    <row r="285" spans="1:33" ht="14.4" thickBot="1">
      <c r="A285" s="197"/>
      <c r="B285" s="197"/>
      <c r="C285" s="198" t="s">
        <v>280</v>
      </c>
      <c r="D285" s="401" t="s">
        <v>259</v>
      </c>
      <c r="E285" s="1112">
        <v>2144</v>
      </c>
      <c r="F285" s="1112"/>
      <c r="G285" s="1112"/>
      <c r="H285" s="1112"/>
      <c r="I285" s="1112"/>
      <c r="J285" s="1112"/>
      <c r="K285" s="1112"/>
      <c r="L285" s="863"/>
      <c r="M285" s="299"/>
      <c r="N285" s="1121"/>
      <c r="O285" s="1122">
        <f t="shared" si="83"/>
        <v>229612.46397990835</v>
      </c>
      <c r="P285" s="1122">
        <f t="shared" si="90"/>
        <v>3079.8821992496114</v>
      </c>
      <c r="Q285" s="1122">
        <f t="shared" si="84"/>
        <v>17297.982636432695</v>
      </c>
      <c r="R285" s="1122">
        <f t="shared" si="85"/>
        <v>138.23548186293161</v>
      </c>
      <c r="S285" s="1122">
        <f t="shared" si="86"/>
        <v>106.53945754374124</v>
      </c>
      <c r="T285" s="1122">
        <f t="shared" si="87"/>
        <v>1949.3809891928213</v>
      </c>
      <c r="U285" s="1122">
        <f t="shared" si="88"/>
        <v>244.26350640908873</v>
      </c>
      <c r="V285" s="1123">
        <f t="shared" si="89"/>
        <v>531094.89401586412</v>
      </c>
      <c r="W285" s="411"/>
      <c r="X285" s="411"/>
      <c r="Z285" s="203"/>
      <c r="AA285" s="204"/>
      <c r="AB285" s="198"/>
      <c r="AC285" s="198"/>
      <c r="AD285" s="198"/>
      <c r="AE285" s="198"/>
      <c r="AF285" s="198"/>
      <c r="AG285" s="199"/>
    </row>
    <row r="286" spans="1:33" ht="13.8">
      <c r="A286" s="197"/>
      <c r="B286" s="197"/>
      <c r="C286" s="198" t="s">
        <v>524</v>
      </c>
      <c r="D286" s="204" t="s">
        <v>447</v>
      </c>
      <c r="E286" s="864">
        <f t="shared" si="91" ref="E286:L286">SUM(E273:E285)</f>
        <v>229612.46397990835</v>
      </c>
      <c r="F286" s="864">
        <f t="shared" si="91"/>
        <v>3079.8821992496114</v>
      </c>
      <c r="G286" s="864">
        <f t="shared" si="91"/>
        <v>17297.982636432695</v>
      </c>
      <c r="H286" s="864">
        <f t="shared" si="91"/>
        <v>138.23548186293161</v>
      </c>
      <c r="I286" s="864">
        <f t="shared" si="91"/>
        <v>106.53945754374124</v>
      </c>
      <c r="J286" s="864">
        <f t="shared" si="91"/>
        <v>1949.3809891928213</v>
      </c>
      <c r="K286" s="864">
        <f t="shared" si="91"/>
        <v>244.26350640908873</v>
      </c>
      <c r="L286" s="864">
        <f t="shared" si="91"/>
        <v>531094.89401586412</v>
      </c>
      <c r="M286" s="299"/>
      <c r="N286" s="299"/>
      <c r="O286" s="1114">
        <f t="shared" si="92" ref="O286:V286">SUM(O273:O285)</f>
        <v>459412.63979908347</v>
      </c>
      <c r="P286" s="1114">
        <f t="shared" si="92"/>
        <v>30798.821992496119</v>
      </c>
      <c r="Q286" s="1114">
        <f t="shared" si="92"/>
        <v>156601.8263643269</v>
      </c>
      <c r="R286" s="1114">
        <f t="shared" si="92"/>
        <v>1382.3548186293162</v>
      </c>
      <c r="S286" s="1114">
        <f t="shared" si="92"/>
        <v>1065.3945754374124</v>
      </c>
      <c r="T286" s="1114">
        <f t="shared" si="92"/>
        <v>19493.809891928213</v>
      </c>
      <c r="U286" s="1114">
        <f t="shared" si="92"/>
        <v>2442.6350640908872</v>
      </c>
      <c r="V286" s="1114">
        <f t="shared" si="92"/>
        <v>4777637.940158641</v>
      </c>
      <c r="W286" s="411"/>
      <c r="X286" s="411"/>
      <c r="Z286" s="203"/>
      <c r="AA286" s="204"/>
      <c r="AB286" s="198"/>
      <c r="AC286" s="198"/>
      <c r="AD286" s="198"/>
      <c r="AE286" s="198"/>
      <c r="AF286" s="198"/>
      <c r="AG286" s="199"/>
    </row>
    <row r="287" spans="1:33" ht="13.8">
      <c r="A287" s="197"/>
      <c r="B287" s="197"/>
      <c r="C287" s="198" t="s">
        <v>260</v>
      </c>
      <c r="E287" s="316"/>
      <c r="F287" s="316"/>
      <c r="G287" s="204"/>
      <c r="H287" s="204"/>
      <c r="I287" s="204"/>
      <c r="J287" s="204"/>
      <c r="K287" s="204"/>
      <c r="L287" s="299"/>
      <c r="M287" s="299"/>
      <c r="N287" s="316"/>
      <c r="O287" s="839">
        <f>O286/13</f>
        <v>35339.433830698727</v>
      </c>
      <c r="P287" s="839">
        <f>P286/13</f>
        <v>2369.1401532689324</v>
      </c>
      <c r="Q287" s="839">
        <f t="shared" si="93" ref="Q287:V287">Q286/13</f>
        <v>12046.294335717454</v>
      </c>
      <c r="R287" s="839">
        <f t="shared" si="93"/>
        <v>106.33498604840894</v>
      </c>
      <c r="S287" s="839">
        <f t="shared" si="93"/>
        <v>81.953428879800953</v>
      </c>
      <c r="T287" s="839">
        <f t="shared" si="93"/>
        <v>1499.5238378406318</v>
      </c>
      <c r="U287" s="839">
        <f t="shared" si="93"/>
        <v>187.89500493006824</v>
      </c>
      <c r="V287" s="839">
        <f t="shared" si="93"/>
        <v>367510.61078143393</v>
      </c>
      <c r="W287" s="411"/>
      <c r="X287" s="411"/>
      <c r="Z287" s="203"/>
      <c r="AA287" s="204"/>
      <c r="AB287" s="198"/>
      <c r="AC287" s="198"/>
      <c r="AD287" s="198"/>
      <c r="AE287" s="198"/>
      <c r="AF287" s="198"/>
      <c r="AG287" s="199"/>
    </row>
    <row r="288" spans="1:33" ht="13.8">
      <c r="A288" s="197"/>
      <c r="B288" s="197"/>
      <c r="C288" s="198"/>
      <c r="E288" s="316"/>
      <c r="F288" s="316"/>
      <c r="G288" s="204"/>
      <c r="H288" s="204"/>
      <c r="I288" s="204"/>
      <c r="J288" s="204"/>
      <c r="K288" s="204"/>
      <c r="L288" s="299"/>
      <c r="M288" s="299"/>
      <c r="N288" s="316"/>
      <c r="O288" s="839"/>
      <c r="P288" s="839"/>
      <c r="Q288" s="839"/>
      <c r="R288" s="839"/>
      <c r="S288" s="839"/>
      <c r="T288" s="839"/>
      <c r="U288" s="839"/>
      <c r="V288" s="839"/>
      <c r="W288" s="411"/>
      <c r="X288" s="411"/>
      <c r="Z288" s="203"/>
      <c r="AA288" s="204"/>
      <c r="AB288" s="198"/>
      <c r="AC288" s="198"/>
      <c r="AD288" s="198"/>
      <c r="AE288" s="198"/>
      <c r="AF288" s="198"/>
      <c r="AG288" s="199"/>
    </row>
    <row r="289" spans="1:33" ht="13.8">
      <c r="A289" s="197"/>
      <c r="B289" s="197"/>
      <c r="C289" s="198"/>
      <c r="E289" s="316"/>
      <c r="F289" s="316"/>
      <c r="G289" s="204"/>
      <c r="H289" s="204"/>
      <c r="I289" s="204"/>
      <c r="J289" s="204"/>
      <c r="K289" s="204"/>
      <c r="L289" s="299"/>
      <c r="M289" s="299"/>
      <c r="N289" s="316"/>
      <c r="O289" s="839"/>
      <c r="P289" s="839"/>
      <c r="Q289" s="839"/>
      <c r="R289" s="839"/>
      <c r="S289" s="839"/>
      <c r="T289" s="839"/>
      <c r="U289" s="839"/>
      <c r="V289" s="839"/>
      <c r="W289" s="411"/>
      <c r="X289" s="411"/>
      <c r="Z289" s="203"/>
      <c r="AA289" s="204"/>
      <c r="AB289" s="198"/>
      <c r="AC289" s="198"/>
      <c r="AD289" s="198"/>
      <c r="AE289" s="198"/>
      <c r="AF289" s="198"/>
      <c r="AG289" s="199"/>
    </row>
    <row r="290" spans="1:33" ht="14.4" thickBot="1">
      <c r="A290" s="197"/>
      <c r="B290" s="197"/>
      <c r="C290" s="198"/>
      <c r="E290" s="316"/>
      <c r="F290" s="316"/>
      <c r="G290" s="204"/>
      <c r="H290" s="204"/>
      <c r="I290" s="204"/>
      <c r="J290" s="204"/>
      <c r="K290" s="204"/>
      <c r="L290" s="299"/>
      <c r="M290" s="299"/>
      <c r="N290" s="316"/>
      <c r="O290" s="839"/>
      <c r="P290" s="839"/>
      <c r="Q290" s="839"/>
      <c r="R290" s="839"/>
      <c r="S290" s="839"/>
      <c r="T290" s="839"/>
      <c r="U290" s="839"/>
      <c r="V290" s="839"/>
      <c r="W290" s="411"/>
      <c r="X290" s="411"/>
      <c r="Z290" s="203"/>
      <c r="AA290" s="204"/>
      <c r="AB290" s="198"/>
      <c r="AC290" s="198"/>
      <c r="AD290" s="198"/>
      <c r="AE290" s="198"/>
      <c r="AF290" s="198"/>
      <c r="AG290" s="199"/>
    </row>
    <row r="291" spans="1:33" ht="14.4" thickBot="1">
      <c r="A291" s="197"/>
      <c r="B291" s="197"/>
      <c r="C291" s="197"/>
      <c r="D291" s="859" t="s">
        <v>355</v>
      </c>
      <c r="E291" s="860" t="s">
        <v>356</v>
      </c>
      <c r="F291" s="860" t="s">
        <v>357</v>
      </c>
      <c r="G291" s="860" t="s">
        <v>358</v>
      </c>
      <c r="H291" s="860" t="s">
        <v>633</v>
      </c>
      <c r="I291" s="860" t="s">
        <v>639</v>
      </c>
      <c r="J291" s="1115" t="s">
        <v>465</v>
      </c>
      <c r="K291" s="1115" t="s">
        <v>466</v>
      </c>
      <c r="L291" s="861" t="s">
        <v>291</v>
      </c>
      <c r="M291" s="299"/>
      <c r="N291" s="1799" t="s">
        <v>580</v>
      </c>
      <c r="O291" s="1800"/>
      <c r="P291" s="1800"/>
      <c r="Q291" s="1800"/>
      <c r="R291" s="1800"/>
      <c r="S291" s="1800"/>
      <c r="T291" s="1800"/>
      <c r="U291" s="1800"/>
      <c r="V291" s="1801"/>
      <c r="W291" s="411"/>
      <c r="X291" s="411"/>
      <c r="Z291" s="203"/>
      <c r="AA291" s="204"/>
      <c r="AB291" s="198"/>
      <c r="AC291" s="198"/>
      <c r="AD291" s="198"/>
      <c r="AE291" s="198"/>
      <c r="AF291" s="198"/>
      <c r="AG291" s="199"/>
    </row>
    <row r="292" spans="1:33" ht="48.75" customHeight="1" thickBot="1">
      <c r="A292" s="197"/>
      <c r="B292" s="197"/>
      <c r="C292" s="198"/>
      <c r="D292" s="665"/>
      <c r="E292" s="1650" t="s">
        <v>1003</v>
      </c>
      <c r="F292" s="1650" t="s">
        <v>1452</v>
      </c>
      <c r="G292" s="1650" t="s">
        <v>1004</v>
      </c>
      <c r="H292" s="1650"/>
      <c r="I292" s="1650"/>
      <c r="J292" s="1650"/>
      <c r="K292" s="1650"/>
      <c r="L292" s="1651"/>
      <c r="M292" s="299"/>
      <c r="N292" s="665" t="s">
        <v>579</v>
      </c>
      <c r="O292" s="625" t="s">
        <v>1003</v>
      </c>
      <c r="P292" s="625" t="s">
        <v>1452</v>
      </c>
      <c r="Q292" s="625" t="s">
        <v>1004</v>
      </c>
      <c r="R292" s="625">
        <f t="shared" si="94" ref="R292">H292</f>
        <v>0</v>
      </c>
      <c r="S292" s="625">
        <f>I292</f>
        <v>0</v>
      </c>
      <c r="T292" s="625">
        <f>J292</f>
        <v>0</v>
      </c>
      <c r="U292" s="625" t="s">
        <v>908</v>
      </c>
      <c r="V292" s="1107" t="s">
        <v>977</v>
      </c>
      <c r="W292" s="411"/>
      <c r="X292" s="411"/>
      <c r="Z292" s="203"/>
      <c r="AA292" s="204"/>
      <c r="AB292" s="198"/>
      <c r="AC292" s="198"/>
      <c r="AD292" s="198"/>
      <c r="AE292" s="198"/>
      <c r="AF292" s="198"/>
      <c r="AG292" s="199"/>
    </row>
    <row r="293" spans="1:33" ht="14.4" thickBot="1">
      <c r="A293" s="197"/>
      <c r="B293" s="197"/>
      <c r="C293" s="198"/>
      <c r="D293" s="858"/>
      <c r="E293" s="625" t="s">
        <v>632</v>
      </c>
      <c r="F293" s="625" t="s">
        <v>632</v>
      </c>
      <c r="G293" s="625" t="s">
        <v>632</v>
      </c>
      <c r="H293" s="625" t="s">
        <v>632</v>
      </c>
      <c r="I293" s="625" t="s">
        <v>632</v>
      </c>
      <c r="J293" s="625" t="s">
        <v>632</v>
      </c>
      <c r="K293" s="625" t="s">
        <v>632</v>
      </c>
      <c r="L293" s="1107" t="s">
        <v>632</v>
      </c>
      <c r="M293" s="299"/>
      <c r="N293" s="859"/>
      <c r="O293" s="625" t="str">
        <f>E293</f>
        <v>(in service)</v>
      </c>
      <c r="P293" s="625" t="s">
        <v>447</v>
      </c>
      <c r="Q293" s="625" t="s">
        <v>447</v>
      </c>
      <c r="R293" s="625" t="s">
        <v>632</v>
      </c>
      <c r="S293" s="625" t="s">
        <v>632</v>
      </c>
      <c r="T293" s="625" t="s">
        <v>632</v>
      </c>
      <c r="U293" s="625" t="s">
        <v>632</v>
      </c>
      <c r="V293" s="1107" t="s">
        <v>632</v>
      </c>
      <c r="W293" s="411"/>
      <c r="X293" s="411"/>
      <c r="Z293" s="203"/>
      <c r="AA293" s="204"/>
      <c r="AB293" s="198"/>
      <c r="AC293" s="198"/>
      <c r="AD293" s="198"/>
      <c r="AE293" s="198"/>
      <c r="AF293" s="198"/>
      <c r="AG293" s="199"/>
    </row>
    <row r="294" spans="1:33" ht="21.6">
      <c r="A294" s="197"/>
      <c r="B294" s="197"/>
      <c r="C294" s="1108" t="s">
        <v>122</v>
      </c>
      <c r="D294" s="1110" t="s">
        <v>258</v>
      </c>
      <c r="E294" s="1111"/>
      <c r="F294" s="1111"/>
      <c r="G294" s="1111"/>
      <c r="H294" s="1111"/>
      <c r="I294" s="1111"/>
      <c r="J294" s="1111"/>
      <c r="K294" s="1111"/>
      <c r="L294" s="862"/>
      <c r="M294" s="299"/>
      <c r="N294" s="1116"/>
      <c r="O294" s="1117">
        <f t="shared" si="95" ref="O294">E294</f>
        <v>0</v>
      </c>
      <c r="P294" s="1117">
        <f>F294</f>
        <v>0</v>
      </c>
      <c r="Q294" s="1117">
        <f t="shared" si="96" ref="Q294">G294</f>
        <v>0</v>
      </c>
      <c r="R294" s="1117">
        <f t="shared" si="97" ref="R294">H294</f>
        <v>0</v>
      </c>
      <c r="S294" s="1117">
        <f t="shared" si="98" ref="S294">I294</f>
        <v>0</v>
      </c>
      <c r="T294" s="1117">
        <f t="shared" si="99" ref="T294">J294</f>
        <v>0</v>
      </c>
      <c r="U294" s="1117">
        <f t="shared" si="100" ref="U294">K294</f>
        <v>0</v>
      </c>
      <c r="V294" s="1118">
        <f t="shared" si="101" ref="V294">L294</f>
        <v>0</v>
      </c>
      <c r="W294" s="411"/>
      <c r="X294" s="411"/>
      <c r="Z294" s="203"/>
      <c r="AA294" s="204"/>
      <c r="AB294" s="198"/>
      <c r="AC294" s="198"/>
      <c r="AD294" s="198"/>
      <c r="AE294" s="198"/>
      <c r="AF294" s="198"/>
      <c r="AG294" s="199"/>
    </row>
    <row r="295" spans="1:33" ht="13.8">
      <c r="A295" s="197"/>
      <c r="B295" s="197"/>
      <c r="C295" s="334" t="s">
        <v>1444</v>
      </c>
      <c r="D295" s="1110" t="s">
        <v>258</v>
      </c>
      <c r="E295" s="1111"/>
      <c r="F295" s="1111"/>
      <c r="G295" s="1111"/>
      <c r="H295" s="1111"/>
      <c r="I295" s="1111"/>
      <c r="J295" s="1111"/>
      <c r="K295" s="1111"/>
      <c r="L295" s="862"/>
      <c r="M295" s="299"/>
      <c r="N295" s="1119"/>
      <c r="O295" s="1017">
        <f t="shared" si="102" ref="O295:O306">O294+E295</f>
        <v>0</v>
      </c>
      <c r="P295" s="1017">
        <f>P294+F295</f>
        <v>0</v>
      </c>
      <c r="Q295" s="1017">
        <f t="shared" si="103" ref="Q295:Q306">Q294+G295</f>
        <v>0</v>
      </c>
      <c r="R295" s="1017">
        <f t="shared" si="104" ref="R295:R306">R294+H295</f>
        <v>0</v>
      </c>
      <c r="S295" s="1017">
        <f t="shared" si="105" ref="S295:S306">S294+I295</f>
        <v>0</v>
      </c>
      <c r="T295" s="1017">
        <f t="shared" si="106" ref="T295:T306">T294+J295</f>
        <v>0</v>
      </c>
      <c r="U295" s="1017">
        <f t="shared" si="107" ref="U295:U306">U294+K295</f>
        <v>0</v>
      </c>
      <c r="V295" s="1120">
        <f t="shared" si="108" ref="V295:V306">V294+L295</f>
        <v>0</v>
      </c>
      <c r="W295" s="411"/>
      <c r="X295" s="411"/>
      <c r="Z295" s="203"/>
      <c r="AA295" s="204"/>
      <c r="AB295" s="198"/>
      <c r="AC295" s="198"/>
      <c r="AD295" s="198"/>
      <c r="AE295" s="198"/>
      <c r="AF295" s="198"/>
      <c r="AG295" s="199"/>
    </row>
    <row r="296" spans="1:33" ht="13.8">
      <c r="A296" s="197"/>
      <c r="B296" s="197"/>
      <c r="C296" s="198" t="s">
        <v>271</v>
      </c>
      <c r="D296" s="1110" t="s">
        <v>258</v>
      </c>
      <c r="E296" s="1111">
        <v>0</v>
      </c>
      <c r="F296" s="1111">
        <v>0</v>
      </c>
      <c r="G296" s="1111">
        <v>0</v>
      </c>
      <c r="H296" s="1111"/>
      <c r="I296" s="1111"/>
      <c r="J296" s="1111"/>
      <c r="K296" s="1111"/>
      <c r="L296" s="862"/>
      <c r="M296" s="299"/>
      <c r="N296" s="1119"/>
      <c r="O296" s="1017">
        <f t="shared" si="102"/>
        <v>0</v>
      </c>
      <c r="P296" s="1017">
        <f t="shared" si="109" ref="P296:P306">P295+F296</f>
        <v>0</v>
      </c>
      <c r="Q296" s="1017">
        <f t="shared" si="103"/>
        <v>0</v>
      </c>
      <c r="R296" s="1017">
        <f t="shared" si="104"/>
        <v>0</v>
      </c>
      <c r="S296" s="1017">
        <f t="shared" si="105"/>
        <v>0</v>
      </c>
      <c r="T296" s="1017">
        <f t="shared" si="106"/>
        <v>0</v>
      </c>
      <c r="U296" s="1017">
        <f t="shared" si="107"/>
        <v>0</v>
      </c>
      <c r="V296" s="1120">
        <f t="shared" si="108"/>
        <v>0</v>
      </c>
      <c r="W296" s="411"/>
      <c r="X296" s="411"/>
      <c r="Z296" s="203"/>
      <c r="AA296" s="204"/>
      <c r="AB296" s="198"/>
      <c r="AC296" s="198"/>
      <c r="AD296" s="198"/>
      <c r="AE296" s="198"/>
      <c r="AF296" s="198"/>
      <c r="AG296" s="199"/>
    </row>
    <row r="297" spans="1:33" ht="13.8">
      <c r="A297" s="197"/>
      <c r="B297" s="197"/>
      <c r="C297" s="198" t="s">
        <v>272</v>
      </c>
      <c r="D297" s="1110" t="s">
        <v>258</v>
      </c>
      <c r="E297" s="1111">
        <v>1833.198481619964</v>
      </c>
      <c r="F297" s="1111">
        <v>338.82454960891937</v>
      </c>
      <c r="G297" s="1111">
        <v>242.45569975089663</v>
      </c>
      <c r="H297" s="1111"/>
      <c r="I297" s="1111"/>
      <c r="J297" s="1111"/>
      <c r="K297" s="1111"/>
      <c r="L297" s="862"/>
      <c r="M297" s="299"/>
      <c r="N297" s="1119"/>
      <c r="O297" s="1017">
        <f t="shared" si="102"/>
        <v>1833.198481619964</v>
      </c>
      <c r="P297" s="1017">
        <f t="shared" si="109"/>
        <v>338.82454960891937</v>
      </c>
      <c r="Q297" s="1017">
        <f t="shared" si="103"/>
        <v>242.45569975089663</v>
      </c>
      <c r="R297" s="1017">
        <f t="shared" si="104"/>
        <v>0</v>
      </c>
      <c r="S297" s="1017">
        <f t="shared" si="105"/>
        <v>0</v>
      </c>
      <c r="T297" s="1017">
        <f t="shared" si="106"/>
        <v>0</v>
      </c>
      <c r="U297" s="1017">
        <f t="shared" si="107"/>
        <v>0</v>
      </c>
      <c r="V297" s="1120">
        <f t="shared" si="108"/>
        <v>0</v>
      </c>
      <c r="W297" s="411"/>
      <c r="X297" s="411"/>
      <c r="Z297" s="203"/>
      <c r="AA297" s="204"/>
      <c r="AB297" s="198"/>
      <c r="AC297" s="198"/>
      <c r="AD297" s="198"/>
      <c r="AE297" s="198"/>
      <c r="AF297" s="198"/>
      <c r="AG297" s="199"/>
    </row>
    <row r="298" spans="1:33" ht="13.8">
      <c r="A298" s="197"/>
      <c r="B298" s="197"/>
      <c r="C298" s="198" t="s">
        <v>273</v>
      </c>
      <c r="D298" s="532" t="s">
        <v>259</v>
      </c>
      <c r="E298" s="1111"/>
      <c r="F298" s="1111"/>
      <c r="G298" s="1111"/>
      <c r="H298" s="1111"/>
      <c r="I298" s="1111"/>
      <c r="J298" s="1111"/>
      <c r="K298" s="1111"/>
      <c r="L298" s="862"/>
      <c r="M298" s="299"/>
      <c r="N298" s="1119"/>
      <c r="O298" s="1017">
        <f t="shared" si="102"/>
        <v>1833.198481619964</v>
      </c>
      <c r="P298" s="1017">
        <f t="shared" si="109"/>
        <v>338.82454960891937</v>
      </c>
      <c r="Q298" s="1017">
        <f t="shared" si="103"/>
        <v>242.45569975089663</v>
      </c>
      <c r="R298" s="1017">
        <f t="shared" si="104"/>
        <v>0</v>
      </c>
      <c r="S298" s="1017">
        <f t="shared" si="105"/>
        <v>0</v>
      </c>
      <c r="T298" s="1017">
        <f t="shared" si="106"/>
        <v>0</v>
      </c>
      <c r="U298" s="1017">
        <f t="shared" si="107"/>
        <v>0</v>
      </c>
      <c r="V298" s="1120">
        <f t="shared" si="108"/>
        <v>0</v>
      </c>
      <c r="W298" s="411"/>
      <c r="X298" s="411"/>
      <c r="Z298" s="203"/>
      <c r="AA298" s="204"/>
      <c r="AB298" s="198"/>
      <c r="AC298" s="198"/>
      <c r="AD298" s="198"/>
      <c r="AE298" s="198"/>
      <c r="AF298" s="198"/>
      <c r="AG298" s="199"/>
    </row>
    <row r="299" spans="1:33" ht="13.8">
      <c r="A299" s="197"/>
      <c r="B299" s="197"/>
      <c r="C299" s="198" t="s">
        <v>255</v>
      </c>
      <c r="D299" s="532" t="s">
        <v>259</v>
      </c>
      <c r="E299" s="1111"/>
      <c r="F299" s="1111"/>
      <c r="G299" s="1111"/>
      <c r="H299" s="1111"/>
      <c r="I299" s="1111"/>
      <c r="J299" s="1111"/>
      <c r="K299" s="1111"/>
      <c r="L299" s="862"/>
      <c r="M299" s="299"/>
      <c r="N299" s="1119"/>
      <c r="O299" s="1017">
        <f t="shared" si="102"/>
        <v>1833.198481619964</v>
      </c>
      <c r="P299" s="1017">
        <f t="shared" si="109"/>
        <v>338.82454960891937</v>
      </c>
      <c r="Q299" s="1017">
        <f t="shared" si="103"/>
        <v>242.45569975089663</v>
      </c>
      <c r="R299" s="1017">
        <f t="shared" si="104"/>
        <v>0</v>
      </c>
      <c r="S299" s="1017">
        <f t="shared" si="105"/>
        <v>0</v>
      </c>
      <c r="T299" s="1017">
        <f t="shared" si="106"/>
        <v>0</v>
      </c>
      <c r="U299" s="1017">
        <f t="shared" si="107"/>
        <v>0</v>
      </c>
      <c r="V299" s="1120">
        <f t="shared" si="108"/>
        <v>0</v>
      </c>
      <c r="W299" s="411"/>
      <c r="X299" s="411"/>
      <c r="Z299" s="203"/>
      <c r="AA299" s="204"/>
      <c r="AB299" s="198"/>
      <c r="AC299" s="198"/>
      <c r="AD299" s="198"/>
      <c r="AE299" s="198"/>
      <c r="AF299" s="198"/>
      <c r="AG299" s="199"/>
    </row>
    <row r="300" spans="1:33" ht="13.8">
      <c r="A300" s="197"/>
      <c r="B300" s="197"/>
      <c r="C300" s="198" t="s">
        <v>274</v>
      </c>
      <c r="D300" s="532" t="s">
        <v>259</v>
      </c>
      <c r="E300" s="1111"/>
      <c r="F300" s="1111"/>
      <c r="G300" s="1111"/>
      <c r="H300" s="1111"/>
      <c r="I300" s="1111"/>
      <c r="J300" s="1111"/>
      <c r="K300" s="1111"/>
      <c r="L300" s="862"/>
      <c r="M300" s="299"/>
      <c r="N300" s="1119"/>
      <c r="O300" s="1017">
        <f t="shared" si="102"/>
        <v>1833.198481619964</v>
      </c>
      <c r="P300" s="1017">
        <f t="shared" si="109"/>
        <v>338.82454960891937</v>
      </c>
      <c r="Q300" s="1017">
        <f t="shared" si="103"/>
        <v>242.45569975089663</v>
      </c>
      <c r="R300" s="1017">
        <f t="shared" si="104"/>
        <v>0</v>
      </c>
      <c r="S300" s="1017">
        <f t="shared" si="105"/>
        <v>0</v>
      </c>
      <c r="T300" s="1017">
        <f t="shared" si="106"/>
        <v>0</v>
      </c>
      <c r="U300" s="1017">
        <f t="shared" si="107"/>
        <v>0</v>
      </c>
      <c r="V300" s="1120">
        <f t="shared" si="108"/>
        <v>0</v>
      </c>
      <c r="W300" s="411"/>
      <c r="X300" s="411"/>
      <c r="Z300" s="203"/>
      <c r="AA300" s="204"/>
      <c r="AB300" s="198"/>
      <c r="AC300" s="198"/>
      <c r="AD300" s="198"/>
      <c r="AE300" s="198"/>
      <c r="AF300" s="198"/>
      <c r="AG300" s="199"/>
    </row>
    <row r="301" spans="1:33" ht="13.8">
      <c r="A301" s="197"/>
      <c r="B301" s="197"/>
      <c r="C301" s="198" t="s">
        <v>275</v>
      </c>
      <c r="D301" s="532" t="s">
        <v>259</v>
      </c>
      <c r="E301" s="1111"/>
      <c r="F301" s="1111"/>
      <c r="G301" s="1111"/>
      <c r="H301" s="1111"/>
      <c r="I301" s="1111"/>
      <c r="J301" s="1111"/>
      <c r="K301" s="1111"/>
      <c r="L301" s="862"/>
      <c r="M301" s="299"/>
      <c r="N301" s="1119"/>
      <c r="O301" s="1017">
        <f t="shared" si="102"/>
        <v>1833.198481619964</v>
      </c>
      <c r="P301" s="1017">
        <f t="shared" si="109"/>
        <v>338.82454960891937</v>
      </c>
      <c r="Q301" s="1017">
        <f t="shared" si="103"/>
        <v>242.45569975089663</v>
      </c>
      <c r="R301" s="1017">
        <f t="shared" si="104"/>
        <v>0</v>
      </c>
      <c r="S301" s="1017">
        <f t="shared" si="105"/>
        <v>0</v>
      </c>
      <c r="T301" s="1017">
        <f t="shared" si="106"/>
        <v>0</v>
      </c>
      <c r="U301" s="1017">
        <f t="shared" si="107"/>
        <v>0</v>
      </c>
      <c r="V301" s="1120">
        <f t="shared" si="108"/>
        <v>0</v>
      </c>
      <c r="W301" s="411"/>
      <c r="X301" s="411"/>
      <c r="Z301" s="203"/>
      <c r="AA301" s="204"/>
      <c r="AB301" s="198"/>
      <c r="AC301" s="198"/>
      <c r="AD301" s="198"/>
      <c r="AE301" s="198"/>
      <c r="AF301" s="198"/>
      <c r="AG301" s="199"/>
    </row>
    <row r="302" spans="1:33" ht="13.8">
      <c r="A302" s="197"/>
      <c r="B302" s="197"/>
      <c r="C302" s="198" t="s">
        <v>276</v>
      </c>
      <c r="D302" s="532" t="s">
        <v>259</v>
      </c>
      <c r="E302" s="1111"/>
      <c r="F302" s="1111"/>
      <c r="G302" s="1111"/>
      <c r="H302" s="1111"/>
      <c r="I302" s="1111"/>
      <c r="J302" s="1111"/>
      <c r="K302" s="1111"/>
      <c r="L302" s="862"/>
      <c r="M302" s="299"/>
      <c r="N302" s="1119"/>
      <c r="O302" s="1017">
        <f t="shared" si="102"/>
        <v>1833.198481619964</v>
      </c>
      <c r="P302" s="1017">
        <f t="shared" si="109"/>
        <v>338.82454960891937</v>
      </c>
      <c r="Q302" s="1017">
        <f t="shared" si="103"/>
        <v>242.45569975089663</v>
      </c>
      <c r="R302" s="1017">
        <f t="shared" si="104"/>
        <v>0</v>
      </c>
      <c r="S302" s="1017">
        <f t="shared" si="105"/>
        <v>0</v>
      </c>
      <c r="T302" s="1017">
        <f t="shared" si="106"/>
        <v>0</v>
      </c>
      <c r="U302" s="1017">
        <f t="shared" si="107"/>
        <v>0</v>
      </c>
      <c r="V302" s="1120">
        <f t="shared" si="108"/>
        <v>0</v>
      </c>
      <c r="W302" s="411"/>
      <c r="X302" s="411"/>
      <c r="Z302" s="203"/>
      <c r="AA302" s="204"/>
      <c r="AB302" s="198"/>
      <c r="AC302" s="198"/>
      <c r="AD302" s="198"/>
      <c r="AE302" s="198"/>
      <c r="AF302" s="198"/>
      <c r="AG302" s="199"/>
    </row>
    <row r="303" spans="1:33" ht="13.8">
      <c r="A303" s="197"/>
      <c r="B303" s="197"/>
      <c r="C303" s="198" t="s">
        <v>277</v>
      </c>
      <c r="D303" s="532" t="s">
        <v>259</v>
      </c>
      <c r="E303" s="1111"/>
      <c r="F303" s="1111"/>
      <c r="G303" s="1111"/>
      <c r="H303" s="1111"/>
      <c r="I303" s="1111"/>
      <c r="J303" s="1111"/>
      <c r="K303" s="1111"/>
      <c r="L303" s="862"/>
      <c r="M303" s="299"/>
      <c r="N303" s="1119"/>
      <c r="O303" s="1017">
        <f t="shared" si="102"/>
        <v>1833.198481619964</v>
      </c>
      <c r="P303" s="1017">
        <f t="shared" si="109"/>
        <v>338.82454960891937</v>
      </c>
      <c r="Q303" s="1017">
        <f t="shared" si="103"/>
        <v>242.45569975089663</v>
      </c>
      <c r="R303" s="1017">
        <f t="shared" si="104"/>
        <v>0</v>
      </c>
      <c r="S303" s="1017">
        <f t="shared" si="105"/>
        <v>0</v>
      </c>
      <c r="T303" s="1017">
        <f t="shared" si="106"/>
        <v>0</v>
      </c>
      <c r="U303" s="1017">
        <f t="shared" si="107"/>
        <v>0</v>
      </c>
      <c r="V303" s="1120">
        <f t="shared" si="108"/>
        <v>0</v>
      </c>
      <c r="W303" s="411"/>
      <c r="X303" s="411"/>
      <c r="Z303" s="203"/>
      <c r="AA303" s="204"/>
      <c r="AB303" s="198"/>
      <c r="AC303" s="198"/>
      <c r="AD303" s="198"/>
      <c r="AE303" s="198"/>
      <c r="AF303" s="198"/>
      <c r="AG303" s="199"/>
    </row>
    <row r="304" spans="1:33" ht="13.8">
      <c r="A304" s="197"/>
      <c r="B304" s="197"/>
      <c r="C304" s="198" t="s">
        <v>278</v>
      </c>
      <c r="D304" s="532" t="s">
        <v>259</v>
      </c>
      <c r="E304" s="1111"/>
      <c r="F304" s="1111"/>
      <c r="G304" s="1111"/>
      <c r="H304" s="1111"/>
      <c r="I304" s="1111"/>
      <c r="J304" s="1111"/>
      <c r="K304" s="1111"/>
      <c r="L304" s="862"/>
      <c r="M304" s="299"/>
      <c r="N304" s="1119"/>
      <c r="O304" s="1017">
        <f t="shared" si="102"/>
        <v>1833.198481619964</v>
      </c>
      <c r="P304" s="1017">
        <f t="shared" si="109"/>
        <v>338.82454960891937</v>
      </c>
      <c r="Q304" s="1017">
        <f t="shared" si="103"/>
        <v>242.45569975089663</v>
      </c>
      <c r="R304" s="1017">
        <f t="shared" si="104"/>
        <v>0</v>
      </c>
      <c r="S304" s="1017">
        <f t="shared" si="105"/>
        <v>0</v>
      </c>
      <c r="T304" s="1017">
        <f t="shared" si="106"/>
        <v>0</v>
      </c>
      <c r="U304" s="1017">
        <f t="shared" si="107"/>
        <v>0</v>
      </c>
      <c r="V304" s="1120">
        <f t="shared" si="108"/>
        <v>0</v>
      </c>
      <c r="W304" s="411"/>
      <c r="X304" s="411"/>
      <c r="Z304" s="203"/>
      <c r="AA304" s="204"/>
      <c r="AB304" s="198"/>
      <c r="AC304" s="198"/>
      <c r="AD304" s="198"/>
      <c r="AE304" s="198"/>
      <c r="AF304" s="198"/>
      <c r="AG304" s="199"/>
    </row>
    <row r="305" spans="1:33" ht="13.8">
      <c r="A305" s="197"/>
      <c r="B305" s="197"/>
      <c r="C305" s="198" t="s">
        <v>279</v>
      </c>
      <c r="D305" s="532" t="s">
        <v>259</v>
      </c>
      <c r="E305" s="1111"/>
      <c r="F305" s="1111"/>
      <c r="G305" s="1111"/>
      <c r="H305" s="1111"/>
      <c r="I305" s="1111"/>
      <c r="J305" s="1111"/>
      <c r="K305" s="1111"/>
      <c r="L305" s="862"/>
      <c r="M305" s="299"/>
      <c r="N305" s="1119"/>
      <c r="O305" s="1017">
        <f t="shared" si="102"/>
        <v>1833.198481619964</v>
      </c>
      <c r="P305" s="1017">
        <f t="shared" si="109"/>
        <v>338.82454960891937</v>
      </c>
      <c r="Q305" s="1017">
        <f t="shared" si="103"/>
        <v>242.45569975089663</v>
      </c>
      <c r="R305" s="1017">
        <f t="shared" si="104"/>
        <v>0</v>
      </c>
      <c r="S305" s="1017">
        <f t="shared" si="105"/>
        <v>0</v>
      </c>
      <c r="T305" s="1017">
        <f t="shared" si="106"/>
        <v>0</v>
      </c>
      <c r="U305" s="1017">
        <f t="shared" si="107"/>
        <v>0</v>
      </c>
      <c r="V305" s="1120">
        <f t="shared" si="108"/>
        <v>0</v>
      </c>
      <c r="W305" s="411"/>
      <c r="X305" s="411"/>
      <c r="Z305" s="203"/>
      <c r="AA305" s="204"/>
      <c r="AB305" s="198"/>
      <c r="AC305" s="198"/>
      <c r="AD305" s="198"/>
      <c r="AE305" s="198"/>
      <c r="AF305" s="198"/>
      <c r="AG305" s="199"/>
    </row>
    <row r="306" spans="1:33" ht="14.4" thickBot="1">
      <c r="A306" s="197"/>
      <c r="B306" s="197"/>
      <c r="C306" s="198" t="s">
        <v>280</v>
      </c>
      <c r="D306" s="401" t="s">
        <v>259</v>
      </c>
      <c r="E306" s="1112"/>
      <c r="F306" s="1112"/>
      <c r="G306" s="1112"/>
      <c r="H306" s="1112"/>
      <c r="I306" s="1112"/>
      <c r="J306" s="1112"/>
      <c r="K306" s="1112"/>
      <c r="L306" s="863"/>
      <c r="M306" s="299"/>
      <c r="N306" s="1121"/>
      <c r="O306" s="1122">
        <f t="shared" si="102"/>
        <v>1833.198481619964</v>
      </c>
      <c r="P306" s="1122">
        <f t="shared" si="109"/>
        <v>338.82454960891937</v>
      </c>
      <c r="Q306" s="1122">
        <f t="shared" si="103"/>
        <v>242.45569975089663</v>
      </c>
      <c r="R306" s="1122">
        <f t="shared" si="104"/>
        <v>0</v>
      </c>
      <c r="S306" s="1122">
        <f t="shared" si="105"/>
        <v>0</v>
      </c>
      <c r="T306" s="1122">
        <f t="shared" si="106"/>
        <v>0</v>
      </c>
      <c r="U306" s="1122">
        <f t="shared" si="107"/>
        <v>0</v>
      </c>
      <c r="V306" s="1123">
        <f t="shared" si="108"/>
        <v>0</v>
      </c>
      <c r="W306" s="411"/>
      <c r="X306" s="411"/>
      <c r="Z306" s="203"/>
      <c r="AA306" s="204"/>
      <c r="AB306" s="198"/>
      <c r="AC306" s="198"/>
      <c r="AD306" s="198"/>
      <c r="AE306" s="198"/>
      <c r="AF306" s="198"/>
      <c r="AG306" s="199"/>
    </row>
    <row r="307" spans="1:33" ht="13.8">
      <c r="A307" s="197"/>
      <c r="B307" s="197"/>
      <c r="C307" s="198" t="s">
        <v>524</v>
      </c>
      <c r="D307" s="204" t="s">
        <v>447</v>
      </c>
      <c r="E307" s="864">
        <f t="shared" si="110" ref="E307:L307">SUM(E294:E306)</f>
        <v>1833.198481619964</v>
      </c>
      <c r="F307" s="864">
        <f>SUM(F294:F306)</f>
        <v>338.82454960891937</v>
      </c>
      <c r="G307" s="864">
        <f t="shared" si="110"/>
        <v>242.45569975089663</v>
      </c>
      <c r="H307" s="864">
        <f t="shared" si="110"/>
        <v>0</v>
      </c>
      <c r="I307" s="864">
        <f t="shared" si="110"/>
        <v>0</v>
      </c>
      <c r="J307" s="864">
        <f t="shared" si="110"/>
        <v>0</v>
      </c>
      <c r="K307" s="864">
        <f t="shared" si="110"/>
        <v>0</v>
      </c>
      <c r="L307" s="864">
        <f t="shared" si="110"/>
        <v>0</v>
      </c>
      <c r="M307" s="299"/>
      <c r="N307" s="299"/>
      <c r="O307" s="1114">
        <f t="shared" si="111" ref="O307:V307">SUM(O294:O306)</f>
        <v>18331.984816199642</v>
      </c>
      <c r="P307" s="1114">
        <f t="shared" si="111"/>
        <v>3388.2454960891937</v>
      </c>
      <c r="Q307" s="1114">
        <f t="shared" si="111"/>
        <v>2424.5569975089661</v>
      </c>
      <c r="R307" s="1114">
        <f t="shared" si="111"/>
        <v>0</v>
      </c>
      <c r="S307" s="1114">
        <f t="shared" si="111"/>
        <v>0</v>
      </c>
      <c r="T307" s="1114">
        <f t="shared" si="111"/>
        <v>0</v>
      </c>
      <c r="U307" s="1114">
        <f t="shared" si="111"/>
        <v>0</v>
      </c>
      <c r="V307" s="1114">
        <f t="shared" si="111"/>
        <v>0</v>
      </c>
      <c r="W307" s="411"/>
      <c r="X307" s="411"/>
      <c r="Z307" s="203"/>
      <c r="AA307" s="204"/>
      <c r="AB307" s="198"/>
      <c r="AC307" s="198"/>
      <c r="AD307" s="198"/>
      <c r="AE307" s="198"/>
      <c r="AF307" s="198"/>
      <c r="AG307" s="199"/>
    </row>
    <row r="308" spans="1:33" ht="13.8">
      <c r="A308" s="197"/>
      <c r="B308" s="197"/>
      <c r="C308" s="198" t="s">
        <v>260</v>
      </c>
      <c r="E308" s="316"/>
      <c r="F308" s="316"/>
      <c r="G308" s="204"/>
      <c r="H308" s="204"/>
      <c r="I308" s="204"/>
      <c r="J308" s="204"/>
      <c r="K308" s="204"/>
      <c r="L308" s="299"/>
      <c r="M308" s="299"/>
      <c r="N308" s="316"/>
      <c r="O308" s="839">
        <f>O307/13</f>
        <v>1410.1526781692032</v>
      </c>
      <c r="P308" s="839">
        <f>P307/13</f>
        <v>260.634268929938</v>
      </c>
      <c r="Q308" s="839">
        <f t="shared" si="112" ref="Q308:V308">Q307/13</f>
        <v>186.50438442376662</v>
      </c>
      <c r="R308" s="839">
        <f t="shared" si="112"/>
        <v>0</v>
      </c>
      <c r="S308" s="839">
        <f t="shared" si="112"/>
        <v>0</v>
      </c>
      <c r="T308" s="839">
        <f t="shared" si="112"/>
        <v>0</v>
      </c>
      <c r="U308" s="839">
        <f t="shared" si="112"/>
        <v>0</v>
      </c>
      <c r="V308" s="839">
        <f t="shared" si="112"/>
        <v>0</v>
      </c>
      <c r="W308" s="411"/>
      <c r="X308" s="411"/>
      <c r="Z308" s="203"/>
      <c r="AA308" s="204"/>
      <c r="AB308" s="198"/>
      <c r="AC308" s="198"/>
      <c r="AD308" s="198"/>
      <c r="AE308" s="198"/>
      <c r="AF308" s="198"/>
      <c r="AG308" s="199"/>
    </row>
    <row r="309" spans="1:33" ht="13.8">
      <c r="A309" s="197"/>
      <c r="B309" s="197"/>
      <c r="C309" s="198"/>
      <c r="E309" s="316"/>
      <c r="F309" s="316"/>
      <c r="G309" s="204"/>
      <c r="H309" s="204"/>
      <c r="I309" s="204"/>
      <c r="J309" s="204"/>
      <c r="K309" s="204"/>
      <c r="L309" s="299"/>
      <c r="M309" s="299"/>
      <c r="N309" s="316"/>
      <c r="O309" s="839"/>
      <c r="P309" s="839"/>
      <c r="Q309" s="839"/>
      <c r="R309" s="839"/>
      <c r="S309" s="839"/>
      <c r="T309" s="839"/>
      <c r="U309" s="839"/>
      <c r="V309" s="839"/>
      <c r="W309" s="411"/>
      <c r="X309" s="411"/>
      <c r="Z309" s="203"/>
      <c r="AA309" s="204"/>
      <c r="AB309" s="198"/>
      <c r="AC309" s="198"/>
      <c r="AD309" s="198"/>
      <c r="AE309" s="198"/>
      <c r="AF309" s="198"/>
      <c r="AG309" s="199"/>
    </row>
    <row r="310" spans="1:33" ht="13.8">
      <c r="A310" s="197"/>
      <c r="B310" s="197"/>
      <c r="C310" s="198"/>
      <c r="E310" s="316"/>
      <c r="F310" s="316"/>
      <c r="G310" s="204"/>
      <c r="H310" s="204"/>
      <c r="I310" s="204"/>
      <c r="J310" s="204"/>
      <c r="K310" s="204"/>
      <c r="L310" s="299"/>
      <c r="M310" s="299"/>
      <c r="N310" s="316"/>
      <c r="O310" s="839"/>
      <c r="P310" s="839"/>
      <c r="Q310" s="839"/>
      <c r="R310" s="839"/>
      <c r="S310" s="839"/>
      <c r="T310" s="839"/>
      <c r="U310" s="839"/>
      <c r="V310" s="839"/>
      <c r="W310" s="411"/>
      <c r="X310" s="411"/>
      <c r="Z310" s="203"/>
      <c r="AA310" s="204"/>
      <c r="AB310" s="198"/>
      <c r="AC310" s="198"/>
      <c r="AD310" s="198"/>
      <c r="AE310" s="198"/>
      <c r="AF310" s="198"/>
      <c r="AG310" s="199"/>
    </row>
    <row r="311" spans="1:33" ht="13.8">
      <c r="A311" s="197"/>
      <c r="B311" s="197"/>
      <c r="C311" s="198"/>
      <c r="E311" s="316"/>
      <c r="F311" s="316"/>
      <c r="G311" s="204"/>
      <c r="H311" s="204"/>
      <c r="I311" s="204"/>
      <c r="J311" s="204"/>
      <c r="K311" s="204"/>
      <c r="L311" s="299"/>
      <c r="M311" s="299"/>
      <c r="N311" s="316"/>
      <c r="O311" s="839"/>
      <c r="P311" s="839"/>
      <c r="Q311" s="839"/>
      <c r="R311" s="839"/>
      <c r="S311" s="839"/>
      <c r="T311" s="839"/>
      <c r="U311" s="839"/>
      <c r="V311" s="839"/>
      <c r="W311" s="411"/>
      <c r="X311" s="411"/>
      <c r="Z311" s="203"/>
      <c r="AA311" s="204"/>
      <c r="AB311" s="198"/>
      <c r="AC311" s="198"/>
      <c r="AD311" s="198"/>
      <c r="AE311" s="198"/>
      <c r="AF311" s="198"/>
      <c r="AG311" s="199"/>
    </row>
    <row r="312" spans="1:33" ht="13.8">
      <c r="A312" s="197"/>
      <c r="B312" s="197"/>
      <c r="C312" s="198"/>
      <c r="E312" s="316"/>
      <c r="F312" s="316"/>
      <c r="G312" s="204"/>
      <c r="H312" s="204"/>
      <c r="I312" s="204"/>
      <c r="J312" s="204"/>
      <c r="K312" s="204"/>
      <c r="L312" s="299"/>
      <c r="M312" s="299"/>
      <c r="N312" s="316"/>
      <c r="O312" s="839"/>
      <c r="P312" s="839"/>
      <c r="Q312" s="839"/>
      <c r="R312" s="839"/>
      <c r="S312" s="839"/>
      <c r="T312" s="839"/>
      <c r="U312" s="839"/>
      <c r="V312" s="839"/>
      <c r="W312" s="411"/>
      <c r="X312" s="411"/>
      <c r="Z312" s="203"/>
      <c r="AA312" s="204"/>
      <c r="AB312" s="198"/>
      <c r="AC312" s="198"/>
      <c r="AD312" s="198"/>
      <c r="AE312" s="198"/>
      <c r="AF312" s="198"/>
      <c r="AG312" s="199"/>
    </row>
    <row r="313" spans="1:33" ht="13.8">
      <c r="A313" s="197"/>
      <c r="B313" s="197"/>
      <c r="C313" s="198"/>
      <c r="E313" s="316"/>
      <c r="F313" s="316"/>
      <c r="G313" s="204"/>
      <c r="H313" s="204"/>
      <c r="I313" s="204"/>
      <c r="J313" s="204"/>
      <c r="K313" s="204"/>
      <c r="L313" s="299"/>
      <c r="M313" s="299"/>
      <c r="N313" s="316"/>
      <c r="O313" s="839"/>
      <c r="P313" s="839"/>
      <c r="Q313" s="839"/>
      <c r="R313" s="839"/>
      <c r="S313" s="839"/>
      <c r="T313" s="839"/>
      <c r="U313" s="839"/>
      <c r="V313" s="839"/>
      <c r="W313" s="411"/>
      <c r="X313" s="411"/>
      <c r="Z313" s="203"/>
      <c r="AA313" s="204"/>
      <c r="AB313" s="198"/>
      <c r="AC313" s="198"/>
      <c r="AD313" s="198"/>
      <c r="AE313" s="198"/>
      <c r="AF313" s="198"/>
      <c r="AG313" s="199"/>
    </row>
    <row r="314" spans="1:33" ht="13.8">
      <c r="A314" s="197"/>
      <c r="B314" s="197"/>
      <c r="C314" s="198"/>
      <c r="E314" s="316"/>
      <c r="F314" s="316"/>
      <c r="G314" s="204"/>
      <c r="H314" s="204"/>
      <c r="I314" s="204"/>
      <c r="J314" s="204"/>
      <c r="K314" s="204"/>
      <c r="L314" s="299"/>
      <c r="M314" s="299"/>
      <c r="N314" s="316"/>
      <c r="O314" s="839"/>
      <c r="P314" s="839"/>
      <c r="Q314" s="839"/>
      <c r="R314" s="839"/>
      <c r="S314" s="839"/>
      <c r="T314" s="839"/>
      <c r="U314" s="839"/>
      <c r="V314" s="839"/>
      <c r="W314" s="411"/>
      <c r="X314" s="411"/>
      <c r="Z314" s="203"/>
      <c r="AA314" s="204"/>
      <c r="AB314" s="198"/>
      <c r="AC314" s="198"/>
      <c r="AD314" s="198"/>
      <c r="AE314" s="198"/>
      <c r="AF314" s="198"/>
      <c r="AG314" s="199"/>
    </row>
    <row r="315" spans="1:33" ht="13.8">
      <c r="A315" s="197"/>
      <c r="B315" s="197"/>
      <c r="C315" s="198"/>
      <c r="E315" s="316"/>
      <c r="F315" s="316"/>
      <c r="G315" s="204"/>
      <c r="H315" s="204"/>
      <c r="I315" s="204"/>
      <c r="J315" s="204"/>
      <c r="K315" s="204"/>
      <c r="L315" s="299"/>
      <c r="M315" s="299"/>
      <c r="N315" s="316"/>
      <c r="O315" s="839"/>
      <c r="P315" s="839"/>
      <c r="Q315" s="839"/>
      <c r="R315" s="839"/>
      <c r="S315" s="839"/>
      <c r="T315" s="839"/>
      <c r="U315" s="839"/>
      <c r="V315" s="839"/>
      <c r="W315" s="411"/>
      <c r="X315" s="411"/>
      <c r="Z315" s="203"/>
      <c r="AA315" s="204"/>
      <c r="AB315" s="198"/>
      <c r="AC315" s="198"/>
      <c r="AD315" s="198"/>
      <c r="AE315" s="198"/>
      <c r="AF315" s="198"/>
      <c r="AG315" s="199"/>
    </row>
    <row r="316" spans="1:33" ht="13.8">
      <c r="A316" s="197"/>
      <c r="B316" s="197"/>
      <c r="C316" s="198"/>
      <c r="E316" s="316"/>
      <c r="F316" s="316"/>
      <c r="G316" s="204"/>
      <c r="H316" s="204"/>
      <c r="I316" s="204"/>
      <c r="J316" s="204"/>
      <c r="K316" s="204"/>
      <c r="L316" s="299"/>
      <c r="M316" s="299"/>
      <c r="N316" s="316"/>
      <c r="O316" s="839"/>
      <c r="P316" s="839"/>
      <c r="Q316" s="839"/>
      <c r="R316" s="839"/>
      <c r="S316" s="839"/>
      <c r="T316" s="839"/>
      <c r="U316" s="839"/>
      <c r="V316" s="839"/>
      <c r="W316" s="411"/>
      <c r="X316" s="411"/>
      <c r="Z316" s="203"/>
      <c r="AA316" s="204"/>
      <c r="AB316" s="198"/>
      <c r="AC316" s="198"/>
      <c r="AD316" s="198"/>
      <c r="AE316" s="198"/>
      <c r="AF316" s="198"/>
      <c r="AG316" s="199"/>
    </row>
    <row r="317" spans="1:33" ht="13.8">
      <c r="A317" s="197"/>
      <c r="B317" s="197"/>
      <c r="C317" s="198"/>
      <c r="E317" s="316"/>
      <c r="F317" s="316"/>
      <c r="G317" s="204"/>
      <c r="H317" s="204"/>
      <c r="I317" s="204"/>
      <c r="J317" s="204"/>
      <c r="K317" s="204"/>
      <c r="L317" s="299"/>
      <c r="M317" s="299"/>
      <c r="N317" s="316"/>
      <c r="O317" s="839"/>
      <c r="P317" s="839"/>
      <c r="Q317" s="839"/>
      <c r="R317" s="839"/>
      <c r="S317" s="839"/>
      <c r="T317" s="839"/>
      <c r="U317" s="839"/>
      <c r="V317" s="839"/>
      <c r="W317" s="411"/>
      <c r="X317" s="411"/>
      <c r="Z317" s="203"/>
      <c r="AA317" s="204"/>
      <c r="AB317" s="198"/>
      <c r="AC317" s="198"/>
      <c r="AD317" s="198"/>
      <c r="AE317" s="198"/>
      <c r="AF317" s="198"/>
      <c r="AG317" s="199"/>
    </row>
    <row r="318" spans="1:33" ht="13.8">
      <c r="A318" s="197"/>
      <c r="B318" s="197"/>
      <c r="C318" s="198"/>
      <c r="E318" s="316"/>
      <c r="F318" s="316"/>
      <c r="G318" s="204"/>
      <c r="H318" s="204"/>
      <c r="I318" s="204"/>
      <c r="J318" s="204"/>
      <c r="K318" s="204"/>
      <c r="L318" s="299"/>
      <c r="M318" s="299"/>
      <c r="N318" s="316"/>
      <c r="O318" s="839"/>
      <c r="P318" s="839"/>
      <c r="Q318" s="839"/>
      <c r="R318" s="839"/>
      <c r="S318" s="839"/>
      <c r="T318" s="839"/>
      <c r="U318" s="839"/>
      <c r="V318" s="839"/>
      <c r="W318" s="411"/>
      <c r="X318" s="411"/>
      <c r="Z318" s="203"/>
      <c r="AA318" s="204"/>
      <c r="AB318" s="198"/>
      <c r="AC318" s="198"/>
      <c r="AD318" s="198"/>
      <c r="AE318" s="198"/>
      <c r="AF318" s="198"/>
      <c r="AG318" s="199"/>
    </row>
    <row r="319" spans="1:33" ht="14.4" thickBot="1">
      <c r="A319" s="197"/>
      <c r="B319" s="197"/>
      <c r="C319" s="198"/>
      <c r="E319" s="316"/>
      <c r="F319" s="316"/>
      <c r="G319" s="204"/>
      <c r="H319" s="204"/>
      <c r="I319" s="204"/>
      <c r="J319" s="204"/>
      <c r="K319" s="204"/>
      <c r="L319" s="299"/>
      <c r="M319" s="299"/>
      <c r="N319" s="316"/>
      <c r="O319" s="839"/>
      <c r="P319" s="839"/>
      <c r="Q319" s="839"/>
      <c r="R319" s="839"/>
      <c r="S319" s="839"/>
      <c r="T319" s="839"/>
      <c r="U319" s="839"/>
      <c r="V319" s="839"/>
      <c r="W319" s="411"/>
      <c r="X319" s="411"/>
      <c r="Z319" s="203"/>
      <c r="AA319" s="204"/>
      <c r="AB319" s="198"/>
      <c r="AC319" s="198"/>
      <c r="AD319" s="198"/>
      <c r="AE319" s="198"/>
      <c r="AF319" s="198"/>
      <c r="AG319" s="199"/>
    </row>
    <row r="320" spans="1:33" ht="57" customHeight="1">
      <c r="A320" s="197"/>
      <c r="B320" s="197"/>
      <c r="C320" s="197"/>
      <c r="D320" s="1602" t="s">
        <v>782</v>
      </c>
      <c r="E320" s="1602" t="s">
        <v>781</v>
      </c>
      <c r="F320" s="1602" t="s">
        <v>322</v>
      </c>
      <c r="G320" s="1602" t="s">
        <v>783</v>
      </c>
      <c r="H320" s="1602" t="s">
        <v>385</v>
      </c>
      <c r="I320" s="1124" t="s">
        <v>384</v>
      </c>
      <c r="J320" s="1602" t="s">
        <v>386</v>
      </c>
      <c r="K320" s="1124" t="s">
        <v>659</v>
      </c>
      <c r="L320" s="1124" t="s">
        <v>407</v>
      </c>
      <c r="M320" s="1124" t="s">
        <v>654</v>
      </c>
      <c r="N320" s="1124" t="s">
        <v>992</v>
      </c>
      <c r="O320" s="1602" t="s">
        <v>980</v>
      </c>
      <c r="P320" s="1124" t="s">
        <v>949</v>
      </c>
      <c r="Q320" s="1602" t="s">
        <v>950</v>
      </c>
      <c r="R320" s="1602" t="s">
        <v>967</v>
      </c>
      <c r="S320" s="1602" t="s">
        <v>993</v>
      </c>
      <c r="T320" s="1602" t="s">
        <v>994</v>
      </c>
      <c r="U320" s="1602" t="s">
        <v>968</v>
      </c>
      <c r="V320" s="1603" t="s">
        <v>387</v>
      </c>
      <c r="W320" s="204"/>
      <c r="X320" s="204"/>
      <c r="Y320" s="203"/>
      <c r="AA320" s="198"/>
      <c r="AB320" s="198"/>
      <c r="AC320" s="198"/>
      <c r="AD320" s="198"/>
      <c r="AE320" s="198"/>
      <c r="AF320" s="198"/>
      <c r="AG320" s="199"/>
    </row>
    <row r="321" spans="1:33" s="299" customFormat="1" ht="15" thickBot="1">
      <c r="A321" s="197"/>
      <c r="B321" s="197"/>
      <c r="C321" s="197"/>
      <c r="D321" s="967">
        <f>'7 - Cap Add WS'!M34-'7 - Cap Add WS'!L34</f>
        <v>2290643.4202020615</v>
      </c>
      <c r="E321" s="1652">
        <f>'7 - Cap Add WS'!Q34-'7 - Cap Add WS'!P34</f>
        <v>6412488.3910747692</v>
      </c>
      <c r="F321" s="1652">
        <f>'7 - Cap Add WS'!U34-'7 - Cap Add WS'!T34</f>
        <v>196436.47658766649</v>
      </c>
      <c r="G321" s="1652">
        <f>'7 - Cap Add WS'!Y34-'7 - Cap Add WS'!X34</f>
        <v>799250.7905844216</v>
      </c>
      <c r="H321" s="1652">
        <f>'7 - Cap Add WS'!AC34-'7 - Cap Add WS'!AB34</f>
        <v>1009995.3374660397</v>
      </c>
      <c r="I321" s="1652">
        <f>'7 - Cap Add WS'!AG34-'7 - Cap Add WS'!AF34</f>
        <v>934303.17375959828</v>
      </c>
      <c r="J321" s="1140">
        <f>'7 - Cap Add WS'!AK34-'7 - Cap Add WS'!AJ34</f>
        <v>3996889.2594805425</v>
      </c>
      <c r="K321" s="1140">
        <f>'7 - Cap Add WS'!AO34-'7 - Cap Add WS'!AN34</f>
        <v>1228869.5394889291</v>
      </c>
      <c r="L321" s="1140">
        <f>'7 - Cap Add WS'!AS34-'7 - Cap Add WS'!AR34</f>
        <v>532090.97930854443</v>
      </c>
      <c r="M321" s="1140">
        <f>'7 - Cap Add WS'!AW34-'7 - Cap Add WS'!AV34</f>
        <v>560962.69853869453</v>
      </c>
      <c r="N321" s="1140">
        <f>'7 - Cap Add WS'!BA34-'7 - Cap Add WS'!AZ34</f>
        <v>1230794.1724575963</v>
      </c>
      <c r="O321" s="1140">
        <f>'7 - Cap Add WS'!CI34-'7 - Cap Add WS'!CH34</f>
        <v>5222371.5374605907</v>
      </c>
      <c r="P321" s="1141">
        <f>'7 - Cap Add WS'!BI34-'7 - Cap Add WS'!BH34</f>
        <v>307852.58191095339</v>
      </c>
      <c r="Q321" s="1140">
        <f>'7 - Cap Add WS'!BM34-'7 - Cap Add WS'!BL34</f>
        <v>91258.181826148124</v>
      </c>
      <c r="R321" s="1140">
        <f>'7 - Cap Add WS'!BQ34-'7 - Cap Add WS'!BP34</f>
        <v>772215.00616451143</v>
      </c>
      <c r="S321" s="1140">
        <f>'7 - Cap Add WS'!BV34-'7 - Cap Add WS'!BU34</f>
        <v>231496.22780751405</v>
      </c>
      <c r="T321" s="1140">
        <f>'7 - Cap Add WS'!CA34-'7 - Cap Add WS'!BZ34</f>
        <v>2643491.1929447353</v>
      </c>
      <c r="U321" s="1142">
        <f>'7 - Cap Add WS'!CE34-'7 - Cap Add WS'!CD34</f>
        <v>7024710.2496399572</v>
      </c>
      <c r="V321" s="1142">
        <f>'7 - Cap Add WS'!I34-'7 - Cap Add WS'!H34</f>
        <v>119999872.43874347</v>
      </c>
      <c r="W321" s="204"/>
      <c r="X321" s="204"/>
      <c r="Y321" s="203"/>
      <c r="AA321" s="198"/>
      <c r="AB321" s="198"/>
      <c r="AC321" s="198"/>
      <c r="AD321" s="198"/>
      <c r="AE321" s="198"/>
      <c r="AF321" s="198"/>
      <c r="AG321" s="199"/>
    </row>
    <row r="322" spans="1:33" ht="17.25" customHeight="1" thickBot="1">
      <c r="A322" s="197"/>
      <c r="B322" s="197"/>
      <c r="C322" s="197"/>
      <c r="D322" s="197"/>
      <c r="E322" s="198"/>
      <c r="F322" s="198"/>
      <c r="G322" s="198"/>
      <c r="H322" s="198"/>
      <c r="I322" s="198"/>
      <c r="J322" s="299"/>
      <c r="K322" s="299"/>
      <c r="L322" s="299"/>
      <c r="M322" s="299"/>
      <c r="N322" s="299"/>
      <c r="O322" s="299"/>
      <c r="P322" s="299"/>
      <c r="Q322" s="299"/>
      <c r="R322" s="299"/>
      <c r="S322" s="198"/>
      <c r="T322" s="198"/>
      <c r="U322" s="198"/>
      <c r="V322" s="198"/>
      <c r="W322" s="204"/>
      <c r="X322" s="204"/>
      <c r="Y322" s="203"/>
      <c r="AA322" s="198"/>
      <c r="AB322" s="198"/>
      <c r="AC322" s="198"/>
      <c r="AD322" s="198"/>
      <c r="AE322" s="198"/>
      <c r="AF322" s="198"/>
      <c r="AG322" s="199"/>
    </row>
    <row r="323" spans="1:33" ht="40.5" customHeight="1">
      <c r="A323" s="197"/>
      <c r="B323" s="197"/>
      <c r="D323" s="611" t="s">
        <v>1018</v>
      </c>
      <c r="E323" s="1653" t="s">
        <v>984</v>
      </c>
      <c r="F323" s="1653" t="s">
        <v>987</v>
      </c>
      <c r="G323" s="1653" t="s">
        <v>978</v>
      </c>
      <c r="H323" s="1653" t="s">
        <v>985</v>
      </c>
      <c r="I323" s="1653" t="s">
        <v>981</v>
      </c>
      <c r="J323" s="1653" t="s">
        <v>988</v>
      </c>
      <c r="K323" s="1653" t="s">
        <v>961</v>
      </c>
      <c r="L323" s="1653" t="s">
        <v>989</v>
      </c>
      <c r="M323" s="1653" t="s">
        <v>974</v>
      </c>
      <c r="N323" s="1653" t="s">
        <v>975</v>
      </c>
      <c r="O323" s="1653" t="s">
        <v>983</v>
      </c>
      <c r="P323" s="1653" t="s">
        <v>979</v>
      </c>
      <c r="Q323" s="1653" t="s">
        <v>990</v>
      </c>
      <c r="R323" s="1653" t="s">
        <v>1037</v>
      </c>
      <c r="S323" s="1653" t="s">
        <v>1019</v>
      </c>
      <c r="T323" s="1653" t="s">
        <v>982</v>
      </c>
      <c r="U323" s="1653" t="s">
        <v>1016</v>
      </c>
      <c r="V323" s="1125" t="s">
        <v>1020</v>
      </c>
      <c r="W323" s="1106"/>
      <c r="X323" s="1655" t="str">
        <f>N191</f>
        <v>Other Projects PIS (Monthly additions)</v>
      </c>
      <c r="Y323" s="198"/>
      <c r="Z323" s="198"/>
      <c r="AA323" s="198"/>
      <c r="AB323" s="198"/>
      <c r="AC323" s="198"/>
      <c r="AD323" s="198"/>
      <c r="AE323" s="198"/>
      <c r="AF323" s="198"/>
      <c r="AG323" s="199"/>
    </row>
    <row r="324" spans="1:33" ht="15" thickBot="1">
      <c r="A324" s="197"/>
      <c r="B324" s="197"/>
      <c r="D324" s="952">
        <f>'7 - Cap Add WS'!FG34-'7 - Cap Add WS'!FF34</f>
        <v>2801364.8717120863</v>
      </c>
      <c r="E324" s="1652">
        <f>'7 - Cap Add WS'!CM34-'7 - Cap Add WS'!CL34</f>
        <v>6958951.5486096572</v>
      </c>
      <c r="F324" s="1654">
        <f>'7 - Cap Add WS'!CQ34-'7 - Cap Add WS'!CP34</f>
        <v>3234734.5587699944</v>
      </c>
      <c r="G324" s="1652">
        <f>'7 - Cap Add WS'!CU34-'7 - Cap Add WS'!CT34</f>
        <v>418784.09830648027</v>
      </c>
      <c r="H324" s="1652">
        <f>'7 - Cap Add WS'!CY34-'7 - Cap Add WS'!CX34</f>
        <v>1110404.57555702</v>
      </c>
      <c r="I324" s="1652">
        <f>'7 - Cap Add WS'!DC34-'7 - Cap Add WS'!DB34</f>
        <v>700013.42718427232</v>
      </c>
      <c r="J324" s="1140">
        <f>'7 - Cap Add WS'!DG34-'7 - Cap Add WS'!DF34</f>
        <v>123480.92928902236</v>
      </c>
      <c r="K324" s="1140">
        <f>'7 - Cap Add WS'!DK34-'7 - Cap Add WS'!DJ34</f>
        <v>71318.788011259108</v>
      </c>
      <c r="L324" s="1140">
        <f>'7 - Cap Add WS'!DO34-'7 - Cap Add WS'!DN34</f>
        <v>4059993.3964254931</v>
      </c>
      <c r="M324" s="1143">
        <f>'7 - Cap Add WS'!DS34-'7 - Cap Add WS'!DR34</f>
        <v>136969.16208056078</v>
      </c>
      <c r="N324" s="1143">
        <f>'7 - Cap Add WS'!DW34-'7 - Cap Add WS'!DV34</f>
        <v>196364.73655529047</v>
      </c>
      <c r="O324" s="1143">
        <f>'7 - Cap Add WS'!EA34-'7 - Cap Add WS'!DZ34</f>
        <v>884930.97717268695</v>
      </c>
      <c r="P324" s="1143">
        <f>'7 - Cap Add WS'!EE34-'7 - Cap Add WS'!ED34</f>
        <v>62985.26638772864</v>
      </c>
      <c r="Q324" s="1143">
        <f>'7 - Cap Add WS'!EI34-'7 - Cap Add WS'!EH34</f>
        <v>288661.38562994701</v>
      </c>
      <c r="R324" s="1143">
        <f>'7 - Cap Add WS'!HW34-'7 - Cap Add WS'!HV34</f>
        <v>13013214.409427557</v>
      </c>
      <c r="S324" s="1143">
        <f>'7 - Cap Add WS'!EQ34-'7 - Cap Add WS'!EP34</f>
        <v>188118.7997102412</v>
      </c>
      <c r="T324" s="1143">
        <f>'7 - Cap Add WS'!EU34-'7 - Cap Add WS'!ET34</f>
        <v>48543.113181036017</v>
      </c>
      <c r="U324" s="1143">
        <f>'7 - Cap Add WS'!GQ34-'7 - Cap Add WS'!GP34</f>
        <v>0</v>
      </c>
      <c r="V324" s="1144">
        <f>'7 - Cap Add WS'!FC34-'7 - Cap Add WS'!FB34</f>
        <v>100548.3398175489</v>
      </c>
      <c r="W324" s="198"/>
      <c r="X324" s="198"/>
      <c r="Y324" s="198"/>
      <c r="Z324" s="198"/>
      <c r="AA324" s="198"/>
      <c r="AB324" s="198"/>
      <c r="AC324" s="198"/>
      <c r="AD324" s="198"/>
      <c r="AE324" s="198"/>
      <c r="AF324" s="198"/>
      <c r="AG324" s="199"/>
    </row>
    <row r="325" spans="1:33" ht="14.4" thickBot="1">
      <c r="A325" s="197"/>
      <c r="B325" s="197"/>
      <c r="E325" s="198"/>
      <c r="F325" s="198"/>
      <c r="G325" s="198"/>
      <c r="H325" s="198"/>
      <c r="I325" s="198"/>
      <c r="J325" s="198"/>
      <c r="K325" s="198"/>
      <c r="L325" s="198"/>
      <c r="M325" s="198"/>
      <c r="N325" s="198"/>
      <c r="O325" s="198"/>
      <c r="P325" s="214"/>
      <c r="Q325" s="198"/>
      <c r="R325" s="198"/>
      <c r="S325" s="198"/>
      <c r="T325" s="198"/>
      <c r="U325" s="198"/>
      <c r="V325" s="198"/>
      <c r="W325" s="198"/>
      <c r="X325" s="198"/>
      <c r="Y325" s="198"/>
      <c r="Z325" s="198"/>
      <c r="AA325" s="198"/>
      <c r="AB325" s="198"/>
      <c r="AC325" s="198"/>
      <c r="AD325" s="198"/>
      <c r="AE325" s="198"/>
      <c r="AF325" s="198"/>
      <c r="AG325" s="199"/>
    </row>
    <row r="326" spans="1:33" ht="24.75" customHeight="1">
      <c r="A326" s="197"/>
      <c r="B326" s="197"/>
      <c r="D326" s="611" t="s">
        <v>1041</v>
      </c>
      <c r="E326" s="1653" t="s">
        <v>976</v>
      </c>
      <c r="F326" s="1653" t="s">
        <v>1021</v>
      </c>
      <c r="G326" s="1653" t="s">
        <v>1012</v>
      </c>
      <c r="H326" s="1653" t="s">
        <v>1039</v>
      </c>
      <c r="I326" s="1653" t="s">
        <v>1005</v>
      </c>
      <c r="J326" s="1653" t="s">
        <v>1013</v>
      </c>
      <c r="K326" s="1653" t="s">
        <v>1006</v>
      </c>
      <c r="L326" s="1653" t="s">
        <v>1014</v>
      </c>
      <c r="M326" s="1653" t="s">
        <v>1003</v>
      </c>
      <c r="N326" s="1653" t="s">
        <v>1042</v>
      </c>
      <c r="O326" s="1653" t="s">
        <v>1008</v>
      </c>
      <c r="P326" s="1653" t="s">
        <v>1009</v>
      </c>
      <c r="Q326" s="1653" t="s">
        <v>1017</v>
      </c>
      <c r="R326" s="1124" t="s">
        <v>1007</v>
      </c>
      <c r="S326" s="1653" t="s">
        <v>966</v>
      </c>
      <c r="T326" s="1124" t="s">
        <v>1040</v>
      </c>
      <c r="U326" s="1126" t="s">
        <v>1047</v>
      </c>
      <c r="V326" s="1127" t="s">
        <v>1045</v>
      </c>
      <c r="W326" s="198"/>
      <c r="X326" s="198"/>
      <c r="Y326" s="198"/>
      <c r="Z326" s="198"/>
      <c r="AA326" s="198"/>
      <c r="AB326" s="198"/>
      <c r="AC326" s="198"/>
      <c r="AD326" s="198"/>
      <c r="AE326" s="198"/>
      <c r="AF326" s="198"/>
      <c r="AG326" s="199"/>
    </row>
    <row r="327" spans="1:33" ht="15" thickBot="1">
      <c r="A327" s="197"/>
      <c r="B327" s="197"/>
      <c r="D327" s="952">
        <f>'7 - Cap Add WS'!HK34-'7 - Cap Add WS'!HJ34</f>
        <v>8405820.9135419708</v>
      </c>
      <c r="E327" s="1652">
        <f>'7 - Cap Add WS'!FK34-'7 - Cap Add WS'!FJ34</f>
        <v>1398672.5694465805</v>
      </c>
      <c r="F327" s="1654">
        <f>'7 - Cap Add WS'!FO34-'7 - Cap Add WS'!FN34</f>
        <v>110311.4812751954</v>
      </c>
      <c r="G327" s="1652">
        <f>'7 - Cap Add WS'!FS34-'7 - Cap Add WS'!FR34</f>
        <v>2024727.7083931477</v>
      </c>
      <c r="H327" s="1652">
        <f>'7 - Cap Add WS'!HO34-'7 - Cap Add WS'!HN34</f>
        <v>5153981.1027809186</v>
      </c>
      <c r="I327" s="1652">
        <f>'7 - Cap Add WS'!FW34-'7 - Cap Add WS'!FV34</f>
        <v>4435107.1153191151</v>
      </c>
      <c r="J327" s="1140">
        <f>'7 - Cap Add WS'!GA34-'7 - Cap Add WS'!FZ34</f>
        <v>74608.887491527552</v>
      </c>
      <c r="K327" s="1140">
        <f>'7 - Cap Add WS'!GE34-'7 - Cap Add WS'!GD34</f>
        <v>3854126.3946831943</v>
      </c>
      <c r="L327" s="1140">
        <f>'7 - Cap Add WS'!GI34-'7 - Cap Add WS'!GH34</f>
        <v>153777.52182759141</v>
      </c>
      <c r="M327" s="1143">
        <f>'7 - Cap Add WS'!GM34-'7 - Cap Add WS'!GL34</f>
        <v>833767.4780789041</v>
      </c>
      <c r="N327" s="1143">
        <f>'7 - Cap Add WS'!HS34-'7 - Cap Add WS'!HR34</f>
        <v>5465195.1043352457</v>
      </c>
      <c r="O327" s="1143">
        <f>'7 - Cap Add WS'!GU34-'7 - Cap Add WS'!GT34</f>
        <v>2039466.2823177539</v>
      </c>
      <c r="P327" s="1143">
        <f>'7 - Cap Add WS'!GY34-'7 - Cap Add WS'!GX34</f>
        <v>3616019.3076490262</v>
      </c>
      <c r="Q327" s="1143">
        <f>'7 - Cap Add WS'!HC34-'7 - Cap Add WS'!HB34</f>
        <v>188616.63263124955</v>
      </c>
      <c r="R327" s="1140">
        <f>'7 - Cap Add WS'!HG34-'7 - Cap Add WS'!HF34</f>
        <v>102997.97647818984</v>
      </c>
      <c r="S327" s="1143">
        <f>'7 - Cap Add WS'!BE34-'7 - Cap Add WS'!BD34</f>
        <v>1765453.9364351183</v>
      </c>
      <c r="T327" s="1140">
        <f>'7 - Cap Add WS'!IA34-'7 - Cap Add WS'!HZ34</f>
        <v>4416576.5269139716</v>
      </c>
      <c r="U327" s="1138">
        <f>'7 - Cap Add WS'!IE34-'7 - Cap Add WS'!ID34</f>
        <v>242180.03981070625</v>
      </c>
      <c r="V327" s="1137">
        <f>'7 - Cap Add WS'!II34-'7 - Cap Add WS'!IH34</f>
        <v>2701207.7220219723</v>
      </c>
      <c r="W327" s="198"/>
      <c r="X327" s="198"/>
      <c r="Y327" s="198"/>
      <c r="Z327" s="198"/>
      <c r="AA327" s="198"/>
      <c r="AB327" s="198"/>
      <c r="AC327" s="198"/>
      <c r="AD327" s="198"/>
      <c r="AE327" s="198"/>
      <c r="AF327" s="198"/>
      <c r="AG327" s="199"/>
    </row>
    <row r="328" spans="1:33" ht="14.4" thickBot="1">
      <c r="A328" s="197"/>
      <c r="B328" s="197"/>
      <c r="E328" s="198"/>
      <c r="F328" s="198"/>
      <c r="G328" s="198"/>
      <c r="H328" s="198"/>
      <c r="I328" s="198"/>
      <c r="J328" s="198"/>
      <c r="K328" s="198"/>
      <c r="L328" s="198"/>
      <c r="M328" s="198"/>
      <c r="N328" s="198"/>
      <c r="O328" s="198"/>
      <c r="P328" s="214"/>
      <c r="Q328" s="198"/>
      <c r="R328" s="198"/>
      <c r="S328" s="198"/>
      <c r="T328" s="198"/>
      <c r="U328" s="198"/>
      <c r="V328" s="198"/>
      <c r="W328" s="198"/>
      <c r="X328" s="198"/>
      <c r="Y328" s="198"/>
      <c r="Z328" s="198"/>
      <c r="AA328" s="198"/>
      <c r="AB328" s="198"/>
      <c r="AC328" s="198"/>
      <c r="AD328" s="198"/>
      <c r="AE328" s="198"/>
      <c r="AF328" s="198"/>
      <c r="AG328" s="199"/>
    </row>
    <row r="329" spans="1:33" ht="14.4" thickBot="1">
      <c r="A329" s="197"/>
      <c r="B329" s="197"/>
      <c r="D329" s="1650"/>
      <c r="E329" s="1650"/>
      <c r="F329" s="1650"/>
      <c r="G329" s="1653"/>
      <c r="H329" s="1653"/>
      <c r="I329" s="1653"/>
      <c r="J329" s="1650"/>
      <c r="K329" s="1653"/>
      <c r="L329" s="1653"/>
      <c r="M329" s="1653"/>
      <c r="N329" s="1653"/>
      <c r="O329" s="1653"/>
      <c r="P329" s="1653"/>
      <c r="Q329" s="1653"/>
      <c r="R329" s="1124"/>
      <c r="S329" s="1653"/>
      <c r="T329" s="1124"/>
      <c r="U329" s="1126"/>
      <c r="V329" s="1127"/>
      <c r="W329" s="198"/>
      <c r="X329" s="198"/>
      <c r="Y329" s="198"/>
      <c r="Z329" s="198"/>
      <c r="AA329" s="198"/>
      <c r="AB329" s="198"/>
      <c r="AC329" s="198"/>
      <c r="AD329" s="198"/>
      <c r="AE329" s="198"/>
      <c r="AF329" s="198"/>
      <c r="AG329" s="199"/>
    </row>
    <row r="330" spans="1:33" ht="15" thickBot="1">
      <c r="A330" s="197"/>
      <c r="B330" s="197"/>
      <c r="D330" s="952"/>
      <c r="E330" s="1652"/>
      <c r="F330" s="1654"/>
      <c r="G330" s="1652"/>
      <c r="H330" s="1652"/>
      <c r="I330" s="1652"/>
      <c r="J330" s="1140"/>
      <c r="K330" s="1140"/>
      <c r="L330" s="1140"/>
      <c r="M330" s="1143"/>
      <c r="N330" s="1143"/>
      <c r="O330" s="1143"/>
      <c r="P330" s="1143"/>
      <c r="Q330" s="1143"/>
      <c r="R330" s="1140"/>
      <c r="S330" s="1143"/>
      <c r="T330" s="1140"/>
      <c r="U330" s="1138"/>
      <c r="V330" s="1137"/>
      <c r="W330" s="198"/>
      <c r="X330" s="198"/>
      <c r="Y330" s="198"/>
      <c r="Z330" s="198"/>
      <c r="AA330" s="198"/>
      <c r="AB330" s="198"/>
      <c r="AC330" s="198"/>
      <c r="AD330" s="198"/>
      <c r="AE330" s="198"/>
      <c r="AF330" s="198"/>
      <c r="AG330" s="199"/>
    </row>
    <row r="331" spans="1:33" ht="13.8">
      <c r="A331" s="197"/>
      <c r="B331" s="197"/>
      <c r="E331" s="198"/>
      <c r="F331" s="198"/>
      <c r="G331" s="198"/>
      <c r="H331" s="198"/>
      <c r="I331" s="198"/>
      <c r="J331" s="198"/>
      <c r="K331" s="198"/>
      <c r="L331" s="198"/>
      <c r="M331" s="198"/>
      <c r="N331" s="198"/>
      <c r="O331" s="198"/>
      <c r="P331" s="214"/>
      <c r="Q331" s="198"/>
      <c r="R331" s="198"/>
      <c r="S331" s="198"/>
      <c r="T331" s="198"/>
      <c r="U331" s="198"/>
      <c r="V331" s="198"/>
      <c r="W331" s="198"/>
      <c r="X331" s="198"/>
      <c r="Y331" s="198"/>
      <c r="Z331" s="198"/>
      <c r="AA331" s="198"/>
      <c r="AB331" s="198"/>
      <c r="AC331" s="198"/>
      <c r="AD331" s="198"/>
      <c r="AE331" s="198"/>
      <c r="AF331" s="198"/>
      <c r="AG331" s="199"/>
    </row>
    <row r="332" spans="1:33" ht="13.8">
      <c r="A332" s="197"/>
      <c r="B332" s="197"/>
      <c r="E332" s="198"/>
      <c r="F332" s="198"/>
      <c r="G332" s="198"/>
      <c r="H332" s="198"/>
      <c r="I332" s="198"/>
      <c r="J332" s="198"/>
      <c r="K332" s="198"/>
      <c r="L332" s="198"/>
      <c r="M332" s="198"/>
      <c r="N332" s="198"/>
      <c r="O332" s="198"/>
      <c r="P332" s="214"/>
      <c r="Q332" s="198"/>
      <c r="R332" s="198"/>
      <c r="S332" s="198"/>
      <c r="T332" s="198"/>
      <c r="U332" s="198"/>
      <c r="V332" s="198"/>
      <c r="W332" s="198"/>
      <c r="X332" s="198"/>
      <c r="Y332" s="198"/>
      <c r="Z332" s="198"/>
      <c r="AA332" s="198"/>
      <c r="AB332" s="198"/>
      <c r="AC332" s="198"/>
      <c r="AD332" s="198"/>
      <c r="AE332" s="198"/>
      <c r="AF332" s="198"/>
      <c r="AG332" s="199"/>
    </row>
    <row r="333" spans="1:33" ht="13.8">
      <c r="A333" s="197"/>
      <c r="B333" s="197"/>
      <c r="E333" s="198"/>
      <c r="F333" s="198"/>
      <c r="G333" s="198"/>
      <c r="H333" s="198"/>
      <c r="I333" s="198"/>
      <c r="J333" s="198"/>
      <c r="K333" s="198"/>
      <c r="L333" s="198"/>
      <c r="M333" s="198"/>
      <c r="N333" s="198"/>
      <c r="O333" s="198"/>
      <c r="P333" s="214"/>
      <c r="Q333" s="198"/>
      <c r="R333" s="198"/>
      <c r="S333" s="198"/>
      <c r="T333" s="198"/>
      <c r="U333" s="198"/>
      <c r="V333" s="198"/>
      <c r="W333" s="198"/>
      <c r="X333" s="198"/>
      <c r="Y333" s="198"/>
      <c r="Z333" s="198"/>
      <c r="AA333" s="198"/>
      <c r="AB333" s="198"/>
      <c r="AC333" s="198"/>
      <c r="AD333" s="198"/>
      <c r="AE333" s="198"/>
      <c r="AF333" s="198"/>
      <c r="AG333" s="199"/>
    </row>
    <row r="334" spans="1:33" ht="14.4" thickBot="1">
      <c r="A334" s="197"/>
      <c r="B334" s="197"/>
      <c r="E334" s="198"/>
      <c r="F334" s="1139"/>
      <c r="G334" s="198"/>
      <c r="H334" s="198"/>
      <c r="I334" s="198"/>
      <c r="J334" s="198"/>
      <c r="K334" s="198"/>
      <c r="L334" s="198"/>
      <c r="M334" s="198"/>
      <c r="N334" s="198"/>
      <c r="O334" s="198"/>
      <c r="P334" s="214"/>
      <c r="Q334" s="198"/>
      <c r="R334" s="198"/>
      <c r="S334" s="198"/>
      <c r="T334" s="198"/>
      <c r="U334" s="198"/>
      <c r="V334" s="198"/>
      <c r="W334" s="198"/>
      <c r="X334" s="198"/>
      <c r="Y334" s="198"/>
      <c r="Z334" s="198"/>
      <c r="AA334" s="198"/>
      <c r="AB334" s="198"/>
      <c r="AC334" s="198"/>
      <c r="AD334" s="198"/>
      <c r="AE334" s="198"/>
      <c r="AF334" s="198"/>
      <c r="AG334" s="199"/>
    </row>
    <row r="335" spans="1:33" ht="27.75" customHeight="1">
      <c r="A335" s="197"/>
      <c r="B335" s="197"/>
      <c r="D335" s="1656" t="s">
        <v>850</v>
      </c>
      <c r="E335" s="198"/>
      <c r="F335" s="198"/>
      <c r="G335" s="198"/>
      <c r="H335" s="198"/>
      <c r="I335" s="198"/>
      <c r="J335" s="198"/>
      <c r="K335" s="198"/>
      <c r="L335" s="198"/>
      <c r="M335" s="198"/>
      <c r="N335" s="198"/>
      <c r="O335" s="198"/>
      <c r="P335" s="214"/>
      <c r="Q335" s="198"/>
      <c r="R335" s="198"/>
      <c r="S335" s="611" t="s">
        <v>1190</v>
      </c>
      <c r="T335" s="1657" t="s">
        <v>1193</v>
      </c>
      <c r="U335" s="1124" t="s">
        <v>1053</v>
      </c>
      <c r="V335" s="1125" t="s">
        <v>1048</v>
      </c>
      <c r="W335" s="198"/>
      <c r="X335" s="198"/>
      <c r="Y335" s="198"/>
      <c r="Z335" s="198"/>
      <c r="AA335" s="198"/>
      <c r="AB335" s="198"/>
      <c r="AC335" s="198"/>
      <c r="AD335" s="198"/>
      <c r="AE335" s="198"/>
      <c r="AF335" s="198"/>
      <c r="AG335" s="199"/>
    </row>
    <row r="336" spans="1:33" ht="15" thickBot="1">
      <c r="A336" s="197"/>
      <c r="B336" s="197"/>
      <c r="D336" s="942">
        <f>SUM(D324:V324)+SUM(D327:V327)+SUM(D321:V321)+V336+U336+T336+S336+D330+E330+F330+G330+H330+I330+J330</f>
        <v>258487929.27072853</v>
      </c>
      <c r="E336" s="198"/>
      <c r="F336" s="1658"/>
      <c r="G336" s="198"/>
      <c r="H336" s="1139"/>
      <c r="I336" s="198"/>
      <c r="J336" s="198"/>
      <c r="K336" s="198"/>
      <c r="L336" s="1139"/>
      <c r="M336" s="198"/>
      <c r="N336" s="198"/>
      <c r="O336" s="198"/>
      <c r="P336" s="214"/>
      <c r="Q336" s="198"/>
      <c r="R336" s="198"/>
      <c r="S336" s="1145">
        <f>'7 - Cap Add WS'!IY34-'7 - Cap Add WS'!IX34</f>
        <v>20343059.45195483</v>
      </c>
      <c r="T336" s="1652">
        <f>'7 - Cap Add WS'!IU34-'7 - Cap Add WS'!IT34</f>
        <v>0</v>
      </c>
      <c r="U336" s="1140">
        <f>'7 - Cap Add WS'!IQ34-'7 - Cap Add WS'!IP34</f>
        <v>1276881.0780676755</v>
      </c>
      <c r="V336" s="1144">
        <f>'7 - Cap Add WS'!IM34-'7 - Cap Add WS'!IL34</f>
        <v>0</v>
      </c>
      <c r="W336" s="198"/>
      <c r="X336" s="198"/>
      <c r="Y336" s="198"/>
      <c r="Z336" s="198"/>
      <c r="AA336" s="198"/>
      <c r="AB336" s="198"/>
      <c r="AC336" s="198"/>
      <c r="AD336" s="198"/>
      <c r="AE336" s="198"/>
      <c r="AF336" s="198"/>
      <c r="AG336" s="199"/>
    </row>
    <row r="337" spans="1:33" ht="13.8">
      <c r="A337" s="197"/>
      <c r="B337" s="197"/>
      <c r="E337" s="198"/>
      <c r="F337" s="1648"/>
      <c r="G337" s="198"/>
      <c r="H337" s="198"/>
      <c r="I337" s="198"/>
      <c r="J337" s="198"/>
      <c r="K337" s="198"/>
      <c r="L337" s="198"/>
      <c r="M337" s="198"/>
      <c r="N337" s="198"/>
      <c r="O337" s="198"/>
      <c r="P337" s="214"/>
      <c r="Q337" s="198"/>
      <c r="R337" s="198"/>
      <c r="S337" s="198"/>
      <c r="T337" s="198"/>
      <c r="U337" s="198"/>
      <c r="V337" s="198"/>
      <c r="W337" s="198"/>
      <c r="X337" s="198"/>
      <c r="Y337" s="198"/>
      <c r="Z337" s="198"/>
      <c r="AA337" s="198"/>
      <c r="AB337" s="198"/>
      <c r="AC337" s="198"/>
      <c r="AD337" s="198"/>
      <c r="AE337" s="198"/>
      <c r="AF337" s="198"/>
      <c r="AG337" s="199"/>
    </row>
    <row r="338" spans="1:33" ht="13.8">
      <c r="A338" s="197"/>
      <c r="B338" s="197"/>
      <c r="D338" s="1659"/>
      <c r="E338" s="198"/>
      <c r="F338" s="1648"/>
      <c r="G338" s="198"/>
      <c r="H338" s="198"/>
      <c r="I338" s="198"/>
      <c r="J338" s="198"/>
      <c r="K338" s="198"/>
      <c r="L338" s="198"/>
      <c r="M338" s="198"/>
      <c r="N338" s="198"/>
      <c r="O338" s="198"/>
      <c r="P338" s="214"/>
      <c r="Q338" s="198"/>
      <c r="R338" s="198"/>
      <c r="S338" s="198"/>
      <c r="T338" s="198"/>
      <c r="U338" s="198"/>
      <c r="V338" s="198"/>
      <c r="W338" s="198"/>
      <c r="X338" s="198"/>
      <c r="Y338" s="198"/>
      <c r="Z338" s="198"/>
      <c r="AA338" s="198"/>
      <c r="AB338" s="198"/>
      <c r="AC338" s="198"/>
      <c r="AD338" s="198"/>
      <c r="AE338" s="198"/>
      <c r="AF338" s="198"/>
      <c r="AG338" s="199"/>
    </row>
    <row r="339" spans="1:33" ht="13.8">
      <c r="A339" s="197"/>
      <c r="B339" s="197"/>
      <c r="C339" s="197"/>
      <c r="D339" s="197"/>
      <c r="E339" s="198"/>
      <c r="F339" s="198"/>
      <c r="G339" s="198"/>
      <c r="H339" s="198"/>
      <c r="I339" s="198"/>
      <c r="J339" s="198"/>
      <c r="K339" s="198"/>
      <c r="L339" s="198"/>
      <c r="M339" s="198"/>
      <c r="N339" s="198"/>
      <c r="O339" s="198"/>
      <c r="P339" s="204"/>
      <c r="Q339" s="198"/>
      <c r="R339" s="198"/>
      <c r="S339" s="198"/>
      <c r="T339" s="198"/>
      <c r="U339" s="198"/>
      <c r="V339" s="198"/>
      <c r="W339" s="198"/>
      <c r="X339" s="198"/>
      <c r="Y339" s="198"/>
      <c r="Z339" s="198"/>
      <c r="AA339" s="198"/>
      <c r="AB339" s="198"/>
      <c r="AC339" s="198"/>
      <c r="AD339" s="198"/>
      <c r="AE339" s="198"/>
      <c r="AF339" s="198"/>
      <c r="AG339" s="199"/>
    </row>
    <row r="340" spans="1:33" ht="26.25" customHeight="1">
      <c r="A340" s="278">
        <f>+A17</f>
        <v>7</v>
      </c>
      <c r="B340" s="278" t="str">
        <f>+B17</f>
        <v>April</v>
      </c>
      <c r="C340" s="278" t="str">
        <f>+C17</f>
        <v>Year 3</v>
      </c>
      <c r="D340" s="1129"/>
      <c r="E340" s="1802" t="str">
        <f>+E17</f>
        <v>Reconciliation - TO calculates Reconciliation by populating the 13 monthly plant balances and beginning and end of year  balances for the other rate base items and the 13 monthly averages for CWIP in Reconciliation (adjusted to include any Reconciliation amount from prior year).</v>
      </c>
      <c r="F340" s="1803"/>
      <c r="G340" s="1803"/>
      <c r="H340" s="1803"/>
      <c r="I340" s="1803"/>
      <c r="J340" s="1803"/>
      <c r="K340" s="1803"/>
      <c r="L340" s="1803"/>
      <c r="M340" s="1803"/>
      <c r="N340" s="1803"/>
      <c r="O340" s="1803"/>
      <c r="P340" s="1096"/>
      <c r="S340" s="198"/>
      <c r="T340" s="198"/>
      <c r="U340" s="198"/>
      <c r="V340" s="198"/>
      <c r="W340" s="198"/>
      <c r="X340" s="198"/>
      <c r="Y340" s="198"/>
      <c r="Z340" s="198"/>
      <c r="AA340" s="198"/>
      <c r="AB340" s="198"/>
      <c r="AC340" s="198"/>
      <c r="AD340" s="198"/>
      <c r="AE340" s="198"/>
      <c r="AF340" s="198"/>
      <c r="AG340" s="199"/>
    </row>
    <row r="341" spans="1:33" ht="13.8">
      <c r="A341" s="197"/>
      <c r="B341" s="197"/>
      <c r="C341" s="197"/>
      <c r="D341" s="197"/>
      <c r="E341" s="203"/>
      <c r="F341" s="198"/>
      <c r="G341" s="198"/>
      <c r="H341" s="198"/>
      <c r="I341" s="198"/>
      <c r="J341" s="198"/>
      <c r="K341" s="198"/>
      <c r="L341" s="1804"/>
      <c r="M341" s="1804"/>
      <c r="N341" s="1804"/>
      <c r="O341" s="108"/>
      <c r="P341" s="198"/>
      <c r="Q341" s="198"/>
      <c r="R341" s="198"/>
      <c r="S341" s="198"/>
      <c r="T341" s="856"/>
      <c r="U341" s="198"/>
      <c r="V341" s="198"/>
      <c r="W341" s="198"/>
      <c r="X341" s="198"/>
      <c r="Y341" s="198"/>
      <c r="Z341" s="198"/>
      <c r="AA341" s="198"/>
      <c r="AB341" s="198"/>
      <c r="AC341" s="198"/>
      <c r="AD341" s="198"/>
      <c r="AE341" s="198"/>
      <c r="AF341" s="198"/>
      <c r="AG341" s="199"/>
    </row>
    <row r="342" spans="1:33" ht="13.8">
      <c r="A342" s="197"/>
      <c r="B342" s="197"/>
      <c r="C342" s="197"/>
      <c r="D342" s="198"/>
      <c r="E342" s="198"/>
      <c r="H342" s="198"/>
      <c r="R342" s="198"/>
      <c r="S342" s="198"/>
      <c r="T342" s="198"/>
      <c r="U342" s="198"/>
      <c r="V342" s="198"/>
      <c r="W342" s="198"/>
      <c r="X342" s="198"/>
      <c r="Y342" s="198"/>
      <c r="Z342" s="198"/>
      <c r="AA342" s="198"/>
      <c r="AB342" s="198"/>
      <c r="AC342" s="198"/>
      <c r="AD342" s="198"/>
      <c r="AE342" s="198"/>
      <c r="AF342" s="198"/>
      <c r="AG342" s="199"/>
    </row>
    <row r="343" spans="1:33" ht="14.4" thickBot="1">
      <c r="A343" s="197"/>
      <c r="B343" s="197"/>
      <c r="C343" s="197"/>
      <c r="D343" s="197"/>
      <c r="E343" s="197"/>
      <c r="F343" s="197"/>
      <c r="G343" s="197"/>
      <c r="H343" s="197"/>
      <c r="I343" s="197"/>
      <c r="J343" s="197"/>
      <c r="K343" s="108"/>
      <c r="L343" s="108"/>
      <c r="M343" s="197"/>
      <c r="N343" s="108"/>
      <c r="X343" s="198"/>
      <c r="Y343" s="198"/>
      <c r="Z343" s="198"/>
      <c r="AA343" s="198"/>
      <c r="AB343" s="198"/>
      <c r="AC343" s="198"/>
      <c r="AD343" s="198"/>
      <c r="AE343" s="198"/>
      <c r="AF343" s="198"/>
      <c r="AG343" s="199"/>
    </row>
    <row r="344" spans="1:33" ht="63" customHeight="1" thickBot="1">
      <c r="A344" s="197"/>
      <c r="B344" s="197"/>
      <c r="C344" s="197"/>
      <c r="D344" s="398" t="s">
        <v>355</v>
      </c>
      <c r="E344" s="399" t="s">
        <v>356</v>
      </c>
      <c r="F344" s="399" t="s">
        <v>357</v>
      </c>
      <c r="G344" s="399" t="s">
        <v>358</v>
      </c>
      <c r="H344" s="399" t="s">
        <v>633</v>
      </c>
      <c r="I344" s="399" t="s">
        <v>639</v>
      </c>
      <c r="J344" s="336" t="s">
        <v>465</v>
      </c>
      <c r="K344" s="336" t="s">
        <v>466</v>
      </c>
      <c r="L344" s="664" t="s">
        <v>291</v>
      </c>
      <c r="M344" s="108"/>
      <c r="N344" s="1805" t="s">
        <v>580</v>
      </c>
      <c r="O344" s="1806"/>
      <c r="P344" s="1806"/>
      <c r="Q344" s="1806"/>
      <c r="R344" s="1806"/>
      <c r="S344" s="1806"/>
      <c r="T344" s="1806"/>
      <c r="U344" s="1806"/>
      <c r="V344" s="1807"/>
      <c r="W344" s="1106"/>
      <c r="X344" s="1106"/>
      <c r="Y344" s="198"/>
      <c r="Z344" s="198"/>
      <c r="AA344" s="198"/>
      <c r="AB344" s="198"/>
      <c r="AC344" s="198"/>
      <c r="AD344" s="198"/>
      <c r="AE344" s="198"/>
      <c r="AF344" s="198"/>
      <c r="AG344" s="199"/>
    </row>
    <row r="345" spans="1:33" ht="13.5" customHeight="1" thickBot="1">
      <c r="A345" s="197"/>
      <c r="B345" s="197"/>
      <c r="C345" s="198"/>
      <c r="D345" s="665"/>
      <c r="E345" s="625"/>
      <c r="F345" s="1124"/>
      <c r="G345" s="625"/>
      <c r="H345" s="1124"/>
      <c r="I345" s="625" t="s">
        <v>447</v>
      </c>
      <c r="J345" s="625" t="s">
        <v>488</v>
      </c>
      <c r="K345" s="625"/>
      <c r="L345" s="1107"/>
      <c r="M345" s="1106"/>
      <c r="N345" s="666" t="s">
        <v>579</v>
      </c>
      <c r="O345" s="1130">
        <f>E345</f>
        <v>0</v>
      </c>
      <c r="P345" s="1130">
        <f>F345</f>
        <v>0</v>
      </c>
      <c r="Q345" s="1130">
        <f>G345</f>
        <v>0</v>
      </c>
      <c r="R345" s="1130">
        <f>H345</f>
        <v>0</v>
      </c>
      <c r="S345" s="1130" t="str">
        <f>I345</f>
        <v xml:space="preserve"> </v>
      </c>
      <c r="T345" s="1130" t="s">
        <v>488</v>
      </c>
      <c r="U345" s="1130"/>
      <c r="V345" s="1131"/>
      <c r="W345" s="1106"/>
      <c r="X345" s="1106"/>
      <c r="Y345" s="198"/>
      <c r="Z345" s="198"/>
      <c r="AA345" s="198"/>
      <c r="AB345" s="198"/>
      <c r="AC345" s="198"/>
      <c r="AD345" s="198"/>
      <c r="AE345" s="198"/>
      <c r="AF345" s="198"/>
      <c r="AG345" s="199"/>
    </row>
    <row r="346" spans="1:33" ht="14.4" thickBot="1">
      <c r="A346" s="197"/>
      <c r="B346" s="197"/>
      <c r="C346" s="198"/>
      <c r="D346" s="400"/>
      <c r="E346" s="1130" t="s">
        <v>632</v>
      </c>
      <c r="F346" s="1130" t="s">
        <v>632</v>
      </c>
      <c r="G346" s="1130" t="s">
        <v>632</v>
      </c>
      <c r="H346" s="1130" t="s">
        <v>632</v>
      </c>
      <c r="I346" s="1130" t="s">
        <v>632</v>
      </c>
      <c r="J346" s="625" t="s">
        <v>661</v>
      </c>
      <c r="K346" s="1130" t="s">
        <v>661</v>
      </c>
      <c r="L346" s="1131" t="s">
        <v>661</v>
      </c>
      <c r="M346" s="1106"/>
      <c r="N346" s="401"/>
      <c r="O346" s="1130" t="s">
        <v>447</v>
      </c>
      <c r="P346" s="1130" t="s">
        <v>447</v>
      </c>
      <c r="Q346" s="1130" t="s">
        <v>447</v>
      </c>
      <c r="R346" s="1130" t="s">
        <v>632</v>
      </c>
      <c r="S346" s="1130" t="s">
        <v>632</v>
      </c>
      <c r="T346" s="1130" t="s">
        <v>661</v>
      </c>
      <c r="U346" s="1130"/>
      <c r="V346" s="1131"/>
      <c r="W346" s="268"/>
      <c r="X346" s="315"/>
      <c r="Y346" s="198"/>
      <c r="Z346" s="198"/>
      <c r="AA346" s="198"/>
      <c r="AB346" s="198"/>
      <c r="AC346" s="198"/>
      <c r="AD346" s="198"/>
      <c r="AE346" s="198"/>
      <c r="AF346" s="198"/>
      <c r="AG346" s="199"/>
    </row>
    <row r="347" spans="1:33" ht="21.6">
      <c r="A347" s="197"/>
      <c r="B347" s="197"/>
      <c r="C347" s="1108" t="s">
        <v>122</v>
      </c>
      <c r="D347" s="1110" t="s">
        <v>258</v>
      </c>
      <c r="E347" s="818">
        <v>0</v>
      </c>
      <c r="F347" s="818">
        <v>0</v>
      </c>
      <c r="G347" s="818">
        <v>0</v>
      </c>
      <c r="H347" s="810">
        <v>0</v>
      </c>
      <c r="I347" s="811"/>
      <c r="J347" s="943">
        <v>0</v>
      </c>
      <c r="K347" s="813"/>
      <c r="L347" s="814"/>
      <c r="M347" s="667"/>
      <c r="N347" s="265"/>
      <c r="O347" s="268">
        <f t="shared" si="113" ref="O347:V347">E347</f>
        <v>0</v>
      </c>
      <c r="P347" s="268">
        <f t="shared" si="113"/>
        <v>0</v>
      </c>
      <c r="Q347" s="268">
        <f t="shared" si="113"/>
        <v>0</v>
      </c>
      <c r="R347" s="268">
        <f t="shared" si="113"/>
        <v>0</v>
      </c>
      <c r="S347" s="268">
        <f>I347</f>
        <v>0</v>
      </c>
      <c r="T347" s="268">
        <f>J347</f>
        <v>0</v>
      </c>
      <c r="U347" s="268">
        <f t="shared" si="113"/>
        <v>0</v>
      </c>
      <c r="V347" s="817">
        <f t="shared" si="113"/>
        <v>0</v>
      </c>
      <c r="W347" s="268"/>
      <c r="X347" s="315"/>
      <c r="Y347" s="198"/>
      <c r="Z347" s="198"/>
      <c r="AA347" s="198"/>
      <c r="AB347" s="198"/>
      <c r="AC347" s="198"/>
      <c r="AD347" s="198"/>
      <c r="AE347" s="198"/>
      <c r="AF347" s="198"/>
      <c r="AG347" s="199"/>
    </row>
    <row r="348" spans="1:33" ht="13.8">
      <c r="A348" s="197"/>
      <c r="B348" s="197"/>
      <c r="C348" s="334" t="s">
        <v>1187</v>
      </c>
      <c r="D348" s="1110" t="s">
        <v>258</v>
      </c>
      <c r="E348" s="818">
        <v>0</v>
      </c>
      <c r="F348" s="818">
        <v>0</v>
      </c>
      <c r="G348" s="818">
        <v>0</v>
      </c>
      <c r="H348" s="810">
        <v>0</v>
      </c>
      <c r="I348" s="811"/>
      <c r="J348" s="943">
        <v>0</v>
      </c>
      <c r="K348" s="813"/>
      <c r="L348" s="814"/>
      <c r="M348" s="668"/>
      <c r="N348" s="265"/>
      <c r="O348" s="268">
        <f t="shared" si="114" ref="O348:V359">O347+E348</f>
        <v>0</v>
      </c>
      <c r="P348" s="268">
        <f t="shared" si="114"/>
        <v>0</v>
      </c>
      <c r="Q348" s="268">
        <f t="shared" si="114"/>
        <v>0</v>
      </c>
      <c r="R348" s="268">
        <f t="shared" si="114"/>
        <v>0</v>
      </c>
      <c r="S348" s="268">
        <f t="shared" si="114"/>
        <v>0</v>
      </c>
      <c r="T348" s="268">
        <f t="shared" si="114"/>
        <v>0</v>
      </c>
      <c r="U348" s="268">
        <f t="shared" si="114"/>
        <v>0</v>
      </c>
      <c r="V348" s="817">
        <f t="shared" si="114"/>
        <v>0</v>
      </c>
      <c r="W348" s="268"/>
      <c r="X348" s="315"/>
      <c r="Y348" s="198"/>
      <c r="Z348" s="198"/>
      <c r="AA348" s="198"/>
      <c r="AB348" s="198"/>
      <c r="AC348" s="198"/>
      <c r="AD348" s="198"/>
      <c r="AE348" s="198"/>
      <c r="AF348" s="198"/>
      <c r="AG348" s="199"/>
    </row>
    <row r="349" spans="1:33" ht="13.8">
      <c r="A349" s="197"/>
      <c r="B349" s="197"/>
      <c r="C349" s="198" t="s">
        <v>271</v>
      </c>
      <c r="D349" s="1110" t="s">
        <v>258</v>
      </c>
      <c r="E349" s="818">
        <v>0</v>
      </c>
      <c r="F349" s="818">
        <v>0</v>
      </c>
      <c r="G349" s="818">
        <v>0</v>
      </c>
      <c r="H349" s="810">
        <v>0</v>
      </c>
      <c r="I349" s="811"/>
      <c r="J349" s="943">
        <v>0</v>
      </c>
      <c r="K349" s="813"/>
      <c r="L349" s="814"/>
      <c r="M349" s="668"/>
      <c r="N349" s="265"/>
      <c r="O349" s="268">
        <f t="shared" si="114"/>
        <v>0</v>
      </c>
      <c r="P349" s="268">
        <f t="shared" si="114"/>
        <v>0</v>
      </c>
      <c r="Q349" s="268">
        <f t="shared" si="114"/>
        <v>0</v>
      </c>
      <c r="R349" s="268">
        <f t="shared" si="114"/>
        <v>0</v>
      </c>
      <c r="S349" s="268">
        <f>S348+I349</f>
        <v>0</v>
      </c>
      <c r="T349" s="268">
        <f>T348+J349</f>
        <v>0</v>
      </c>
      <c r="U349" s="268">
        <f t="shared" si="114"/>
        <v>0</v>
      </c>
      <c r="V349" s="817">
        <f t="shared" si="114"/>
        <v>0</v>
      </c>
      <c r="W349" s="268"/>
      <c r="X349" s="315"/>
      <c r="Y349" s="198"/>
      <c r="Z349" s="198"/>
      <c r="AA349" s="198"/>
      <c r="AB349" s="198"/>
      <c r="AC349" s="198"/>
      <c r="AD349" s="198"/>
      <c r="AE349" s="198"/>
      <c r="AF349" s="198"/>
      <c r="AG349" s="199"/>
    </row>
    <row r="350" spans="1:33" ht="13.8">
      <c r="A350" s="197"/>
      <c r="B350" s="197"/>
      <c r="C350" s="198" t="s">
        <v>272</v>
      </c>
      <c r="D350" s="1110" t="s">
        <v>258</v>
      </c>
      <c r="E350" s="818">
        <v>0</v>
      </c>
      <c r="F350" s="818">
        <v>0</v>
      </c>
      <c r="G350" s="818">
        <v>0</v>
      </c>
      <c r="H350" s="810">
        <v>0</v>
      </c>
      <c r="I350" s="811"/>
      <c r="J350" s="943">
        <v>0</v>
      </c>
      <c r="K350" s="813"/>
      <c r="L350" s="814"/>
      <c r="M350" s="668"/>
      <c r="N350" s="265"/>
      <c r="O350" s="268">
        <f t="shared" si="114"/>
        <v>0</v>
      </c>
      <c r="P350" s="268">
        <f t="shared" si="114"/>
        <v>0</v>
      </c>
      <c r="Q350" s="268">
        <f t="shared" si="114"/>
        <v>0</v>
      </c>
      <c r="R350" s="268">
        <f t="shared" si="114"/>
        <v>0</v>
      </c>
      <c r="S350" s="268">
        <f t="shared" si="114"/>
        <v>0</v>
      </c>
      <c r="T350" s="268">
        <f t="shared" si="114"/>
        <v>0</v>
      </c>
      <c r="U350" s="268">
        <f t="shared" si="114"/>
        <v>0</v>
      </c>
      <c r="V350" s="817">
        <f t="shared" si="114"/>
        <v>0</v>
      </c>
      <c r="W350" s="268"/>
      <c r="X350" s="315"/>
      <c r="Y350" s="198"/>
      <c r="Z350" s="198"/>
      <c r="AA350" s="198"/>
      <c r="AB350" s="198"/>
      <c r="AC350" s="198"/>
      <c r="AD350" s="198"/>
      <c r="AE350" s="198"/>
      <c r="AF350" s="198"/>
      <c r="AG350" s="199"/>
    </row>
    <row r="351" spans="1:33" ht="13.8">
      <c r="A351" s="197"/>
      <c r="B351" s="197"/>
      <c r="C351" s="198" t="s">
        <v>273</v>
      </c>
      <c r="D351" s="532" t="s">
        <v>258</v>
      </c>
      <c r="E351" s="818">
        <v>0</v>
      </c>
      <c r="F351" s="818">
        <v>0</v>
      </c>
      <c r="G351" s="818">
        <v>0</v>
      </c>
      <c r="H351" s="810">
        <v>0</v>
      </c>
      <c r="I351" s="811"/>
      <c r="J351" s="943">
        <v>0</v>
      </c>
      <c r="K351" s="813"/>
      <c r="L351" s="814"/>
      <c r="M351" s="668"/>
      <c r="N351" s="265"/>
      <c r="O351" s="268">
        <f t="shared" si="114"/>
        <v>0</v>
      </c>
      <c r="P351" s="268">
        <f t="shared" si="114"/>
        <v>0</v>
      </c>
      <c r="Q351" s="268">
        <f t="shared" si="114"/>
        <v>0</v>
      </c>
      <c r="R351" s="268">
        <f t="shared" si="114"/>
        <v>0</v>
      </c>
      <c r="S351" s="268">
        <f t="shared" si="114"/>
        <v>0</v>
      </c>
      <c r="T351" s="268">
        <f t="shared" si="114"/>
        <v>0</v>
      </c>
      <c r="U351" s="268">
        <f t="shared" si="114"/>
        <v>0</v>
      </c>
      <c r="V351" s="817">
        <f t="shared" si="114"/>
        <v>0</v>
      </c>
      <c r="W351" s="268"/>
      <c r="X351" s="315"/>
      <c r="Y351" s="198"/>
      <c r="Z351" s="198"/>
      <c r="AA351" s="198"/>
      <c r="AB351" s="198"/>
      <c r="AC351" s="198"/>
      <c r="AD351" s="198"/>
      <c r="AE351" s="198"/>
      <c r="AF351" s="198"/>
      <c r="AG351" s="199"/>
    </row>
    <row r="352" spans="1:33" ht="13.8">
      <c r="A352" s="197"/>
      <c r="B352" s="197"/>
      <c r="C352" s="198" t="s">
        <v>255</v>
      </c>
      <c r="D352" s="532" t="s">
        <v>258</v>
      </c>
      <c r="E352" s="818">
        <v>0</v>
      </c>
      <c r="F352" s="818">
        <v>0</v>
      </c>
      <c r="G352" s="818">
        <v>0</v>
      </c>
      <c r="H352" s="810">
        <v>0</v>
      </c>
      <c r="I352" s="811"/>
      <c r="J352" s="943">
        <v>0</v>
      </c>
      <c r="K352" s="813"/>
      <c r="L352" s="814"/>
      <c r="M352" s="668"/>
      <c r="N352" s="265"/>
      <c r="O352" s="268">
        <f t="shared" si="114"/>
        <v>0</v>
      </c>
      <c r="P352" s="268">
        <f t="shared" si="114"/>
        <v>0</v>
      </c>
      <c r="Q352" s="268">
        <f t="shared" si="114"/>
        <v>0</v>
      </c>
      <c r="R352" s="268">
        <f t="shared" si="114"/>
        <v>0</v>
      </c>
      <c r="S352" s="268">
        <f t="shared" si="114"/>
        <v>0</v>
      </c>
      <c r="T352" s="268">
        <f t="shared" si="114"/>
        <v>0</v>
      </c>
      <c r="U352" s="268">
        <f t="shared" si="114"/>
        <v>0</v>
      </c>
      <c r="V352" s="817">
        <f t="shared" si="114"/>
        <v>0</v>
      </c>
      <c r="W352" s="268"/>
      <c r="X352" s="315"/>
      <c r="Y352" s="198"/>
      <c r="Z352" s="198"/>
      <c r="AA352" s="198"/>
      <c r="AB352" s="198"/>
      <c r="AC352" s="198"/>
      <c r="AD352" s="198"/>
      <c r="AE352" s="198"/>
      <c r="AF352" s="198"/>
      <c r="AG352" s="199"/>
    </row>
    <row r="353" spans="1:33" ht="13.8">
      <c r="A353" s="197"/>
      <c r="B353" s="197"/>
      <c r="C353" s="198" t="s">
        <v>274</v>
      </c>
      <c r="D353" s="532" t="s">
        <v>258</v>
      </c>
      <c r="E353" s="818">
        <v>0</v>
      </c>
      <c r="F353" s="818">
        <v>0</v>
      </c>
      <c r="G353" s="818">
        <v>0</v>
      </c>
      <c r="H353" s="810">
        <v>0</v>
      </c>
      <c r="I353" s="811"/>
      <c r="J353" s="943">
        <v>0</v>
      </c>
      <c r="K353" s="813"/>
      <c r="L353" s="814"/>
      <c r="M353" s="668"/>
      <c r="N353" s="265"/>
      <c r="O353" s="268">
        <f t="shared" si="114"/>
        <v>0</v>
      </c>
      <c r="P353" s="268">
        <f t="shared" si="114"/>
        <v>0</v>
      </c>
      <c r="Q353" s="268">
        <f t="shared" si="114"/>
        <v>0</v>
      </c>
      <c r="R353" s="268">
        <f t="shared" si="114"/>
        <v>0</v>
      </c>
      <c r="S353" s="268">
        <f t="shared" si="114"/>
        <v>0</v>
      </c>
      <c r="T353" s="268">
        <f t="shared" si="114"/>
        <v>0</v>
      </c>
      <c r="U353" s="268">
        <f t="shared" si="114"/>
        <v>0</v>
      </c>
      <c r="V353" s="817">
        <f t="shared" si="114"/>
        <v>0</v>
      </c>
      <c r="W353" s="268"/>
      <c r="X353" s="315"/>
      <c r="Y353" s="198"/>
      <c r="Z353" s="198"/>
      <c r="AA353" s="198"/>
      <c r="AB353" s="198"/>
      <c r="AC353" s="198"/>
      <c r="AD353" s="198"/>
      <c r="AE353" s="198"/>
      <c r="AF353" s="198"/>
      <c r="AG353" s="199"/>
    </row>
    <row r="354" spans="1:33" ht="13.8">
      <c r="A354" s="197"/>
      <c r="B354" s="197"/>
      <c r="C354" s="198" t="s">
        <v>275</v>
      </c>
      <c r="D354" s="532" t="s">
        <v>258</v>
      </c>
      <c r="E354" s="818">
        <v>0</v>
      </c>
      <c r="F354" s="818">
        <v>0</v>
      </c>
      <c r="G354" s="818">
        <v>0</v>
      </c>
      <c r="H354" s="810">
        <v>0</v>
      </c>
      <c r="I354" s="811"/>
      <c r="J354" s="943">
        <v>0</v>
      </c>
      <c r="K354" s="813"/>
      <c r="L354" s="814"/>
      <c r="M354" s="668"/>
      <c r="N354" s="265"/>
      <c r="O354" s="268">
        <f t="shared" si="114"/>
        <v>0</v>
      </c>
      <c r="P354" s="268">
        <f t="shared" si="114"/>
        <v>0</v>
      </c>
      <c r="Q354" s="268">
        <f t="shared" si="114"/>
        <v>0</v>
      </c>
      <c r="R354" s="268">
        <f t="shared" si="114"/>
        <v>0</v>
      </c>
      <c r="S354" s="268">
        <f t="shared" si="114"/>
        <v>0</v>
      </c>
      <c r="T354" s="268">
        <f t="shared" si="114"/>
        <v>0</v>
      </c>
      <c r="U354" s="268">
        <f t="shared" si="114"/>
        <v>0</v>
      </c>
      <c r="V354" s="817">
        <f t="shared" si="114"/>
        <v>0</v>
      </c>
      <c r="W354" s="268"/>
      <c r="X354" s="315"/>
      <c r="Y354" s="198"/>
      <c r="Z354" s="198"/>
      <c r="AA354" s="198"/>
      <c r="AB354" s="198"/>
      <c r="AC354" s="198"/>
      <c r="AD354" s="198"/>
      <c r="AE354" s="198"/>
      <c r="AF354" s="198"/>
      <c r="AG354" s="199"/>
    </row>
    <row r="355" spans="1:33" ht="13.8">
      <c r="A355" s="197"/>
      <c r="B355" s="197"/>
      <c r="C355" s="198" t="s">
        <v>276</v>
      </c>
      <c r="D355" s="532" t="s">
        <v>258</v>
      </c>
      <c r="E355" s="818">
        <v>0</v>
      </c>
      <c r="F355" s="818">
        <v>0</v>
      </c>
      <c r="G355" s="818">
        <v>0</v>
      </c>
      <c r="H355" s="810">
        <v>0</v>
      </c>
      <c r="I355" s="810"/>
      <c r="J355" s="943">
        <v>0</v>
      </c>
      <c r="K355" s="813"/>
      <c r="L355" s="814"/>
      <c r="M355" s="668"/>
      <c r="N355" s="265"/>
      <c r="O355" s="268">
        <f t="shared" si="114"/>
        <v>0</v>
      </c>
      <c r="P355" s="268">
        <f t="shared" si="114"/>
        <v>0</v>
      </c>
      <c r="Q355" s="268">
        <f t="shared" si="114"/>
        <v>0</v>
      </c>
      <c r="R355" s="268">
        <f t="shared" si="114"/>
        <v>0</v>
      </c>
      <c r="S355" s="268">
        <f t="shared" si="114"/>
        <v>0</v>
      </c>
      <c r="T355" s="268">
        <f t="shared" si="114"/>
        <v>0</v>
      </c>
      <c r="U355" s="268">
        <f t="shared" si="114"/>
        <v>0</v>
      </c>
      <c r="V355" s="817">
        <f t="shared" si="114"/>
        <v>0</v>
      </c>
      <c r="W355" s="268"/>
      <c r="X355" s="315"/>
      <c r="Y355" s="1132"/>
      <c r="Z355" s="411"/>
      <c r="AA355" s="198"/>
      <c r="AB355" s="198"/>
      <c r="AC355" s="198"/>
      <c r="AD355" s="198"/>
      <c r="AE355" s="198"/>
      <c r="AF355" s="198"/>
      <c r="AG355" s="199"/>
    </row>
    <row r="356" spans="1:33" ht="13.8">
      <c r="A356" s="197"/>
      <c r="B356" s="197"/>
      <c r="C356" s="198" t="s">
        <v>277</v>
      </c>
      <c r="D356" s="532" t="s">
        <v>258</v>
      </c>
      <c r="E356" s="818">
        <v>0</v>
      </c>
      <c r="F356" s="818">
        <v>0</v>
      </c>
      <c r="G356" s="818">
        <v>0</v>
      </c>
      <c r="H356" s="810">
        <v>0</v>
      </c>
      <c r="I356" s="810"/>
      <c r="J356" s="943">
        <v>0</v>
      </c>
      <c r="K356" s="813"/>
      <c r="L356" s="814"/>
      <c r="M356" s="668"/>
      <c r="N356" s="265"/>
      <c r="O356" s="268">
        <f t="shared" si="114"/>
        <v>0</v>
      </c>
      <c r="P356" s="268">
        <f t="shared" si="114"/>
        <v>0</v>
      </c>
      <c r="Q356" s="268">
        <f t="shared" si="114"/>
        <v>0</v>
      </c>
      <c r="R356" s="268">
        <f t="shared" si="114"/>
        <v>0</v>
      </c>
      <c r="S356" s="268">
        <f t="shared" si="114"/>
        <v>0</v>
      </c>
      <c r="T356" s="268">
        <f t="shared" si="114"/>
        <v>0</v>
      </c>
      <c r="U356" s="268">
        <f t="shared" si="114"/>
        <v>0</v>
      </c>
      <c r="V356" s="817">
        <f t="shared" si="114"/>
        <v>0</v>
      </c>
      <c r="W356" s="268"/>
      <c r="X356" s="315"/>
      <c r="Y356" s="1133"/>
      <c r="Z356" s="411"/>
      <c r="AA356" s="198"/>
      <c r="AB356" s="198"/>
      <c r="AC356" s="198"/>
      <c r="AD356" s="198"/>
      <c r="AE356" s="198"/>
      <c r="AF356" s="198"/>
      <c r="AG356" s="199"/>
    </row>
    <row r="357" spans="1:33" ht="13.8">
      <c r="A357" s="197"/>
      <c r="B357" s="197"/>
      <c r="C357" s="198" t="s">
        <v>278</v>
      </c>
      <c r="D357" s="532" t="s">
        <v>258</v>
      </c>
      <c r="E357" s="818">
        <v>0</v>
      </c>
      <c r="F357" s="818">
        <v>0</v>
      </c>
      <c r="G357" s="818">
        <v>0</v>
      </c>
      <c r="H357" s="810">
        <v>0</v>
      </c>
      <c r="I357" s="810"/>
      <c r="J357" s="943">
        <v>0</v>
      </c>
      <c r="K357" s="813"/>
      <c r="L357" s="814"/>
      <c r="M357" s="668"/>
      <c r="N357" s="265"/>
      <c r="O357" s="268">
        <f t="shared" si="114"/>
        <v>0</v>
      </c>
      <c r="P357" s="268">
        <f t="shared" si="114"/>
        <v>0</v>
      </c>
      <c r="Q357" s="268">
        <f t="shared" si="114"/>
        <v>0</v>
      </c>
      <c r="R357" s="268">
        <f t="shared" si="114"/>
        <v>0</v>
      </c>
      <c r="S357" s="268">
        <f t="shared" si="114"/>
        <v>0</v>
      </c>
      <c r="T357" s="268">
        <f t="shared" si="114"/>
        <v>0</v>
      </c>
      <c r="U357" s="268">
        <f t="shared" si="114"/>
        <v>0</v>
      </c>
      <c r="V357" s="817">
        <f t="shared" si="114"/>
        <v>0</v>
      </c>
      <c r="W357" s="268"/>
      <c r="X357" s="1134"/>
      <c r="Y357" s="1133"/>
      <c r="Z357" s="411"/>
      <c r="AA357" s="198"/>
      <c r="AB357" s="198"/>
      <c r="AC357" s="198"/>
      <c r="AD357" s="198"/>
      <c r="AE357" s="198"/>
      <c r="AF357" s="198"/>
      <c r="AG357" s="199"/>
    </row>
    <row r="358" spans="1:33" ht="13.8">
      <c r="A358" s="197"/>
      <c r="B358" s="197"/>
      <c r="C358" s="198" t="s">
        <v>279</v>
      </c>
      <c r="D358" s="532" t="s">
        <v>258</v>
      </c>
      <c r="E358" s="818">
        <v>0</v>
      </c>
      <c r="F358" s="818">
        <v>0</v>
      </c>
      <c r="G358" s="818">
        <v>0</v>
      </c>
      <c r="H358" s="810">
        <v>0</v>
      </c>
      <c r="I358" s="810"/>
      <c r="J358" s="943">
        <v>0</v>
      </c>
      <c r="K358" s="813"/>
      <c r="L358" s="814"/>
      <c r="M358" s="668"/>
      <c r="N358" s="265"/>
      <c r="O358" s="268">
        <f t="shared" si="114"/>
        <v>0</v>
      </c>
      <c r="P358" s="268">
        <f t="shared" si="114"/>
        <v>0</v>
      </c>
      <c r="Q358" s="268">
        <f t="shared" si="114"/>
        <v>0</v>
      </c>
      <c r="R358" s="268">
        <f t="shared" si="114"/>
        <v>0</v>
      </c>
      <c r="S358" s="268">
        <f t="shared" si="114"/>
        <v>0</v>
      </c>
      <c r="T358" s="268">
        <f t="shared" si="114"/>
        <v>0</v>
      </c>
      <c r="U358" s="268">
        <f t="shared" si="114"/>
        <v>0</v>
      </c>
      <c r="V358" s="817">
        <f t="shared" si="114"/>
        <v>0</v>
      </c>
      <c r="W358" s="268"/>
      <c r="X358" s="1134"/>
      <c r="Y358" s="1133"/>
      <c r="Z358" s="411"/>
      <c r="AA358" s="198"/>
      <c r="AB358" s="198"/>
      <c r="AC358" s="198"/>
      <c r="AD358" s="198"/>
      <c r="AE358" s="198"/>
      <c r="AF358" s="198"/>
      <c r="AG358" s="199"/>
    </row>
    <row r="359" spans="1:33" ht="14.4" thickBot="1">
      <c r="A359" s="197"/>
      <c r="B359" s="197"/>
      <c r="C359" s="198" t="s">
        <v>280</v>
      </c>
      <c r="D359" s="401" t="s">
        <v>258</v>
      </c>
      <c r="E359" s="819">
        <v>0</v>
      </c>
      <c r="F359" s="819">
        <v>0</v>
      </c>
      <c r="G359" s="819">
        <v>0</v>
      </c>
      <c r="H359" s="812">
        <v>0</v>
      </c>
      <c r="I359" s="812"/>
      <c r="J359" s="944">
        <v>0</v>
      </c>
      <c r="K359" s="815"/>
      <c r="L359" s="816"/>
      <c r="M359" s="668"/>
      <c r="N359" s="128"/>
      <c r="O359" s="480">
        <f t="shared" si="114"/>
        <v>0</v>
      </c>
      <c r="P359" s="480">
        <f t="shared" si="114"/>
        <v>0</v>
      </c>
      <c r="Q359" s="480">
        <f t="shared" si="114"/>
        <v>0</v>
      </c>
      <c r="R359" s="480">
        <f t="shared" si="114"/>
        <v>0</v>
      </c>
      <c r="S359" s="480">
        <f t="shared" si="114"/>
        <v>0</v>
      </c>
      <c r="T359" s="480">
        <f t="shared" si="114"/>
        <v>0</v>
      </c>
      <c r="U359" s="480">
        <f t="shared" si="114"/>
        <v>0</v>
      </c>
      <c r="V359" s="477">
        <f t="shared" si="114"/>
        <v>0</v>
      </c>
      <c r="W359" s="1114"/>
      <c r="X359" s="1114"/>
      <c r="Y359" s="1133"/>
      <c r="Z359" s="411"/>
      <c r="AA359" s="198"/>
      <c r="AB359" s="198"/>
      <c r="AC359" s="198"/>
      <c r="AD359" s="198"/>
      <c r="AE359" s="198"/>
      <c r="AF359" s="198"/>
      <c r="AG359" s="199"/>
    </row>
    <row r="360" spans="1:33" ht="13.8">
      <c r="A360" s="197"/>
      <c r="B360" s="197"/>
      <c r="C360" s="198" t="s">
        <v>524</v>
      </c>
      <c r="D360" s="204" t="s">
        <v>447</v>
      </c>
      <c r="E360" s="701">
        <f t="shared" si="115" ref="E360:L360">SUM(E347:E359)</f>
        <v>0</v>
      </c>
      <c r="F360" s="701">
        <f t="shared" si="115"/>
        <v>0</v>
      </c>
      <c r="G360" s="701">
        <f t="shared" si="115"/>
        <v>0</v>
      </c>
      <c r="H360" s="701">
        <f t="shared" si="115"/>
        <v>0</v>
      </c>
      <c r="I360" s="701">
        <f t="shared" si="115"/>
        <v>0</v>
      </c>
      <c r="J360" s="701">
        <f>SUM(J347:J359)</f>
        <v>0</v>
      </c>
      <c r="K360" s="701">
        <f t="shared" si="115"/>
        <v>0</v>
      </c>
      <c r="L360" s="701">
        <f t="shared" si="115"/>
        <v>0</v>
      </c>
      <c r="M360" s="1135"/>
      <c r="O360" s="1114">
        <f t="shared" si="116" ref="O360:V360">SUM(O347:O359)</f>
        <v>0</v>
      </c>
      <c r="P360" s="1114">
        <f t="shared" si="116"/>
        <v>0</v>
      </c>
      <c r="Q360" s="1114">
        <f t="shared" si="116"/>
        <v>0</v>
      </c>
      <c r="R360" s="1114">
        <f t="shared" si="116"/>
        <v>0</v>
      </c>
      <c r="S360" s="1114">
        <f t="shared" si="116"/>
        <v>0</v>
      </c>
      <c r="T360" s="1114">
        <f t="shared" si="116"/>
        <v>0</v>
      </c>
      <c r="U360" s="1114">
        <f t="shared" si="116"/>
        <v>0</v>
      </c>
      <c r="V360" s="1114">
        <f t="shared" si="116"/>
        <v>0</v>
      </c>
      <c r="W360" s="255"/>
      <c r="X360" s="255"/>
      <c r="Y360" s="1133"/>
      <c r="Z360" s="411"/>
      <c r="AA360" s="198"/>
      <c r="AB360" s="198"/>
      <c r="AC360" s="198"/>
      <c r="AD360" s="198"/>
      <c r="AE360" s="198"/>
      <c r="AF360" s="198"/>
      <c r="AG360" s="199"/>
    </row>
    <row r="361" spans="1:33" ht="13.8">
      <c r="A361" s="197"/>
      <c r="B361" s="197"/>
      <c r="C361" s="198"/>
      <c r="E361" s="255"/>
      <c r="F361" s="255"/>
      <c r="G361" s="204"/>
      <c r="H361" s="204"/>
      <c r="I361" s="204"/>
      <c r="J361" s="204" t="s">
        <v>447</v>
      </c>
      <c r="K361" s="204"/>
      <c r="N361" s="255"/>
      <c r="O361" s="255">
        <f t="shared" si="117" ref="O361:V361">O360/13</f>
        <v>0</v>
      </c>
      <c r="P361" s="255">
        <f t="shared" si="117"/>
        <v>0</v>
      </c>
      <c r="Q361" s="255">
        <f t="shared" si="117"/>
        <v>0</v>
      </c>
      <c r="R361" s="255">
        <f t="shared" si="117"/>
        <v>0</v>
      </c>
      <c r="S361" s="255">
        <f t="shared" si="117"/>
        <v>0</v>
      </c>
      <c r="T361" s="255">
        <f t="shared" si="117"/>
        <v>0</v>
      </c>
      <c r="U361" s="255">
        <f t="shared" si="117"/>
        <v>0</v>
      </c>
      <c r="V361" s="255">
        <f t="shared" si="117"/>
        <v>0</v>
      </c>
      <c r="W361" s="198"/>
      <c r="X361" s="299"/>
      <c r="Y361" s="1133"/>
      <c r="Z361" s="411"/>
      <c r="AA361" s="198"/>
      <c r="AB361" s="198"/>
      <c r="AC361" s="198"/>
      <c r="AD361" s="198"/>
      <c r="AE361" s="198"/>
      <c r="AF361" s="198"/>
      <c r="AG361" s="199"/>
    </row>
    <row r="362" spans="2:33" ht="13.8">
      <c r="B362" s="197"/>
      <c r="C362" s="197"/>
      <c r="D362" s="197"/>
      <c r="E362" s="391"/>
      <c r="F362" s="213"/>
      <c r="G362" s="213"/>
      <c r="H362" s="213"/>
      <c r="I362" s="213"/>
      <c r="J362" s="1105"/>
      <c r="K362" s="1105"/>
      <c r="L362" s="213"/>
      <c r="M362" s="198"/>
      <c r="P362" s="1136"/>
      <c r="Q362" s="198"/>
      <c r="U362" s="198"/>
      <c r="V362" s="299"/>
      <c r="W362" s="1133"/>
      <c r="X362" s="411"/>
      <c r="Y362" s="198"/>
      <c r="Z362" s="198"/>
      <c r="AA362" s="198"/>
      <c r="AB362" s="198"/>
      <c r="AC362" s="198"/>
      <c r="AD362" s="198"/>
      <c r="AE362" s="198"/>
      <c r="AF362" s="198"/>
      <c r="AG362" s="199"/>
    </row>
    <row r="363" spans="1:33" ht="13.8">
      <c r="A363" s="197"/>
      <c r="B363" s="197"/>
      <c r="C363" s="197"/>
      <c r="D363" s="197"/>
      <c r="F363" s="198"/>
      <c r="G363" s="198"/>
      <c r="H363" s="198"/>
      <c r="I363" s="198"/>
      <c r="J363" s="198"/>
      <c r="K363" s="198"/>
      <c r="L363" s="198"/>
      <c r="M363" s="198"/>
      <c r="N363" s="198"/>
      <c r="O363" s="198"/>
      <c r="P363" s="204"/>
      <c r="Q363" s="198"/>
      <c r="T363" s="255"/>
      <c r="U363" s="198"/>
      <c r="V363" s="299"/>
      <c r="W363" s="1133"/>
      <c r="X363" s="411"/>
      <c r="Y363" s="198"/>
      <c r="Z363" s="198"/>
      <c r="AA363" s="198"/>
      <c r="AB363" s="198"/>
      <c r="AC363" s="198"/>
      <c r="AD363" s="198"/>
      <c r="AE363" s="198"/>
      <c r="AF363" s="198"/>
      <c r="AG363" s="199"/>
    </row>
    <row r="364" spans="1:33" ht="14.4" thickBot="1">
      <c r="A364" s="197"/>
      <c r="B364" s="197"/>
      <c r="C364" s="197"/>
      <c r="D364" s="197"/>
      <c r="E364" s="198"/>
      <c r="F364" s="213" t="s">
        <v>538</v>
      </c>
      <c r="G364" s="198"/>
      <c r="H364" s="198"/>
      <c r="I364" s="198"/>
      <c r="J364" s="203"/>
      <c r="K364" s="198"/>
      <c r="L364" s="198"/>
      <c r="M364" s="198"/>
      <c r="N364" s="198"/>
      <c r="O364" s="198"/>
      <c r="P364" s="204"/>
      <c r="Q364" s="198"/>
      <c r="U364" s="198"/>
      <c r="V364" s="299"/>
      <c r="W364" s="1133"/>
      <c r="X364" s="411"/>
      <c r="Y364" s="198"/>
      <c r="Z364" s="198"/>
      <c r="AA364" s="198"/>
      <c r="AB364" s="198"/>
      <c r="AC364" s="198"/>
      <c r="AD364" s="198"/>
      <c r="AE364" s="198"/>
      <c r="AF364" s="198"/>
      <c r="AG364" s="199"/>
    </row>
    <row r="365" spans="1:33" ht="58.5" customHeight="1">
      <c r="A365" s="197"/>
      <c r="B365" s="197"/>
      <c r="C365" s="197"/>
      <c r="D365" s="611" t="s">
        <v>850</v>
      </c>
      <c r="E365" s="1124" t="s">
        <v>604</v>
      </c>
      <c r="F365" s="1124" t="s">
        <v>406</v>
      </c>
      <c r="G365" s="1124" t="s">
        <v>654</v>
      </c>
      <c r="H365" s="1124" t="s">
        <v>407</v>
      </c>
      <c r="I365" s="1124" t="s">
        <v>659</v>
      </c>
      <c r="J365" s="1602" t="s">
        <v>386</v>
      </c>
      <c r="K365" s="1124" t="s">
        <v>384</v>
      </c>
      <c r="L365" s="1602" t="s">
        <v>385</v>
      </c>
      <c r="M365" s="1602" t="s">
        <v>783</v>
      </c>
      <c r="N365" s="1602" t="s">
        <v>322</v>
      </c>
      <c r="O365" s="1602" t="s">
        <v>781</v>
      </c>
      <c r="P365" s="1602" t="s">
        <v>782</v>
      </c>
      <c r="Q365" s="1602" t="s">
        <v>1000</v>
      </c>
      <c r="R365" s="1602" t="s">
        <v>947</v>
      </c>
      <c r="S365" s="1602" t="s">
        <v>966</v>
      </c>
      <c r="T365" s="1602" t="s">
        <v>949</v>
      </c>
      <c r="U365" s="1602" t="s">
        <v>950</v>
      </c>
      <c r="V365" s="1603" t="s">
        <v>967</v>
      </c>
      <c r="W365" s="1133"/>
      <c r="X365" s="411"/>
      <c r="Y365" s="198"/>
      <c r="Z365" s="198"/>
      <c r="AA365" s="198"/>
      <c r="AB365" s="198"/>
      <c r="AC365" s="198"/>
      <c r="AD365" s="198"/>
      <c r="AE365" s="198"/>
      <c r="AF365" s="198"/>
      <c r="AG365" s="199"/>
    </row>
    <row r="366" spans="1:33" ht="15" thickBot="1">
      <c r="A366" s="197"/>
      <c r="B366" s="197"/>
      <c r="C366" s="197"/>
      <c r="D366" s="942">
        <v>257775780.39363316</v>
      </c>
      <c r="E366" s="1608">
        <v>236182.01474226947</v>
      </c>
      <c r="F366" s="1608">
        <v>1010610.0571555139</v>
      </c>
      <c r="G366" s="1608">
        <v>575101.51174647699</v>
      </c>
      <c r="H366" s="1608">
        <v>534327.96313135081</v>
      </c>
      <c r="I366" s="1608">
        <v>543912.5900220772</v>
      </c>
      <c r="J366" s="1609">
        <v>4018853.4225398572</v>
      </c>
      <c r="K366" s="1609">
        <v>651507.11486243701</v>
      </c>
      <c r="L366" s="1609">
        <v>943389.06617988064</v>
      </c>
      <c r="M366" s="1609">
        <v>812722.0042763172</v>
      </c>
      <c r="N366" s="1609">
        <v>200880.27243374422</v>
      </c>
      <c r="O366" s="1609">
        <v>5118397.5784696182</v>
      </c>
      <c r="P366" s="1610">
        <v>2335304.5582872154</v>
      </c>
      <c r="Q366" s="1609">
        <v>122076464.7721183</v>
      </c>
      <c r="R366" s="1609">
        <v>2742304.374896138</v>
      </c>
      <c r="S366" s="1609">
        <v>1804153.7595789484</v>
      </c>
      <c r="T366" s="1609">
        <v>312977.65439457208</v>
      </c>
      <c r="U366" s="1611">
        <v>93263.807582376583</v>
      </c>
      <c r="V366" s="1612">
        <v>678364.95397144055</v>
      </c>
      <c r="W366" s="1133"/>
      <c r="X366" s="411"/>
      <c r="Y366" s="198"/>
      <c r="Z366" s="198"/>
      <c r="AA366" s="198"/>
      <c r="AB366" s="198"/>
      <c r="AC366" s="198"/>
      <c r="AD366" s="198"/>
      <c r="AE366" s="198"/>
      <c r="AF366" s="198"/>
      <c r="AG366" s="199"/>
    </row>
    <row r="367" spans="1:33" ht="14.4" thickBot="1">
      <c r="A367" s="197"/>
      <c r="B367" s="197"/>
      <c r="C367" s="197"/>
      <c r="D367" s="197"/>
      <c r="E367" s="198"/>
      <c r="F367" s="198"/>
      <c r="G367" s="198"/>
      <c r="H367" s="198"/>
      <c r="I367" s="198"/>
      <c r="S367" s="198"/>
      <c r="T367" s="198"/>
      <c r="U367" s="198"/>
      <c r="V367" s="198"/>
      <c r="W367" s="1133"/>
      <c r="X367" s="411"/>
      <c r="Y367" s="198"/>
      <c r="Z367" s="198"/>
      <c r="AA367" s="198"/>
      <c r="AB367" s="198"/>
      <c r="AC367" s="198"/>
      <c r="AD367" s="198"/>
      <c r="AE367" s="198"/>
      <c r="AF367" s="198"/>
      <c r="AG367" s="199"/>
    </row>
    <row r="368" spans="1:33" ht="26.4">
      <c r="A368" s="197"/>
      <c r="B368" s="197"/>
      <c r="C368" s="197"/>
      <c r="D368" s="1106"/>
      <c r="E368" s="1613" t="s">
        <v>968</v>
      </c>
      <c r="F368" s="1126" t="s">
        <v>960</v>
      </c>
      <c r="G368" s="1124" t="s">
        <v>995</v>
      </c>
      <c r="H368" s="1124" t="s">
        <v>961</v>
      </c>
      <c r="I368" s="1126" t="s">
        <v>962</v>
      </c>
      <c r="J368" s="1614" t="s">
        <v>963</v>
      </c>
      <c r="K368" s="1124" t="s">
        <v>977</v>
      </c>
      <c r="L368" s="1124" t="s">
        <v>978</v>
      </c>
      <c r="M368" s="1124" t="s">
        <v>964</v>
      </c>
      <c r="N368" s="1124" t="s">
        <v>965</v>
      </c>
      <c r="O368" s="1124" t="s">
        <v>997</v>
      </c>
      <c r="P368" s="1124" t="s">
        <v>980</v>
      </c>
      <c r="Q368" s="1124" t="s">
        <v>981</v>
      </c>
      <c r="R368" s="1124" t="s">
        <v>983</v>
      </c>
      <c r="S368" s="1124" t="s">
        <v>984</v>
      </c>
      <c r="T368" s="1124" t="s">
        <v>985</v>
      </c>
      <c r="U368" s="1124" t="s">
        <v>986</v>
      </c>
      <c r="V368" s="1127" t="s">
        <v>1013</v>
      </c>
      <c r="W368" s="1133"/>
      <c r="X368" s="411"/>
      <c r="Y368" s="198"/>
      <c r="Z368" s="198"/>
      <c r="AA368" s="198"/>
      <c r="AB368" s="198"/>
      <c r="AC368" s="198"/>
      <c r="AD368" s="198"/>
      <c r="AE368" s="198"/>
      <c r="AF368" s="198"/>
      <c r="AG368" s="199"/>
    </row>
    <row r="369" spans="1:33" ht="15" thickBot="1">
      <c r="A369" s="197"/>
      <c r="B369" s="197"/>
      <c r="C369" s="197"/>
      <c r="D369" s="1615"/>
      <c r="E369" s="1616">
        <v>7117734.9270963026</v>
      </c>
      <c r="F369" s="1609">
        <v>49606.365344813312</v>
      </c>
      <c r="G369" s="1609">
        <v>1430494.7120572552</v>
      </c>
      <c r="H369" s="1609">
        <v>72893.17064453708</v>
      </c>
      <c r="I369" s="1609">
        <v>135855.29986597251</v>
      </c>
      <c r="J369" s="1609">
        <v>200665.18334016978</v>
      </c>
      <c r="K369" s="1609">
        <v>4146092.5590844755</v>
      </c>
      <c r="L369" s="1609">
        <v>426567.68252697785</v>
      </c>
      <c r="M369" s="1617">
        <v>3307809.270737946</v>
      </c>
      <c r="N369" s="1617">
        <v>2233713.3618743513</v>
      </c>
      <c r="O369" s="1617">
        <v>64364.860496969966</v>
      </c>
      <c r="P369" s="1617">
        <v>5349665.978652304</v>
      </c>
      <c r="Q369" s="1617">
        <v>727858.56451756053</v>
      </c>
      <c r="R369" s="1617">
        <v>910743.4973583325</v>
      </c>
      <c r="S369" s="1617">
        <v>7090596.7929648357</v>
      </c>
      <c r="T369" s="1617">
        <v>1104241.7468665019</v>
      </c>
      <c r="U369" s="1609">
        <v>112693.23851924372</v>
      </c>
      <c r="V369" s="1618">
        <v>76227.147409154262</v>
      </c>
      <c r="W369" s="1133"/>
      <c r="X369" s="411"/>
      <c r="Y369" s="198"/>
      <c r="Z369" s="198"/>
      <c r="AA369" s="198"/>
      <c r="AB369" s="198"/>
      <c r="AC369" s="198"/>
      <c r="AD369" s="198"/>
      <c r="AE369" s="198"/>
      <c r="AF369" s="198"/>
      <c r="AG369" s="199"/>
    </row>
    <row r="370" spans="1:33" ht="15" thickBot="1">
      <c r="A370" s="197"/>
      <c r="B370" s="197"/>
      <c r="C370" s="197"/>
      <c r="D370" s="1615"/>
      <c r="E370" s="1619"/>
      <c r="F370" s="1619"/>
      <c r="G370" s="1619"/>
      <c r="H370" s="1619"/>
      <c r="I370" s="1619"/>
      <c r="J370" s="1619"/>
      <c r="K370" s="1619"/>
      <c r="L370" s="1619"/>
      <c r="M370" s="1619"/>
      <c r="N370" s="1619"/>
      <c r="O370" s="1619"/>
      <c r="P370" s="1619"/>
      <c r="Q370" s="1619"/>
      <c r="R370" s="1619"/>
      <c r="S370" s="1619"/>
      <c r="T370" s="1619"/>
      <c r="U370" s="1619"/>
      <c r="V370" s="1619"/>
      <c r="W370" s="1133"/>
      <c r="X370" s="411"/>
      <c r="Y370" s="198"/>
      <c r="Z370" s="198"/>
      <c r="AA370" s="198"/>
      <c r="AB370" s="198"/>
      <c r="AC370" s="198"/>
      <c r="AD370" s="198"/>
      <c r="AE370" s="198"/>
      <c r="AF370" s="198"/>
      <c r="AG370" s="199"/>
    </row>
    <row r="371" spans="1:33" ht="27" customHeight="1">
      <c r="A371" s="197"/>
      <c r="B371" s="197"/>
      <c r="C371" s="197"/>
      <c r="D371" s="1615"/>
      <c r="E371" s="1613" t="s">
        <v>988</v>
      </c>
      <c r="F371" s="1126" t="s">
        <v>1033</v>
      </c>
      <c r="G371" s="1124" t="s">
        <v>1005</v>
      </c>
      <c r="H371" s="1125" t="s">
        <v>991</v>
      </c>
      <c r="I371" s="1125" t="s">
        <v>1006</v>
      </c>
      <c r="J371" s="1125" t="s">
        <v>1034</v>
      </c>
      <c r="K371" s="1125" t="s">
        <v>1015</v>
      </c>
      <c r="L371" s="1125" t="s">
        <v>1003</v>
      </c>
      <c r="M371" s="1125" t="s">
        <v>1008</v>
      </c>
      <c r="N371" s="1125" t="s">
        <v>1009</v>
      </c>
      <c r="O371" s="1125" t="s">
        <v>1017</v>
      </c>
      <c r="P371" s="1125" t="s">
        <v>1007</v>
      </c>
      <c r="Q371" s="1125" t="s">
        <v>990</v>
      </c>
      <c r="R371" s="1125" t="s">
        <v>1037</v>
      </c>
      <c r="S371" s="1125" t="s">
        <v>1038</v>
      </c>
      <c r="T371" s="1125" t="s">
        <v>1039</v>
      </c>
      <c r="U371" s="1125" t="s">
        <v>1040</v>
      </c>
      <c r="V371" s="1125" t="s">
        <v>1041</v>
      </c>
      <c r="W371" s="1133"/>
      <c r="X371" s="411"/>
      <c r="Y371" s="198"/>
      <c r="Z371" s="198"/>
      <c r="AA371" s="198"/>
      <c r="AB371" s="198"/>
      <c r="AC371" s="198"/>
      <c r="AD371" s="198"/>
      <c r="AE371" s="198"/>
      <c r="AF371" s="198"/>
      <c r="AG371" s="199"/>
    </row>
    <row r="372" spans="1:33" ht="15" thickBot="1">
      <c r="A372" s="197"/>
      <c r="B372" s="197"/>
      <c r="C372" s="197"/>
      <c r="D372" s="1615"/>
      <c r="E372" s="1616">
        <v>126162.62106644602</v>
      </c>
      <c r="F372" s="1609">
        <v>2078165.0632851678</v>
      </c>
      <c r="G372" s="1609">
        <v>4412388.8679350615</v>
      </c>
      <c r="H372" s="1612">
        <v>193636.72297763644</v>
      </c>
      <c r="I372" s="1612">
        <v>3883689.136594581</v>
      </c>
      <c r="J372" s="1612">
        <v>157099.13482069792</v>
      </c>
      <c r="K372" s="1612">
        <v>102403.33548685351</v>
      </c>
      <c r="L372" s="1612">
        <v>851977.10833742772</v>
      </c>
      <c r="M372" s="1612">
        <v>1833427.236693739</v>
      </c>
      <c r="N372" s="1612">
        <v>3684187.2300054729</v>
      </c>
      <c r="O372" s="1612">
        <v>193054.03220106359</v>
      </c>
      <c r="P372" s="1612">
        <v>104241.2373306822</v>
      </c>
      <c r="Q372" s="1612">
        <v>251747.90637499627</v>
      </c>
      <c r="R372" s="1612">
        <v>13164511.795628484</v>
      </c>
      <c r="S372" s="1612">
        <v>5544661.457486636</v>
      </c>
      <c r="T372" s="1612">
        <v>5282962.5249149986</v>
      </c>
      <c r="U372" s="1612">
        <v>4511241.2971305978</v>
      </c>
      <c r="V372" s="1612">
        <v>8566531.840530986</v>
      </c>
      <c r="W372" s="1133"/>
      <c r="X372" s="411"/>
      <c r="Y372" s="198"/>
      <c r="Z372" s="198"/>
      <c r="AA372" s="198"/>
      <c r="AB372" s="198"/>
      <c r="AC372" s="198"/>
      <c r="AD372" s="198"/>
      <c r="AE372" s="198"/>
      <c r="AF372" s="198"/>
      <c r="AG372" s="199"/>
    </row>
    <row r="373" spans="1:33" ht="15" thickBot="1">
      <c r="A373" s="197"/>
      <c r="B373" s="197"/>
      <c r="C373" s="197"/>
      <c r="D373" s="1615"/>
      <c r="E373" s="1619"/>
      <c r="F373" s="1619"/>
      <c r="G373" s="1619"/>
      <c r="H373" s="1619"/>
      <c r="I373" s="1619"/>
      <c r="J373" s="1619"/>
      <c r="K373" s="1619"/>
      <c r="L373" s="1619"/>
      <c r="M373" s="1619"/>
      <c r="N373" s="1619"/>
      <c r="O373" s="1619"/>
      <c r="P373" s="1619"/>
      <c r="Q373" s="1619"/>
      <c r="R373" s="1619"/>
      <c r="S373" s="1619"/>
      <c r="T373" s="1619"/>
      <c r="U373" s="1619"/>
      <c r="V373" s="1619"/>
      <c r="W373" s="1133"/>
      <c r="X373" s="411"/>
      <c r="Y373" s="198"/>
      <c r="Z373" s="198"/>
      <c r="AA373" s="198"/>
      <c r="AB373" s="198"/>
      <c r="AC373" s="198"/>
      <c r="AD373" s="198"/>
      <c r="AE373" s="198"/>
      <c r="AF373" s="198"/>
      <c r="AG373" s="199"/>
    </row>
    <row r="374" spans="1:33" ht="14.4">
      <c r="A374" s="197"/>
      <c r="B374" s="197"/>
      <c r="C374" s="197"/>
      <c r="D374" s="1615"/>
      <c r="E374" s="1613" t="s">
        <v>1044</v>
      </c>
      <c r="F374" s="1126" t="s">
        <v>1045</v>
      </c>
      <c r="G374" s="1126" t="s">
        <v>1048</v>
      </c>
      <c r="H374" s="1126" t="s">
        <v>1053</v>
      </c>
      <c r="I374" s="1126" t="s">
        <v>1194</v>
      </c>
      <c r="J374" s="1604" t="s">
        <v>1193</v>
      </c>
      <c r="K374" s="1619"/>
      <c r="L374" s="1619"/>
      <c r="M374" s="1619"/>
      <c r="N374" s="1619"/>
      <c r="O374" s="1619"/>
      <c r="P374" s="1619"/>
      <c r="Q374" s="1619"/>
      <c r="R374" s="1619"/>
      <c r="S374" s="1619"/>
      <c r="T374" s="1619"/>
      <c r="U374" s="1619"/>
      <c r="V374" s="1619"/>
      <c r="W374" s="1133"/>
      <c r="X374" s="411"/>
      <c r="Y374" s="198"/>
      <c r="Z374" s="198"/>
      <c r="AA374" s="198"/>
      <c r="AB374" s="198"/>
      <c r="AC374" s="198"/>
      <c r="AD374" s="198"/>
      <c r="AE374" s="198"/>
      <c r="AF374" s="198"/>
      <c r="AG374" s="199"/>
    </row>
    <row r="375" spans="1:33" ht="15" thickBot="1">
      <c r="A375" s="197"/>
      <c r="B375" s="197"/>
      <c r="C375" s="197"/>
      <c r="D375" s="1615"/>
      <c r="E375" s="1616">
        <v>261604.38261915304</v>
      </c>
      <c r="F375" s="1609">
        <v>2759005.7514633262</v>
      </c>
      <c r="G375" s="1609"/>
      <c r="H375" s="1609">
        <v>1246787.839876215</v>
      </c>
      <c r="I375" s="1609">
        <v>19319752.035126697</v>
      </c>
      <c r="J375" s="1137"/>
      <c r="K375" s="1619"/>
      <c r="L375" s="1619"/>
      <c r="M375" s="1619"/>
      <c r="N375" s="1619"/>
      <c r="O375" s="1619"/>
      <c r="P375" s="1619"/>
      <c r="Q375" s="1619"/>
      <c r="R375" s="1619"/>
      <c r="S375" s="1619"/>
      <c r="T375" s="1619"/>
      <c r="U375" s="1619"/>
      <c r="V375" s="1619"/>
      <c r="W375" s="1133"/>
      <c r="X375" s="411"/>
      <c r="Y375" s="198"/>
      <c r="Z375" s="198"/>
      <c r="AA375" s="198"/>
      <c r="AB375" s="198"/>
      <c r="AC375" s="198"/>
      <c r="AD375" s="198"/>
      <c r="AE375" s="198"/>
      <c r="AF375" s="198"/>
      <c r="AG375" s="199"/>
    </row>
    <row r="376" spans="1:33" ht="14.4">
      <c r="A376" s="197"/>
      <c r="B376" s="197"/>
      <c r="C376" s="197"/>
      <c r="D376" s="1615"/>
      <c r="E376" s="1619"/>
      <c r="F376" s="1619"/>
      <c r="G376" s="1619"/>
      <c r="H376" s="1619"/>
      <c r="I376" s="1619"/>
      <c r="J376" s="1619"/>
      <c r="K376" s="1619"/>
      <c r="L376" s="1619"/>
      <c r="M376" s="1619"/>
      <c r="N376" s="1619"/>
      <c r="O376" s="1619"/>
      <c r="P376" s="983"/>
      <c r="Q376" s="1619"/>
      <c r="R376" s="1619"/>
      <c r="S376" s="1619"/>
      <c r="T376" s="1619"/>
      <c r="U376" s="1620"/>
      <c r="V376" s="1619"/>
      <c r="W376" s="1133"/>
      <c r="X376" s="411"/>
      <c r="Y376" s="198"/>
      <c r="Z376" s="198"/>
      <c r="AA376" s="198"/>
      <c r="AB376" s="198"/>
      <c r="AC376" s="198"/>
      <c r="AD376" s="198"/>
      <c r="AE376" s="198"/>
      <c r="AF376" s="198"/>
      <c r="AG376" s="199"/>
    </row>
    <row r="377" spans="1:33" ht="13.8">
      <c r="A377" s="197"/>
      <c r="B377" s="197"/>
      <c r="C377" s="197"/>
      <c r="D377" s="197"/>
      <c r="E377" s="213"/>
      <c r="F377" s="198"/>
      <c r="G377" s="198"/>
      <c r="H377" s="198"/>
      <c r="I377" s="198"/>
      <c r="J377" s="198"/>
      <c r="K377" s="198"/>
      <c r="L377" s="198"/>
      <c r="M377" s="198"/>
      <c r="N377" s="198"/>
      <c r="O377" s="198"/>
      <c r="P377" s="204"/>
      <c r="Q377" s="198"/>
      <c r="U377" s="299"/>
      <c r="V377" s="299"/>
      <c r="W377" s="198"/>
      <c r="X377" s="411"/>
      <c r="Y377" s="198"/>
      <c r="Z377" s="198"/>
      <c r="AA377" s="198"/>
      <c r="AB377" s="198"/>
      <c r="AC377" s="198"/>
      <c r="AD377" s="198"/>
      <c r="AE377" s="198"/>
      <c r="AF377" s="198"/>
      <c r="AG377" s="199"/>
    </row>
    <row r="378" spans="1:33" ht="31.5" customHeight="1">
      <c r="A378" s="278">
        <f>A18</f>
        <v>8</v>
      </c>
      <c r="B378" s="278" t="str">
        <f>+B18</f>
        <v>April</v>
      </c>
      <c r="C378" s="278" t="str">
        <f>C18</f>
        <v>Year 3</v>
      </c>
      <c r="D378" s="1129"/>
      <c r="E378" s="1802" t="str">
        <f>+E18</f>
        <v>Reconciliation - TO adds the difference between the Reconciliation in Step 7 and the forecast in Step 5 with interest to the result of Step 7 (this difference is also added to Step 7 in the subsequent year)</v>
      </c>
      <c r="F378" s="1803"/>
      <c r="G378" s="1803"/>
      <c r="H378" s="1803"/>
      <c r="I378" s="1803"/>
      <c r="J378" s="1803"/>
      <c r="K378" s="1803"/>
      <c r="L378" s="1803"/>
      <c r="M378" s="1803"/>
      <c r="N378" s="1803"/>
      <c r="O378" s="1803"/>
      <c r="P378" s="1096"/>
      <c r="Q378" s="278"/>
      <c r="R378" s="278"/>
      <c r="S378" s="278"/>
      <c r="T378" s="866"/>
      <c r="U378" s="1096"/>
      <c r="V378" s="1096"/>
      <c r="W378" s="1096"/>
      <c r="X378" s="1096"/>
      <c r="Y378" s="1096"/>
      <c r="Z378" s="1096"/>
      <c r="AA378" s="1096"/>
      <c r="AB378" s="1096"/>
      <c r="AC378" s="1096"/>
      <c r="AD378" s="1096"/>
      <c r="AE378" s="198"/>
      <c r="AF378" s="198"/>
      <c r="AG378" s="199"/>
    </row>
    <row r="379" spans="1:33" ht="13.8">
      <c r="A379" s="197"/>
      <c r="B379" s="197"/>
      <c r="C379" s="197"/>
      <c r="D379" s="197"/>
      <c r="E379" s="203"/>
      <c r="F379" s="198"/>
      <c r="G379" s="198"/>
      <c r="H379" s="198"/>
      <c r="I379" s="198"/>
      <c r="J379" s="198"/>
      <c r="K379" s="198"/>
      <c r="L379" s="198"/>
      <c r="M379" s="198"/>
      <c r="N379" s="198"/>
      <c r="O379" s="198"/>
      <c r="P379" s="198"/>
      <c r="Q379" s="197"/>
      <c r="R379" s="197"/>
      <c r="S379" s="197"/>
      <c r="T379" s="203"/>
      <c r="U379" s="198"/>
      <c r="V379" s="198"/>
      <c r="W379" s="198"/>
      <c r="X379" s="198"/>
      <c r="Y379" s="198"/>
      <c r="Z379" s="198"/>
      <c r="AA379" s="198"/>
      <c r="AB379" s="198"/>
      <c r="AC379" s="198"/>
      <c r="AD379" s="198"/>
      <c r="AE379" s="198"/>
      <c r="AF379" s="198"/>
      <c r="AG379" s="199"/>
    </row>
    <row r="380" spans="1:33" ht="13.8">
      <c r="A380" s="197"/>
      <c r="B380" s="197"/>
      <c r="C380" s="197"/>
      <c r="D380" s="197"/>
      <c r="E380" s="203" t="s">
        <v>539</v>
      </c>
      <c r="F380" s="198"/>
      <c r="G380" s="198"/>
      <c r="H380" s="198"/>
      <c r="I380" s="198"/>
      <c r="J380" s="198" t="s">
        <v>326</v>
      </c>
      <c r="K380" s="198"/>
      <c r="L380" s="198"/>
      <c r="M380" s="411"/>
      <c r="N380" s="299"/>
      <c r="O380" s="299"/>
      <c r="P380" s="299"/>
      <c r="Q380" s="197"/>
      <c r="R380" s="197"/>
      <c r="S380" s="197"/>
      <c r="T380" s="203"/>
      <c r="U380" s="198"/>
      <c r="V380" s="198"/>
      <c r="W380" s="198"/>
      <c r="X380" s="198"/>
      <c r="Y380" s="198"/>
      <c r="Z380" s="198"/>
      <c r="AA380" s="198"/>
      <c r="AB380" s="198"/>
      <c r="AC380" s="299"/>
      <c r="AD380" s="299"/>
      <c r="AE380" s="198"/>
      <c r="AF380" s="198"/>
      <c r="AG380" s="199"/>
    </row>
    <row r="381" spans="1:33" ht="13.8">
      <c r="A381" s="197"/>
      <c r="B381" s="197"/>
      <c r="C381" s="197"/>
      <c r="D381" s="197"/>
      <c r="E381" s="204">
        <f>D366</f>
        <v>257775780.39363316</v>
      </c>
      <c r="F381" s="197" t="str">
        <f>"-"</f>
        <v>-</v>
      </c>
      <c r="G381" s="197"/>
      <c r="H381" s="197"/>
      <c r="I381" s="197"/>
      <c r="J381" s="204">
        <f>D143</f>
        <v>271421519.47673196</v>
      </c>
      <c r="K381" s="204"/>
      <c r="L381" s="197" t="str">
        <f>"="</f>
        <v>=</v>
      </c>
      <c r="M381" s="204">
        <f>(IF(E381=0,0,E381-J381))</f>
        <v>-13645739.083098799</v>
      </c>
      <c r="N381" s="299" t="s">
        <v>737</v>
      </c>
      <c r="O381" s="299"/>
      <c r="P381" s="299"/>
      <c r="Q381" s="197"/>
      <c r="R381" s="197"/>
      <c r="S381" s="197"/>
      <c r="T381" s="204"/>
      <c r="U381" s="197"/>
      <c r="V381" s="197"/>
      <c r="W381" s="197"/>
      <c r="X381" s="197"/>
      <c r="Y381" s="204"/>
      <c r="Z381" s="204"/>
      <c r="AA381" s="197"/>
      <c r="AB381" s="204"/>
      <c r="AC381" s="299"/>
      <c r="AD381" s="299"/>
      <c r="AE381" s="198"/>
      <c r="AF381" s="198"/>
      <c r="AG381" s="199"/>
    </row>
    <row r="382" spans="1:33" ht="13.8">
      <c r="A382" s="197"/>
      <c r="B382" s="197"/>
      <c r="C382" s="197"/>
      <c r="D382" s="197"/>
      <c r="E382" s="204"/>
      <c r="F382" s="197"/>
      <c r="G382" s="197"/>
      <c r="H382" s="197"/>
      <c r="I382" s="197"/>
      <c r="J382" s="204"/>
      <c r="K382" s="204"/>
      <c r="L382" s="197"/>
      <c r="M382" s="204"/>
      <c r="N382" s="299" t="s">
        <v>738</v>
      </c>
      <c r="O382" s="299"/>
      <c r="P382" s="299"/>
      <c r="Q382" s="197"/>
      <c r="R382" s="197"/>
      <c r="S382" s="197"/>
      <c r="T382" s="204"/>
      <c r="U382" s="197"/>
      <c r="V382" s="197"/>
      <c r="W382" s="197"/>
      <c r="X382" s="197"/>
      <c r="Y382" s="204"/>
      <c r="Z382" s="204"/>
      <c r="AA382" s="197"/>
      <c r="AB382" s="204"/>
      <c r="AC382" s="299"/>
      <c r="AD382" s="299"/>
      <c r="AE382" s="198"/>
      <c r="AF382" s="198"/>
      <c r="AG382" s="199"/>
    </row>
    <row r="383" spans="1:33" ht="13.8">
      <c r="A383" s="197"/>
      <c r="B383" s="197"/>
      <c r="C383" s="197"/>
      <c r="D383" s="197"/>
      <c r="E383" s="204"/>
      <c r="F383" s="197"/>
      <c r="G383" s="197"/>
      <c r="H383" s="197"/>
      <c r="I383" s="197"/>
      <c r="J383" s="204"/>
      <c r="K383" s="204"/>
      <c r="L383" s="197"/>
      <c r="M383" s="204"/>
      <c r="N383" s="299" t="s">
        <v>739</v>
      </c>
      <c r="O383" s="299"/>
      <c r="P383" s="299"/>
      <c r="Q383" s="197"/>
      <c r="R383" s="197"/>
      <c r="S383" s="197"/>
      <c r="T383" s="204"/>
      <c r="U383" s="197"/>
      <c r="V383" s="197"/>
      <c r="W383" s="197"/>
      <c r="X383" s="197"/>
      <c r="Y383" s="204"/>
      <c r="Z383" s="204"/>
      <c r="AA383" s="197"/>
      <c r="AB383" s="204"/>
      <c r="AC383" s="299"/>
      <c r="AD383" s="299"/>
      <c r="AE383" s="198"/>
      <c r="AF383" s="198"/>
      <c r="AG383" s="199"/>
    </row>
    <row r="384" spans="1:33" ht="13.8">
      <c r="A384" s="197"/>
      <c r="B384" s="197"/>
      <c r="C384" s="197"/>
      <c r="D384" s="197"/>
      <c r="E384" s="207"/>
      <c r="F384" s="197"/>
      <c r="G384" s="197"/>
      <c r="H384" s="197"/>
      <c r="I384" s="197"/>
      <c r="J384" s="204"/>
      <c r="K384" s="204"/>
      <c r="L384" s="197"/>
      <c r="M384" s="204"/>
      <c r="N384" s="299" t="s">
        <v>757</v>
      </c>
      <c r="O384" s="299"/>
      <c r="P384" s="299"/>
      <c r="Q384" s="197"/>
      <c r="R384" s="197"/>
      <c r="S384" s="197"/>
      <c r="T384" s="207"/>
      <c r="U384" s="197"/>
      <c r="V384" s="197"/>
      <c r="W384" s="197"/>
      <c r="X384" s="197"/>
      <c r="Y384" s="204"/>
      <c r="Z384" s="204"/>
      <c r="AA384" s="197"/>
      <c r="AB384" s="204"/>
      <c r="AC384" s="299"/>
      <c r="AD384" s="299"/>
      <c r="AE384" s="198"/>
      <c r="AF384" s="198"/>
      <c r="AG384" s="199"/>
    </row>
    <row r="385" spans="1:33" ht="13.8">
      <c r="A385" s="197"/>
      <c r="B385" s="197"/>
      <c r="C385" s="197"/>
      <c r="D385" s="197"/>
      <c r="E385" s="203" t="s">
        <v>281</v>
      </c>
      <c r="F385" s="197"/>
      <c r="G385" s="197"/>
      <c r="H385" s="197"/>
      <c r="I385" s="197"/>
      <c r="J385" s="204"/>
      <c r="K385" s="204"/>
      <c r="L385" s="197"/>
      <c r="M385" s="204"/>
      <c r="N385" s="299"/>
      <c r="Q385" s="197"/>
      <c r="R385" s="197"/>
      <c r="S385" s="197"/>
      <c r="T385" s="203"/>
      <c r="U385" s="197"/>
      <c r="V385" s="197"/>
      <c r="W385" s="197"/>
      <c r="X385" s="197"/>
      <c r="Y385" s="204"/>
      <c r="Z385" s="204"/>
      <c r="AA385" s="197"/>
      <c r="AB385" s="204"/>
      <c r="AE385" s="198"/>
      <c r="AF385" s="198"/>
      <c r="AG385" s="199"/>
    </row>
    <row r="386" spans="1:33" ht="13.8">
      <c r="A386" s="197"/>
      <c r="B386" s="197"/>
      <c r="C386" s="197"/>
      <c r="D386" s="197"/>
      <c r="E386" s="203" t="s">
        <v>325</v>
      </c>
      <c r="F386" s="197"/>
      <c r="G386" s="197"/>
      <c r="H386" s="197"/>
      <c r="I386" s="197"/>
      <c r="J386" s="212">
        <v>0.0067999999999999996</v>
      </c>
      <c r="K386" s="212"/>
      <c r="L386" s="197"/>
      <c r="M386" s="204"/>
      <c r="Q386" s="197"/>
      <c r="R386" s="197"/>
      <c r="S386" s="197"/>
      <c r="T386" s="203"/>
      <c r="U386" s="197"/>
      <c r="V386" s="197"/>
      <c r="W386" s="197"/>
      <c r="X386" s="197"/>
      <c r="Y386" s="212"/>
      <c r="Z386" s="212"/>
      <c r="AA386" s="197"/>
      <c r="AB386" s="204"/>
      <c r="AE386" s="198"/>
      <c r="AF386" s="198"/>
      <c r="AG386" s="199"/>
    </row>
    <row r="387" spans="1:33" ht="13.8">
      <c r="A387" s="197"/>
      <c r="B387" s="197"/>
      <c r="C387" s="197"/>
      <c r="D387" s="197"/>
      <c r="E387" s="208" t="s">
        <v>250</v>
      </c>
      <c r="F387" s="197" t="s">
        <v>282</v>
      </c>
      <c r="G387" s="197"/>
      <c r="H387" s="197"/>
      <c r="I387" s="197"/>
      <c r="J387" s="197" t="s">
        <v>283</v>
      </c>
      <c r="K387" s="197"/>
      <c r="L387" s="208" t="s">
        <v>284</v>
      </c>
      <c r="M387" s="197"/>
      <c r="N387" s="208" t="s">
        <v>285</v>
      </c>
      <c r="O387" s="208"/>
      <c r="P387" s="197" t="s">
        <v>869</v>
      </c>
      <c r="Q387" s="197"/>
      <c r="R387" s="197"/>
      <c r="S387" s="197"/>
      <c r="T387" s="208"/>
      <c r="U387" s="197"/>
      <c r="V387" s="197"/>
      <c r="W387" s="197"/>
      <c r="X387" s="197"/>
      <c r="Y387" s="197"/>
      <c r="Z387" s="197"/>
      <c r="AA387" s="208"/>
      <c r="AB387" s="197"/>
      <c r="AC387" s="208"/>
      <c r="AD387" s="208"/>
      <c r="AE387" s="198"/>
      <c r="AF387" s="198"/>
      <c r="AG387" s="199"/>
    </row>
    <row r="388" spans="1:33" ht="13.8">
      <c r="A388" s="197"/>
      <c r="B388" s="197"/>
      <c r="C388" s="197"/>
      <c r="D388" s="197"/>
      <c r="E388" s="197"/>
      <c r="F388" s="197"/>
      <c r="G388" s="197"/>
      <c r="H388" s="197"/>
      <c r="I388" s="197"/>
      <c r="J388" s="197"/>
      <c r="K388" s="197"/>
      <c r="L388" s="197" t="s">
        <v>286</v>
      </c>
      <c r="M388" s="197" t="s">
        <v>287</v>
      </c>
      <c r="N388" s="197"/>
      <c r="O388" s="197"/>
      <c r="P388" s="197"/>
      <c r="Q388" s="197"/>
      <c r="R388" s="197"/>
      <c r="S388" s="197"/>
      <c r="T388" s="197"/>
      <c r="U388" s="197"/>
      <c r="V388" s="197"/>
      <c r="W388" s="197"/>
      <c r="X388" s="197"/>
      <c r="Y388" s="197"/>
      <c r="Z388" s="197"/>
      <c r="AA388" s="197"/>
      <c r="AB388" s="197"/>
      <c r="AC388" s="197"/>
      <c r="AD388" s="197"/>
      <c r="AE388" s="198"/>
      <c r="AF388" s="198"/>
      <c r="AG388" s="199"/>
    </row>
    <row r="389" spans="1:33" ht="13.8">
      <c r="A389" s="197"/>
      <c r="B389" s="197"/>
      <c r="C389" s="197"/>
      <c r="D389" s="197"/>
      <c r="E389" s="198" t="s">
        <v>274</v>
      </c>
      <c r="F389" s="198" t="s">
        <v>873</v>
      </c>
      <c r="G389" s="198"/>
      <c r="H389" s="198"/>
      <c r="I389" s="198"/>
      <c r="J389" s="201">
        <f>+M381/12</f>
        <v>-1137144.9235915665</v>
      </c>
      <c r="K389" s="201"/>
      <c r="L389" s="214">
        <f>+J386</f>
        <v>0.0067999999999999996</v>
      </c>
      <c r="M389" s="198">
        <v>11.50</v>
      </c>
      <c r="N389" s="201">
        <f>+M389*L389*J389</f>
        <v>-88924.733024860485</v>
      </c>
      <c r="O389" s="201"/>
      <c r="P389" s="201">
        <f>+J389+N389</f>
        <v>-1226069.656616427</v>
      </c>
      <c r="Q389" s="197"/>
      <c r="R389" s="197"/>
      <c r="S389" s="197"/>
      <c r="T389" s="198"/>
      <c r="U389" s="198"/>
      <c r="V389" s="198"/>
      <c r="W389" s="198"/>
      <c r="X389" s="198"/>
      <c r="Y389" s="201"/>
      <c r="Z389" s="201"/>
      <c r="AA389" s="214"/>
      <c r="AB389" s="198"/>
      <c r="AC389" s="201"/>
      <c r="AD389" s="201"/>
      <c r="AE389" s="198"/>
      <c r="AF389" s="198"/>
      <c r="AG389" s="199"/>
    </row>
    <row r="390" spans="1:33" ht="13.8">
      <c r="A390" s="197"/>
      <c r="B390" s="197"/>
      <c r="C390" s="197"/>
      <c r="D390" s="197"/>
      <c r="E390" s="198" t="s">
        <v>275</v>
      </c>
      <c r="F390" s="198" t="str">
        <f t="shared" si="118" ref="F390:F395">+F389</f>
        <v>Year 1</v>
      </c>
      <c r="G390" s="198"/>
      <c r="H390" s="198"/>
      <c r="I390" s="198"/>
      <c r="J390" s="204">
        <f t="shared" si="119" ref="J390:L400">+J389</f>
        <v>-1137144.9235915665</v>
      </c>
      <c r="K390" s="204"/>
      <c r="L390" s="209">
        <f t="shared" si="119"/>
        <v>0.0067999999999999996</v>
      </c>
      <c r="M390" s="198">
        <f t="shared" si="120" ref="M390:M400">+M389-1</f>
        <v>10.50</v>
      </c>
      <c r="N390" s="201">
        <f t="shared" si="121" ref="N390:N400">+M390*L390*J390</f>
        <v>-81192.147544437845</v>
      </c>
      <c r="O390" s="201"/>
      <c r="P390" s="201">
        <f t="shared" si="122" ref="P390:P400">+J390+N390</f>
        <v>-1218337.0711360043</v>
      </c>
      <c r="Q390" s="197"/>
      <c r="R390" s="197"/>
      <c r="S390" s="197"/>
      <c r="T390" s="198"/>
      <c r="U390" s="198"/>
      <c r="V390" s="198"/>
      <c r="W390" s="198"/>
      <c r="X390" s="198"/>
      <c r="Y390" s="204"/>
      <c r="Z390" s="204"/>
      <c r="AA390" s="209"/>
      <c r="AB390" s="198"/>
      <c r="AC390" s="201"/>
      <c r="AD390" s="201"/>
      <c r="AE390" s="198"/>
      <c r="AF390" s="198"/>
      <c r="AG390" s="199"/>
    </row>
    <row r="391" spans="1:33" ht="13.8">
      <c r="A391" s="197"/>
      <c r="B391" s="197"/>
      <c r="C391" s="197"/>
      <c r="D391" s="197"/>
      <c r="E391" s="198" t="s">
        <v>276</v>
      </c>
      <c r="F391" s="198" t="str">
        <f t="shared" si="118"/>
        <v>Year 1</v>
      </c>
      <c r="G391" s="198"/>
      <c r="H391" s="198"/>
      <c r="I391" s="198"/>
      <c r="J391" s="204">
        <f t="shared" si="119"/>
        <v>-1137144.9235915665</v>
      </c>
      <c r="K391" s="204"/>
      <c r="L391" s="209">
        <f t="shared" si="119"/>
        <v>0.0067999999999999996</v>
      </c>
      <c r="M391" s="198">
        <f t="shared" si="120"/>
        <v>9.50</v>
      </c>
      <c r="N391" s="201">
        <f t="shared" si="121"/>
        <v>-73459.56206401519</v>
      </c>
      <c r="O391" s="201"/>
      <c r="P391" s="201">
        <f t="shared" si="122"/>
        <v>-1210604.4856555816</v>
      </c>
      <c r="Q391" s="197"/>
      <c r="R391" s="197"/>
      <c r="S391" s="197"/>
      <c r="T391" s="198"/>
      <c r="U391" s="198"/>
      <c r="V391" s="198"/>
      <c r="W391" s="198"/>
      <c r="X391" s="198"/>
      <c r="Y391" s="204"/>
      <c r="Z391" s="204"/>
      <c r="AA391" s="209"/>
      <c r="AB391" s="198"/>
      <c r="AC391" s="201"/>
      <c r="AD391" s="201"/>
      <c r="AE391" s="198"/>
      <c r="AF391" s="198"/>
      <c r="AG391" s="199"/>
    </row>
    <row r="392" spans="1:33" ht="13.8">
      <c r="A392" s="197"/>
      <c r="B392" s="197"/>
      <c r="C392" s="197"/>
      <c r="D392" s="197"/>
      <c r="E392" s="198" t="s">
        <v>277</v>
      </c>
      <c r="F392" s="198" t="str">
        <f t="shared" si="118"/>
        <v>Year 1</v>
      </c>
      <c r="G392" s="198"/>
      <c r="H392" s="198"/>
      <c r="I392" s="198"/>
      <c r="J392" s="204">
        <f>+J391</f>
        <v>-1137144.9235915665</v>
      </c>
      <c r="K392" s="204"/>
      <c r="L392" s="209">
        <f t="shared" si="119"/>
        <v>0.0067999999999999996</v>
      </c>
      <c r="M392" s="198">
        <f t="shared" si="120"/>
        <v>8.50</v>
      </c>
      <c r="N392" s="201">
        <f t="shared" si="121"/>
        <v>-65726.976583592535</v>
      </c>
      <c r="O392" s="201"/>
      <c r="P392" s="201">
        <f>+J392+N392</f>
        <v>-1202871.9001751591</v>
      </c>
      <c r="Q392" s="197"/>
      <c r="R392" s="197"/>
      <c r="S392" s="197"/>
      <c r="T392" s="198"/>
      <c r="U392" s="198"/>
      <c r="V392" s="198"/>
      <c r="W392" s="198"/>
      <c r="X392" s="198"/>
      <c r="Y392" s="204"/>
      <c r="Z392" s="204"/>
      <c r="AA392" s="209"/>
      <c r="AB392" s="198"/>
      <c r="AC392" s="201"/>
      <c r="AD392" s="201"/>
      <c r="AE392" s="198"/>
      <c r="AF392" s="198"/>
      <c r="AG392" s="199"/>
    </row>
    <row r="393" spans="1:33" ht="13.8">
      <c r="A393" s="197"/>
      <c r="B393" s="197"/>
      <c r="C393" s="197"/>
      <c r="D393" s="197"/>
      <c r="E393" s="198" t="s">
        <v>278</v>
      </c>
      <c r="F393" s="198" t="str">
        <f t="shared" si="118"/>
        <v>Year 1</v>
      </c>
      <c r="G393" s="198"/>
      <c r="H393" s="198"/>
      <c r="I393" s="198"/>
      <c r="J393" s="204">
        <f t="shared" si="119"/>
        <v>-1137144.9235915665</v>
      </c>
      <c r="K393" s="204"/>
      <c r="L393" s="209">
        <f t="shared" si="119"/>
        <v>0.0067999999999999996</v>
      </c>
      <c r="M393" s="198">
        <f t="shared" si="120"/>
        <v>7.50</v>
      </c>
      <c r="N393" s="201">
        <f t="shared" si="121"/>
        <v>-57994.391103169888</v>
      </c>
      <c r="O393" s="201"/>
      <c r="P393" s="201">
        <f t="shared" si="122"/>
        <v>-1195139.3146947364</v>
      </c>
      <c r="Q393" s="197"/>
      <c r="R393" s="197"/>
      <c r="S393" s="197"/>
      <c r="T393" s="198"/>
      <c r="U393" s="198"/>
      <c r="V393" s="198"/>
      <c r="W393" s="198"/>
      <c r="X393" s="198"/>
      <c r="Y393" s="204"/>
      <c r="Z393" s="204"/>
      <c r="AA393" s="209"/>
      <c r="AB393" s="198"/>
      <c r="AC393" s="201"/>
      <c r="AD393" s="201"/>
      <c r="AE393" s="198"/>
      <c r="AF393" s="198"/>
      <c r="AG393" s="199"/>
    </row>
    <row r="394" spans="1:33" ht="13.8">
      <c r="A394" s="197"/>
      <c r="B394" s="197"/>
      <c r="C394" s="197"/>
      <c r="D394" s="197"/>
      <c r="E394" s="198" t="s">
        <v>279</v>
      </c>
      <c r="F394" s="198" t="str">
        <f t="shared" si="118"/>
        <v>Year 1</v>
      </c>
      <c r="G394" s="198"/>
      <c r="H394" s="198"/>
      <c r="I394" s="198"/>
      <c r="J394" s="204">
        <f t="shared" si="119"/>
        <v>-1137144.9235915665</v>
      </c>
      <c r="K394" s="204"/>
      <c r="L394" s="209">
        <f t="shared" si="119"/>
        <v>0.0067999999999999996</v>
      </c>
      <c r="M394" s="198">
        <f t="shared" si="120"/>
        <v>6.50</v>
      </c>
      <c r="N394" s="201">
        <f t="shared" si="121"/>
        <v>-50261.805622747233</v>
      </c>
      <c r="O394" s="201"/>
      <c r="P394" s="201">
        <f t="shared" si="122"/>
        <v>-1187406.7292143137</v>
      </c>
      <c r="Q394" s="197"/>
      <c r="R394" s="197"/>
      <c r="S394" s="197"/>
      <c r="T394" s="198"/>
      <c r="U394" s="198"/>
      <c r="V394" s="198"/>
      <c r="W394" s="198"/>
      <c r="X394" s="198"/>
      <c r="Y394" s="204"/>
      <c r="Z394" s="204"/>
      <c r="AA394" s="209"/>
      <c r="AB394" s="198"/>
      <c r="AC394" s="201"/>
      <c r="AD394" s="201"/>
      <c r="AE394" s="198"/>
      <c r="AF394" s="198"/>
      <c r="AG394" s="199"/>
    </row>
    <row r="395" spans="1:33" ht="13.8">
      <c r="A395" s="197"/>
      <c r="B395" s="197"/>
      <c r="C395" s="197"/>
      <c r="D395" s="197"/>
      <c r="E395" s="198" t="s">
        <v>280</v>
      </c>
      <c r="F395" s="198" t="str">
        <f t="shared" si="118"/>
        <v>Year 1</v>
      </c>
      <c r="G395" s="198"/>
      <c r="H395" s="198"/>
      <c r="I395" s="198"/>
      <c r="J395" s="204">
        <f>+J394</f>
        <v>-1137144.9235915665</v>
      </c>
      <c r="K395" s="204"/>
      <c r="L395" s="209">
        <f t="shared" si="119"/>
        <v>0.0067999999999999996</v>
      </c>
      <c r="M395" s="198">
        <f t="shared" si="120"/>
        <v>5.50</v>
      </c>
      <c r="N395" s="201">
        <f t="shared" si="121"/>
        <v>-42529.220142324586</v>
      </c>
      <c r="O395" s="201"/>
      <c r="P395" s="201">
        <f t="shared" si="122"/>
        <v>-1179674.1437338912</v>
      </c>
      <c r="Q395" s="197"/>
      <c r="R395" s="197"/>
      <c r="S395" s="197"/>
      <c r="T395" s="198"/>
      <c r="U395" s="198"/>
      <c r="V395" s="198"/>
      <c r="W395" s="198"/>
      <c r="X395" s="198"/>
      <c r="Y395" s="204"/>
      <c r="Z395" s="204"/>
      <c r="AA395" s="209"/>
      <c r="AB395" s="198"/>
      <c r="AC395" s="201"/>
      <c r="AD395" s="201"/>
      <c r="AE395" s="198"/>
      <c r="AF395" s="198"/>
      <c r="AG395" s="199"/>
    </row>
    <row r="396" spans="1:33" ht="13.8">
      <c r="A396" s="197"/>
      <c r="B396" s="197"/>
      <c r="C396" s="197"/>
      <c r="D396" s="197"/>
      <c r="E396" s="198" t="s">
        <v>270</v>
      </c>
      <c r="F396" s="198" t="s">
        <v>244</v>
      </c>
      <c r="G396" s="198"/>
      <c r="H396" s="198"/>
      <c r="I396" s="198"/>
      <c r="J396" s="204">
        <f t="shared" si="119"/>
        <v>-1137144.9235915665</v>
      </c>
      <c r="K396" s="204"/>
      <c r="L396" s="209">
        <f t="shared" si="119"/>
        <v>0.0067999999999999996</v>
      </c>
      <c r="M396" s="198">
        <f t="shared" si="120"/>
        <v>4.50</v>
      </c>
      <c r="N396" s="201">
        <f t="shared" si="121"/>
        <v>-34796.634661901931</v>
      </c>
      <c r="O396" s="201"/>
      <c r="P396" s="201">
        <f t="shared" si="122"/>
        <v>-1171941.5582534685</v>
      </c>
      <c r="Q396" s="197"/>
      <c r="R396" s="197"/>
      <c r="S396" s="197"/>
      <c r="T396" s="198"/>
      <c r="U396" s="198"/>
      <c r="V396" s="198"/>
      <c r="W396" s="198"/>
      <c r="X396" s="198"/>
      <c r="Y396" s="204"/>
      <c r="Z396" s="204"/>
      <c r="AA396" s="209"/>
      <c r="AB396" s="198"/>
      <c r="AC396" s="201"/>
      <c r="AD396" s="201"/>
      <c r="AE396" s="198"/>
      <c r="AF396" s="198"/>
      <c r="AG396" s="199"/>
    </row>
    <row r="397" spans="1:33" ht="13.8">
      <c r="A397" s="197"/>
      <c r="B397" s="197"/>
      <c r="C397" s="197"/>
      <c r="D397" s="197"/>
      <c r="E397" s="198" t="s">
        <v>271</v>
      </c>
      <c r="F397" s="198" t="str">
        <f>+F396</f>
        <v>Year 2</v>
      </c>
      <c r="G397" s="198"/>
      <c r="H397" s="198"/>
      <c r="I397" s="198"/>
      <c r="J397" s="204">
        <f t="shared" si="119"/>
        <v>-1137144.9235915665</v>
      </c>
      <c r="K397" s="204"/>
      <c r="L397" s="209">
        <f t="shared" si="119"/>
        <v>0.0067999999999999996</v>
      </c>
      <c r="M397" s="198">
        <f t="shared" si="120"/>
        <v>3.50</v>
      </c>
      <c r="N397" s="201">
        <f t="shared" si="121"/>
        <v>-27064.04918147928</v>
      </c>
      <c r="O397" s="201"/>
      <c r="P397" s="201">
        <f t="shared" si="122"/>
        <v>-1164208.9727730458</v>
      </c>
      <c r="Q397" s="197"/>
      <c r="R397" s="197"/>
      <c r="S397" s="197"/>
      <c r="T397" s="198"/>
      <c r="U397" s="198"/>
      <c r="V397" s="198"/>
      <c r="W397" s="198"/>
      <c r="X397" s="198"/>
      <c r="Y397" s="204"/>
      <c r="Z397" s="204"/>
      <c r="AA397" s="209"/>
      <c r="AB397" s="198"/>
      <c r="AC397" s="201"/>
      <c r="AD397" s="201"/>
      <c r="AE397" s="198"/>
      <c r="AF397" s="198"/>
      <c r="AG397" s="199"/>
    </row>
    <row r="398" spans="1:33" ht="13.8">
      <c r="A398" s="197"/>
      <c r="B398" s="197"/>
      <c r="C398" s="197"/>
      <c r="D398" s="197"/>
      <c r="E398" s="198" t="s">
        <v>272</v>
      </c>
      <c r="F398" s="198" t="str">
        <f>+F397</f>
        <v>Year 2</v>
      </c>
      <c r="G398" s="198"/>
      <c r="H398" s="198"/>
      <c r="I398" s="198"/>
      <c r="J398" s="204">
        <f t="shared" si="119"/>
        <v>-1137144.9235915665</v>
      </c>
      <c r="K398" s="204"/>
      <c r="L398" s="209">
        <f t="shared" si="119"/>
        <v>0.0067999999999999996</v>
      </c>
      <c r="M398" s="198">
        <f t="shared" si="120"/>
        <v>2.50</v>
      </c>
      <c r="N398" s="201">
        <f t="shared" si="121"/>
        <v>-19331.463701056629</v>
      </c>
      <c r="O398" s="201"/>
      <c r="P398" s="201">
        <f t="shared" si="122"/>
        <v>-1156476.3872926231</v>
      </c>
      <c r="Q398" s="197"/>
      <c r="R398" s="197"/>
      <c r="S398" s="197"/>
      <c r="T398" s="198"/>
      <c r="U398" s="198"/>
      <c r="V398" s="198"/>
      <c r="W398" s="198"/>
      <c r="X398" s="198"/>
      <c r="Y398" s="204"/>
      <c r="Z398" s="204"/>
      <c r="AA398" s="209"/>
      <c r="AB398" s="198"/>
      <c r="AC398" s="201"/>
      <c r="AD398" s="201"/>
      <c r="AE398" s="198"/>
      <c r="AF398" s="198"/>
      <c r="AG398" s="199"/>
    </row>
    <row r="399" spans="1:33" ht="13.8">
      <c r="A399" s="197"/>
      <c r="B399" s="197"/>
      <c r="C399" s="197"/>
      <c r="D399" s="197"/>
      <c r="E399" s="198" t="s">
        <v>273</v>
      </c>
      <c r="F399" s="198" t="str">
        <f>+F398</f>
        <v>Year 2</v>
      </c>
      <c r="G399" s="198"/>
      <c r="H399" s="198"/>
      <c r="I399" s="198"/>
      <c r="J399" s="204">
        <f t="shared" si="119"/>
        <v>-1137144.9235915665</v>
      </c>
      <c r="K399" s="204"/>
      <c r="L399" s="209">
        <f t="shared" si="119"/>
        <v>0.0067999999999999996</v>
      </c>
      <c r="M399" s="198">
        <f t="shared" si="120"/>
        <v>1.50</v>
      </c>
      <c r="N399" s="201">
        <f t="shared" si="121"/>
        <v>-11598.878220633977</v>
      </c>
      <c r="O399" s="201"/>
      <c r="P399" s="201">
        <f t="shared" si="122"/>
        <v>-1148743.8018122006</v>
      </c>
      <c r="Q399" s="197"/>
      <c r="R399" s="197"/>
      <c r="S399" s="197"/>
      <c r="T399" s="198"/>
      <c r="U399" s="198"/>
      <c r="V399" s="198"/>
      <c r="W399" s="198"/>
      <c r="X399" s="198"/>
      <c r="Y399" s="204"/>
      <c r="Z399" s="204"/>
      <c r="AA399" s="209"/>
      <c r="AB399" s="198"/>
      <c r="AC399" s="201"/>
      <c r="AD399" s="201"/>
      <c r="AE399" s="198"/>
      <c r="AF399" s="198"/>
      <c r="AG399" s="199"/>
    </row>
    <row r="400" spans="1:33" ht="13.8">
      <c r="A400" s="197"/>
      <c r="B400" s="197"/>
      <c r="C400" s="197"/>
      <c r="D400" s="197"/>
      <c r="E400" s="198" t="s">
        <v>255</v>
      </c>
      <c r="F400" s="198" t="str">
        <f>+F399</f>
        <v>Year 2</v>
      </c>
      <c r="G400" s="198"/>
      <c r="H400" s="198"/>
      <c r="I400" s="198"/>
      <c r="J400" s="204">
        <f t="shared" si="119"/>
        <v>-1137144.9235915665</v>
      </c>
      <c r="K400" s="204"/>
      <c r="L400" s="209">
        <f t="shared" si="119"/>
        <v>0.0067999999999999996</v>
      </c>
      <c r="M400" s="198">
        <f t="shared" si="120"/>
        <v>0.50</v>
      </c>
      <c r="N400" s="201">
        <f t="shared" si="121"/>
        <v>-3866.292740211326</v>
      </c>
      <c r="O400" s="201"/>
      <c r="P400" s="201">
        <f t="shared" si="122"/>
        <v>-1141011.2163317779</v>
      </c>
      <c r="Q400" s="197"/>
      <c r="R400" s="197"/>
      <c r="S400" s="197"/>
      <c r="T400" s="198"/>
      <c r="U400" s="198"/>
      <c r="V400" s="198"/>
      <c r="W400" s="198"/>
      <c r="X400" s="198"/>
      <c r="Y400" s="204"/>
      <c r="Z400" s="204"/>
      <c r="AA400" s="209"/>
      <c r="AB400" s="198"/>
      <c r="AC400" s="201"/>
      <c r="AD400" s="201"/>
      <c r="AE400" s="198"/>
      <c r="AF400" s="198"/>
      <c r="AG400" s="199"/>
    </row>
    <row r="401" spans="1:33" ht="13.8">
      <c r="A401" s="197"/>
      <c r="B401" s="197"/>
      <c r="C401" s="197"/>
      <c r="D401" s="197"/>
      <c r="E401" s="198" t="s">
        <v>524</v>
      </c>
      <c r="F401" s="198"/>
      <c r="G401" s="198"/>
      <c r="H401" s="198"/>
      <c r="I401" s="198"/>
      <c r="J401" s="204">
        <f>SUM(J389:J400)</f>
        <v>-13645739.083098801</v>
      </c>
      <c r="K401" s="204"/>
      <c r="L401" s="198"/>
      <c r="M401" s="198"/>
      <c r="N401" s="198"/>
      <c r="O401" s="198"/>
      <c r="P401" s="201">
        <f>SUM(P389:P400)</f>
        <v>-14202485.237689229</v>
      </c>
      <c r="Q401" s="197"/>
      <c r="R401" s="197"/>
      <c r="S401" s="197"/>
      <c r="T401" s="198"/>
      <c r="U401" s="198"/>
      <c r="V401" s="198"/>
      <c r="W401" s="198"/>
      <c r="X401" s="198"/>
      <c r="Y401" s="204"/>
      <c r="Z401" s="204"/>
      <c r="AA401" s="198"/>
      <c r="AB401" s="198"/>
      <c r="AC401" s="198"/>
      <c r="AD401" s="198"/>
      <c r="AE401" s="198"/>
      <c r="AF401" s="198"/>
      <c r="AG401" s="199"/>
    </row>
    <row r="402" spans="1:33" ht="13.8">
      <c r="A402" s="197"/>
      <c r="B402" s="197"/>
      <c r="C402" s="197"/>
      <c r="D402" s="197"/>
      <c r="E402" s="198"/>
      <c r="F402" s="198"/>
      <c r="G402" s="198"/>
      <c r="H402" s="198"/>
      <c r="I402" s="198"/>
      <c r="J402" s="204"/>
      <c r="K402" s="204"/>
      <c r="L402" s="198"/>
      <c r="M402" s="198"/>
      <c r="N402" s="198"/>
      <c r="O402" s="198"/>
      <c r="P402" s="201"/>
      <c r="Q402" s="197"/>
      <c r="R402" s="197"/>
      <c r="S402" s="197"/>
      <c r="T402" s="198"/>
      <c r="U402" s="198"/>
      <c r="V402" s="198"/>
      <c r="W402" s="198"/>
      <c r="X402" s="198"/>
      <c r="Y402" s="204"/>
      <c r="Z402" s="204"/>
      <c r="AA402" s="198"/>
      <c r="AB402" s="198"/>
      <c r="AC402" s="198"/>
      <c r="AD402" s="198"/>
      <c r="AE402" s="198"/>
      <c r="AF402" s="198"/>
      <c r="AG402" s="199"/>
    </row>
    <row r="403" spans="1:33" ht="13.8">
      <c r="A403" s="197"/>
      <c r="B403" s="197"/>
      <c r="C403" s="197"/>
      <c r="D403" s="197"/>
      <c r="E403" s="198"/>
      <c r="F403" s="198"/>
      <c r="G403" s="198"/>
      <c r="H403" s="198"/>
      <c r="I403" s="198"/>
      <c r="J403" s="208" t="s">
        <v>288</v>
      </c>
      <c r="K403" s="208"/>
      <c r="L403" s="197" t="s">
        <v>285</v>
      </c>
      <c r="M403" s="197" t="s">
        <v>289</v>
      </c>
      <c r="N403" s="197" t="s">
        <v>288</v>
      </c>
      <c r="O403" s="197"/>
      <c r="P403" s="198"/>
      <c r="Q403" s="197"/>
      <c r="R403" s="197"/>
      <c r="S403" s="197"/>
      <c r="T403" s="198"/>
      <c r="U403" s="198"/>
      <c r="V403" s="198"/>
      <c r="W403" s="198"/>
      <c r="X403" s="198"/>
      <c r="Y403" s="208"/>
      <c r="Z403" s="208"/>
      <c r="AA403" s="197"/>
      <c r="AB403" s="197"/>
      <c r="AC403" s="197"/>
      <c r="AD403" s="197"/>
      <c r="AE403" s="198"/>
      <c r="AF403" s="198"/>
      <c r="AG403" s="199"/>
    </row>
    <row r="404" spans="1:33" ht="13.8">
      <c r="A404" s="197"/>
      <c r="B404" s="197"/>
      <c r="C404" s="197"/>
      <c r="D404" s="197"/>
      <c r="E404" s="198" t="str">
        <f t="shared" si="123" ref="E404:E415">+E389</f>
        <v>Jun</v>
      </c>
      <c r="F404" s="198" t="str">
        <f>+F400</f>
        <v>Year 2</v>
      </c>
      <c r="G404" s="198"/>
      <c r="H404" s="198"/>
      <c r="I404" s="198"/>
      <c r="J404" s="204">
        <f>+P401</f>
        <v>-14202485.237689229</v>
      </c>
      <c r="K404" s="204"/>
      <c r="L404" s="209">
        <f>+L400</f>
        <v>0.0067999999999999996</v>
      </c>
      <c r="M404" s="201">
        <f>-PMT(L404,12,P401)</f>
        <v>-1236502.8066287606</v>
      </c>
      <c r="N404" s="201">
        <f>+J404+J404*L404-M404</f>
        <v>-13062559.330676755</v>
      </c>
      <c r="O404" s="201"/>
      <c r="P404" s="198"/>
      <c r="Q404" s="197"/>
      <c r="R404" s="197"/>
      <c r="S404" s="197"/>
      <c r="T404" s="198"/>
      <c r="U404" s="198"/>
      <c r="V404" s="198"/>
      <c r="W404" s="198"/>
      <c r="X404" s="198"/>
      <c r="Y404" s="204"/>
      <c r="Z404" s="204"/>
      <c r="AA404" s="209"/>
      <c r="AB404" s="201"/>
      <c r="AC404" s="201"/>
      <c r="AD404" s="201"/>
      <c r="AE404" s="198"/>
      <c r="AF404" s="198"/>
      <c r="AG404" s="199"/>
    </row>
    <row r="405" spans="1:33" ht="13.8">
      <c r="A405" s="197"/>
      <c r="B405" s="197"/>
      <c r="C405" s="197"/>
      <c r="D405" s="197"/>
      <c r="E405" s="198" t="str">
        <f t="shared" si="123"/>
        <v>Jul</v>
      </c>
      <c r="F405" s="198" t="str">
        <f t="shared" si="124" ref="F405:F410">+F404</f>
        <v>Year 2</v>
      </c>
      <c r="G405" s="198"/>
      <c r="H405" s="198"/>
      <c r="I405" s="198"/>
      <c r="J405" s="204">
        <f t="shared" si="125" ref="J405:J415">+N404</f>
        <v>-13062559.330676755</v>
      </c>
      <c r="K405" s="204"/>
      <c r="L405" s="209">
        <f t="shared" si="126" ref="L405:M415">+L404</f>
        <v>0.0067999999999999996</v>
      </c>
      <c r="M405" s="204">
        <f t="shared" si="126"/>
        <v>-1236502.8066287606</v>
      </c>
      <c r="N405" s="201">
        <f t="shared" si="127" ref="N405:N415">+J405+J405*L405-M405</f>
        <v>-11914881.927496597</v>
      </c>
      <c r="O405" s="201"/>
      <c r="P405" s="198"/>
      <c r="Q405" s="197"/>
      <c r="R405" s="197"/>
      <c r="S405" s="197"/>
      <c r="T405" s="198"/>
      <c r="U405" s="198"/>
      <c r="V405" s="198"/>
      <c r="W405" s="198"/>
      <c r="X405" s="198"/>
      <c r="Y405" s="204"/>
      <c r="Z405" s="204"/>
      <c r="AA405" s="209"/>
      <c r="AB405" s="204"/>
      <c r="AC405" s="201"/>
      <c r="AD405" s="201"/>
      <c r="AE405" s="198"/>
      <c r="AF405" s="198"/>
      <c r="AG405" s="199"/>
    </row>
    <row r="406" spans="1:33" ht="13.8">
      <c r="A406" s="197"/>
      <c r="B406" s="197"/>
      <c r="C406" s="197"/>
      <c r="D406" s="197"/>
      <c r="E406" s="198" t="str">
        <f t="shared" si="123"/>
        <v>Aug</v>
      </c>
      <c r="F406" s="198" t="str">
        <f t="shared" si="124"/>
        <v>Year 2</v>
      </c>
      <c r="G406" s="198"/>
      <c r="H406" s="198"/>
      <c r="I406" s="198"/>
      <c r="J406" s="204">
        <f t="shared" si="125"/>
        <v>-11914881.927496597</v>
      </c>
      <c r="K406" s="204"/>
      <c r="L406" s="209">
        <f t="shared" si="126"/>
        <v>0.0067999999999999996</v>
      </c>
      <c r="M406" s="204">
        <f t="shared" si="126"/>
        <v>-1236502.8066287606</v>
      </c>
      <c r="N406" s="201">
        <f t="shared" si="127"/>
        <v>-10759400.317974813</v>
      </c>
      <c r="O406" s="201"/>
      <c r="P406" s="198"/>
      <c r="Q406" s="197"/>
      <c r="R406" s="197"/>
      <c r="S406" s="197"/>
      <c r="T406" s="198"/>
      <c r="U406" s="198"/>
      <c r="V406" s="198"/>
      <c r="W406" s="198"/>
      <c r="X406" s="198"/>
      <c r="Y406" s="204"/>
      <c r="Z406" s="204"/>
      <c r="AA406" s="209"/>
      <c r="AB406" s="204"/>
      <c r="AC406" s="201"/>
      <c r="AD406" s="201"/>
      <c r="AE406" s="198"/>
      <c r="AF406" s="198"/>
      <c r="AG406" s="199"/>
    </row>
    <row r="407" spans="1:33" ht="13.8">
      <c r="A407" s="197"/>
      <c r="B407" s="197"/>
      <c r="C407" s="197"/>
      <c r="D407" s="197"/>
      <c r="E407" s="198" t="str">
        <f t="shared" si="123"/>
        <v>Sep</v>
      </c>
      <c r="F407" s="198" t="str">
        <f t="shared" si="124"/>
        <v>Year 2</v>
      </c>
      <c r="G407" s="198"/>
      <c r="H407" s="198"/>
      <c r="I407" s="198"/>
      <c r="J407" s="204">
        <f t="shared" si="125"/>
        <v>-10759400.317974813</v>
      </c>
      <c r="K407" s="204"/>
      <c r="L407" s="209">
        <f t="shared" si="126"/>
        <v>0.0067999999999999996</v>
      </c>
      <c r="M407" s="204">
        <f t="shared" si="126"/>
        <v>-1236502.8066287606</v>
      </c>
      <c r="N407" s="201">
        <f t="shared" si="127"/>
        <v>-9596061.4335082825</v>
      </c>
      <c r="O407" s="201"/>
      <c r="P407" s="198"/>
      <c r="Q407" s="197"/>
      <c r="R407" s="197"/>
      <c r="S407" s="197"/>
      <c r="T407" s="198"/>
      <c r="U407" s="198"/>
      <c r="V407" s="198"/>
      <c r="W407" s="198"/>
      <c r="X407" s="198"/>
      <c r="Y407" s="204"/>
      <c r="Z407" s="204"/>
      <c r="AA407" s="209"/>
      <c r="AB407" s="204"/>
      <c r="AC407" s="201"/>
      <c r="AD407" s="201"/>
      <c r="AE407" s="198"/>
      <c r="AF407" s="198"/>
      <c r="AG407" s="199"/>
    </row>
    <row r="408" spans="1:33" ht="13.8">
      <c r="A408" s="197"/>
      <c r="B408" s="197"/>
      <c r="C408" s="197"/>
      <c r="D408" s="197"/>
      <c r="E408" s="198" t="str">
        <f t="shared" si="123"/>
        <v>Oct</v>
      </c>
      <c r="F408" s="198" t="str">
        <f t="shared" si="124"/>
        <v>Year 2</v>
      </c>
      <c r="G408" s="198"/>
      <c r="H408" s="198"/>
      <c r="I408" s="198"/>
      <c r="J408" s="204">
        <f t="shared" si="125"/>
        <v>-9596061.4335082825</v>
      </c>
      <c r="K408" s="204"/>
      <c r="L408" s="209">
        <f t="shared" si="126"/>
        <v>0.0067999999999999996</v>
      </c>
      <c r="M408" s="204">
        <f t="shared" si="126"/>
        <v>-1236502.8066287606</v>
      </c>
      <c r="N408" s="201">
        <f t="shared" si="127"/>
        <v>-8424811.8446273785</v>
      </c>
      <c r="O408" s="201"/>
      <c r="P408" s="198"/>
      <c r="Q408" s="197"/>
      <c r="R408" s="197"/>
      <c r="S408" s="197"/>
      <c r="T408" s="198"/>
      <c r="U408" s="198"/>
      <c r="V408" s="198"/>
      <c r="W408" s="198"/>
      <c r="X408" s="198"/>
      <c r="Y408" s="204"/>
      <c r="Z408" s="204"/>
      <c r="AA408" s="209"/>
      <c r="AB408" s="204"/>
      <c r="AC408" s="201"/>
      <c r="AD408" s="201"/>
      <c r="AE408" s="198"/>
      <c r="AF408" s="198"/>
      <c r="AG408" s="199"/>
    </row>
    <row r="409" spans="1:33" ht="13.8">
      <c r="A409" s="197"/>
      <c r="B409" s="197"/>
      <c r="C409" s="197"/>
      <c r="D409" s="197"/>
      <c r="E409" s="198" t="str">
        <f t="shared" si="123"/>
        <v>Nov</v>
      </c>
      <c r="F409" s="198" t="str">
        <f t="shared" si="124"/>
        <v>Year 2</v>
      </c>
      <c r="G409" s="198"/>
      <c r="H409" s="198"/>
      <c r="I409" s="198"/>
      <c r="J409" s="204">
        <f t="shared" si="125"/>
        <v>-8424811.8446273785</v>
      </c>
      <c r="K409" s="204"/>
      <c r="L409" s="209">
        <f t="shared" si="126"/>
        <v>0.0067999999999999996</v>
      </c>
      <c r="M409" s="204">
        <f t="shared" si="126"/>
        <v>-1236502.8066287606</v>
      </c>
      <c r="N409" s="201">
        <f t="shared" si="127"/>
        <v>-7245597.7585420841</v>
      </c>
      <c r="O409" s="201"/>
      <c r="P409" s="198"/>
      <c r="Q409" s="197"/>
      <c r="R409" s="197"/>
      <c r="S409" s="197"/>
      <c r="T409" s="198"/>
      <c r="U409" s="198"/>
      <c r="V409" s="198"/>
      <c r="W409" s="198"/>
      <c r="X409" s="198"/>
      <c r="Y409" s="204"/>
      <c r="Z409" s="204"/>
      <c r="AA409" s="209"/>
      <c r="AB409" s="204"/>
      <c r="AC409" s="201"/>
      <c r="AD409" s="201"/>
      <c r="AE409" s="198"/>
      <c r="AF409" s="198"/>
      <c r="AG409" s="199"/>
    </row>
    <row r="410" spans="1:33" ht="13.8">
      <c r="A410" s="197"/>
      <c r="B410" s="197"/>
      <c r="C410" s="197"/>
      <c r="D410" s="197"/>
      <c r="E410" s="198" t="str">
        <f t="shared" si="123"/>
        <v>Dec</v>
      </c>
      <c r="F410" s="198" t="str">
        <f t="shared" si="124"/>
        <v>Year 2</v>
      </c>
      <c r="G410" s="198"/>
      <c r="H410" s="198"/>
      <c r="I410" s="198"/>
      <c r="J410" s="204">
        <f t="shared" si="125"/>
        <v>-7245597.7585420841</v>
      </c>
      <c r="K410" s="204"/>
      <c r="L410" s="209">
        <f t="shared" si="126"/>
        <v>0.0067999999999999996</v>
      </c>
      <c r="M410" s="204">
        <f t="shared" si="126"/>
        <v>-1236502.8066287606</v>
      </c>
      <c r="N410" s="201">
        <f t="shared" si="127"/>
        <v>-6058365.0166714098</v>
      </c>
      <c r="O410" s="201"/>
      <c r="P410" s="198"/>
      <c r="Q410" s="197"/>
      <c r="R410" s="197"/>
      <c r="S410" s="197"/>
      <c r="T410" s="198"/>
      <c r="U410" s="198"/>
      <c r="V410" s="198"/>
      <c r="W410" s="198"/>
      <c r="X410" s="198"/>
      <c r="Y410" s="204"/>
      <c r="Z410" s="204"/>
      <c r="AA410" s="209"/>
      <c r="AB410" s="204"/>
      <c r="AC410" s="201"/>
      <c r="AD410" s="201"/>
      <c r="AE410" s="198"/>
      <c r="AF410" s="198"/>
      <c r="AG410" s="199"/>
    </row>
    <row r="411" spans="1:33" ht="13.8">
      <c r="A411" s="197"/>
      <c r="B411" s="197"/>
      <c r="C411" s="197"/>
      <c r="D411" s="197"/>
      <c r="E411" s="198" t="str">
        <f t="shared" si="123"/>
        <v>Jan</v>
      </c>
      <c r="F411" s="198" t="s">
        <v>247</v>
      </c>
      <c r="G411" s="198"/>
      <c r="H411" s="198"/>
      <c r="I411" s="198"/>
      <c r="J411" s="204">
        <f t="shared" si="125"/>
        <v>-6058365.0166714098</v>
      </c>
      <c r="K411" s="204"/>
      <c r="L411" s="209">
        <f t="shared" si="126"/>
        <v>0.0067999999999999996</v>
      </c>
      <c r="M411" s="204">
        <f t="shared" si="126"/>
        <v>-1236502.8066287606</v>
      </c>
      <c r="N411" s="201">
        <f t="shared" si="127"/>
        <v>-4863059.0921560144</v>
      </c>
      <c r="O411" s="201"/>
      <c r="P411" s="198"/>
      <c r="Q411" s="197"/>
      <c r="R411" s="197"/>
      <c r="S411" s="197"/>
      <c r="T411" s="198"/>
      <c r="U411" s="198"/>
      <c r="V411" s="198"/>
      <c r="W411" s="198"/>
      <c r="X411" s="198"/>
      <c r="Y411" s="204"/>
      <c r="Z411" s="204"/>
      <c r="AA411" s="209"/>
      <c r="AB411" s="204"/>
      <c r="AC411" s="201"/>
      <c r="AD411" s="201"/>
      <c r="AE411" s="198"/>
      <c r="AF411" s="198"/>
      <c r="AG411" s="199"/>
    </row>
    <row r="412" spans="1:33" ht="13.8">
      <c r="A412" s="197"/>
      <c r="B412" s="197"/>
      <c r="C412" s="197"/>
      <c r="D412" s="197"/>
      <c r="E412" s="198" t="str">
        <f t="shared" si="123"/>
        <v>Feb</v>
      </c>
      <c r="F412" s="198" t="str">
        <f>+F411</f>
        <v>Year 3</v>
      </c>
      <c r="G412" s="198"/>
      <c r="H412" s="198"/>
      <c r="I412" s="198"/>
      <c r="J412" s="204">
        <f t="shared" si="125"/>
        <v>-4863059.0921560144</v>
      </c>
      <c r="K412" s="204"/>
      <c r="L412" s="209">
        <f t="shared" si="126"/>
        <v>0.0067999999999999996</v>
      </c>
      <c r="M412" s="204">
        <f>+M411</f>
        <v>-1236502.8066287606</v>
      </c>
      <c r="N412" s="201">
        <f t="shared" si="127"/>
        <v>-3659625.087353914</v>
      </c>
      <c r="O412" s="201"/>
      <c r="P412" s="198"/>
      <c r="Q412" s="197"/>
      <c r="R412" s="197"/>
      <c r="S412" s="197"/>
      <c r="T412" s="198"/>
      <c r="U412" s="198"/>
      <c r="V412" s="198"/>
      <c r="W412" s="198"/>
      <c r="X412" s="198"/>
      <c r="Y412" s="204"/>
      <c r="Z412" s="204"/>
      <c r="AA412" s="209"/>
      <c r="AB412" s="204"/>
      <c r="AC412" s="201"/>
      <c r="AD412" s="201"/>
      <c r="AE412" s="198"/>
      <c r="AF412" s="198"/>
      <c r="AG412" s="199"/>
    </row>
    <row r="413" spans="1:33" ht="13.8">
      <c r="A413" s="197"/>
      <c r="B413" s="197"/>
      <c r="C413" s="197"/>
      <c r="D413" s="197"/>
      <c r="E413" s="198" t="str">
        <f t="shared" si="123"/>
        <v>Mar</v>
      </c>
      <c r="F413" s="198" t="str">
        <f>+F412</f>
        <v>Year 3</v>
      </c>
      <c r="G413" s="198"/>
      <c r="H413" s="198"/>
      <c r="I413" s="198"/>
      <c r="J413" s="204">
        <f t="shared" si="125"/>
        <v>-3659625.087353914</v>
      </c>
      <c r="K413" s="204"/>
      <c r="L413" s="209">
        <f t="shared" si="126"/>
        <v>0.0067999999999999996</v>
      </c>
      <c r="M413" s="204">
        <f t="shared" si="126"/>
        <v>-1236502.8066287606</v>
      </c>
      <c r="N413" s="201">
        <f t="shared" si="127"/>
        <v>-2448007.7313191602</v>
      </c>
      <c r="O413" s="201"/>
      <c r="P413" s="198"/>
      <c r="Q413" s="197"/>
      <c r="R413" s="197"/>
      <c r="S413" s="197"/>
      <c r="T413" s="198"/>
      <c r="U413" s="198"/>
      <c r="V413" s="198"/>
      <c r="W413" s="198"/>
      <c r="X413" s="198"/>
      <c r="Y413" s="204"/>
      <c r="Z413" s="204"/>
      <c r="AA413" s="209"/>
      <c r="AB413" s="204"/>
      <c r="AC413" s="201"/>
      <c r="AD413" s="201"/>
      <c r="AE413" s="198"/>
      <c r="AF413" s="198"/>
      <c r="AG413" s="199"/>
    </row>
    <row r="414" spans="1:33" ht="13.8">
      <c r="A414" s="197"/>
      <c r="B414" s="197"/>
      <c r="C414" s="197"/>
      <c r="D414" s="197"/>
      <c r="E414" s="198" t="str">
        <f t="shared" si="123"/>
        <v>Apr</v>
      </c>
      <c r="F414" s="198" t="str">
        <f>+F413</f>
        <v>Year 3</v>
      </c>
      <c r="G414" s="198"/>
      <c r="H414" s="198"/>
      <c r="I414" s="198"/>
      <c r="J414" s="204">
        <f t="shared" si="125"/>
        <v>-2448007.7313191602</v>
      </c>
      <c r="K414" s="204"/>
      <c r="L414" s="209">
        <f t="shared" si="126"/>
        <v>0.0067999999999999996</v>
      </c>
      <c r="M414" s="204">
        <f t="shared" si="126"/>
        <v>-1236502.8066287606</v>
      </c>
      <c r="N414" s="201">
        <f t="shared" si="127"/>
        <v>-1228151.3772633697</v>
      </c>
      <c r="O414" s="201"/>
      <c r="P414" s="198"/>
      <c r="Q414" s="197"/>
      <c r="R414" s="197"/>
      <c r="S414" s="197"/>
      <c r="T414" s="198"/>
      <c r="U414" s="198"/>
      <c r="V414" s="198"/>
      <c r="W414" s="198"/>
      <c r="X414" s="198"/>
      <c r="Y414" s="204"/>
      <c r="Z414" s="204"/>
      <c r="AA414" s="209"/>
      <c r="AB414" s="204"/>
      <c r="AC414" s="201"/>
      <c r="AD414" s="201"/>
      <c r="AE414" s="198"/>
      <c r="AF414" s="198"/>
      <c r="AG414" s="199"/>
    </row>
    <row r="415" spans="1:33" ht="13.8">
      <c r="A415" s="197"/>
      <c r="B415" s="197"/>
      <c r="C415" s="197"/>
      <c r="D415" s="197"/>
      <c r="E415" s="198" t="str">
        <f t="shared" si="123"/>
        <v>May</v>
      </c>
      <c r="F415" s="198" t="str">
        <f>+F414</f>
        <v>Year 3</v>
      </c>
      <c r="G415" s="198"/>
      <c r="H415" s="198"/>
      <c r="I415" s="198"/>
      <c r="J415" s="204">
        <f t="shared" si="125"/>
        <v>-1228151.3772633697</v>
      </c>
      <c r="K415" s="204"/>
      <c r="L415" s="209">
        <f t="shared" si="126"/>
        <v>0.0067999999999999996</v>
      </c>
      <c r="M415" s="204">
        <f t="shared" si="126"/>
        <v>-1236502.8066287606</v>
      </c>
      <c r="N415" s="201">
        <f t="shared" si="127"/>
        <v>0</v>
      </c>
      <c r="O415" s="201"/>
      <c r="P415" s="198"/>
      <c r="Q415" s="197"/>
      <c r="R415" s="197"/>
      <c r="S415" s="197"/>
      <c r="T415" s="198"/>
      <c r="U415" s="198"/>
      <c r="V415" s="198"/>
      <c r="W415" s="198"/>
      <c r="X415" s="198"/>
      <c r="Y415" s="204"/>
      <c r="Z415" s="204"/>
      <c r="AA415" s="209"/>
      <c r="AB415" s="204"/>
      <c r="AC415" s="201"/>
      <c r="AD415" s="201"/>
      <c r="AE415" s="198"/>
      <c r="AF415" s="198"/>
      <c r="AG415" s="199"/>
    </row>
    <row r="416" spans="1:33" ht="13.8">
      <c r="A416" s="197"/>
      <c r="B416" s="197"/>
      <c r="C416" s="197"/>
      <c r="D416" s="197"/>
      <c r="E416" s="198" t="s">
        <v>327</v>
      </c>
      <c r="F416" s="198"/>
      <c r="G416" s="198"/>
      <c r="H416" s="198"/>
      <c r="I416" s="198"/>
      <c r="J416" s="198"/>
      <c r="K416" s="198"/>
      <c r="L416" s="198"/>
      <c r="M416" s="204">
        <f>SUM(M404:M415)</f>
        <v>-14838033.679545125</v>
      </c>
      <c r="Q416" s="197"/>
      <c r="R416" s="197"/>
      <c r="S416" s="197"/>
      <c r="T416" s="198"/>
      <c r="U416" s="198"/>
      <c r="V416" s="198"/>
      <c r="W416" s="198"/>
      <c r="X416" s="198"/>
      <c r="Y416" s="198"/>
      <c r="Z416" s="198"/>
      <c r="AA416" s="198"/>
      <c r="AB416" s="204"/>
      <c r="AE416" s="198"/>
      <c r="AF416" s="198"/>
      <c r="AG416" s="199"/>
    </row>
    <row r="417" spans="1:33" ht="13.8">
      <c r="A417" s="197"/>
      <c r="B417" s="197"/>
      <c r="C417" s="197"/>
      <c r="D417" s="197"/>
      <c r="E417" s="198"/>
      <c r="F417" s="198"/>
      <c r="G417" s="198"/>
      <c r="H417" s="198"/>
      <c r="I417" s="198"/>
      <c r="J417" s="198"/>
      <c r="K417" s="198"/>
      <c r="L417" s="198"/>
      <c r="M417" s="198"/>
      <c r="N417" s="198"/>
      <c r="O417" s="198"/>
      <c r="P417" s="198"/>
      <c r="Q417" s="197"/>
      <c r="R417" s="197"/>
      <c r="S417" s="197"/>
      <c r="T417" s="198"/>
      <c r="U417" s="198"/>
      <c r="V417" s="198"/>
      <c r="W417" s="198"/>
      <c r="X417" s="198"/>
      <c r="Y417" s="198"/>
      <c r="Z417" s="198"/>
      <c r="AA417" s="198"/>
      <c r="AB417" s="198"/>
      <c r="AC417" s="198"/>
      <c r="AD417" s="198"/>
      <c r="AE417" s="198"/>
      <c r="AF417" s="198"/>
      <c r="AG417" s="199"/>
    </row>
    <row r="418" spans="2:33" ht="13.8">
      <c r="B418" s="197"/>
      <c r="C418" s="197"/>
      <c r="D418" s="197"/>
      <c r="E418" s="413" t="s">
        <v>540</v>
      </c>
      <c r="F418" s="412"/>
      <c r="G418" s="412"/>
      <c r="H418" s="412"/>
      <c r="I418" s="412"/>
      <c r="J418" s="412"/>
      <c r="K418" s="412"/>
      <c r="L418" s="412"/>
      <c r="M418" s="204">
        <f>+M416</f>
        <v>-14838033.679545125</v>
      </c>
      <c r="N418" s="200" t="s">
        <v>1195</v>
      </c>
      <c r="O418" s="197"/>
      <c r="Q418" s="197"/>
      <c r="R418" s="197"/>
      <c r="S418" s="197"/>
      <c r="T418" s="413"/>
      <c r="U418" s="412"/>
      <c r="V418" s="412"/>
      <c r="W418" s="412"/>
      <c r="X418" s="412"/>
      <c r="Y418" s="412"/>
      <c r="Z418" s="412"/>
      <c r="AA418" s="412"/>
      <c r="AB418" s="204"/>
      <c r="AC418" s="200"/>
      <c r="AD418" s="197"/>
      <c r="AE418" s="198"/>
      <c r="AF418" s="198"/>
      <c r="AG418" s="199"/>
    </row>
    <row r="419" spans="2:33" ht="13.8">
      <c r="B419" s="197"/>
      <c r="C419" s="197"/>
      <c r="D419" s="197"/>
      <c r="E419" s="413" t="s">
        <v>245</v>
      </c>
      <c r="F419" s="412"/>
      <c r="G419" s="412"/>
      <c r="H419" s="412"/>
      <c r="I419" s="412"/>
      <c r="J419" s="412"/>
      <c r="K419" s="412"/>
      <c r="L419" s="412"/>
      <c r="M419" s="205">
        <f>D336</f>
        <v>258487929.27072853</v>
      </c>
      <c r="N419" s="197"/>
      <c r="O419" s="197"/>
      <c r="Q419" s="197"/>
      <c r="R419" s="197"/>
      <c r="S419" s="197"/>
      <c r="T419" s="413"/>
      <c r="U419" s="412"/>
      <c r="V419" s="412"/>
      <c r="W419" s="412"/>
      <c r="X419" s="412"/>
      <c r="Y419" s="412"/>
      <c r="Z419" s="412"/>
      <c r="AA419" s="412"/>
      <c r="AB419" s="205"/>
      <c r="AC419" s="197"/>
      <c r="AD419" s="197"/>
      <c r="AE419" s="198"/>
      <c r="AF419" s="198"/>
      <c r="AG419" s="199"/>
    </row>
    <row r="420" spans="2:33" ht="13.8">
      <c r="B420" s="197"/>
      <c r="C420" s="197"/>
      <c r="D420" s="197"/>
      <c r="E420" s="413" t="s">
        <v>246</v>
      </c>
      <c r="F420" s="412"/>
      <c r="G420" s="412"/>
      <c r="H420" s="412"/>
      <c r="I420" s="412"/>
      <c r="J420" s="412"/>
      <c r="K420" s="412"/>
      <c r="L420" s="412"/>
      <c r="M420" s="204">
        <f>M418+M419</f>
        <v>243649895.59118339</v>
      </c>
      <c r="N420" s="208"/>
      <c r="O420" s="197"/>
      <c r="Q420" s="197"/>
      <c r="R420" s="197"/>
      <c r="S420" s="197"/>
      <c r="T420" s="413"/>
      <c r="U420" s="412"/>
      <c r="V420" s="412"/>
      <c r="W420" s="412"/>
      <c r="X420" s="412"/>
      <c r="Y420" s="412"/>
      <c r="Z420" s="412"/>
      <c r="AA420" s="412"/>
      <c r="AB420" s="204"/>
      <c r="AC420" s="197"/>
      <c r="AD420" s="197"/>
      <c r="AE420" s="198"/>
      <c r="AF420" s="198"/>
      <c r="AG420" s="199"/>
    </row>
    <row r="421" spans="2:33" ht="14.4" thickBot="1">
      <c r="B421" s="197"/>
      <c r="C421" s="197"/>
      <c r="D421" s="197"/>
      <c r="E421" s="464"/>
      <c r="F421" s="412"/>
      <c r="G421" s="412"/>
      <c r="H421" s="412"/>
      <c r="I421" s="412"/>
      <c r="J421" s="412"/>
      <c r="K421" s="412"/>
      <c r="L421" s="412"/>
      <c r="M421" s="204"/>
      <c r="N421" s="197"/>
      <c r="O421" s="197"/>
      <c r="P421" s="108"/>
      <c r="Q421" s="197"/>
      <c r="R421" s="197"/>
      <c r="S421" s="197"/>
      <c r="T421" s="464"/>
      <c r="U421" s="412"/>
      <c r="V421" s="412"/>
      <c r="W421" s="412"/>
      <c r="X421" s="412"/>
      <c r="Y421" s="412"/>
      <c r="Z421" s="412"/>
      <c r="AA421" s="412"/>
      <c r="AB421" s="204"/>
      <c r="AC421" s="197"/>
      <c r="AD421" s="197"/>
      <c r="AE421" s="198"/>
      <c r="AF421" s="198"/>
      <c r="AG421" s="199"/>
    </row>
    <row r="422" spans="2:33" ht="14.4" thickBot="1">
      <c r="B422" s="197"/>
      <c r="C422" s="197"/>
      <c r="D422" s="1799" t="s">
        <v>266</v>
      </c>
      <c r="E422" s="1800"/>
      <c r="F422" s="1800"/>
      <c r="G422" s="1800"/>
      <c r="H422" s="1800"/>
      <c r="I422" s="1800"/>
      <c r="J422" s="1800"/>
      <c r="K422" s="1800"/>
      <c r="L422" s="1800"/>
      <c r="M422" s="1800"/>
      <c r="N422" s="1800"/>
      <c r="O422" s="1800"/>
      <c r="P422" s="1800"/>
      <c r="Q422" s="1800"/>
      <c r="R422" s="1800"/>
      <c r="S422" s="1800"/>
      <c r="T422" s="1800"/>
      <c r="U422" s="1800"/>
      <c r="V422" s="1801"/>
      <c r="W422" s="198"/>
      <c r="X422" s="198"/>
      <c r="Y422" s="198"/>
      <c r="Z422" s="198"/>
      <c r="AA422" s="198"/>
      <c r="AB422" s="198"/>
      <c r="AC422" s="198"/>
      <c r="AD422" s="198"/>
      <c r="AE422" s="198"/>
      <c r="AF422" s="198"/>
      <c r="AG422" s="199"/>
    </row>
    <row r="423" spans="2:33" ht="57" customHeight="1" thickBot="1">
      <c r="B423" s="197"/>
      <c r="C423" s="197"/>
      <c r="D423" s="1621" t="s">
        <v>850</v>
      </c>
      <c r="E423" s="1622" t="s">
        <v>604</v>
      </c>
      <c r="F423" s="1622" t="s">
        <v>406</v>
      </c>
      <c r="G423" s="1622" t="s">
        <v>654</v>
      </c>
      <c r="H423" s="1622" t="s">
        <v>407</v>
      </c>
      <c r="I423" s="1622" t="s">
        <v>659</v>
      </c>
      <c r="J423" s="1623" t="s">
        <v>386</v>
      </c>
      <c r="K423" s="1622" t="s">
        <v>384</v>
      </c>
      <c r="L423" s="1623" t="s">
        <v>385</v>
      </c>
      <c r="M423" s="1623" t="s">
        <v>783</v>
      </c>
      <c r="N423" s="1623" t="s">
        <v>322</v>
      </c>
      <c r="O423" s="1623" t="s">
        <v>781</v>
      </c>
      <c r="P423" s="1623" t="s">
        <v>782</v>
      </c>
      <c r="Q423" s="1623" t="s">
        <v>1000</v>
      </c>
      <c r="R423" s="1623" t="s">
        <v>947</v>
      </c>
      <c r="S423" s="1623" t="s">
        <v>966</v>
      </c>
      <c r="T423" s="1623" t="s">
        <v>949</v>
      </c>
      <c r="U423" s="1623" t="s">
        <v>950</v>
      </c>
      <c r="V423" s="1624" t="s">
        <v>967</v>
      </c>
      <c r="W423" s="198"/>
      <c r="X423" s="198"/>
      <c r="Y423" s="198"/>
      <c r="Z423" s="198"/>
      <c r="AA423" s="198"/>
      <c r="AB423" s="198"/>
      <c r="AC423" s="198"/>
      <c r="AD423" s="198"/>
      <c r="AE423" s="198"/>
      <c r="AF423" s="198"/>
      <c r="AG423" s="199"/>
    </row>
    <row r="424" spans="2:33" ht="15" thickBot="1">
      <c r="B424" s="197"/>
      <c r="C424" s="197"/>
      <c r="D424" s="1625">
        <v>-14838033.679545127</v>
      </c>
      <c r="E424" s="1140">
        <v>-12867.466478701745</v>
      </c>
      <c r="F424" s="1140">
        <v>63224.133544342963</v>
      </c>
      <c r="G424" s="1140">
        <v>-33820.333398265524</v>
      </c>
      <c r="H424" s="1140">
        <v>-16324.772270842941</v>
      </c>
      <c r="I424" s="1140">
        <v>-30749.622986757175</v>
      </c>
      <c r="J424" s="1140">
        <v>-221738.31063290237</v>
      </c>
      <c r="K424" s="1140">
        <v>-41173.9146719571</v>
      </c>
      <c r="L424" s="1140">
        <v>-54943.629605907146</v>
      </c>
      <c r="M424" s="1140">
        <v>-44029.906005224722</v>
      </c>
      <c r="N424" s="1140">
        <v>-11066.892123812157</v>
      </c>
      <c r="O424" s="1140">
        <v>-321323.62666496332</v>
      </c>
      <c r="P424" s="1140">
        <v>-312113.46482814837</v>
      </c>
      <c r="Q424" s="1140">
        <v>-6866399.923815717</v>
      </c>
      <c r="R424" s="1140">
        <v>-203420.55825005792</v>
      </c>
      <c r="S424" s="1140">
        <v>-95335.069188782581</v>
      </c>
      <c r="T424" s="1140">
        <v>-36411.609171059885</v>
      </c>
      <c r="U424" s="1140">
        <v>-5133.0737334937221</v>
      </c>
      <c r="V424" s="1144">
        <v>-36181.185838679536</v>
      </c>
      <c r="W424" s="198"/>
      <c r="X424" s="198"/>
      <c r="Y424" s="198"/>
      <c r="Z424" s="198"/>
      <c r="AA424" s="198"/>
      <c r="AB424" s="198"/>
      <c r="AC424" s="198"/>
      <c r="AD424" s="198"/>
      <c r="AE424" s="198"/>
      <c r="AF424" s="198"/>
      <c r="AG424" s="199"/>
    </row>
    <row r="425" spans="2:33" ht="14.4" thickBot="1">
      <c r="B425" s="197"/>
      <c r="C425" s="197"/>
      <c r="D425" s="197"/>
      <c r="E425" s="464"/>
      <c r="F425" s="412"/>
      <c r="G425" s="412"/>
      <c r="H425" s="412"/>
      <c r="I425" s="412"/>
      <c r="J425" s="412"/>
      <c r="K425" s="412"/>
      <c r="L425" s="412"/>
      <c r="M425" s="204"/>
      <c r="N425" s="197"/>
      <c r="O425" s="197"/>
      <c r="Q425" s="198"/>
      <c r="R425" s="198"/>
      <c r="S425" s="198"/>
      <c r="T425" s="198"/>
      <c r="U425" s="198"/>
      <c r="V425" s="198"/>
      <c r="W425" s="198"/>
      <c r="X425" s="198"/>
      <c r="Y425" s="198"/>
      <c r="Z425" s="198"/>
      <c r="AA425" s="198"/>
      <c r="AB425" s="198"/>
      <c r="AC425" s="198"/>
      <c r="AD425" s="198"/>
      <c r="AE425" s="198"/>
      <c r="AF425" s="198"/>
      <c r="AG425" s="199"/>
    </row>
    <row r="426" spans="2:33" ht="26.4">
      <c r="B426" s="197"/>
      <c r="C426" s="197"/>
      <c r="D426" s="197"/>
      <c r="E426" s="611" t="s">
        <v>968</v>
      </c>
      <c r="F426" s="1124" t="s">
        <v>960</v>
      </c>
      <c r="G426" s="1124" t="s">
        <v>995</v>
      </c>
      <c r="H426" s="1124" t="s">
        <v>961</v>
      </c>
      <c r="I426" s="1126" t="s">
        <v>962</v>
      </c>
      <c r="J426" s="1614" t="s">
        <v>963</v>
      </c>
      <c r="K426" s="1124" t="s">
        <v>977</v>
      </c>
      <c r="L426" s="1124" t="s">
        <v>978</v>
      </c>
      <c r="M426" s="1124" t="s">
        <v>964</v>
      </c>
      <c r="N426" s="1124" t="s">
        <v>965</v>
      </c>
      <c r="O426" s="1124" t="s">
        <v>997</v>
      </c>
      <c r="P426" s="1124" t="s">
        <v>980</v>
      </c>
      <c r="Q426" s="1124" t="s">
        <v>981</v>
      </c>
      <c r="R426" s="1124" t="s">
        <v>983</v>
      </c>
      <c r="S426" s="1124" t="s">
        <v>984</v>
      </c>
      <c r="T426" s="1124" t="s">
        <v>985</v>
      </c>
      <c r="U426" s="1124" t="s">
        <v>986</v>
      </c>
      <c r="V426" s="1127" t="s">
        <v>1013</v>
      </c>
      <c r="W426" s="198"/>
      <c r="X426" s="198"/>
      <c r="Y426" s="198"/>
      <c r="Z426" s="198"/>
      <c r="AA426" s="198"/>
      <c r="AB426" s="198"/>
      <c r="AC426" s="198"/>
      <c r="AD426" s="198"/>
      <c r="AE426" s="198"/>
      <c r="AF426" s="198"/>
      <c r="AG426" s="199"/>
    </row>
    <row r="427" spans="2:33" ht="14.4" thickBot="1">
      <c r="B427" s="197"/>
      <c r="C427" s="197"/>
      <c r="D427" s="197"/>
      <c r="E427" s="1628">
        <v>-363725.61563538777</v>
      </c>
      <c r="F427" s="1626">
        <v>-2729.1253447705453</v>
      </c>
      <c r="G427" s="1626">
        <v>-96714.683689142519</v>
      </c>
      <c r="H427" s="1626">
        <v>-4014.1489766685968</v>
      </c>
      <c r="I427" s="1626">
        <v>-7475.6477359578985</v>
      </c>
      <c r="J427" s="1626">
        <v>-11039.393765410015</v>
      </c>
      <c r="K427" s="1626">
        <v>-225542.20212785367</v>
      </c>
      <c r="L427" s="1626">
        <v>-21419.009594438339</v>
      </c>
      <c r="M427" s="1626">
        <v>-160237.02958327471</v>
      </c>
      <c r="N427" s="1626">
        <v>-177771.18389649814</v>
      </c>
      <c r="O427" s="1626">
        <v>-3540.9720335408347</v>
      </c>
      <c r="P427" s="1626">
        <v>85650.047646566207</v>
      </c>
      <c r="Q427" s="1626">
        <v>-186234.02194840918</v>
      </c>
      <c r="R427" s="1626">
        <v>-47718.040864374518</v>
      </c>
      <c r="S427" s="1626">
        <v>-372675.33624400577</v>
      </c>
      <c r="T427" s="1626">
        <v>-64786.841998653319</v>
      </c>
      <c r="U427" s="1629">
        <v>-6239.7483203459051</v>
      </c>
      <c r="V427" s="1630">
        <v>-4175.9087447613083</v>
      </c>
      <c r="W427" s="198"/>
      <c r="X427" s="198"/>
      <c r="Y427" s="198"/>
      <c r="Z427" s="198"/>
      <c r="AA427" s="198"/>
      <c r="AB427" s="198"/>
      <c r="AC427" s="198"/>
      <c r="AD427" s="198"/>
      <c r="AE427" s="198"/>
      <c r="AF427" s="198"/>
      <c r="AG427" s="199"/>
    </row>
    <row r="428" spans="2:33" ht="14.4" thickBot="1">
      <c r="B428" s="197"/>
      <c r="C428" s="197"/>
      <c r="D428" s="197"/>
      <c r="E428" s="1619"/>
      <c r="F428" s="1619"/>
      <c r="G428" s="1619"/>
      <c r="H428" s="1619"/>
      <c r="I428" s="1619"/>
      <c r="J428" s="1619"/>
      <c r="K428" s="1619"/>
      <c r="L428" s="1619"/>
      <c r="M428" s="1619"/>
      <c r="N428" s="1619"/>
      <c r="O428" s="1619"/>
      <c r="P428" s="1619"/>
      <c r="Q428" s="1619"/>
      <c r="R428" s="1619"/>
      <c r="S428" s="1619"/>
      <c r="T428" s="1619"/>
      <c r="U428" s="1619"/>
      <c r="V428" s="1619"/>
      <c r="W428" s="198"/>
      <c r="X428" s="198"/>
      <c r="Y428" s="198"/>
      <c r="Z428" s="198"/>
      <c r="AA428" s="198"/>
      <c r="AB428" s="198"/>
      <c r="AC428" s="198"/>
      <c r="AD428" s="198"/>
      <c r="AE428" s="198"/>
      <c r="AF428" s="198"/>
      <c r="AG428" s="199"/>
    </row>
    <row r="429" spans="2:33" ht="28.5" customHeight="1">
      <c r="B429" s="197"/>
      <c r="C429" s="197"/>
      <c r="D429" s="197"/>
      <c r="E429" s="1613" t="s">
        <v>988</v>
      </c>
      <c r="F429" s="1126" t="s">
        <v>1033</v>
      </c>
      <c r="G429" s="1124" t="s">
        <v>1005</v>
      </c>
      <c r="H429" s="1125" t="s">
        <v>991</v>
      </c>
      <c r="I429" s="1125" t="s">
        <v>1006</v>
      </c>
      <c r="J429" s="1125" t="s">
        <v>1035</v>
      </c>
      <c r="K429" s="1125" t="s">
        <v>1015</v>
      </c>
      <c r="L429" s="1125" t="s">
        <v>1003</v>
      </c>
      <c r="M429" s="1125" t="s">
        <v>1008</v>
      </c>
      <c r="N429" s="1125" t="s">
        <v>1009</v>
      </c>
      <c r="O429" s="1125" t="s">
        <v>1017</v>
      </c>
      <c r="P429" s="1125" t="s">
        <v>1007</v>
      </c>
      <c r="Q429" s="1125" t="s">
        <v>990</v>
      </c>
      <c r="R429" s="1125" t="s">
        <v>1037</v>
      </c>
      <c r="S429" s="1125" t="s">
        <v>1038</v>
      </c>
      <c r="T429" s="1125" t="s">
        <v>1039</v>
      </c>
      <c r="U429" s="1125" t="s">
        <v>1040</v>
      </c>
      <c r="V429" s="1125" t="s">
        <v>1041</v>
      </c>
      <c r="W429" s="198"/>
      <c r="X429" s="198"/>
      <c r="Y429" s="198"/>
      <c r="Z429" s="198"/>
      <c r="AA429" s="198"/>
      <c r="AB429" s="198"/>
      <c r="AC429" s="198"/>
      <c r="AD429" s="198"/>
      <c r="AE429" s="198"/>
      <c r="AF429" s="198"/>
      <c r="AG429" s="199"/>
    </row>
    <row r="430" spans="2:33" ht="14.4" thickBot="1">
      <c r="B430" s="197"/>
      <c r="C430" s="197"/>
      <c r="D430" s="197"/>
      <c r="E430" s="1631">
        <v>-6917.8138228124499</v>
      </c>
      <c r="F430" s="1626">
        <v>-118564.97224734424</v>
      </c>
      <c r="G430" s="1629">
        <v>-288198.86105010193</v>
      </c>
      <c r="H430" s="1627">
        <v>-11054.810985168906</v>
      </c>
      <c r="I430" s="1627">
        <v>-211316.12224442689</v>
      </c>
      <c r="J430" s="1627">
        <v>-5561.3885301512546</v>
      </c>
      <c r="K430" s="1627">
        <v>-5511.3147836296384</v>
      </c>
      <c r="L430" s="1627">
        <v>-46712.114592814294</v>
      </c>
      <c r="M430" s="1627">
        <v>-154004.10085158522</v>
      </c>
      <c r="N430" s="1627">
        <v>-197665.41044411302</v>
      </c>
      <c r="O430" s="1627">
        <v>-10683.533520271289</v>
      </c>
      <c r="P430" s="1627">
        <v>-5710.9774626937306</v>
      </c>
      <c r="Q430" s="1627">
        <v>-13625.375150685959</v>
      </c>
      <c r="R430" s="1627">
        <v>-728096.55068491749</v>
      </c>
      <c r="S430" s="1627">
        <v>-299540.47546260228</v>
      </c>
      <c r="T430" s="1627">
        <v>-293939.52517027996</v>
      </c>
      <c r="U430" s="1627">
        <v>-213516.10561793431</v>
      </c>
      <c r="V430" s="1627">
        <v>-454230.23844461917</v>
      </c>
      <c r="W430" s="198"/>
      <c r="X430" s="198"/>
      <c r="Y430" s="198"/>
      <c r="Z430" s="198"/>
      <c r="AA430" s="198"/>
      <c r="AB430" s="198"/>
      <c r="AC430" s="198"/>
      <c r="AD430" s="198"/>
      <c r="AE430" s="198"/>
      <c r="AF430" s="198"/>
      <c r="AG430" s="199"/>
    </row>
    <row r="431" spans="2:33" ht="14.4" thickBot="1">
      <c r="B431" s="197"/>
      <c r="C431" s="197"/>
      <c r="D431" s="197"/>
      <c r="E431" s="464"/>
      <c r="F431" s="412"/>
      <c r="G431" s="412"/>
      <c r="H431" s="412"/>
      <c r="I431" s="412"/>
      <c r="J431" s="412"/>
      <c r="K431" s="412"/>
      <c r="L431" s="412"/>
      <c r="M431" s="204"/>
      <c r="N431" s="197"/>
      <c r="O431" s="197"/>
      <c r="Q431" s="198"/>
      <c r="R431" s="198"/>
      <c r="S431" s="198"/>
      <c r="T431" s="198"/>
      <c r="U431" s="198"/>
      <c r="V431" s="198"/>
      <c r="W431" s="198"/>
      <c r="X431" s="198"/>
      <c r="Y431" s="198"/>
      <c r="Z431" s="198"/>
      <c r="AA431" s="198"/>
      <c r="AB431" s="198"/>
      <c r="AC431" s="198"/>
      <c r="AD431" s="198"/>
      <c r="AE431" s="198"/>
      <c r="AF431" s="198"/>
      <c r="AG431" s="199"/>
    </row>
    <row r="432" spans="2:33" ht="24">
      <c r="B432" s="197"/>
      <c r="C432" s="197"/>
      <c r="D432" s="197"/>
      <c r="E432" s="1613" t="s">
        <v>1044</v>
      </c>
      <c r="F432" s="1126" t="s">
        <v>1045</v>
      </c>
      <c r="G432" s="1124" t="s">
        <v>1038</v>
      </c>
      <c r="H432" s="1124" t="s">
        <v>1052</v>
      </c>
      <c r="I432" s="1124" t="s">
        <v>1194</v>
      </c>
      <c r="J432" s="1632" t="s">
        <v>1193</v>
      </c>
      <c r="K432" s="412"/>
      <c r="L432" s="412"/>
      <c r="M432" s="204"/>
      <c r="N432" s="197"/>
      <c r="O432" s="197"/>
      <c r="Q432" s="198"/>
      <c r="R432" s="198"/>
      <c r="S432" s="198"/>
      <c r="T432" s="198"/>
      <c r="U432" s="198"/>
      <c r="V432" s="198"/>
      <c r="W432" s="198"/>
      <c r="X432" s="198"/>
      <c r="Y432" s="198"/>
      <c r="Z432" s="198"/>
      <c r="AA432" s="198"/>
      <c r="AB432" s="198"/>
      <c r="AC432" s="198"/>
      <c r="AD432" s="198"/>
      <c r="AE432" s="198"/>
      <c r="AF432" s="198"/>
      <c r="AG432" s="199"/>
    </row>
    <row r="433" spans="2:33" ht="14.4" thickBot="1">
      <c r="B433" s="197"/>
      <c r="C433" s="197"/>
      <c r="D433" s="197"/>
      <c r="E433" s="1631">
        <v>-458853.23169686017</v>
      </c>
      <c r="F433" s="1626">
        <v>190674.95517556701</v>
      </c>
      <c r="G433" s="1629"/>
      <c r="H433" s="1629">
        <v>-873693.61087892042</v>
      </c>
      <c r="I433" s="1629">
        <v>-681114.0121009046</v>
      </c>
      <c r="J433" s="1138">
        <v>0</v>
      </c>
      <c r="K433" s="412"/>
      <c r="L433" s="412"/>
      <c r="M433" s="204"/>
      <c r="N433" s="197"/>
      <c r="O433" s="197"/>
      <c r="Q433" s="198"/>
      <c r="R433" s="198"/>
      <c r="S433" s="198"/>
      <c r="T433" s="198"/>
      <c r="U433" s="198"/>
      <c r="V433" s="198"/>
      <c r="W433" s="198"/>
      <c r="X433" s="198"/>
      <c r="Y433" s="198"/>
      <c r="Z433" s="198"/>
      <c r="AA433" s="198"/>
      <c r="AB433" s="198"/>
      <c r="AC433" s="198"/>
      <c r="AD433" s="198"/>
      <c r="AE433" s="198"/>
      <c r="AF433" s="198"/>
      <c r="AG433" s="199"/>
    </row>
    <row r="434" spans="2:33" ht="13.8">
      <c r="B434" s="197"/>
      <c r="C434" s="197"/>
      <c r="D434" s="197"/>
      <c r="E434" s="464"/>
      <c r="F434" s="412"/>
      <c r="G434" s="412"/>
      <c r="H434" s="412"/>
      <c r="I434" s="412"/>
      <c r="J434" s="412"/>
      <c r="K434" s="412"/>
      <c r="L434" s="412"/>
      <c r="M434" s="204"/>
      <c r="N434" s="197"/>
      <c r="O434" s="197"/>
      <c r="Q434" s="198"/>
      <c r="R434" s="198"/>
      <c r="S434" s="198"/>
      <c r="T434" s="198"/>
      <c r="U434" s="198"/>
      <c r="V434" s="198"/>
      <c r="W434" s="198"/>
      <c r="X434" s="198"/>
      <c r="Y434" s="198"/>
      <c r="Z434" s="198"/>
      <c r="AA434" s="198"/>
      <c r="AB434" s="198"/>
      <c r="AC434" s="198"/>
      <c r="AD434" s="198"/>
      <c r="AE434" s="198"/>
      <c r="AF434" s="198"/>
      <c r="AG434" s="199"/>
    </row>
    <row r="435" spans="1:33" ht="27" customHeight="1">
      <c r="A435" s="197">
        <f>+A19</f>
        <v>9</v>
      </c>
      <c r="B435" s="197" t="str">
        <f>+B19</f>
        <v>May</v>
      </c>
      <c r="C435" s="197" t="str">
        <f>+C19</f>
        <v>Year 3</v>
      </c>
      <c r="D435" s="1129"/>
      <c r="E435" s="203" t="str">
        <f>+E19</f>
        <v>Post results of Step 8 on PJM web site</v>
      </c>
      <c r="F435" s="198"/>
      <c r="G435" s="198"/>
      <c r="H435" s="198"/>
      <c r="I435" s="198"/>
      <c r="J435" s="198"/>
      <c r="K435" s="198"/>
      <c r="L435" s="198"/>
      <c r="M435" s="198"/>
      <c r="N435" s="198"/>
      <c r="O435" s="198"/>
      <c r="P435" s="198"/>
      <c r="Q435" s="205"/>
      <c r="R435" s="198"/>
      <c r="S435" s="198"/>
      <c r="T435" s="198"/>
      <c r="U435" s="198"/>
      <c r="V435" s="198"/>
      <c r="W435" s="198"/>
      <c r="X435" s="198"/>
      <c r="Y435" s="198"/>
      <c r="Z435" s="198"/>
      <c r="AA435" s="198"/>
      <c r="AB435" s="198"/>
      <c r="AC435" s="198"/>
      <c r="AD435" s="198"/>
      <c r="AE435" s="198"/>
      <c r="AF435" s="198"/>
      <c r="AG435" s="199"/>
    </row>
    <row r="436" spans="1:33" ht="13.8">
      <c r="A436" s="197"/>
      <c r="B436" s="197"/>
      <c r="C436" s="197"/>
      <c r="D436" s="197"/>
      <c r="E436" s="202">
        <f>M420</f>
        <v>243649895.59118339</v>
      </c>
      <c r="F436" s="198"/>
      <c r="G436" s="1139"/>
      <c r="H436" s="198"/>
      <c r="I436" s="411"/>
      <c r="J436" s="198"/>
      <c r="K436" s="198"/>
      <c r="L436" s="198"/>
      <c r="M436" s="198"/>
      <c r="N436" s="198"/>
      <c r="O436" s="198"/>
      <c r="P436" s="198"/>
      <c r="Q436" s="198"/>
      <c r="R436" s="198"/>
      <c r="S436" s="198"/>
      <c r="T436" s="198"/>
      <c r="U436" s="198"/>
      <c r="V436" s="198"/>
      <c r="W436" s="198"/>
      <c r="X436" s="198"/>
      <c r="Y436" s="198"/>
      <c r="Z436" s="198"/>
      <c r="AA436" s="198"/>
      <c r="AB436" s="198"/>
      <c r="AC436" s="198"/>
      <c r="AD436" s="198"/>
      <c r="AE436" s="198"/>
      <c r="AF436" s="198"/>
      <c r="AG436" s="199"/>
    </row>
    <row r="437" spans="1:33" ht="13.8">
      <c r="A437" s="197"/>
      <c r="B437" s="197"/>
      <c r="C437" s="197"/>
      <c r="D437" s="197"/>
      <c r="E437" s="206"/>
      <c r="F437" s="205"/>
      <c r="G437" s="205"/>
      <c r="H437" s="205"/>
      <c r="I437" s="205"/>
      <c r="J437" s="205"/>
      <c r="K437" s="205"/>
      <c r="L437" s="205"/>
      <c r="M437" s="198"/>
      <c r="N437" s="198"/>
      <c r="O437" s="198"/>
      <c r="P437" s="198"/>
      <c r="Q437" s="198"/>
      <c r="R437" s="198"/>
      <c r="S437" s="198"/>
      <c r="T437" s="198"/>
      <c r="U437" s="198"/>
      <c r="V437" s="198"/>
      <c r="W437" s="198"/>
      <c r="X437" s="198"/>
      <c r="Y437" s="198"/>
      <c r="Z437" s="198"/>
      <c r="AA437" s="198"/>
      <c r="AB437" s="198"/>
      <c r="AC437" s="198"/>
      <c r="AD437" s="198"/>
      <c r="AE437" s="198"/>
      <c r="AF437" s="198"/>
      <c r="AG437" s="199"/>
    </row>
    <row r="438" spans="1:33" ht="13.8">
      <c r="A438" s="197"/>
      <c r="B438" s="197"/>
      <c r="C438" s="197"/>
      <c r="D438" s="197"/>
      <c r="E438" s="202"/>
      <c r="F438" s="198"/>
      <c r="G438" s="198"/>
      <c r="H438" s="198"/>
      <c r="I438" s="198"/>
      <c r="J438" s="198"/>
      <c r="K438" s="198"/>
      <c r="L438" s="198"/>
      <c r="M438" s="198"/>
      <c r="N438" s="198"/>
      <c r="O438" s="198"/>
      <c r="P438" s="198"/>
      <c r="Q438" s="198"/>
      <c r="R438" s="198"/>
      <c r="S438" s="198"/>
      <c r="T438" s="198"/>
      <c r="U438" s="198"/>
      <c r="V438" s="198"/>
      <c r="W438" s="198"/>
      <c r="X438" s="198"/>
      <c r="Y438" s="198"/>
      <c r="Z438" s="198"/>
      <c r="AA438" s="198"/>
      <c r="AB438" s="198"/>
      <c r="AC438" s="198"/>
      <c r="AD438" s="198"/>
      <c r="AE438" s="198"/>
      <c r="AF438" s="198"/>
      <c r="AG438" s="199"/>
    </row>
    <row r="439" spans="1:32" ht="68.25" customHeight="1">
      <c r="A439" s="197">
        <f>+A20</f>
        <v>10</v>
      </c>
      <c r="B439" s="197" t="str">
        <f>+B20</f>
        <v>June</v>
      </c>
      <c r="C439" s="197" t="str">
        <f>+C20</f>
        <v>Year 3</v>
      </c>
      <c r="D439" s="1129"/>
      <c r="E439" s="203" t="str">
        <f>+E20</f>
        <v>Results of Step 8 go into effect</v>
      </c>
      <c r="F439" s="198"/>
      <c r="G439" s="1648"/>
      <c r="H439" s="205"/>
      <c r="I439" s="1139"/>
      <c r="J439" s="198"/>
      <c r="K439" s="198"/>
      <c r="L439" s="198"/>
      <c r="M439" s="198"/>
      <c r="N439" s="198"/>
      <c r="O439" s="198"/>
      <c r="P439" s="198"/>
      <c r="Q439" s="95"/>
      <c r="R439" s="95"/>
      <c r="S439" s="95"/>
      <c r="T439" s="95"/>
      <c r="U439" s="95"/>
      <c r="V439" s="95"/>
      <c r="W439" s="95"/>
      <c r="X439" s="95"/>
      <c r="Y439" s="95"/>
      <c r="Z439" s="95"/>
      <c r="AA439" s="95"/>
      <c r="AB439" s="95"/>
      <c r="AC439" s="95"/>
      <c r="AD439" s="95"/>
      <c r="AE439" s="95"/>
      <c r="AF439" s="95"/>
    </row>
    <row r="440" spans="1:32" ht="15.6">
      <c r="A440" s="197"/>
      <c r="B440" s="197"/>
      <c r="C440" s="197"/>
      <c r="D440" s="197"/>
      <c r="E440" s="210">
        <f>+E436</f>
        <v>243649895.59118339</v>
      </c>
      <c r="F440" s="198"/>
      <c r="G440" s="198"/>
      <c r="H440" s="198"/>
      <c r="I440" s="198"/>
      <c r="J440" s="198"/>
      <c r="K440" s="198"/>
      <c r="L440" s="198"/>
      <c r="M440" s="198"/>
      <c r="N440" s="198"/>
      <c r="O440" s="198"/>
      <c r="P440" s="198"/>
      <c r="Q440" s="95"/>
      <c r="R440" s="95"/>
      <c r="S440" s="95"/>
      <c r="T440" s="95"/>
      <c r="U440" s="95"/>
      <c r="V440" s="95"/>
      <c r="W440" s="95"/>
      <c r="X440" s="95"/>
      <c r="Y440" s="95"/>
      <c r="Z440" s="95"/>
      <c r="AA440" s="95"/>
      <c r="AB440" s="95"/>
      <c r="AC440" s="95"/>
      <c r="AD440" s="95"/>
      <c r="AE440" s="95"/>
      <c r="AF440" s="95"/>
    </row>
    <row r="441" spans="1:32" ht="15.6">
      <c r="A441" s="137"/>
      <c r="B441" s="137"/>
      <c r="C441" s="137"/>
      <c r="D441" s="137"/>
      <c r="E441" s="95"/>
      <c r="F441" s="95"/>
      <c r="G441" s="95"/>
      <c r="H441" s="95"/>
      <c r="I441" s="95"/>
      <c r="J441" s="95"/>
      <c r="K441" s="95"/>
      <c r="L441" s="95"/>
      <c r="M441" s="95"/>
      <c r="N441" s="95"/>
      <c r="O441" s="95"/>
      <c r="P441" s="95"/>
      <c r="Q441" s="95"/>
      <c r="R441" s="95"/>
      <c r="S441" s="95"/>
      <c r="T441" s="95"/>
      <c r="U441" s="95"/>
      <c r="V441" s="95"/>
      <c r="W441" s="95"/>
      <c r="X441" s="95"/>
      <c r="Y441" s="95"/>
      <c r="Z441" s="95"/>
      <c r="AA441" s="95"/>
      <c r="AB441" s="95"/>
      <c r="AC441" s="95"/>
      <c r="AD441" s="95"/>
      <c r="AE441" s="95"/>
      <c r="AF441" s="95"/>
    </row>
    <row r="442" spans="1:32" ht="15.6">
      <c r="A442" s="137"/>
      <c r="B442" s="137"/>
      <c r="C442" s="137"/>
      <c r="D442" s="137"/>
      <c r="E442" s="95"/>
      <c r="F442" s="95"/>
      <c r="G442" s="95"/>
      <c r="H442" s="95"/>
      <c r="I442" s="95"/>
      <c r="J442" s="95"/>
      <c r="K442" s="95"/>
      <c r="L442" s="95"/>
      <c r="M442" s="95"/>
      <c r="N442" s="95"/>
      <c r="O442" s="95"/>
      <c r="P442" s="95"/>
      <c r="Q442" s="95"/>
      <c r="R442" s="95"/>
      <c r="S442" s="95"/>
      <c r="T442" s="95"/>
      <c r="U442" s="95"/>
      <c r="V442" s="95"/>
      <c r="W442" s="95"/>
      <c r="X442" s="95"/>
      <c r="Y442" s="95"/>
      <c r="Z442" s="95"/>
      <c r="AA442" s="95"/>
      <c r="AB442" s="95"/>
      <c r="AC442" s="95"/>
      <c r="AD442" s="95"/>
      <c r="AE442" s="95"/>
      <c r="AF442" s="95"/>
    </row>
    <row r="443" spans="1:32" ht="15.6">
      <c r="A443" s="137"/>
      <c r="B443" s="137"/>
      <c r="C443" s="137"/>
      <c r="D443" s="137"/>
      <c r="E443" s="95"/>
      <c r="F443" s="95"/>
      <c r="G443" s="95"/>
      <c r="H443" s="95"/>
      <c r="I443" s="95"/>
      <c r="J443" s="95"/>
      <c r="K443" s="95"/>
      <c r="L443" s="95"/>
      <c r="M443" s="95"/>
      <c r="N443" s="95"/>
      <c r="O443" s="95"/>
      <c r="P443" s="95"/>
      <c r="Q443" s="95"/>
      <c r="R443" s="95"/>
      <c r="S443" s="95"/>
      <c r="T443" s="95"/>
      <c r="U443" s="95"/>
      <c r="V443" s="95"/>
      <c r="W443" s="95"/>
      <c r="X443" s="95"/>
      <c r="Y443" s="95"/>
      <c r="Z443" s="95"/>
      <c r="AA443" s="95"/>
      <c r="AB443" s="95"/>
      <c r="AC443" s="95"/>
      <c r="AD443" s="95"/>
      <c r="AE443" s="95"/>
      <c r="AF443" s="95"/>
    </row>
    <row r="444" spans="1:32" ht="15.6">
      <c r="A444" s="137"/>
      <c r="B444" s="137"/>
      <c r="C444" s="137"/>
      <c r="D444" s="137"/>
      <c r="E444" s="95"/>
      <c r="F444" s="95"/>
      <c r="G444" s="95"/>
      <c r="H444" s="95"/>
      <c r="I444" s="95"/>
      <c r="J444" s="95"/>
      <c r="K444" s="95"/>
      <c r="L444" s="95"/>
      <c r="M444" s="95"/>
      <c r="N444" s="95"/>
      <c r="O444" s="95"/>
      <c r="P444" s="95"/>
      <c r="Q444" s="95"/>
      <c r="R444" s="95"/>
      <c r="S444" s="95"/>
      <c r="T444" s="95"/>
      <c r="U444" s="95"/>
      <c r="V444" s="95"/>
      <c r="W444" s="95"/>
      <c r="X444" s="95"/>
      <c r="Y444" s="95"/>
      <c r="Z444" s="95"/>
      <c r="AA444" s="95"/>
      <c r="AB444" s="95"/>
      <c r="AC444" s="95"/>
      <c r="AD444" s="95"/>
      <c r="AE444" s="95"/>
      <c r="AF444" s="95"/>
    </row>
    <row r="445" spans="1:32" ht="15.6">
      <c r="A445" s="137"/>
      <c r="B445" s="137"/>
      <c r="C445" s="137"/>
      <c r="D445" s="137"/>
      <c r="E445" s="95"/>
      <c r="F445" s="95"/>
      <c r="G445" s="95"/>
      <c r="H445" s="95"/>
      <c r="I445" s="95"/>
      <c r="J445" s="95"/>
      <c r="K445" s="95"/>
      <c r="L445" s="95"/>
      <c r="M445" s="95"/>
      <c r="N445" s="95"/>
      <c r="O445" s="95"/>
      <c r="P445" s="95"/>
      <c r="Q445" s="95"/>
      <c r="R445" s="95"/>
      <c r="S445" s="95"/>
      <c r="T445" s="95"/>
      <c r="U445" s="95"/>
      <c r="V445" s="95"/>
      <c r="W445" s="95"/>
      <c r="X445" s="95"/>
      <c r="Y445" s="95"/>
      <c r="Z445" s="95"/>
      <c r="AA445" s="95"/>
      <c r="AB445" s="95"/>
      <c r="AC445" s="95"/>
      <c r="AD445" s="95"/>
      <c r="AE445" s="95"/>
      <c r="AF445" s="95"/>
    </row>
    <row r="446" spans="1:32" ht="15.6">
      <c r="A446" s="137"/>
      <c r="B446" s="137"/>
      <c r="C446" s="137"/>
      <c r="D446" s="137"/>
      <c r="E446" s="95"/>
      <c r="F446" s="95"/>
      <c r="G446" s="95"/>
      <c r="H446" s="95"/>
      <c r="I446" s="95"/>
      <c r="J446" s="95"/>
      <c r="K446" s="95"/>
      <c r="L446" s="95"/>
      <c r="M446" s="95"/>
      <c r="N446" s="95"/>
      <c r="O446" s="95"/>
      <c r="P446" s="95"/>
      <c r="Q446" s="95"/>
      <c r="R446" s="95"/>
      <c r="S446" s="95"/>
      <c r="T446" s="95"/>
      <c r="U446" s="95"/>
      <c r="V446" s="95"/>
      <c r="W446" s="95"/>
      <c r="X446" s="95"/>
      <c r="Y446" s="95"/>
      <c r="Z446" s="95"/>
      <c r="AA446" s="95"/>
      <c r="AB446" s="95"/>
      <c r="AC446" s="95"/>
      <c r="AD446" s="95"/>
      <c r="AE446" s="95"/>
      <c r="AF446" s="95"/>
    </row>
    <row r="447" spans="1:32" ht="15.6">
      <c r="A447" s="137"/>
      <c r="B447" s="137"/>
      <c r="C447" s="137"/>
      <c r="D447" s="137"/>
      <c r="E447" s="95"/>
      <c r="F447" s="95"/>
      <c r="G447" s="95"/>
      <c r="H447" s="95"/>
      <c r="I447" s="95"/>
      <c r="J447" s="95"/>
      <c r="K447" s="95"/>
      <c r="L447" s="95"/>
      <c r="M447" s="95"/>
      <c r="N447" s="95"/>
      <c r="O447" s="95"/>
      <c r="P447" s="95"/>
      <c r="Q447" s="95"/>
      <c r="R447" s="95"/>
      <c r="S447" s="95"/>
      <c r="T447" s="95"/>
      <c r="U447" s="95"/>
      <c r="V447" s="95"/>
      <c r="W447" s="95"/>
      <c r="X447" s="95"/>
      <c r="Y447" s="95"/>
      <c r="Z447" s="95"/>
      <c r="AA447" s="95"/>
      <c r="AB447" s="95"/>
      <c r="AC447" s="95"/>
      <c r="AD447" s="95"/>
      <c r="AE447" s="95"/>
      <c r="AF447" s="95"/>
    </row>
    <row r="448" spans="1:32" ht="15.6">
      <c r="A448" s="137"/>
      <c r="B448" s="137"/>
      <c r="C448" s="137"/>
      <c r="D448" s="137"/>
      <c r="E448" s="95"/>
      <c r="F448" s="95"/>
      <c r="G448" s="95"/>
      <c r="H448" s="95"/>
      <c r="I448" s="95"/>
      <c r="J448" s="95"/>
      <c r="K448" s="95"/>
      <c r="L448" s="95"/>
      <c r="M448" s="95"/>
      <c r="N448" s="95"/>
      <c r="O448" s="95"/>
      <c r="P448" s="95"/>
      <c r="Q448" s="95"/>
      <c r="R448" s="95"/>
      <c r="S448" s="95"/>
      <c r="T448" s="95"/>
      <c r="U448" s="95"/>
      <c r="V448" s="95"/>
      <c r="W448" s="95"/>
      <c r="X448" s="95"/>
      <c r="Y448" s="95"/>
      <c r="Z448" s="95"/>
      <c r="AA448" s="95"/>
      <c r="AB448" s="95"/>
      <c r="AC448" s="95"/>
      <c r="AD448" s="95"/>
      <c r="AE448" s="95"/>
      <c r="AF448" s="95"/>
    </row>
    <row r="449" spans="1:32" ht="15.6">
      <c r="A449" s="137"/>
      <c r="B449" s="137"/>
      <c r="C449" s="137"/>
      <c r="D449" s="137"/>
      <c r="E449" s="95"/>
      <c r="F449" s="95"/>
      <c r="G449" s="95"/>
      <c r="H449" s="95"/>
      <c r="I449" s="95"/>
      <c r="J449" s="95"/>
      <c r="K449" s="95"/>
      <c r="L449" s="95"/>
      <c r="M449" s="95"/>
      <c r="N449" s="95"/>
      <c r="O449" s="95"/>
      <c r="P449" s="95"/>
      <c r="Q449" s="95"/>
      <c r="R449" s="95"/>
      <c r="S449" s="95"/>
      <c r="T449" s="95"/>
      <c r="U449" s="95"/>
      <c r="V449" s="95"/>
      <c r="W449" s="95"/>
      <c r="X449" s="95"/>
      <c r="Y449" s="95"/>
      <c r="Z449" s="95"/>
      <c r="AA449" s="95"/>
      <c r="AB449" s="95"/>
      <c r="AC449" s="95"/>
      <c r="AD449" s="95"/>
      <c r="AE449" s="95"/>
      <c r="AF449" s="95"/>
    </row>
    <row r="450" spans="1:32" ht="15.6">
      <c r="A450" s="137"/>
      <c r="B450" s="137"/>
      <c r="C450" s="137"/>
      <c r="D450" s="137"/>
      <c r="E450" s="95"/>
      <c r="F450" s="95"/>
      <c r="G450" s="95"/>
      <c r="H450" s="95"/>
      <c r="I450" s="95"/>
      <c r="J450" s="95"/>
      <c r="K450" s="95"/>
      <c r="L450" s="95"/>
      <c r="M450" s="95"/>
      <c r="N450" s="95"/>
      <c r="O450" s="95"/>
      <c r="P450" s="95"/>
      <c r="Q450" s="95"/>
      <c r="R450" s="95"/>
      <c r="S450" s="95"/>
      <c r="T450" s="95"/>
      <c r="U450" s="95"/>
      <c r="V450" s="95"/>
      <c r="W450" s="95"/>
      <c r="X450" s="95"/>
      <c r="Y450" s="95"/>
      <c r="Z450" s="95"/>
      <c r="AA450" s="95"/>
      <c r="AB450" s="95"/>
      <c r="AC450" s="95"/>
      <c r="AD450" s="95"/>
      <c r="AE450" s="95"/>
      <c r="AF450" s="95"/>
    </row>
    <row r="451" spans="1:32" ht="15.6">
      <c r="A451" s="137"/>
      <c r="B451" s="137"/>
      <c r="C451" s="137"/>
      <c r="D451" s="137"/>
      <c r="E451" s="95"/>
      <c r="F451" s="95"/>
      <c r="G451" s="95"/>
      <c r="H451" s="95"/>
      <c r="I451" s="95"/>
      <c r="J451" s="95"/>
      <c r="K451" s="95"/>
      <c r="L451" s="95"/>
      <c r="M451" s="95"/>
      <c r="N451" s="95"/>
      <c r="O451" s="95"/>
      <c r="P451" s="95"/>
      <c r="Q451" s="95"/>
      <c r="R451" s="95"/>
      <c r="S451" s="95"/>
      <c r="T451" s="95"/>
      <c r="U451" s="95"/>
      <c r="V451" s="95"/>
      <c r="W451" s="95"/>
      <c r="X451" s="95"/>
      <c r="Y451" s="95"/>
      <c r="Z451" s="95"/>
      <c r="AA451" s="95"/>
      <c r="AB451" s="95"/>
      <c r="AC451" s="95"/>
      <c r="AD451" s="95"/>
      <c r="AE451" s="95"/>
      <c r="AF451" s="95"/>
    </row>
    <row r="452" spans="1:32" ht="15.6">
      <c r="A452" s="137"/>
      <c r="B452" s="137"/>
      <c r="C452" s="137"/>
      <c r="D452" s="137"/>
      <c r="E452" s="95"/>
      <c r="F452" s="95"/>
      <c r="G452" s="95"/>
      <c r="H452" s="95"/>
      <c r="I452" s="95"/>
      <c r="J452" s="95"/>
      <c r="K452" s="95"/>
      <c r="L452" s="95"/>
      <c r="M452" s="95"/>
      <c r="N452" s="95"/>
      <c r="O452" s="95"/>
      <c r="P452" s="95"/>
      <c r="Q452" s="95"/>
      <c r="R452" s="95"/>
      <c r="S452" s="95"/>
      <c r="T452" s="95"/>
      <c r="U452" s="95"/>
      <c r="V452" s="95"/>
      <c r="W452" s="95"/>
      <c r="X452" s="95"/>
      <c r="Y452" s="95"/>
      <c r="Z452" s="95"/>
      <c r="AA452" s="95"/>
      <c r="AB452" s="95"/>
      <c r="AC452" s="95"/>
      <c r="AD452" s="95"/>
      <c r="AE452" s="95"/>
      <c r="AF452" s="95"/>
    </row>
    <row r="453" spans="1:32" ht="15.6">
      <c r="A453" s="137"/>
      <c r="B453" s="137"/>
      <c r="C453" s="137"/>
      <c r="D453" s="137"/>
      <c r="E453" s="95"/>
      <c r="F453" s="95"/>
      <c r="G453" s="95"/>
      <c r="H453" s="95"/>
      <c r="I453" s="95"/>
      <c r="J453" s="95"/>
      <c r="K453" s="95"/>
      <c r="L453" s="95"/>
      <c r="M453" s="95"/>
      <c r="N453" s="95"/>
      <c r="O453" s="95"/>
      <c r="P453" s="95"/>
      <c r="Q453" s="95"/>
      <c r="R453" s="95"/>
      <c r="S453" s="95"/>
      <c r="T453" s="95"/>
      <c r="U453" s="95"/>
      <c r="V453" s="95"/>
      <c r="W453" s="95"/>
      <c r="X453" s="95"/>
      <c r="Y453" s="95"/>
      <c r="Z453" s="95"/>
      <c r="AA453" s="95"/>
      <c r="AB453" s="95"/>
      <c r="AC453" s="95"/>
      <c r="AD453" s="95"/>
      <c r="AE453" s="95"/>
      <c r="AF453" s="95"/>
    </row>
    <row r="454" spans="1:32" ht="15.6">
      <c r="A454" s="137"/>
      <c r="B454" s="137"/>
      <c r="C454" s="137"/>
      <c r="D454" s="137"/>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row>
    <row r="455" spans="1:32" ht="15.6">
      <c r="A455" s="137"/>
      <c r="B455" s="137"/>
      <c r="C455" s="137"/>
      <c r="D455" s="137"/>
      <c r="E455" s="95"/>
      <c r="F455" s="95"/>
      <c r="G455" s="95"/>
      <c r="H455" s="95"/>
      <c r="I455" s="95"/>
      <c r="J455" s="95"/>
      <c r="K455" s="95"/>
      <c r="L455" s="95"/>
      <c r="M455" s="95"/>
      <c r="N455" s="95"/>
      <c r="O455" s="95"/>
      <c r="P455" s="95"/>
      <c r="Q455" s="95"/>
      <c r="R455" s="95"/>
      <c r="S455" s="95"/>
      <c r="T455" s="95"/>
      <c r="U455" s="95"/>
      <c r="V455" s="95"/>
      <c r="W455" s="95"/>
      <c r="X455" s="95"/>
      <c r="Y455" s="95"/>
      <c r="Z455" s="95"/>
      <c r="AA455" s="95"/>
      <c r="AB455" s="95"/>
      <c r="AC455" s="95"/>
      <c r="AD455" s="95"/>
      <c r="AE455" s="95"/>
      <c r="AF455" s="95"/>
    </row>
    <row r="456" spans="1:32" ht="15.6">
      <c r="A456" s="137"/>
      <c r="B456" s="137"/>
      <c r="C456" s="137"/>
      <c r="D456" s="137"/>
      <c r="E456" s="95"/>
      <c r="F456" s="95"/>
      <c r="G456" s="95"/>
      <c r="H456" s="95"/>
      <c r="I456" s="95"/>
      <c r="J456" s="95"/>
      <c r="K456" s="95"/>
      <c r="L456" s="95"/>
      <c r="M456" s="95"/>
      <c r="N456" s="95"/>
      <c r="O456" s="95"/>
      <c r="P456" s="95"/>
      <c r="Q456" s="95"/>
      <c r="R456" s="95"/>
      <c r="S456" s="95"/>
      <c r="T456" s="95"/>
      <c r="U456" s="95"/>
      <c r="V456" s="95"/>
      <c r="W456" s="95"/>
      <c r="X456" s="95"/>
      <c r="Y456" s="95"/>
      <c r="Z456" s="95"/>
      <c r="AA456" s="95"/>
      <c r="AB456" s="95"/>
      <c r="AC456" s="95"/>
      <c r="AD456" s="95"/>
      <c r="AE456" s="95"/>
      <c r="AF456" s="95"/>
    </row>
    <row r="457" spans="1:32" ht="15.6">
      <c r="A457" s="137"/>
      <c r="B457" s="137"/>
      <c r="C457" s="137"/>
      <c r="D457" s="137"/>
      <c r="E457" s="95"/>
      <c r="F457" s="95"/>
      <c r="G457" s="95"/>
      <c r="H457" s="95"/>
      <c r="I457" s="95"/>
      <c r="J457" s="95"/>
      <c r="K457" s="95"/>
      <c r="L457" s="95"/>
      <c r="M457" s="95"/>
      <c r="N457" s="95"/>
      <c r="O457" s="95"/>
      <c r="P457" s="95"/>
      <c r="Q457" s="95"/>
      <c r="R457" s="95"/>
      <c r="S457" s="95"/>
      <c r="T457" s="95"/>
      <c r="U457" s="95"/>
      <c r="V457" s="95"/>
      <c r="W457" s="95"/>
      <c r="X457" s="95"/>
      <c r="Y457" s="95"/>
      <c r="Z457" s="95"/>
      <c r="AA457" s="95"/>
      <c r="AB457" s="95"/>
      <c r="AC457" s="95"/>
      <c r="AD457" s="95"/>
      <c r="AE457" s="95"/>
      <c r="AF457" s="95"/>
    </row>
    <row r="458" spans="1:32" ht="15.6">
      <c r="A458" s="137"/>
      <c r="B458" s="137"/>
      <c r="C458" s="137"/>
      <c r="D458" s="137"/>
      <c r="E458" s="95"/>
      <c r="F458" s="95"/>
      <c r="G458" s="95"/>
      <c r="H458" s="95"/>
      <c r="I458" s="95"/>
      <c r="J458" s="95"/>
      <c r="K458" s="95"/>
      <c r="L458" s="95"/>
      <c r="M458" s="95"/>
      <c r="N458" s="95"/>
      <c r="O458" s="95"/>
      <c r="P458" s="95"/>
      <c r="Q458" s="95"/>
      <c r="R458" s="95"/>
      <c r="S458" s="95"/>
      <c r="T458" s="95"/>
      <c r="U458" s="95"/>
      <c r="V458" s="95"/>
      <c r="W458" s="95"/>
      <c r="X458" s="95"/>
      <c r="Y458" s="95"/>
      <c r="Z458" s="95"/>
      <c r="AA458" s="95"/>
      <c r="AB458" s="95"/>
      <c r="AC458" s="95"/>
      <c r="AD458" s="95"/>
      <c r="AE458" s="95"/>
      <c r="AF458" s="95"/>
    </row>
    <row r="459" spans="1:32" ht="15.6">
      <c r="A459" s="137"/>
      <c r="B459" s="137"/>
      <c r="C459" s="137"/>
      <c r="D459" s="137"/>
      <c r="E459" s="95"/>
      <c r="F459" s="95"/>
      <c r="G459" s="95"/>
      <c r="H459" s="95"/>
      <c r="I459" s="95"/>
      <c r="J459" s="95"/>
      <c r="K459" s="95"/>
      <c r="L459" s="95"/>
      <c r="M459" s="95"/>
      <c r="N459" s="95"/>
      <c r="O459" s="95"/>
      <c r="P459" s="95"/>
      <c r="Q459" s="95"/>
      <c r="R459" s="95"/>
      <c r="S459" s="95"/>
      <c r="T459" s="95"/>
      <c r="U459" s="95"/>
      <c r="V459" s="95"/>
      <c r="W459" s="95"/>
      <c r="X459" s="95"/>
      <c r="Y459" s="95"/>
      <c r="Z459" s="95"/>
      <c r="AA459" s="95"/>
      <c r="AB459" s="95"/>
      <c r="AC459" s="95"/>
      <c r="AD459" s="95"/>
      <c r="AE459" s="95"/>
      <c r="AF459" s="95"/>
    </row>
    <row r="460" spans="1:32" ht="15.6">
      <c r="A460" s="137"/>
      <c r="B460" s="137"/>
      <c r="C460" s="137"/>
      <c r="D460" s="137"/>
      <c r="E460" s="95"/>
      <c r="F460" s="95"/>
      <c r="G460" s="95"/>
      <c r="H460" s="95"/>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row>
    <row r="461" spans="1:32" ht="15.6">
      <c r="A461" s="137"/>
      <c r="B461" s="137"/>
      <c r="C461" s="137"/>
      <c r="D461" s="137"/>
      <c r="E461" s="95"/>
      <c r="F461" s="95"/>
      <c r="G461" s="95"/>
      <c r="H461" s="95"/>
      <c r="I461" s="95"/>
      <c r="J461" s="95"/>
      <c r="K461" s="95"/>
      <c r="L461" s="95"/>
      <c r="M461" s="95"/>
      <c r="N461" s="95"/>
      <c r="O461" s="95"/>
      <c r="P461" s="95"/>
      <c r="Q461" s="95"/>
      <c r="R461" s="95"/>
      <c r="S461" s="95"/>
      <c r="T461" s="95"/>
      <c r="U461" s="95"/>
      <c r="V461" s="95"/>
      <c r="W461" s="95"/>
      <c r="X461" s="95"/>
      <c r="Y461" s="95"/>
      <c r="Z461" s="95"/>
      <c r="AA461" s="95"/>
      <c r="AB461" s="95"/>
      <c r="AC461" s="95"/>
      <c r="AD461" s="95"/>
      <c r="AE461" s="95"/>
      <c r="AF461" s="95"/>
    </row>
    <row r="462" spans="1:32" ht="15.6">
      <c r="A462" s="137"/>
      <c r="B462" s="137"/>
      <c r="C462" s="137"/>
      <c r="D462" s="137"/>
      <c r="E462" s="95"/>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row>
    <row r="463" spans="1:32" ht="15.6">
      <c r="A463" s="137"/>
      <c r="B463" s="137"/>
      <c r="C463" s="137"/>
      <c r="D463" s="137"/>
      <c r="E463" s="95"/>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row>
    <row r="464" spans="1:32" ht="15.6">
      <c r="A464" s="137"/>
      <c r="B464" s="137"/>
      <c r="C464" s="137"/>
      <c r="D464" s="137"/>
      <c r="E464" s="95"/>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row>
    <row r="465" spans="1:32" ht="15.6">
      <c r="A465" s="137"/>
      <c r="B465" s="137"/>
      <c r="C465" s="137"/>
      <c r="D465" s="137"/>
      <c r="E465" s="95"/>
      <c r="F465" s="95"/>
      <c r="G465" s="95"/>
      <c r="H465" s="95"/>
      <c r="I465" s="95"/>
      <c r="J465" s="95"/>
      <c r="K465" s="95"/>
      <c r="L465" s="95"/>
      <c r="M465" s="95"/>
      <c r="N465" s="95"/>
      <c r="O465" s="95"/>
      <c r="P465" s="95"/>
      <c r="Q465" s="95"/>
      <c r="R465" s="95"/>
      <c r="S465" s="95"/>
      <c r="T465" s="95"/>
      <c r="U465" s="95"/>
      <c r="V465" s="95"/>
      <c r="W465" s="95"/>
      <c r="X465" s="95"/>
      <c r="Y465" s="95"/>
      <c r="Z465" s="95"/>
      <c r="AA465" s="95"/>
      <c r="AB465" s="95"/>
      <c r="AC465" s="95"/>
      <c r="AD465" s="95"/>
      <c r="AE465" s="95"/>
      <c r="AF465" s="95"/>
    </row>
    <row r="466" spans="1:32" ht="15.6">
      <c r="A466" s="137"/>
      <c r="B466" s="137"/>
      <c r="C466" s="137"/>
      <c r="D466" s="137"/>
      <c r="E466" s="95"/>
      <c r="F466" s="95"/>
      <c r="G466" s="95"/>
      <c r="H466" s="95"/>
      <c r="I466" s="95"/>
      <c r="J466" s="95"/>
      <c r="K466" s="95"/>
      <c r="L466" s="95"/>
      <c r="M466" s="95"/>
      <c r="N466" s="95"/>
      <c r="O466" s="95"/>
      <c r="P466" s="95"/>
      <c r="Q466" s="95"/>
      <c r="R466" s="95"/>
      <c r="S466" s="95"/>
      <c r="T466" s="95"/>
      <c r="U466" s="95"/>
      <c r="V466" s="95"/>
      <c r="W466" s="95"/>
      <c r="X466" s="95"/>
      <c r="Y466" s="95"/>
      <c r="Z466" s="95"/>
      <c r="AA466" s="95"/>
      <c r="AB466" s="95"/>
      <c r="AC466" s="95"/>
      <c r="AD466" s="95"/>
      <c r="AE466" s="95"/>
      <c r="AF466" s="95"/>
    </row>
    <row r="467" spans="1:16" ht="15.6">
      <c r="A467" s="137"/>
      <c r="B467" s="137"/>
      <c r="C467" s="137"/>
      <c r="D467" s="137"/>
      <c r="E467" s="95"/>
      <c r="F467" s="95"/>
      <c r="G467" s="95"/>
      <c r="H467" s="95"/>
      <c r="I467" s="95"/>
      <c r="J467" s="95"/>
      <c r="K467" s="95"/>
      <c r="L467" s="95"/>
      <c r="M467" s="95"/>
      <c r="N467" s="95"/>
      <c r="O467" s="95"/>
      <c r="P467" s="95"/>
    </row>
    <row r="468" spans="1:16" ht="15.6">
      <c r="A468" s="137"/>
      <c r="B468" s="137"/>
      <c r="C468" s="137"/>
      <c r="D468" s="137"/>
      <c r="E468" s="95"/>
      <c r="F468" s="95"/>
      <c r="G468" s="95"/>
      <c r="H468" s="95"/>
      <c r="I468" s="95"/>
      <c r="J468" s="95"/>
      <c r="K468" s="95"/>
      <c r="L468" s="95"/>
      <c r="M468" s="95"/>
      <c r="N468" s="95"/>
      <c r="O468" s="95"/>
      <c r="P468" s="95"/>
    </row>
    <row r="469" spans="1:16" ht="15.6">
      <c r="A469" s="137"/>
      <c r="B469" s="137"/>
      <c r="C469" s="137"/>
      <c r="D469" s="137"/>
      <c r="E469" s="95"/>
      <c r="F469" s="95"/>
      <c r="G469" s="95"/>
      <c r="H469" s="95"/>
      <c r="I469" s="95"/>
      <c r="J469" s="95"/>
      <c r="K469" s="95"/>
      <c r="L469" s="95"/>
      <c r="M469" s="95"/>
      <c r="N469" s="95"/>
      <c r="O469" s="95"/>
      <c r="P469" s="95"/>
    </row>
    <row r="470" spans="1:16" ht="15.6">
      <c r="A470" s="137"/>
      <c r="B470" s="137"/>
      <c r="C470" s="137"/>
      <c r="D470" s="137"/>
      <c r="E470" s="95"/>
      <c r="F470" s="95"/>
      <c r="G470" s="95"/>
      <c r="H470" s="95"/>
      <c r="I470" s="95"/>
      <c r="J470" s="95"/>
      <c r="K470" s="95"/>
      <c r="L470" s="95"/>
      <c r="M470" s="95"/>
      <c r="N470" s="95"/>
      <c r="O470" s="95"/>
      <c r="P470" s="95"/>
    </row>
    <row r="471" spans="1:16" ht="15.6">
      <c r="A471" s="137"/>
      <c r="B471" s="137"/>
      <c r="C471" s="137"/>
      <c r="D471" s="137"/>
      <c r="E471" s="95"/>
      <c r="F471" s="95"/>
      <c r="G471" s="95"/>
      <c r="H471" s="95"/>
      <c r="I471" s="95"/>
      <c r="J471" s="95"/>
      <c r="K471" s="95"/>
      <c r="L471" s="95"/>
      <c r="M471" s="95"/>
      <c r="N471" s="95"/>
      <c r="O471" s="95"/>
      <c r="P471" s="95"/>
    </row>
    <row r="472" spans="1:16" ht="15.6">
      <c r="A472" s="137"/>
      <c r="B472" s="137"/>
      <c r="C472" s="137"/>
      <c r="D472" s="137"/>
      <c r="E472" s="95"/>
      <c r="F472" s="95"/>
      <c r="G472" s="95"/>
      <c r="H472" s="95"/>
      <c r="I472" s="95"/>
      <c r="J472" s="95"/>
      <c r="K472" s="95"/>
      <c r="L472" s="95"/>
      <c r="M472" s="95"/>
      <c r="N472" s="95"/>
      <c r="O472" s="95"/>
      <c r="P472" s="95"/>
    </row>
    <row r="473" spans="1:16" ht="15.6">
      <c r="A473" s="137"/>
      <c r="B473" s="137"/>
      <c r="C473" s="137"/>
      <c r="D473" s="137"/>
      <c r="E473" s="95"/>
      <c r="F473" s="95"/>
      <c r="G473" s="95"/>
      <c r="H473" s="95"/>
      <c r="I473" s="95"/>
      <c r="J473" s="95"/>
      <c r="K473" s="95"/>
      <c r="L473" s="95"/>
      <c r="M473" s="95"/>
      <c r="N473" s="95"/>
      <c r="O473" s="95"/>
      <c r="P473" s="95"/>
    </row>
    <row r="474" spans="1:16" ht="15.6">
      <c r="A474" s="137"/>
      <c r="B474" s="137"/>
      <c r="C474" s="137"/>
      <c r="D474" s="137"/>
      <c r="E474" s="95"/>
      <c r="F474" s="95"/>
      <c r="G474" s="95"/>
      <c r="H474" s="95"/>
      <c r="I474" s="95"/>
      <c r="J474" s="95"/>
      <c r="K474" s="95"/>
      <c r="L474" s="95"/>
      <c r="M474" s="95"/>
      <c r="N474" s="95"/>
      <c r="O474" s="95"/>
      <c r="P474" s="95"/>
    </row>
    <row r="475" spans="1:16" ht="15.6">
      <c r="A475" s="137"/>
      <c r="B475" s="137"/>
      <c r="C475" s="137"/>
      <c r="D475" s="137"/>
      <c r="E475" s="95"/>
      <c r="F475" s="95"/>
      <c r="G475" s="95"/>
      <c r="H475" s="95"/>
      <c r="I475" s="95"/>
      <c r="J475" s="95"/>
      <c r="K475" s="95"/>
      <c r="L475" s="95"/>
      <c r="M475" s="95"/>
      <c r="N475" s="95"/>
      <c r="O475" s="95"/>
      <c r="P475" s="95"/>
    </row>
    <row r="476" spans="1:16" ht="15.6">
      <c r="A476" s="137"/>
      <c r="B476" s="137"/>
      <c r="C476" s="137"/>
      <c r="D476" s="137"/>
      <c r="E476" s="95"/>
      <c r="F476" s="95"/>
      <c r="G476" s="95"/>
      <c r="H476" s="95"/>
      <c r="I476" s="95"/>
      <c r="J476" s="95"/>
      <c r="K476" s="95"/>
      <c r="L476" s="95"/>
      <c r="M476" s="95"/>
      <c r="N476" s="95"/>
      <c r="O476" s="95"/>
      <c r="P476" s="95"/>
    </row>
    <row r="477" spans="1:16" ht="15.6">
      <c r="A477" s="137"/>
      <c r="B477" s="137"/>
      <c r="C477" s="137"/>
      <c r="D477" s="137"/>
      <c r="E477" s="95"/>
      <c r="F477" s="95"/>
      <c r="G477" s="95"/>
      <c r="H477" s="95"/>
      <c r="I477" s="95"/>
      <c r="J477" s="95"/>
      <c r="K477" s="95"/>
      <c r="L477" s="95"/>
      <c r="M477" s="95"/>
      <c r="N477" s="95"/>
      <c r="O477" s="95"/>
      <c r="P477" s="95"/>
    </row>
    <row r="478" spans="1:16" ht="15.6">
      <c r="A478" s="137"/>
      <c r="B478" s="137"/>
      <c r="C478" s="137"/>
      <c r="D478" s="137"/>
      <c r="E478" s="95"/>
      <c r="F478" s="95"/>
      <c r="G478" s="95"/>
      <c r="H478" s="95"/>
      <c r="I478" s="95"/>
      <c r="J478" s="95"/>
      <c r="K478" s="95"/>
      <c r="L478" s="95"/>
      <c r="M478" s="95"/>
      <c r="N478" s="95"/>
      <c r="O478" s="95"/>
      <c r="P478" s="95"/>
    </row>
    <row r="479" spans="1:16" ht="15.6">
      <c r="A479" s="137"/>
      <c r="B479" s="137"/>
      <c r="C479" s="137"/>
      <c r="D479" s="137"/>
      <c r="E479" s="95"/>
      <c r="F479" s="95"/>
      <c r="G479" s="95"/>
      <c r="H479" s="95"/>
      <c r="I479" s="95"/>
      <c r="J479" s="95"/>
      <c r="K479" s="95"/>
      <c r="L479" s="95"/>
      <c r="M479" s="95"/>
      <c r="N479" s="95"/>
      <c r="O479" s="95"/>
      <c r="P479" s="95"/>
    </row>
    <row r="480" spans="1:16" ht="15.6">
      <c r="A480" s="137"/>
      <c r="B480" s="137"/>
      <c r="C480" s="137"/>
      <c r="D480" s="137"/>
      <c r="E480" s="95"/>
      <c r="F480" s="95"/>
      <c r="G480" s="95"/>
      <c r="H480" s="95"/>
      <c r="I480" s="95"/>
      <c r="J480" s="95"/>
      <c r="K480" s="95"/>
      <c r="L480" s="95"/>
      <c r="M480" s="95"/>
      <c r="N480" s="95"/>
      <c r="O480" s="95"/>
      <c r="P480" s="95"/>
    </row>
    <row r="481" spans="1:16" ht="15.6">
      <c r="A481" s="137"/>
      <c r="B481" s="137"/>
      <c r="C481" s="137"/>
      <c r="D481" s="137"/>
      <c r="E481" s="95"/>
      <c r="F481" s="95"/>
      <c r="G481" s="95"/>
      <c r="H481" s="95"/>
      <c r="I481" s="95"/>
      <c r="J481" s="95"/>
      <c r="K481" s="95"/>
      <c r="L481" s="95"/>
      <c r="M481" s="95"/>
      <c r="N481" s="95"/>
      <c r="O481" s="95"/>
      <c r="P481" s="95"/>
    </row>
    <row r="482" spans="1:16" ht="15.6">
      <c r="A482" s="137"/>
      <c r="B482" s="137"/>
      <c r="C482" s="137"/>
      <c r="D482" s="137"/>
      <c r="E482" s="95"/>
      <c r="F482" s="95"/>
      <c r="G482" s="95"/>
      <c r="H482" s="95"/>
      <c r="I482" s="95"/>
      <c r="J482" s="95"/>
      <c r="K482" s="95"/>
      <c r="L482" s="95"/>
      <c r="M482" s="95"/>
      <c r="N482" s="95"/>
      <c r="O482" s="95"/>
      <c r="P482" s="95"/>
    </row>
    <row r="483" spans="1:16" ht="15.6">
      <c r="A483" s="137"/>
      <c r="B483" s="137"/>
      <c r="C483" s="137"/>
      <c r="D483" s="137"/>
      <c r="E483" s="95"/>
      <c r="F483" s="95"/>
      <c r="G483" s="95"/>
      <c r="H483" s="95"/>
      <c r="I483" s="95"/>
      <c r="J483" s="95"/>
      <c r="K483" s="95"/>
      <c r="L483" s="95"/>
      <c r="M483" s="95"/>
      <c r="N483" s="95"/>
      <c r="O483" s="95"/>
      <c r="P483" s="95"/>
    </row>
    <row r="484" spans="1:16" ht="15.6">
      <c r="A484" s="137"/>
      <c r="B484" s="137"/>
      <c r="C484" s="137"/>
      <c r="D484" s="137"/>
      <c r="E484" s="95"/>
      <c r="F484" s="95"/>
      <c r="G484" s="95"/>
      <c r="H484" s="95"/>
      <c r="I484" s="95"/>
      <c r="J484" s="95"/>
      <c r="K484" s="95"/>
      <c r="L484" s="95"/>
      <c r="M484" s="95"/>
      <c r="N484" s="95"/>
      <c r="O484" s="95"/>
      <c r="P484" s="95"/>
    </row>
    <row r="485" spans="1:16" ht="15.6">
      <c r="A485" s="137"/>
      <c r="B485" s="137"/>
      <c r="C485" s="137"/>
      <c r="D485" s="137"/>
      <c r="E485" s="95"/>
      <c r="F485" s="95"/>
      <c r="G485" s="95"/>
      <c r="H485" s="95"/>
      <c r="I485" s="95"/>
      <c r="J485" s="95"/>
      <c r="K485" s="95"/>
      <c r="L485" s="95"/>
      <c r="M485" s="95"/>
      <c r="N485" s="95"/>
      <c r="O485" s="95"/>
      <c r="P485" s="95"/>
    </row>
    <row r="486" spans="2:16" ht="15.6">
      <c r="B486" s="137"/>
      <c r="C486" s="137"/>
      <c r="D486" s="137"/>
      <c r="E486" s="95"/>
      <c r="F486" s="95"/>
      <c r="G486" s="95"/>
      <c r="H486" s="95"/>
      <c r="I486" s="95"/>
      <c r="J486" s="95"/>
      <c r="K486" s="95"/>
      <c r="L486" s="95"/>
      <c r="M486" s="95"/>
      <c r="N486" s="95"/>
      <c r="O486" s="95"/>
      <c r="P486" s="95"/>
    </row>
    <row r="487" spans="2:16" ht="15.6">
      <c r="B487" s="137"/>
      <c r="C487" s="137"/>
      <c r="D487" s="137"/>
      <c r="E487" s="95"/>
      <c r="F487" s="95"/>
      <c r="G487" s="95"/>
      <c r="H487" s="95"/>
      <c r="I487" s="95"/>
      <c r="J487" s="95"/>
      <c r="K487" s="95"/>
      <c r="L487" s="95"/>
      <c r="M487" s="95"/>
      <c r="N487" s="95"/>
      <c r="O487" s="95"/>
      <c r="P487" s="95"/>
    </row>
  </sheetData>
  <customSheetViews>
    <customSheetView guid="{dc91def3-837b-4bb9-a81e-3b78c5914e6c}" showPageBreaks="1" topLeftCell="A76">
      <selection pane="topLeft" activeCell="D86" sqref="D86:E88"/>
      <rowBreaks count="2" manualBreakCount="2">
        <brk id="57" max="16383" man="1"/>
        <brk id="108" max="16383" man="1"/>
      </rowBreaks>
      <pageMargins left="0.75" right="0.5" top="1" bottom="0.5" header="0.5" footer="0.5"/>
      <printOptions horizontalCentered="1"/>
      <pageSetup fitToHeight="3" orientation="portrait" paperSize="1" scale="65" r:id="rId3"/>
      <headerFooter alignWithMargins="0">
        <oddHeader xml:space="preserve">&amp;L&amp;"Arial,Bold"&amp;11
&amp;R&amp;12Page &amp;P of &amp;N
</oddHeader>
      </headerFooter>
    </customSheetView>
    <customSheetView guid="{28948e05-8f34-4f1e-96fb-a80a6a844600}" showPageBreaks="1" topLeftCell="A70">
      <selection pane="topLeft" activeCell="D85" sqref="D85"/>
      <rowBreaks count="2" manualBreakCount="2">
        <brk id="57" max="16383" man="1"/>
        <brk id="108" max="16383" man="1"/>
      </rowBreaks>
      <pageMargins left="0.75" right="0.5" top="1" bottom="0.5" header="0.5" footer="0.5"/>
      <printOptions horizontalCentered="1"/>
      <pageSetup fitToHeight="3" orientation="portrait" paperSize="1" scale="65" r:id="rId4"/>
      <headerFooter alignWithMargins="0">
        <oddHeader xml:space="preserve">&amp;L&amp;"Arial,Bold"&amp;11
&amp;R&amp;12Page &amp;P of &amp;N
</oddHeader>
      </headerFooter>
    </customSheetView>
    <customSheetView guid="{71b42b22-a376-44b5-b0c1-23fc1aa3dba2}" topLeftCell="A70">
      <selection pane="topLeft" activeCell="D85" sqref="D85"/>
      <rowBreaks count="2" manualBreakCount="2">
        <brk id="57" max="16383" man="1"/>
        <brk id="108" max="16383" man="1"/>
      </rowBreaks>
      <pageMargins left="0.75" right="0.5" top="1" bottom="0.5" header="0.5" footer="0.5"/>
      <printOptions horizontalCentered="1"/>
      <pageSetup fitToHeight="3" orientation="portrait" paperSize="1" scale="65" r:id="rId5"/>
      <headerFooter alignWithMargins="0">
        <oddHeader xml:space="preserve">&amp;L&amp;"Arial,Bold"&amp;11
&amp;R&amp;"Arial,Bold"&amp;11Page &amp;P of &amp;N
</oddHeader>
      </headerFooter>
    </customSheetView>
    <customSheetView guid="{faad9aac-1337-43ab-bf1f-ccf9dfcf5b78}"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paperSize="1" scale="65" r:id="rId6"/>
      <headerFooter alignWithMargins="0">
        <oddHeader xml:space="preserve">&amp;L&amp;"Arial,Bold"&amp;11
&amp;R&amp;12Page &amp;P of &amp;N
</oddHeader>
      </headerFooter>
    </customSheetView>
    <customSheetView guid="{4c7c2344-134c-465a-adeb-a5e96aae2308}" showPageBreaks="1"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paperSize="1" scale="65" r:id="rId7"/>
      <headerFooter alignWithMargins="0">
        <oddHeader xml:space="preserve">&amp;L&amp;"Arial,Bold"&amp;11
&amp;R&amp;12Page &amp;P of &amp;N
</oddHeader>
      </headerFooter>
    </customSheetView>
    <customSheetView guid="{da967730-b71f-4038-b1b7-9d4790729c5d}" showPageBreaks="1"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paperSize="1" scale="65" r:id="rId8"/>
      <headerFooter alignWithMargins="0">
        <oddHeader xml:space="preserve">&amp;L&amp;"Arial,Bold"&amp;11
&amp;R&amp;12Page &amp;P of &amp;N
</oddHeader>
      </headerFooter>
    </customSheetView>
    <customSheetView guid="{f96d6087-3330-4a81-95ec-26ba83722a49}" showPageBreaks="1"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paperSize="1" scale="65" r:id="rId9"/>
      <headerFooter alignWithMargins="0">
        <oddHeader xml:space="preserve">&amp;L&amp;"Arial,Bold"&amp;11
&amp;R&amp;12Page &amp;P of &amp;N
</oddHeader>
      </headerFooter>
    </customSheetView>
    <customSheetView guid="{3a38df7a-c35e-4dd3-9893-26310a3ef836}" showPageBreaks="1" topLeftCell="A19">
      <selection pane="topLeft" activeCell="E33" sqref="E33:E44"/>
      <rowBreaks count="2" manualBreakCount="2">
        <brk id="57" max="16383" man="1"/>
        <brk id="108" max="16383" man="1"/>
      </rowBreaks>
      <pageMargins left="0.75" right="0.5" top="1" bottom="0.5" header="0.5" footer="0.5"/>
      <printOptions horizontalCentered="1"/>
      <pageSetup fitToHeight="3" orientation="portrait" paperSize="1" scale="65" r:id="rId10"/>
      <headerFooter alignWithMargins="0">
        <oddHeader xml:space="preserve">&amp;L&amp;"Arial,Bold"&amp;11
&amp;R&amp;12Page &amp;P of &amp;N
</oddHeader>
      </headerFooter>
    </customSheetView>
  </customSheetViews>
  <mergeCells count="24">
    <mergeCell ref="X28:AB28"/>
    <mergeCell ref="E17:O17"/>
    <mergeCell ref="E18:O18"/>
    <mergeCell ref="H22:L22"/>
    <mergeCell ref="N150:V150"/>
    <mergeCell ref="N170:V170"/>
    <mergeCell ref="N190:V190"/>
    <mergeCell ref="N210:V210"/>
    <mergeCell ref="A1:T1"/>
    <mergeCell ref="A3:T3"/>
    <mergeCell ref="N29:V29"/>
    <mergeCell ref="N49:V49"/>
    <mergeCell ref="N67:V67"/>
    <mergeCell ref="N85:V85"/>
    <mergeCell ref="N105:V105"/>
    <mergeCell ref="D422:V422"/>
    <mergeCell ref="N230:V230"/>
    <mergeCell ref="E340:O340"/>
    <mergeCell ref="L341:N341"/>
    <mergeCell ref="N344:V344"/>
    <mergeCell ref="E378:O378"/>
    <mergeCell ref="N250:V250"/>
    <mergeCell ref="N270:V270"/>
    <mergeCell ref="N291:V291"/>
  </mergeCells>
  <printOptions horizontalCentered="1"/>
  <pageMargins left="0" right="0" top="0.5" bottom="0.5" header="0.5" footer="0.5"/>
  <pageSetup fitToHeight="3" orientation="landscape" paperSize="1" scale="31" r:id="rId2"/>
  <headerFooter alignWithMargins="0">
    <oddHeader xml:space="preserve">&amp;L&amp;"Arial,Bold"&amp;11
&amp;R&amp;14EXHIBIT NO. TRC-203
ATTACHMENT H-18A
Page &amp;P of &amp;N
</oddHeader>
  </headerFooter>
  <rowBreaks count="6" manualBreakCount="6">
    <brk id="84" max="21" man="1"/>
    <brk id="122" max="21" man="1"/>
    <brk id="187" max="21" man="1"/>
    <brk id="288" max="21" man="1"/>
    <brk id="339" max="21" man="1"/>
    <brk id="441" max="21" man="1"/>
  </rowBreaks>
  <colBreaks count="1" manualBreakCount="1">
    <brk id="22" max="167" man="1"/>
  </col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JC97"/>
  <sheetViews>
    <sheetView view="pageBreakPreview" zoomScale="80" zoomScaleNormal="75" zoomScaleSheetLayoutView="80" workbookViewId="0" topLeftCell="A1">
      <selection pane="topLeft" activeCell="IT55" sqref="IT55"/>
    </sheetView>
  </sheetViews>
  <sheetFormatPr defaultRowHeight="13.2"/>
  <cols>
    <col min="1" max="1" width="9.11111111111111" style="108"/>
    <col min="2" max="2" width="47.5555555555556" style="230" customWidth="1"/>
    <col min="3" max="3" width="17" customWidth="1"/>
    <col min="4" max="4" width="11.8888888888889" style="108" customWidth="1"/>
    <col min="5" max="5" width="16.4444444444444" customWidth="1"/>
    <col min="6" max="6" width="15.4444444444444" bestFit="1" customWidth="1"/>
    <col min="7" max="7" width="14.1111111111111" customWidth="1"/>
    <col min="8" max="8" width="15.8888888888889" customWidth="1"/>
    <col min="9" max="9" width="16" style="240" bestFit="1" customWidth="1"/>
    <col min="10" max="10" width="13.4444444444444" bestFit="1" customWidth="1"/>
    <col min="11" max="11" width="12.4444444444444" customWidth="1"/>
    <col min="12" max="12" width="16.4444444444444" customWidth="1"/>
    <col min="13" max="13" width="13.5555555555556" customWidth="1"/>
    <col min="14" max="14" width="14.8888888888889" bestFit="1" customWidth="1"/>
    <col min="15" max="15" width="15" customWidth="1"/>
    <col min="16" max="16" width="15.5555555555556" customWidth="1"/>
    <col min="17" max="17" width="13.4444444444444" customWidth="1"/>
    <col min="18" max="18" width="12.8888888888889" customWidth="1"/>
    <col min="19" max="19" width="15" customWidth="1"/>
    <col min="20" max="20" width="16.4444444444444" customWidth="1"/>
    <col min="21" max="21" width="12.4444444444444" customWidth="1"/>
    <col min="22" max="22" width="13.5555555555556" customWidth="1"/>
    <col min="23" max="23" width="15.4444444444444" customWidth="1"/>
    <col min="24" max="24" width="16" customWidth="1"/>
    <col min="25" max="26" width="13" customWidth="1"/>
    <col min="27" max="27" width="15.4444444444444" customWidth="1"/>
    <col min="28" max="28" width="15.8888888888889" customWidth="1"/>
    <col min="29" max="29" width="14.1111111111111" customWidth="1"/>
    <col min="30" max="30" width="13" customWidth="1"/>
    <col min="31" max="31" width="14" customWidth="1"/>
    <col min="32" max="32" width="15.5555555555556" customWidth="1"/>
    <col min="33" max="33" width="13.1111111111111" customWidth="1"/>
    <col min="34" max="34" width="13.4444444444444" customWidth="1"/>
    <col min="35" max="35" width="14.4444444444444" customWidth="1"/>
    <col min="36" max="36" width="15.4444444444444" customWidth="1"/>
    <col min="37" max="37" width="14" customWidth="1"/>
    <col min="38" max="38" width="12.8888888888889" customWidth="1"/>
    <col min="39" max="39" width="12.5555555555556" customWidth="1"/>
    <col min="40" max="40" width="15.5555555555556" customWidth="1"/>
    <col min="41" max="41" width="13" customWidth="1"/>
    <col min="42" max="42" width="12.8888888888889" customWidth="1"/>
    <col min="43" max="43" width="14.5555555555556" customWidth="1"/>
    <col min="44" max="44" width="13.5555555555556" customWidth="1"/>
    <col min="45" max="45" width="15.4444444444444" customWidth="1"/>
    <col min="46" max="46" width="12.8888888888889" customWidth="1"/>
    <col min="47" max="47" width="15.1111111111111" customWidth="1"/>
    <col min="48" max="48" width="18.4444444444444" customWidth="1"/>
    <col min="49" max="49" width="12.4444444444444" customWidth="1"/>
    <col min="50" max="50" width="13" customWidth="1"/>
    <col min="51" max="51" width="15.1111111111111" customWidth="1"/>
    <col min="52" max="52" width="13.5555555555556" customWidth="1"/>
    <col min="53" max="94" width="13.8888888888889" customWidth="1"/>
    <col min="95" max="95" width="16" bestFit="1" customWidth="1"/>
    <col min="96" max="98" width="13.8888888888889" customWidth="1"/>
    <col min="99" max="99" width="16" bestFit="1" customWidth="1"/>
    <col min="100" max="230" width="13.8888888888889" customWidth="1"/>
    <col min="231" max="231" width="19" customWidth="1"/>
    <col min="232" max="233" width="11.1111111111111" customWidth="1"/>
    <col min="234" max="234" width="15.1111111111111" customWidth="1"/>
    <col min="235" max="244" width="15.5555555555556" customWidth="1"/>
    <col min="245" max="245" width="14" customWidth="1"/>
    <col min="246" max="246" width="13" customWidth="1"/>
    <col min="247" max="247" width="11.1111111111111" customWidth="1"/>
    <col min="248" max="248" width="15.5555555555556" customWidth="1"/>
    <col min="249" max="249" width="13" customWidth="1"/>
    <col min="250" max="250" width="16.8888888888889" customWidth="1"/>
    <col min="251" max="251" width="12.5555555555556" customWidth="1"/>
    <col min="252" max="253" width="15.5555555555556" customWidth="1"/>
    <col min="254" max="254" width="14.8888888888889" customWidth="1"/>
    <col min="255" max="255" width="131.111111111111" hidden="1" customWidth="1"/>
    <col min="256" max="256" width="15.5555555555556" customWidth="1"/>
    <col min="257" max="257" width="14" customWidth="1"/>
    <col min="258" max="258" width="13" customWidth="1"/>
    <col min="259" max="259" width="15.5555555555556" customWidth="1"/>
    <col min="260" max="260" width="19.1111111111111" customWidth="1"/>
    <col min="261" max="261" width="17.1111111111111" customWidth="1"/>
    <col min="262" max="262" width="15.8888888888889" customWidth="1"/>
    <col min="263" max="263" width="17.1111111111111" customWidth="1"/>
  </cols>
  <sheetData>
    <row r="1" spans="2:262" ht="17.4">
      <c r="B1" s="350"/>
      <c r="E1" s="310" t="s">
        <v>368</v>
      </c>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c r="CL1" s="310"/>
      <c r="CM1" s="310"/>
      <c r="CN1" s="310"/>
      <c r="CO1" s="310"/>
      <c r="CP1" s="310"/>
      <c r="CQ1" s="310"/>
      <c r="CR1" s="310"/>
      <c r="CS1" s="310"/>
      <c r="CT1" s="310"/>
      <c r="CU1" s="310"/>
      <c r="CV1" s="310"/>
      <c r="CW1" s="310"/>
      <c r="CX1" s="310"/>
      <c r="CY1" s="310"/>
      <c r="CZ1" s="310"/>
      <c r="DA1" s="310"/>
      <c r="DB1" s="310"/>
      <c r="DC1" s="310"/>
      <c r="DD1" s="310"/>
      <c r="DE1" s="310"/>
      <c r="DF1" s="310"/>
      <c r="DG1" s="310"/>
      <c r="DH1" s="310"/>
      <c r="DI1" s="310"/>
      <c r="DJ1" s="310"/>
      <c r="DK1" s="310"/>
      <c r="DL1" s="310"/>
      <c r="DM1" s="310"/>
      <c r="DN1" s="310"/>
      <c r="DO1" s="310"/>
      <c r="DP1" s="310"/>
      <c r="DQ1" s="310"/>
      <c r="DR1" s="310"/>
      <c r="DS1" s="310"/>
      <c r="DT1" s="310"/>
      <c r="DU1" s="310"/>
      <c r="DV1" s="310"/>
      <c r="DW1" s="310"/>
      <c r="DX1" s="310"/>
      <c r="DY1" s="310"/>
      <c r="DZ1" s="310"/>
      <c r="EA1" s="310"/>
      <c r="EB1" s="310"/>
      <c r="EC1" s="310"/>
      <c r="ED1" s="310"/>
      <c r="EE1" s="310"/>
      <c r="EF1" s="310"/>
      <c r="EG1" s="310"/>
      <c r="EH1" s="310"/>
      <c r="EI1" s="310"/>
      <c r="EJ1" s="310"/>
      <c r="EK1" s="310"/>
      <c r="EL1" s="310"/>
      <c r="EM1" s="310"/>
      <c r="EN1" s="310"/>
      <c r="EO1" s="310"/>
      <c r="EP1" s="310"/>
      <c r="EQ1" s="310"/>
      <c r="ER1" s="310"/>
      <c r="ES1" s="310"/>
      <c r="ET1" s="310"/>
      <c r="EU1" s="310"/>
      <c r="EV1" s="310"/>
      <c r="EW1" s="310"/>
      <c r="EX1" s="310"/>
      <c r="EY1" s="310"/>
      <c r="EZ1" s="310"/>
      <c r="FA1" s="310"/>
      <c r="FB1" s="310"/>
      <c r="FC1" s="310"/>
      <c r="FD1" s="310"/>
      <c r="FE1" s="310"/>
      <c r="FF1" s="310"/>
      <c r="FG1" s="310"/>
      <c r="FH1" s="310"/>
      <c r="FI1" s="310"/>
      <c r="FJ1" s="310"/>
      <c r="FK1" s="310"/>
      <c r="FL1" s="310"/>
      <c r="FM1" s="310"/>
      <c r="FN1" s="310"/>
      <c r="FO1" s="310"/>
      <c r="FP1" s="310"/>
      <c r="FQ1" s="310"/>
      <c r="FR1" s="310"/>
      <c r="FS1" s="310"/>
      <c r="FT1" s="310"/>
      <c r="FU1" s="310"/>
      <c r="FV1" s="310"/>
      <c r="FW1" s="310"/>
      <c r="FX1" s="310"/>
      <c r="FY1" s="310"/>
      <c r="FZ1" s="310"/>
      <c r="GA1" s="310"/>
      <c r="GB1" s="310"/>
      <c r="GC1" s="310"/>
      <c r="GD1" s="310"/>
      <c r="GE1" s="310"/>
      <c r="GF1" s="310"/>
      <c r="GG1" s="310"/>
      <c r="GH1" s="310"/>
      <c r="GI1" s="310"/>
      <c r="GJ1" s="310"/>
      <c r="GK1" s="310"/>
      <c r="GL1" s="310"/>
      <c r="GM1" s="310"/>
      <c r="GN1" s="310"/>
      <c r="GO1" s="310"/>
      <c r="GP1" s="310"/>
      <c r="GQ1" s="310"/>
      <c r="GR1" s="310"/>
      <c r="GS1" s="310"/>
      <c r="GT1" s="310"/>
      <c r="GU1" s="310"/>
      <c r="GV1" s="310"/>
      <c r="GW1" s="310"/>
      <c r="GX1" s="310"/>
      <c r="GY1" s="310"/>
      <c r="GZ1" s="310"/>
      <c r="HA1" s="310"/>
      <c r="HB1" s="310"/>
      <c r="HC1" s="310"/>
      <c r="HD1" s="310"/>
      <c r="HE1" s="310"/>
      <c r="HF1" s="310"/>
      <c r="HG1" s="310"/>
      <c r="HH1" s="310"/>
      <c r="HI1" s="310"/>
      <c r="HJ1" s="310"/>
      <c r="HK1" s="310"/>
      <c r="HL1" s="310"/>
      <c r="HM1" s="310"/>
      <c r="HN1" s="310"/>
      <c r="HO1" s="310"/>
      <c r="HP1" s="310"/>
      <c r="HQ1" s="310"/>
      <c r="HR1" s="310"/>
      <c r="HS1" s="310"/>
      <c r="HT1" s="310"/>
      <c r="HU1" s="310"/>
      <c r="HV1" s="310"/>
      <c r="HW1" s="310"/>
      <c r="HX1" s="310"/>
      <c r="HY1" s="310"/>
      <c r="HZ1" s="310"/>
      <c r="IA1" s="310"/>
      <c r="IB1" s="310"/>
      <c r="IC1" s="310"/>
      <c r="ID1" s="310"/>
      <c r="IE1" s="310"/>
      <c r="IF1" s="310"/>
      <c r="IG1" s="310"/>
      <c r="IH1" s="310"/>
      <c r="II1" s="310"/>
      <c r="IJ1" s="310"/>
      <c r="IK1" s="310"/>
      <c r="IL1" s="310"/>
      <c r="IM1" s="310"/>
      <c r="IN1" s="310"/>
      <c r="IO1" s="310"/>
      <c r="IP1" s="310"/>
      <c r="IQ1" s="310"/>
      <c r="IR1" s="310"/>
      <c r="IS1" s="310"/>
      <c r="IT1" s="310"/>
      <c r="IU1" s="310"/>
      <c r="IV1" s="310"/>
      <c r="IW1" s="310"/>
      <c r="IX1" s="310"/>
      <c r="IY1" s="310"/>
      <c r="IZ1" s="310"/>
      <c r="JA1" s="310"/>
      <c r="JB1" s="310"/>
    </row>
    <row r="2" spans="9:9" ht="13.2">
      <c r="I2"/>
    </row>
    <row r="3" spans="5:262" ht="17.4">
      <c r="E3" s="310" t="s">
        <v>336</v>
      </c>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10"/>
      <c r="DX3" s="310"/>
      <c r="DY3" s="310"/>
      <c r="DZ3" s="310"/>
      <c r="EA3" s="310"/>
      <c r="EB3" s="310"/>
      <c r="EC3" s="310"/>
      <c r="ED3" s="310"/>
      <c r="EE3" s="310"/>
      <c r="EF3" s="310"/>
      <c r="EG3" s="310"/>
      <c r="EH3" s="310"/>
      <c r="EI3" s="310"/>
      <c r="EJ3" s="310"/>
      <c r="EK3" s="310"/>
      <c r="EL3" s="310"/>
      <c r="EM3" s="310"/>
      <c r="EN3" s="310"/>
      <c r="EO3" s="310"/>
      <c r="EP3" s="310"/>
      <c r="EQ3" s="310"/>
      <c r="ER3" s="310"/>
      <c r="ES3" s="310"/>
      <c r="ET3" s="310"/>
      <c r="EU3" s="310"/>
      <c r="EV3" s="310"/>
      <c r="EW3" s="310"/>
      <c r="EX3" s="310"/>
      <c r="EY3" s="310"/>
      <c r="EZ3" s="310"/>
      <c r="FA3" s="310"/>
      <c r="FB3" s="310"/>
      <c r="FC3" s="310"/>
      <c r="FD3" s="310"/>
      <c r="FE3" s="310"/>
      <c r="FF3" s="310"/>
      <c r="FG3" s="310"/>
      <c r="FH3" s="310"/>
      <c r="FI3" s="310"/>
      <c r="FJ3" s="310"/>
      <c r="FK3" s="310"/>
      <c r="FL3" s="310"/>
      <c r="FM3" s="310"/>
      <c r="FN3" s="310"/>
      <c r="FO3" s="310"/>
      <c r="FP3" s="310"/>
      <c r="FQ3" s="310"/>
      <c r="FR3" s="310"/>
      <c r="FS3" s="310"/>
      <c r="FT3" s="310"/>
      <c r="FU3" s="310"/>
      <c r="FV3" s="310"/>
      <c r="FW3" s="310"/>
      <c r="FX3" s="310"/>
      <c r="FY3" s="310"/>
      <c r="FZ3" s="310"/>
      <c r="GA3" s="310"/>
      <c r="GB3" s="310"/>
      <c r="GC3" s="310"/>
      <c r="GD3" s="310"/>
      <c r="GE3" s="310"/>
      <c r="GF3" s="310"/>
      <c r="GG3" s="310"/>
      <c r="GH3" s="310"/>
      <c r="GI3" s="310"/>
      <c r="GJ3" s="310"/>
      <c r="GK3" s="310"/>
      <c r="GL3" s="310"/>
      <c r="GM3" s="310"/>
      <c r="GN3" s="310"/>
      <c r="GO3" s="310"/>
      <c r="GP3" s="310"/>
      <c r="GQ3" s="310"/>
      <c r="GR3" s="310"/>
      <c r="GS3" s="310"/>
      <c r="GT3" s="310"/>
      <c r="GU3" s="310"/>
      <c r="GV3" s="310"/>
      <c r="GW3" s="310"/>
      <c r="GX3" s="310"/>
      <c r="GY3" s="310"/>
      <c r="GZ3" s="310"/>
      <c r="HA3" s="310"/>
      <c r="HB3" s="310"/>
      <c r="HC3" s="310"/>
      <c r="HD3" s="310"/>
      <c r="HE3" s="310"/>
      <c r="HF3" s="310"/>
      <c r="HG3" s="310"/>
      <c r="HH3" s="310"/>
      <c r="HI3" s="310"/>
      <c r="HJ3" s="310"/>
      <c r="HK3" s="310"/>
      <c r="HL3" s="310"/>
      <c r="HM3" s="310"/>
      <c r="HN3" s="310"/>
      <c r="HO3" s="310"/>
      <c r="HP3" s="310"/>
      <c r="HQ3" s="310"/>
      <c r="HR3" s="310"/>
      <c r="HS3" s="310"/>
      <c r="HT3" s="310"/>
      <c r="HU3" s="310"/>
      <c r="HV3" s="310"/>
      <c r="HW3" s="310"/>
      <c r="HX3" s="310"/>
      <c r="HY3" s="310"/>
      <c r="HZ3" s="310"/>
      <c r="IA3" s="310"/>
      <c r="IB3" s="310"/>
      <c r="IC3" s="310"/>
      <c r="ID3" s="310"/>
      <c r="IE3" s="310"/>
      <c r="IF3" s="310"/>
      <c r="IG3" s="310"/>
      <c r="IH3" s="310"/>
      <c r="II3" s="310"/>
      <c r="IJ3" s="310"/>
      <c r="IK3" s="310"/>
      <c r="IL3" s="310"/>
      <c r="IM3" s="310"/>
      <c r="IN3" s="310"/>
      <c r="IO3" s="310"/>
      <c r="IP3" s="310"/>
      <c r="IQ3" s="310"/>
      <c r="IR3" s="310"/>
      <c r="IS3" s="310"/>
      <c r="IT3" s="310"/>
      <c r="IU3" s="310"/>
      <c r="IV3" s="310"/>
      <c r="IW3" s="310"/>
      <c r="IX3" s="310"/>
      <c r="IY3" s="310"/>
      <c r="IZ3" s="310"/>
      <c r="JA3" s="310"/>
      <c r="JB3" s="310"/>
    </row>
    <row r="4" spans="6:9" ht="13.2">
      <c r="F4" s="108"/>
      <c r="G4" s="108"/>
      <c r="I4"/>
    </row>
    <row r="5" spans="6:9" ht="13.2">
      <c r="F5" s="108"/>
      <c r="G5" s="108"/>
      <c r="I5"/>
    </row>
    <row r="6" spans="1:9" ht="15.6">
      <c r="A6" s="108">
        <v>1</v>
      </c>
      <c r="E6" s="1" t="s">
        <v>212</v>
      </c>
      <c r="F6" s="108"/>
      <c r="G6" s="108"/>
      <c r="I6"/>
    </row>
    <row r="7" spans="6:9" ht="13.8" thickBot="1">
      <c r="F7" s="108"/>
      <c r="G7" s="108"/>
      <c r="I7"/>
    </row>
    <row r="8" spans="1:16" ht="13.2">
      <c r="A8" s="108">
        <v>2</v>
      </c>
      <c r="E8" s="422" t="s">
        <v>344</v>
      </c>
      <c r="F8" s="336"/>
      <c r="G8" s="336"/>
      <c r="H8" s="345"/>
      <c r="I8" s="345"/>
      <c r="J8" s="345"/>
      <c r="K8" s="345"/>
      <c r="L8" s="345"/>
      <c r="M8" s="345"/>
      <c r="N8" s="345"/>
      <c r="O8" s="345"/>
      <c r="P8" s="355"/>
    </row>
    <row r="9" spans="5:16" ht="13.8" thickBot="1">
      <c r="E9" s="423"/>
      <c r="F9" s="108" t="s">
        <v>817</v>
      </c>
      <c r="G9" s="108"/>
      <c r="I9"/>
      <c r="P9" s="381"/>
    </row>
    <row r="10" spans="1:16" ht="13.2">
      <c r="A10" s="108">
        <v>3</v>
      </c>
      <c r="E10" s="352" t="s">
        <v>449</v>
      </c>
      <c r="F10" s="108">
        <f>+'Appendix A'!A237</f>
        <v>136</v>
      </c>
      <c r="G10" s="108"/>
      <c r="H10" s="416" t="str">
        <f>'Appendix A'!C237</f>
        <v>FCR  without Depreciation</v>
      </c>
      <c r="I10" s="345"/>
      <c r="J10" s="345"/>
      <c r="K10" s="345"/>
      <c r="L10" s="345"/>
      <c r="M10" s="345"/>
      <c r="N10" s="345"/>
      <c r="O10" s="417">
        <f>+'Appendix A'!H237</f>
        <v>0.11477830196489683</v>
      </c>
      <c r="P10" s="381"/>
    </row>
    <row r="11" spans="1:16" ht="13.2">
      <c r="A11" s="108">
        <v>4</v>
      </c>
      <c r="E11" s="352" t="s">
        <v>525</v>
      </c>
      <c r="F11" s="108">
        <f>+'Appendix A'!A248</f>
        <v>144</v>
      </c>
      <c r="G11" s="108"/>
      <c r="H11" s="418" t="str">
        <f>'Appendix A'!C248</f>
        <v>FCR with Incentive ROE without Depreciation</v>
      </c>
      <c r="I11"/>
      <c r="O11" s="419">
        <f>+'Appendix A'!H248</f>
        <v>0.12118860546476623</v>
      </c>
      <c r="P11" s="381"/>
    </row>
    <row r="12" spans="1:16" ht="13.2">
      <c r="A12" s="108">
        <v>5</v>
      </c>
      <c r="B12" s="108"/>
      <c r="E12" s="352" t="s">
        <v>432</v>
      </c>
      <c r="F12" s="108"/>
      <c r="G12" s="108"/>
      <c r="H12" s="265" t="s">
        <v>811</v>
      </c>
      <c r="I12"/>
      <c r="O12" s="419">
        <f>+O11-O10</f>
        <v>0.006410303499869402</v>
      </c>
      <c r="P12" s="381"/>
    </row>
    <row r="13" spans="2:16" ht="13.2">
      <c r="B13" s="108"/>
      <c r="E13" s="265"/>
      <c r="F13" s="108"/>
      <c r="G13" s="108"/>
      <c r="H13" s="265"/>
      <c r="I13"/>
      <c r="O13" s="419"/>
      <c r="P13" s="381"/>
    </row>
    <row r="14" spans="1:16" ht="13.2">
      <c r="A14" s="108">
        <v>6</v>
      </c>
      <c r="B14" s="108"/>
      <c r="E14" s="423" t="s">
        <v>809</v>
      </c>
      <c r="F14" s="108"/>
      <c r="G14" s="108"/>
      <c r="H14" s="265"/>
      <c r="I14"/>
      <c r="O14" s="419"/>
      <c r="P14" s="381"/>
    </row>
    <row r="15" spans="1:16" ht="13.2">
      <c r="A15" s="257"/>
      <c r="B15" s="108"/>
      <c r="E15" s="423"/>
      <c r="F15" s="108"/>
      <c r="G15" s="108"/>
      <c r="H15" s="265"/>
      <c r="I15"/>
      <c r="O15" s="419"/>
      <c r="P15" s="381"/>
    </row>
    <row r="16" spans="1:16" ht="13.8" thickBot="1">
      <c r="A16" s="108">
        <v>7</v>
      </c>
      <c r="E16" s="352" t="s">
        <v>450</v>
      </c>
      <c r="F16" s="108">
        <f>+'Appendix A'!A238</f>
        <v>137</v>
      </c>
      <c r="G16" s="108"/>
      <c r="H16" s="420" t="str">
        <f>+'Appendix A'!C238</f>
        <v>FCR without Depreciation and Pre-Commercial Costs</v>
      </c>
      <c r="I16" s="129"/>
      <c r="J16" s="129"/>
      <c r="K16" s="129"/>
      <c r="L16" s="129"/>
      <c r="M16" s="129"/>
      <c r="N16" s="129"/>
      <c r="O16" s="421">
        <f>+'Appendix A'!H238</f>
        <v>0.11477830196489683</v>
      </c>
      <c r="P16" s="381"/>
    </row>
    <row r="17" spans="5:16" ht="13.8" thickBot="1">
      <c r="E17" s="424"/>
      <c r="F17" s="354"/>
      <c r="G17" s="354"/>
      <c r="H17" s="425"/>
      <c r="I17" s="129"/>
      <c r="J17" s="129"/>
      <c r="K17" s="129"/>
      <c r="L17" s="129"/>
      <c r="M17" s="129"/>
      <c r="N17" s="129"/>
      <c r="O17" s="129"/>
      <c r="P17" s="130"/>
    </row>
    <row r="18" spans="2:9" ht="17.4">
      <c r="B18" s="1555"/>
      <c r="E18" s="274"/>
      <c r="F18" s="108"/>
      <c r="G18" s="108"/>
      <c r="I18"/>
    </row>
    <row r="19" spans="1:9" ht="13.2">
      <c r="A19" s="108">
        <v>8</v>
      </c>
      <c r="E19" s="120" t="s">
        <v>353</v>
      </c>
      <c r="F19" s="108"/>
      <c r="G19" s="108"/>
      <c r="I19"/>
    </row>
    <row r="20" spans="1:9 43:44" ht="13.2">
      <c r="A20" s="108">
        <v>9</v>
      </c>
      <c r="E20" s="120" t="s">
        <v>324</v>
      </c>
      <c r="F20" s="108"/>
      <c r="G20" s="108"/>
      <c r="I20"/>
      <c r="AQ20" s="70"/>
      <c r="AR20" s="70"/>
    </row>
    <row r="21" spans="5:9" ht="13.8" thickBot="1">
      <c r="E21" s="120"/>
      <c r="F21" s="108"/>
      <c r="G21" s="108"/>
      <c r="I21"/>
    </row>
    <row r="22" spans="3:262" ht="25.5" customHeight="1" thickBot="1">
      <c r="C22" s="120"/>
      <c r="D22"/>
      <c r="E22" s="1734" t="s">
        <v>94</v>
      </c>
      <c r="F22" s="1735"/>
      <c r="G22" s="1735"/>
      <c r="H22" s="1735"/>
      <c r="I22" s="1736"/>
      <c r="J22" s="1813" t="s">
        <v>1369</v>
      </c>
      <c r="K22" s="1814"/>
      <c r="L22" s="1814"/>
      <c r="M22" s="1815"/>
      <c r="N22" s="1813" t="s">
        <v>910</v>
      </c>
      <c r="O22" s="1814"/>
      <c r="P22" s="1814"/>
      <c r="Q22" s="1815"/>
      <c r="R22" s="1813" t="s">
        <v>911</v>
      </c>
      <c r="S22" s="1814"/>
      <c r="T22" s="1814"/>
      <c r="U22" s="1815"/>
      <c r="V22" s="1810" t="s">
        <v>912</v>
      </c>
      <c r="W22" s="1811"/>
      <c r="X22" s="1811"/>
      <c r="Y22" s="1812"/>
      <c r="Z22" s="1810" t="s">
        <v>153</v>
      </c>
      <c r="AA22" s="1811"/>
      <c r="AB22" s="1811"/>
      <c r="AC22" s="1812"/>
      <c r="AD22" s="1810" t="s">
        <v>152</v>
      </c>
      <c r="AE22" s="1811"/>
      <c r="AF22" s="1811"/>
      <c r="AG22" s="1812"/>
      <c r="AH22" s="1810" t="s">
        <v>154</v>
      </c>
      <c r="AI22" s="1811"/>
      <c r="AJ22" s="1811"/>
      <c r="AK22" s="1812"/>
      <c r="AL22" s="1810" t="s">
        <v>657</v>
      </c>
      <c r="AM22" s="1811"/>
      <c r="AN22" s="1811"/>
      <c r="AO22" s="1812"/>
      <c r="AP22" s="1810" t="s">
        <v>765</v>
      </c>
      <c r="AQ22" s="1811"/>
      <c r="AR22" s="1811"/>
      <c r="AS22" s="1812"/>
      <c r="AT22" s="1810" t="s">
        <v>658</v>
      </c>
      <c r="AU22" s="1811"/>
      <c r="AV22" s="1811"/>
      <c r="AW22" s="1812"/>
      <c r="AX22" s="1810" t="s">
        <v>35</v>
      </c>
      <c r="AY22" s="1811"/>
      <c r="AZ22" s="1811"/>
      <c r="BA22" s="1812"/>
      <c r="BB22" s="1813" t="s">
        <v>969</v>
      </c>
      <c r="BC22" s="1814"/>
      <c r="BD22" s="1814"/>
      <c r="BE22" s="1815"/>
      <c r="BF22" s="1813" t="s">
        <v>952</v>
      </c>
      <c r="BG22" s="1814"/>
      <c r="BH22" s="1814"/>
      <c r="BI22" s="1815"/>
      <c r="BJ22" s="1813" t="s">
        <v>953</v>
      </c>
      <c r="BK22" s="1814"/>
      <c r="BL22" s="1814"/>
      <c r="BM22" s="1815"/>
      <c r="BN22" s="1813" t="s">
        <v>970</v>
      </c>
      <c r="BO22" s="1814"/>
      <c r="BP22" s="1814"/>
      <c r="BQ22" s="1815"/>
      <c r="BR22" s="1734" t="s">
        <v>954</v>
      </c>
      <c r="BS22" s="1735"/>
      <c r="BT22" s="1735"/>
      <c r="BU22" s="1735"/>
      <c r="BV22" s="1736"/>
      <c r="BW22" s="1734" t="s">
        <v>955</v>
      </c>
      <c r="BX22" s="1735"/>
      <c r="BY22" s="1735"/>
      <c r="BZ22" s="1735"/>
      <c r="CA22" s="1736"/>
      <c r="CB22" s="1734" t="s">
        <v>1370</v>
      </c>
      <c r="CC22" s="1735"/>
      <c r="CD22" s="1735"/>
      <c r="CE22" s="1736"/>
      <c r="CF22" s="1734" t="s">
        <v>1371</v>
      </c>
      <c r="CG22" s="1735"/>
      <c r="CH22" s="1735"/>
      <c r="CI22" s="1736"/>
      <c r="CJ22" s="1734" t="s">
        <v>1372</v>
      </c>
      <c r="CK22" s="1735"/>
      <c r="CL22" s="1735"/>
      <c r="CM22" s="1736"/>
      <c r="CN22" s="1734" t="s">
        <v>1373</v>
      </c>
      <c r="CO22" s="1735"/>
      <c r="CP22" s="1735"/>
      <c r="CQ22" s="1736"/>
      <c r="CR22" s="1734" t="s">
        <v>1374</v>
      </c>
      <c r="CS22" s="1735"/>
      <c r="CT22" s="1735"/>
      <c r="CU22" s="1736"/>
      <c r="CV22" s="1734" t="s">
        <v>1375</v>
      </c>
      <c r="CW22" s="1735"/>
      <c r="CX22" s="1735"/>
      <c r="CY22" s="1736"/>
      <c r="CZ22" s="1734" t="s">
        <v>1376</v>
      </c>
      <c r="DA22" s="1735"/>
      <c r="DB22" s="1735"/>
      <c r="DC22" s="1736"/>
      <c r="DD22" s="1734" t="s">
        <v>1022</v>
      </c>
      <c r="DE22" s="1735"/>
      <c r="DF22" s="1735"/>
      <c r="DG22" s="1736"/>
      <c r="DH22" s="1734" t="s">
        <v>1377</v>
      </c>
      <c r="DI22" s="1735"/>
      <c r="DJ22" s="1735"/>
      <c r="DK22" s="1736"/>
      <c r="DL22" s="1734" t="s">
        <v>1378</v>
      </c>
      <c r="DM22" s="1735"/>
      <c r="DN22" s="1735"/>
      <c r="DO22" s="1736"/>
      <c r="DP22" s="1734" t="s">
        <v>1379</v>
      </c>
      <c r="DQ22" s="1735"/>
      <c r="DR22" s="1735"/>
      <c r="DS22" s="1736"/>
      <c r="DT22" s="1734" t="s">
        <v>1380</v>
      </c>
      <c r="DU22" s="1735"/>
      <c r="DV22" s="1735"/>
      <c r="DW22" s="1736"/>
      <c r="DX22" s="1734" t="s">
        <v>1381</v>
      </c>
      <c r="DY22" s="1735"/>
      <c r="DZ22" s="1735"/>
      <c r="EA22" s="1736"/>
      <c r="EB22" s="1734" t="s">
        <v>1382</v>
      </c>
      <c r="EC22" s="1735"/>
      <c r="ED22" s="1735"/>
      <c r="EE22" s="1736"/>
      <c r="EF22" s="1734" t="s">
        <v>1032</v>
      </c>
      <c r="EG22" s="1735"/>
      <c r="EH22" s="1735"/>
      <c r="EI22" s="1736"/>
      <c r="EJ22" s="1734" t="s">
        <v>1383</v>
      </c>
      <c r="EK22" s="1735"/>
      <c r="EL22" s="1735"/>
      <c r="EM22" s="1736"/>
      <c r="EN22" s="1734" t="s">
        <v>1384</v>
      </c>
      <c r="EO22" s="1735"/>
      <c r="EP22" s="1735"/>
      <c r="EQ22" s="1736"/>
      <c r="ER22" s="1734" t="s">
        <v>1385</v>
      </c>
      <c r="ES22" s="1735"/>
      <c r="ET22" s="1735"/>
      <c r="EU22" s="1736"/>
      <c r="EV22" s="1734" t="s">
        <v>1386</v>
      </c>
      <c r="EW22" s="1735"/>
      <c r="EX22" s="1735"/>
      <c r="EY22" s="1736"/>
      <c r="EZ22" s="1734" t="s">
        <v>1027</v>
      </c>
      <c r="FA22" s="1735"/>
      <c r="FB22" s="1735"/>
      <c r="FC22" s="1736"/>
      <c r="FD22" s="1734" t="s">
        <v>1387</v>
      </c>
      <c r="FE22" s="1735"/>
      <c r="FF22" s="1735"/>
      <c r="FG22" s="1736"/>
      <c r="FH22" s="1734" t="s">
        <v>1388</v>
      </c>
      <c r="FI22" s="1735"/>
      <c r="FJ22" s="1735"/>
      <c r="FK22" s="1736"/>
      <c r="FL22" s="1813" t="s">
        <v>996</v>
      </c>
      <c r="FM22" s="1814"/>
      <c r="FN22" s="1814"/>
      <c r="FO22" s="1815"/>
      <c r="FP22" s="1813" t="s">
        <v>1023</v>
      </c>
      <c r="FQ22" s="1814"/>
      <c r="FR22" s="1814"/>
      <c r="FS22" s="1815"/>
      <c r="FT22" s="1813" t="s">
        <v>1024</v>
      </c>
      <c r="FU22" s="1814"/>
      <c r="FV22" s="1814"/>
      <c r="FW22" s="1815"/>
      <c r="FX22" s="1813" t="s">
        <v>1025</v>
      </c>
      <c r="FY22" s="1814"/>
      <c r="FZ22" s="1814"/>
      <c r="GA22" s="1815"/>
      <c r="GB22" s="1813" t="s">
        <v>1389</v>
      </c>
      <c r="GC22" s="1814"/>
      <c r="GD22" s="1814"/>
      <c r="GE22" s="1815"/>
      <c r="GF22" s="1813" t="s">
        <v>1026</v>
      </c>
      <c r="GG22" s="1814"/>
      <c r="GH22" s="1814"/>
      <c r="GI22" s="1815"/>
      <c r="GJ22" s="1813" t="s">
        <v>1028</v>
      </c>
      <c r="GK22" s="1814"/>
      <c r="GL22" s="1814"/>
      <c r="GM22" s="1815"/>
      <c r="GN22" s="1813" t="s">
        <v>1390</v>
      </c>
      <c r="GO22" s="1814"/>
      <c r="GP22" s="1814"/>
      <c r="GQ22" s="1815"/>
      <c r="GR22" s="1813" t="s">
        <v>1029</v>
      </c>
      <c r="GS22" s="1814"/>
      <c r="GT22" s="1814"/>
      <c r="GU22" s="1815"/>
      <c r="GV22" s="1813" t="s">
        <v>1391</v>
      </c>
      <c r="GW22" s="1814"/>
      <c r="GX22" s="1814"/>
      <c r="GY22" s="1815"/>
      <c r="GZ22" s="1813" t="s">
        <v>1030</v>
      </c>
      <c r="HA22" s="1814"/>
      <c r="HB22" s="1814"/>
      <c r="HC22" s="1815"/>
      <c r="HD22" s="1813" t="s">
        <v>1031</v>
      </c>
      <c r="HE22" s="1814"/>
      <c r="HF22" s="1814"/>
      <c r="HG22" s="1815"/>
      <c r="HH22" s="1813" t="s">
        <v>1392</v>
      </c>
      <c r="HI22" s="1814"/>
      <c r="HJ22" s="1814"/>
      <c r="HK22" s="1815"/>
      <c r="HL22" s="1813" t="s">
        <v>1393</v>
      </c>
      <c r="HM22" s="1814"/>
      <c r="HN22" s="1814"/>
      <c r="HO22" s="1815"/>
      <c r="HP22" s="1813" t="s">
        <v>1394</v>
      </c>
      <c r="HQ22" s="1814"/>
      <c r="HR22" s="1814"/>
      <c r="HS22" s="1815"/>
      <c r="HT22" s="1813" t="s">
        <v>1395</v>
      </c>
      <c r="HU22" s="1814"/>
      <c r="HV22" s="1814"/>
      <c r="HW22" s="1815"/>
      <c r="HX22" s="1810" t="s">
        <v>1396</v>
      </c>
      <c r="HY22" s="1811"/>
      <c r="HZ22" s="1811"/>
      <c r="IA22" s="1812"/>
      <c r="IB22" s="1810" t="s">
        <v>1049</v>
      </c>
      <c r="IC22" s="1811"/>
      <c r="ID22" s="1811"/>
      <c r="IE22" s="1812"/>
      <c r="IF22" s="1810" t="s">
        <v>1050</v>
      </c>
      <c r="IG22" s="1811"/>
      <c r="IH22" s="1811"/>
      <c r="II22" s="1812"/>
      <c r="IJ22" s="1810" t="s">
        <v>1051</v>
      </c>
      <c r="IK22" s="1811"/>
      <c r="IL22" s="1811"/>
      <c r="IM22" s="1812"/>
      <c r="IN22" s="1810" t="s">
        <v>1055</v>
      </c>
      <c r="IO22" s="1811"/>
      <c r="IP22" s="1811"/>
      <c r="IQ22" s="1812"/>
      <c r="IR22" s="1813"/>
      <c r="IS22" s="1814"/>
      <c r="IT22" s="1814"/>
      <c r="IU22" s="1815"/>
      <c r="IV22" s="1810" t="s">
        <v>1397</v>
      </c>
      <c r="IW22" s="1811"/>
      <c r="IX22" s="1811"/>
      <c r="IY22" s="1812"/>
      <c r="IZ22" s="112"/>
      <c r="JA22" s="112"/>
      <c r="JB22" s="112"/>
    </row>
    <row r="23" spans="1:262" ht="36.75" customHeight="1" thickBot="1">
      <c r="A23" s="108">
        <v>10</v>
      </c>
      <c r="C23" s="275" t="s">
        <v>805</v>
      </c>
      <c r="D23" s="387"/>
      <c r="E23" s="1816" t="s">
        <v>491</v>
      </c>
      <c r="F23" s="1817"/>
      <c r="G23" s="1817"/>
      <c r="H23" s="1817"/>
      <c r="I23" s="1817"/>
      <c r="J23" s="1816" t="s">
        <v>913</v>
      </c>
      <c r="K23" s="1819"/>
      <c r="L23" s="1819"/>
      <c r="M23" s="1820"/>
      <c r="N23" s="1816" t="s">
        <v>490</v>
      </c>
      <c r="O23" s="1817"/>
      <c r="P23" s="1817"/>
      <c r="Q23" s="1818"/>
      <c r="R23" s="1816" t="s">
        <v>489</v>
      </c>
      <c r="S23" s="1817"/>
      <c r="T23" s="1817"/>
      <c r="U23" s="1817"/>
      <c r="V23" s="1816" t="s">
        <v>140</v>
      </c>
      <c r="W23" s="1817"/>
      <c r="X23" s="1817"/>
      <c r="Y23" s="1818"/>
      <c r="Z23" s="1816" t="s">
        <v>149</v>
      </c>
      <c r="AA23" s="1817"/>
      <c r="AB23" s="1817"/>
      <c r="AC23" s="1818"/>
      <c r="AD23" s="1816" t="s">
        <v>150</v>
      </c>
      <c r="AE23" s="1817"/>
      <c r="AF23" s="1817"/>
      <c r="AG23" s="1818"/>
      <c r="AH23" s="1816" t="s">
        <v>151</v>
      </c>
      <c r="AI23" s="1817"/>
      <c r="AJ23" s="1817"/>
      <c r="AK23" s="1818"/>
      <c r="AL23" s="1813" t="s">
        <v>655</v>
      </c>
      <c r="AM23" s="1814"/>
      <c r="AN23" s="1814"/>
      <c r="AO23" s="1815"/>
      <c r="AP23" s="1813" t="s">
        <v>34</v>
      </c>
      <c r="AQ23" s="1814"/>
      <c r="AR23" s="1814"/>
      <c r="AS23" s="1815"/>
      <c r="AT23" s="1813" t="s">
        <v>656</v>
      </c>
      <c r="AU23" s="1814"/>
      <c r="AV23" s="1814"/>
      <c r="AW23" s="1815"/>
      <c r="AX23" s="1813" t="s">
        <v>36</v>
      </c>
      <c r="AY23" s="1814"/>
      <c r="AZ23" s="1814"/>
      <c r="BA23" s="1815"/>
      <c r="BB23" s="1816" t="s">
        <v>966</v>
      </c>
      <c r="BC23" s="1817"/>
      <c r="BD23" s="1817"/>
      <c r="BE23" s="1818"/>
      <c r="BF23" s="1816" t="s">
        <v>958</v>
      </c>
      <c r="BG23" s="1817"/>
      <c r="BH23" s="1817"/>
      <c r="BI23" s="1818"/>
      <c r="BJ23" s="1816" t="s">
        <v>959</v>
      </c>
      <c r="BK23" s="1817"/>
      <c r="BL23" s="1817"/>
      <c r="BM23" s="1818"/>
      <c r="BN23" s="1816" t="s">
        <v>967</v>
      </c>
      <c r="BO23" s="1817"/>
      <c r="BP23" s="1817"/>
      <c r="BQ23" s="1818"/>
      <c r="BR23" s="1816" t="s">
        <v>604</v>
      </c>
      <c r="BS23" s="1817"/>
      <c r="BT23" s="1817"/>
      <c r="BU23" s="1817"/>
      <c r="BV23" s="1817"/>
      <c r="BW23" s="1816" t="s">
        <v>947</v>
      </c>
      <c r="BX23" s="1817"/>
      <c r="BY23" s="1817"/>
      <c r="BZ23" s="1817"/>
      <c r="CA23" s="1817"/>
      <c r="CB23" s="1816" t="s">
        <v>968</v>
      </c>
      <c r="CC23" s="1817"/>
      <c r="CD23" s="1817"/>
      <c r="CE23" s="1817"/>
      <c r="CF23" s="1816" t="s">
        <v>980</v>
      </c>
      <c r="CG23" s="1817"/>
      <c r="CH23" s="1817"/>
      <c r="CI23" s="1817"/>
      <c r="CJ23" s="1816" t="s">
        <v>1054</v>
      </c>
      <c r="CK23" s="1817"/>
      <c r="CL23" s="1817"/>
      <c r="CM23" s="1817"/>
      <c r="CN23" s="1816" t="s">
        <v>987</v>
      </c>
      <c r="CO23" s="1817"/>
      <c r="CP23" s="1817"/>
      <c r="CQ23" s="1817"/>
      <c r="CR23" s="1816" t="s">
        <v>1398</v>
      </c>
      <c r="CS23" s="1817"/>
      <c r="CT23" s="1817"/>
      <c r="CU23" s="1817"/>
      <c r="CV23" s="1816" t="s">
        <v>1399</v>
      </c>
      <c r="CW23" s="1817"/>
      <c r="CX23" s="1817"/>
      <c r="CY23" s="1817"/>
      <c r="CZ23" s="1816" t="s">
        <v>1400</v>
      </c>
      <c r="DA23" s="1817"/>
      <c r="DB23" s="1817"/>
      <c r="DC23" s="1817"/>
      <c r="DD23" s="1816" t="s">
        <v>988</v>
      </c>
      <c r="DE23" s="1817"/>
      <c r="DF23" s="1817"/>
      <c r="DG23" s="1817"/>
      <c r="DH23" s="1816" t="s">
        <v>961</v>
      </c>
      <c r="DI23" s="1817"/>
      <c r="DJ23" s="1817"/>
      <c r="DK23" s="1817"/>
      <c r="DL23" s="1816" t="s">
        <v>989</v>
      </c>
      <c r="DM23" s="1817"/>
      <c r="DN23" s="1817"/>
      <c r="DO23" s="1817"/>
      <c r="DP23" s="1816" t="s">
        <v>974</v>
      </c>
      <c r="DQ23" s="1817"/>
      <c r="DR23" s="1817"/>
      <c r="DS23" s="1817"/>
      <c r="DT23" s="1816" t="s">
        <v>1401</v>
      </c>
      <c r="DU23" s="1817"/>
      <c r="DV23" s="1817"/>
      <c r="DW23" s="1817"/>
      <c r="DX23" s="1816" t="s">
        <v>983</v>
      </c>
      <c r="DY23" s="1817"/>
      <c r="DZ23" s="1817"/>
      <c r="EA23" s="1817"/>
      <c r="EB23" s="1816" t="s">
        <v>979</v>
      </c>
      <c r="EC23" s="1817"/>
      <c r="ED23" s="1817"/>
      <c r="EE23" s="1817"/>
      <c r="EF23" s="1816" t="s">
        <v>990</v>
      </c>
      <c r="EG23" s="1817"/>
      <c r="EH23" s="1817"/>
      <c r="EI23" s="1817"/>
      <c r="EJ23" s="1816" t="s">
        <v>1402</v>
      </c>
      <c r="EK23" s="1817"/>
      <c r="EL23" s="1817"/>
      <c r="EM23" s="1817"/>
      <c r="EN23" s="1816" t="s">
        <v>991</v>
      </c>
      <c r="EO23" s="1817"/>
      <c r="EP23" s="1817"/>
      <c r="EQ23" s="1817"/>
      <c r="ER23" s="1816" t="s">
        <v>982</v>
      </c>
      <c r="ES23" s="1817"/>
      <c r="ET23" s="1817"/>
      <c r="EU23" s="1817"/>
      <c r="EV23" s="1816" t="s">
        <v>1403</v>
      </c>
      <c r="EW23" s="1817"/>
      <c r="EX23" s="1817"/>
      <c r="EY23" s="1817"/>
      <c r="EZ23" s="1816" t="s">
        <v>1020</v>
      </c>
      <c r="FA23" s="1817"/>
      <c r="FB23" s="1817"/>
      <c r="FC23" s="1817"/>
      <c r="FD23" s="1816" t="s">
        <v>1018</v>
      </c>
      <c r="FE23" s="1817"/>
      <c r="FF23" s="1817"/>
      <c r="FG23" s="1817"/>
      <c r="FH23" s="1816" t="s">
        <v>976</v>
      </c>
      <c r="FI23" s="1817"/>
      <c r="FJ23" s="1817"/>
      <c r="FK23" s="1817"/>
      <c r="FL23" s="1816" t="s">
        <v>1021</v>
      </c>
      <c r="FM23" s="1817"/>
      <c r="FN23" s="1817"/>
      <c r="FO23" s="1817"/>
      <c r="FP23" s="1816" t="s">
        <v>1012</v>
      </c>
      <c r="FQ23" s="1817"/>
      <c r="FR23" s="1817"/>
      <c r="FS23" s="1817"/>
      <c r="FT23" s="1816" t="s">
        <v>1005</v>
      </c>
      <c r="FU23" s="1817"/>
      <c r="FV23" s="1817"/>
      <c r="FW23" s="1817"/>
      <c r="FX23" s="1816" t="s">
        <v>1013</v>
      </c>
      <c r="FY23" s="1817"/>
      <c r="FZ23" s="1817"/>
      <c r="GA23" s="1817"/>
      <c r="GB23" s="1816" t="s">
        <v>1006</v>
      </c>
      <c r="GC23" s="1817"/>
      <c r="GD23" s="1817"/>
      <c r="GE23" s="1817"/>
      <c r="GF23" s="1816" t="s">
        <v>1014</v>
      </c>
      <c r="GG23" s="1817"/>
      <c r="GH23" s="1817"/>
      <c r="GI23" s="1817"/>
      <c r="GJ23" s="1816" t="s">
        <v>1003</v>
      </c>
      <c r="GK23" s="1817"/>
      <c r="GL23" s="1817"/>
      <c r="GM23" s="1817"/>
      <c r="GN23" s="1816" t="s">
        <v>1016</v>
      </c>
      <c r="GO23" s="1817"/>
      <c r="GP23" s="1817"/>
      <c r="GQ23" s="1817"/>
      <c r="GR23" s="1816" t="s">
        <v>1008</v>
      </c>
      <c r="GS23" s="1817"/>
      <c r="GT23" s="1817"/>
      <c r="GU23" s="1817"/>
      <c r="GV23" s="1816" t="s">
        <v>1009</v>
      </c>
      <c r="GW23" s="1817"/>
      <c r="GX23" s="1817"/>
      <c r="GY23" s="1817"/>
      <c r="GZ23" s="1816" t="s">
        <v>1017</v>
      </c>
      <c r="HA23" s="1817"/>
      <c r="HB23" s="1817"/>
      <c r="HC23" s="1817"/>
      <c r="HD23" s="1816" t="s">
        <v>1007</v>
      </c>
      <c r="HE23" s="1817"/>
      <c r="HF23" s="1817"/>
      <c r="HG23" s="1817"/>
      <c r="HH23" s="1816" t="s">
        <v>1041</v>
      </c>
      <c r="HI23" s="1817"/>
      <c r="HJ23" s="1817"/>
      <c r="HK23" s="1817"/>
      <c r="HL23" s="1816" t="s">
        <v>1039</v>
      </c>
      <c r="HM23" s="1817"/>
      <c r="HN23" s="1817"/>
      <c r="HO23" s="1817"/>
      <c r="HP23" s="1816" t="s">
        <v>1042</v>
      </c>
      <c r="HQ23" s="1817"/>
      <c r="HR23" s="1817"/>
      <c r="HS23" s="1817"/>
      <c r="HT23" s="1816" t="s">
        <v>1037</v>
      </c>
      <c r="HU23" s="1817"/>
      <c r="HV23" s="1817"/>
      <c r="HW23" s="1817"/>
      <c r="HX23" s="1813" t="s">
        <v>1040</v>
      </c>
      <c r="HY23" s="1814"/>
      <c r="HZ23" s="1814"/>
      <c r="IA23" s="1815"/>
      <c r="IB23" s="1813" t="s">
        <v>1047</v>
      </c>
      <c r="IC23" s="1814"/>
      <c r="ID23" s="1814"/>
      <c r="IE23" s="1815"/>
      <c r="IF23" s="1813" t="s">
        <v>1045</v>
      </c>
      <c r="IG23" s="1814"/>
      <c r="IH23" s="1814"/>
      <c r="II23" s="1815"/>
      <c r="IJ23" s="1813" t="s">
        <v>1048</v>
      </c>
      <c r="IK23" s="1814"/>
      <c r="IL23" s="1814"/>
      <c r="IM23" s="1815"/>
      <c r="IN23" s="1813" t="s">
        <v>1053</v>
      </c>
      <c r="IO23" s="1814"/>
      <c r="IP23" s="1814"/>
      <c r="IQ23" s="1815"/>
      <c r="IR23" s="1813"/>
      <c r="IS23" s="1814"/>
      <c r="IT23" s="1814"/>
      <c r="IU23" s="1815"/>
      <c r="IV23" s="1813" t="s">
        <v>1190</v>
      </c>
      <c r="IW23" s="1814"/>
      <c r="IX23" s="1814"/>
      <c r="IY23" s="1815"/>
      <c r="IZ23" s="404"/>
      <c r="JA23" s="405"/>
      <c r="JB23" s="406"/>
    </row>
    <row r="24" spans="1:262" ht="26.4">
      <c r="A24" s="276">
        <f>+A23+1</f>
        <v>11</v>
      </c>
      <c r="B24" s="110" t="s">
        <v>641</v>
      </c>
      <c r="C24" s="170" t="s">
        <v>871</v>
      </c>
      <c r="D24" s="184" t="s">
        <v>443</v>
      </c>
      <c r="E24" s="347" t="s">
        <v>808</v>
      </c>
      <c r="F24" s="336"/>
      <c r="G24" s="336"/>
      <c r="H24" s="336"/>
      <c r="I24" s="337"/>
      <c r="J24" s="347" t="s">
        <v>808</v>
      </c>
      <c r="K24" s="336"/>
      <c r="L24" s="336"/>
      <c r="M24" s="337"/>
      <c r="N24" s="347" t="s">
        <v>808</v>
      </c>
      <c r="O24" s="336"/>
      <c r="P24" s="336"/>
      <c r="Q24" s="337"/>
      <c r="R24" s="536" t="s">
        <v>808</v>
      </c>
      <c r="S24" s="336"/>
      <c r="T24" s="336"/>
      <c r="U24" s="336"/>
      <c r="V24" s="453" t="s">
        <v>808</v>
      </c>
      <c r="W24" s="108"/>
      <c r="X24" s="108"/>
      <c r="Y24" s="456"/>
      <c r="Z24" s="453" t="s">
        <v>808</v>
      </c>
      <c r="AA24" s="108"/>
      <c r="AB24" s="108"/>
      <c r="AC24" s="456"/>
      <c r="AD24" s="453" t="s">
        <v>808</v>
      </c>
      <c r="AE24" s="108"/>
      <c r="AF24" s="108"/>
      <c r="AG24" s="456"/>
      <c r="AH24" s="453" t="s">
        <v>808</v>
      </c>
      <c r="AI24" s="108"/>
      <c r="AJ24" s="108"/>
      <c r="AK24" s="456"/>
      <c r="AL24" s="453" t="s">
        <v>808</v>
      </c>
      <c r="AM24" s="108"/>
      <c r="AN24" s="108"/>
      <c r="AO24" s="456"/>
      <c r="AP24" s="453" t="s">
        <v>808</v>
      </c>
      <c r="AQ24" s="108"/>
      <c r="AR24" s="108"/>
      <c r="AS24" s="456"/>
      <c r="AT24" s="453" t="s">
        <v>808</v>
      </c>
      <c r="AU24" s="108"/>
      <c r="AV24" s="108"/>
      <c r="AW24" s="456"/>
      <c r="AX24" s="453" t="s">
        <v>808</v>
      </c>
      <c r="AY24" s="108"/>
      <c r="AZ24" s="108"/>
      <c r="BA24" s="456"/>
      <c r="BB24" s="453" t="s">
        <v>808</v>
      </c>
      <c r="BC24" s="108"/>
      <c r="BD24" s="108"/>
      <c r="BE24" s="456"/>
      <c r="BF24" s="453" t="s">
        <v>808</v>
      </c>
      <c r="BG24" s="108"/>
      <c r="BH24" s="108"/>
      <c r="BI24" s="456"/>
      <c r="BJ24" s="453" t="s">
        <v>808</v>
      </c>
      <c r="BK24" s="108"/>
      <c r="BL24" s="108"/>
      <c r="BM24" s="456"/>
      <c r="BN24" s="453" t="s">
        <v>808</v>
      </c>
      <c r="BO24" s="108"/>
      <c r="BP24" s="108"/>
      <c r="BQ24" s="456"/>
      <c r="BR24" s="453" t="s">
        <v>808</v>
      </c>
      <c r="BS24" s="345"/>
      <c r="BT24" s="336"/>
      <c r="BU24" s="336"/>
      <c r="BV24" s="336"/>
      <c r="BW24" s="347" t="s">
        <v>808</v>
      </c>
      <c r="BX24" s="336"/>
      <c r="BY24" s="336"/>
      <c r="BZ24" s="336"/>
      <c r="CA24" s="337"/>
      <c r="CB24" s="347" t="s">
        <v>808</v>
      </c>
      <c r="CC24" s="336"/>
      <c r="CD24" s="336"/>
      <c r="CE24" s="337"/>
      <c r="CF24" s="347" t="s">
        <v>808</v>
      </c>
      <c r="CG24" s="336"/>
      <c r="CH24" s="336"/>
      <c r="CI24" s="337"/>
      <c r="CJ24" s="347" t="s">
        <v>808</v>
      </c>
      <c r="CK24" s="336"/>
      <c r="CL24" s="336"/>
      <c r="CM24" s="337"/>
      <c r="CN24" s="1556" t="s">
        <v>808</v>
      </c>
      <c r="CO24" s="336"/>
      <c r="CP24" s="336"/>
      <c r="CQ24" s="337"/>
      <c r="CR24" s="347" t="s">
        <v>808</v>
      </c>
      <c r="CS24" s="336"/>
      <c r="CT24" s="336"/>
      <c r="CU24" s="337"/>
      <c r="CV24" s="347" t="s">
        <v>808</v>
      </c>
      <c r="CW24" s="336"/>
      <c r="CX24" s="336"/>
      <c r="CY24" s="337"/>
      <c r="CZ24" s="347" t="s">
        <v>808</v>
      </c>
      <c r="DA24" s="336"/>
      <c r="DB24" s="336"/>
      <c r="DC24" s="337"/>
      <c r="DD24" s="347" t="s">
        <v>808</v>
      </c>
      <c r="DE24" s="336"/>
      <c r="DF24" s="336"/>
      <c r="DG24" s="337"/>
      <c r="DH24" s="347" t="s">
        <v>808</v>
      </c>
      <c r="DI24" s="336"/>
      <c r="DJ24" s="336"/>
      <c r="DK24" s="337"/>
      <c r="DL24" s="347" t="s">
        <v>808</v>
      </c>
      <c r="DM24" s="336"/>
      <c r="DN24" s="336"/>
      <c r="DO24" s="337"/>
      <c r="DP24" s="347" t="s">
        <v>808</v>
      </c>
      <c r="DQ24" s="336"/>
      <c r="DR24" s="336"/>
      <c r="DS24" s="337"/>
      <c r="DT24" s="347" t="s">
        <v>808</v>
      </c>
      <c r="DU24" s="336"/>
      <c r="DV24" s="336"/>
      <c r="DW24" s="337"/>
      <c r="DX24" s="347" t="s">
        <v>808</v>
      </c>
      <c r="DY24" s="336"/>
      <c r="DZ24" s="336"/>
      <c r="EA24" s="337"/>
      <c r="EB24" s="347" t="s">
        <v>808</v>
      </c>
      <c r="EC24" s="336"/>
      <c r="ED24" s="336"/>
      <c r="EE24" s="337"/>
      <c r="EF24" s="347" t="s">
        <v>808</v>
      </c>
      <c r="EG24" s="336"/>
      <c r="EH24" s="336"/>
      <c r="EI24" s="337"/>
      <c r="EJ24" s="347" t="s">
        <v>808</v>
      </c>
      <c r="EK24" s="336"/>
      <c r="EL24" s="336"/>
      <c r="EM24" s="337"/>
      <c r="EN24" s="347" t="s">
        <v>808</v>
      </c>
      <c r="EO24" s="336"/>
      <c r="EP24" s="336"/>
      <c r="EQ24" s="337"/>
      <c r="ER24" s="347" t="s">
        <v>808</v>
      </c>
      <c r="ES24" s="336"/>
      <c r="ET24" s="336"/>
      <c r="EU24" s="337"/>
      <c r="EV24" s="347" t="s">
        <v>808</v>
      </c>
      <c r="EW24" s="336"/>
      <c r="EX24" s="336"/>
      <c r="EY24" s="337"/>
      <c r="EZ24" s="347" t="s">
        <v>808</v>
      </c>
      <c r="FA24" s="336"/>
      <c r="FB24" s="336"/>
      <c r="FC24" s="337"/>
      <c r="FD24" s="347" t="s">
        <v>808</v>
      </c>
      <c r="FE24" s="336"/>
      <c r="FF24" s="336"/>
      <c r="FG24" s="337"/>
      <c r="FH24" s="347" t="s">
        <v>808</v>
      </c>
      <c r="FI24" s="336"/>
      <c r="FJ24" s="336"/>
      <c r="FK24" s="337"/>
      <c r="FL24" s="347" t="s">
        <v>808</v>
      </c>
      <c r="FM24" s="336"/>
      <c r="FN24" s="336"/>
      <c r="FO24" s="337"/>
      <c r="FP24" s="347" t="s">
        <v>808</v>
      </c>
      <c r="FQ24" s="336"/>
      <c r="FR24" s="336"/>
      <c r="FS24" s="337"/>
      <c r="FT24" s="347" t="s">
        <v>808</v>
      </c>
      <c r="FU24" s="336"/>
      <c r="FV24" s="336"/>
      <c r="FW24" s="337"/>
      <c r="FX24" s="347" t="s">
        <v>808</v>
      </c>
      <c r="FY24" s="336"/>
      <c r="FZ24" s="336"/>
      <c r="GA24" s="337"/>
      <c r="GB24" s="347" t="s">
        <v>808</v>
      </c>
      <c r="GC24" s="336"/>
      <c r="GD24" s="336"/>
      <c r="GE24" s="337"/>
      <c r="GF24" s="347" t="s">
        <v>808</v>
      </c>
      <c r="GG24" s="336"/>
      <c r="GH24" s="336"/>
      <c r="GI24" s="337"/>
      <c r="GJ24" s="347" t="s">
        <v>808</v>
      </c>
      <c r="GK24" s="336"/>
      <c r="GL24" s="336"/>
      <c r="GM24" s="337"/>
      <c r="GN24" s="347" t="s">
        <v>808</v>
      </c>
      <c r="GO24" s="336"/>
      <c r="GP24" s="336"/>
      <c r="GQ24" s="337"/>
      <c r="GR24" s="347" t="s">
        <v>808</v>
      </c>
      <c r="GS24" s="336"/>
      <c r="GT24" s="336"/>
      <c r="GU24" s="337"/>
      <c r="GV24" s="347" t="s">
        <v>808</v>
      </c>
      <c r="GW24" s="336"/>
      <c r="GX24" s="336"/>
      <c r="GY24" s="337"/>
      <c r="GZ24" s="347" t="s">
        <v>808</v>
      </c>
      <c r="HA24" s="336"/>
      <c r="HB24" s="336"/>
      <c r="HC24" s="337"/>
      <c r="HD24" s="347" t="s">
        <v>808</v>
      </c>
      <c r="HE24" s="336"/>
      <c r="HF24" s="336"/>
      <c r="HG24" s="337"/>
      <c r="HH24" s="347" t="s">
        <v>808</v>
      </c>
      <c r="HI24" s="336"/>
      <c r="HJ24" s="336"/>
      <c r="HK24" s="337"/>
      <c r="HL24" s="347" t="s">
        <v>808</v>
      </c>
      <c r="HM24" s="336"/>
      <c r="HN24" s="336"/>
      <c r="HO24" s="337"/>
      <c r="HP24" s="347" t="s">
        <v>808</v>
      </c>
      <c r="HQ24" s="336"/>
      <c r="HR24" s="336"/>
      <c r="HS24" s="337"/>
      <c r="HT24" s="347" t="s">
        <v>808</v>
      </c>
      <c r="HU24" s="336"/>
      <c r="HV24" s="336"/>
      <c r="HW24" s="337"/>
      <c r="HX24" s="347" t="s">
        <v>808</v>
      </c>
      <c r="HY24" s="336"/>
      <c r="HZ24" s="336"/>
      <c r="IA24" s="337"/>
      <c r="IB24" s="347" t="s">
        <v>808</v>
      </c>
      <c r="IC24" s="336"/>
      <c r="ID24" s="336"/>
      <c r="IE24" s="337"/>
      <c r="IF24" s="347" t="s">
        <v>808</v>
      </c>
      <c r="IG24" s="336"/>
      <c r="IH24" s="336"/>
      <c r="II24" s="337"/>
      <c r="IJ24" s="347" t="s">
        <v>808</v>
      </c>
      <c r="IK24" s="336"/>
      <c r="IL24" s="336"/>
      <c r="IM24" s="337"/>
      <c r="IN24" s="347" t="s">
        <v>808</v>
      </c>
      <c r="IO24" s="336"/>
      <c r="IP24" s="336"/>
      <c r="IQ24" s="337"/>
      <c r="IR24" s="347" t="s">
        <v>808</v>
      </c>
      <c r="IS24" s="336"/>
      <c r="IT24" s="336"/>
      <c r="IU24" s="337"/>
      <c r="IV24" s="347" t="s">
        <v>808</v>
      </c>
      <c r="IW24" s="336"/>
      <c r="IX24" s="336"/>
      <c r="IY24" s="337"/>
      <c r="IZ24" s="116"/>
      <c r="JA24" s="170"/>
      <c r="JB24" s="168"/>
    </row>
    <row r="25" spans="1:262" ht="26.4">
      <c r="A25" s="276">
        <f>A24+1</f>
        <v>12</v>
      </c>
      <c r="B25" s="110" t="s">
        <v>649</v>
      </c>
      <c r="C25" s="170" t="s">
        <v>804</v>
      </c>
      <c r="D25" s="184" t="s">
        <v>443</v>
      </c>
      <c r="E25" s="245" t="s">
        <v>807</v>
      </c>
      <c r="F25" s="183"/>
      <c r="G25" s="183"/>
      <c r="H25" s="183"/>
      <c r="I25" s="1557"/>
      <c r="J25" s="245" t="s">
        <v>807</v>
      </c>
      <c r="K25" s="183"/>
      <c r="L25" s="183"/>
      <c r="M25" s="184"/>
      <c r="N25" s="245" t="s">
        <v>807</v>
      </c>
      <c r="O25" s="183"/>
      <c r="P25" s="183"/>
      <c r="Q25" s="184"/>
      <c r="R25" s="245" t="s">
        <v>807</v>
      </c>
      <c r="S25" s="183"/>
      <c r="T25" s="183"/>
      <c r="U25" s="183"/>
      <c r="V25" s="245" t="s">
        <v>807</v>
      </c>
      <c r="W25" s="183"/>
      <c r="X25" s="183"/>
      <c r="Y25" s="184"/>
      <c r="Z25" s="245" t="s">
        <v>807</v>
      </c>
      <c r="AA25" s="183"/>
      <c r="AB25" s="183"/>
      <c r="AC25" s="184"/>
      <c r="AD25" s="245" t="s">
        <v>807</v>
      </c>
      <c r="AE25" s="183"/>
      <c r="AF25" s="183"/>
      <c r="AG25" s="184"/>
      <c r="AH25" s="245" t="s">
        <v>807</v>
      </c>
      <c r="AI25" s="183"/>
      <c r="AJ25" s="183"/>
      <c r="AK25" s="184"/>
      <c r="AL25" s="245" t="s">
        <v>807</v>
      </c>
      <c r="AM25" s="183"/>
      <c r="AN25" s="183"/>
      <c r="AO25" s="184"/>
      <c r="AP25" s="245" t="s">
        <v>807</v>
      </c>
      <c r="AQ25" s="183"/>
      <c r="AR25" s="183"/>
      <c r="AS25" s="184"/>
      <c r="AT25" s="245" t="s">
        <v>807</v>
      </c>
      <c r="AU25" s="183"/>
      <c r="AV25" s="183"/>
      <c r="AW25" s="184"/>
      <c r="AX25" s="245" t="s">
        <v>807</v>
      </c>
      <c r="AY25" s="183"/>
      <c r="AZ25" s="183"/>
      <c r="BA25" s="184"/>
      <c r="BB25" s="245" t="s">
        <v>807</v>
      </c>
      <c r="BC25" s="183"/>
      <c r="BD25" s="183"/>
      <c r="BE25" s="184"/>
      <c r="BF25" s="245" t="s">
        <v>807</v>
      </c>
      <c r="BG25" s="183"/>
      <c r="BH25" s="183"/>
      <c r="BI25" s="184"/>
      <c r="BJ25" s="245" t="s">
        <v>807</v>
      </c>
      <c r="BK25" s="183"/>
      <c r="BL25" s="183"/>
      <c r="BM25" s="184"/>
      <c r="BN25" s="245" t="s">
        <v>807</v>
      </c>
      <c r="BO25" s="183"/>
      <c r="BP25" s="183"/>
      <c r="BQ25" s="184"/>
      <c r="BR25" s="245" t="s">
        <v>807</v>
      </c>
      <c r="BT25" s="183"/>
      <c r="BU25" s="183"/>
      <c r="BV25" s="183"/>
      <c r="BW25" s="245" t="s">
        <v>807</v>
      </c>
      <c r="BX25" s="183"/>
      <c r="BY25" s="183"/>
      <c r="BZ25" s="183"/>
      <c r="CA25" s="1557"/>
      <c r="CB25" s="245" t="s">
        <v>807</v>
      </c>
      <c r="CC25" s="183"/>
      <c r="CD25" s="183"/>
      <c r="CE25" s="1557"/>
      <c r="CF25" s="245" t="s">
        <v>807</v>
      </c>
      <c r="CG25" s="183"/>
      <c r="CH25" s="183"/>
      <c r="CI25" s="1557"/>
      <c r="CJ25" s="245" t="s">
        <v>807</v>
      </c>
      <c r="CK25" s="183"/>
      <c r="CL25" s="183"/>
      <c r="CM25" s="1557"/>
      <c r="CN25" s="1558" t="s">
        <v>807</v>
      </c>
      <c r="CO25" s="183"/>
      <c r="CP25" s="183"/>
      <c r="CQ25" s="1557"/>
      <c r="CR25" s="245" t="s">
        <v>807</v>
      </c>
      <c r="CS25" s="183"/>
      <c r="CT25" s="183"/>
      <c r="CU25" s="1557"/>
      <c r="CV25" s="245" t="s">
        <v>807</v>
      </c>
      <c r="CW25" s="183"/>
      <c r="CX25" s="183"/>
      <c r="CY25" s="1557"/>
      <c r="CZ25" s="245" t="s">
        <v>807</v>
      </c>
      <c r="DA25" s="183"/>
      <c r="DB25" s="183"/>
      <c r="DC25" s="1557"/>
      <c r="DD25" s="245" t="s">
        <v>807</v>
      </c>
      <c r="DE25" s="183"/>
      <c r="DF25" s="183"/>
      <c r="DG25" s="1557"/>
      <c r="DH25" s="245" t="s">
        <v>807</v>
      </c>
      <c r="DI25" s="183"/>
      <c r="DJ25" s="183"/>
      <c r="DK25" s="1557"/>
      <c r="DL25" s="245" t="s">
        <v>807</v>
      </c>
      <c r="DM25" s="183"/>
      <c r="DN25" s="183"/>
      <c r="DO25" s="1557"/>
      <c r="DP25" s="245" t="s">
        <v>807</v>
      </c>
      <c r="DQ25" s="183"/>
      <c r="DR25" s="183"/>
      <c r="DS25" s="1557"/>
      <c r="DT25" s="245" t="s">
        <v>807</v>
      </c>
      <c r="DU25" s="183"/>
      <c r="DV25" s="183"/>
      <c r="DW25" s="1557"/>
      <c r="DX25" s="245" t="s">
        <v>807</v>
      </c>
      <c r="DY25" s="183"/>
      <c r="DZ25" s="183"/>
      <c r="EA25" s="1557"/>
      <c r="EB25" s="245" t="s">
        <v>807</v>
      </c>
      <c r="EC25" s="183"/>
      <c r="ED25" s="183"/>
      <c r="EE25" s="1557"/>
      <c r="EF25" s="245" t="s">
        <v>807</v>
      </c>
      <c r="EG25" s="183"/>
      <c r="EH25" s="183"/>
      <c r="EI25" s="1557"/>
      <c r="EJ25" s="245" t="s">
        <v>807</v>
      </c>
      <c r="EK25" s="183"/>
      <c r="EL25" s="183"/>
      <c r="EM25" s="1557"/>
      <c r="EN25" s="245" t="s">
        <v>807</v>
      </c>
      <c r="EO25" s="183"/>
      <c r="EP25" s="183"/>
      <c r="EQ25" s="1557"/>
      <c r="ER25" s="245" t="s">
        <v>807</v>
      </c>
      <c r="ES25" s="183"/>
      <c r="ET25" s="183"/>
      <c r="EU25" s="1557"/>
      <c r="EV25" s="245" t="s">
        <v>807</v>
      </c>
      <c r="EW25" s="183"/>
      <c r="EX25" s="183"/>
      <c r="EY25" s="1557"/>
      <c r="EZ25" s="245" t="s">
        <v>807</v>
      </c>
      <c r="FA25" s="183"/>
      <c r="FB25" s="183"/>
      <c r="FC25" s="1557"/>
      <c r="FD25" s="245" t="s">
        <v>807</v>
      </c>
      <c r="FE25" s="183"/>
      <c r="FF25" s="183"/>
      <c r="FG25" s="1557"/>
      <c r="FH25" s="245" t="s">
        <v>807</v>
      </c>
      <c r="FI25" s="183"/>
      <c r="FJ25" s="183"/>
      <c r="FK25" s="1557"/>
      <c r="FL25" s="245" t="s">
        <v>807</v>
      </c>
      <c r="FM25" s="183"/>
      <c r="FN25" s="183"/>
      <c r="FO25" s="1557"/>
      <c r="FP25" s="245" t="s">
        <v>807</v>
      </c>
      <c r="FQ25" s="183"/>
      <c r="FR25" s="183"/>
      <c r="FS25" s="1557"/>
      <c r="FT25" s="245" t="s">
        <v>807</v>
      </c>
      <c r="FU25" s="183"/>
      <c r="FV25" s="183"/>
      <c r="FW25" s="1557"/>
      <c r="FX25" s="245" t="s">
        <v>807</v>
      </c>
      <c r="FY25" s="183"/>
      <c r="FZ25" s="183"/>
      <c r="GA25" s="1557"/>
      <c r="GB25" s="245" t="s">
        <v>807</v>
      </c>
      <c r="GC25" s="183"/>
      <c r="GD25" s="183"/>
      <c r="GE25" s="1557"/>
      <c r="GF25" s="245" t="s">
        <v>807</v>
      </c>
      <c r="GG25" s="183"/>
      <c r="GH25" s="183"/>
      <c r="GI25" s="1557"/>
      <c r="GJ25" s="245" t="s">
        <v>807</v>
      </c>
      <c r="GK25" s="183"/>
      <c r="GL25" s="183"/>
      <c r="GM25" s="1557"/>
      <c r="GN25" s="245" t="s">
        <v>807</v>
      </c>
      <c r="GO25" s="183"/>
      <c r="GP25" s="183"/>
      <c r="GQ25" s="1557"/>
      <c r="GR25" s="245" t="s">
        <v>807</v>
      </c>
      <c r="GS25" s="183"/>
      <c r="GT25" s="183"/>
      <c r="GU25" s="1557"/>
      <c r="GV25" s="245" t="s">
        <v>807</v>
      </c>
      <c r="GW25" s="183"/>
      <c r="GX25" s="183"/>
      <c r="GY25" s="1557"/>
      <c r="GZ25" s="245" t="s">
        <v>807</v>
      </c>
      <c r="HA25" s="183"/>
      <c r="HB25" s="183"/>
      <c r="HC25" s="1557"/>
      <c r="HD25" s="245" t="s">
        <v>807</v>
      </c>
      <c r="HE25" s="183"/>
      <c r="HF25" s="183"/>
      <c r="HG25" s="1557"/>
      <c r="HH25" s="245" t="s">
        <v>807</v>
      </c>
      <c r="HI25" s="183"/>
      <c r="HJ25" s="183"/>
      <c r="HK25" s="1557"/>
      <c r="HL25" s="245" t="s">
        <v>807</v>
      </c>
      <c r="HM25" s="183"/>
      <c r="HN25" s="183"/>
      <c r="HO25" s="1557"/>
      <c r="HP25" s="245" t="s">
        <v>807</v>
      </c>
      <c r="HQ25" s="183"/>
      <c r="HR25" s="183"/>
      <c r="HS25" s="1557"/>
      <c r="HT25" s="245" t="s">
        <v>807</v>
      </c>
      <c r="HU25" s="183"/>
      <c r="HV25" s="183"/>
      <c r="HW25" s="1557"/>
      <c r="HX25" s="245" t="s">
        <v>807</v>
      </c>
      <c r="HY25" s="183"/>
      <c r="HZ25" s="183"/>
      <c r="IA25" s="1557"/>
      <c r="IB25" s="245" t="s">
        <v>807</v>
      </c>
      <c r="IC25" s="183"/>
      <c r="ID25" s="183"/>
      <c r="IE25" s="1557"/>
      <c r="IF25" s="245" t="s">
        <v>807</v>
      </c>
      <c r="IG25" s="183"/>
      <c r="IH25" s="183"/>
      <c r="II25" s="1557"/>
      <c r="IJ25" s="245" t="s">
        <v>807</v>
      </c>
      <c r="IK25" s="183"/>
      <c r="IL25" s="183"/>
      <c r="IM25" s="1557"/>
      <c r="IN25" s="245" t="s">
        <v>807</v>
      </c>
      <c r="IO25" s="183"/>
      <c r="IP25" s="183"/>
      <c r="IQ25" s="1557"/>
      <c r="IR25" s="245" t="s">
        <v>807</v>
      </c>
      <c r="IS25" s="183"/>
      <c r="IT25" s="183"/>
      <c r="IU25" s="1557"/>
      <c r="IV25" s="245" t="s">
        <v>807</v>
      </c>
      <c r="IW25" s="183"/>
      <c r="IX25" s="183"/>
      <c r="IY25" s="1557"/>
      <c r="IZ25" s="116"/>
      <c r="JA25" s="170"/>
      <c r="JB25" s="168"/>
    </row>
    <row r="26" spans="1:262" ht="13.8">
      <c r="A26" s="276">
        <f>+A25+1</f>
        <v>13</v>
      </c>
      <c r="B26" s="110" t="s">
        <v>243</v>
      </c>
      <c r="C26" s="170" t="s">
        <v>242</v>
      </c>
      <c r="D26" s="184"/>
      <c r="E26" s="501">
        <v>0.127</v>
      </c>
      <c r="F26" s="503"/>
      <c r="G26" s="216"/>
      <c r="H26" s="216"/>
      <c r="I26" s="1559"/>
      <c r="J26" s="501">
        <v>0.11700000000000001</v>
      </c>
      <c r="K26" s="504"/>
      <c r="L26" s="504"/>
      <c r="M26" s="505"/>
      <c r="N26" s="501">
        <v>0.127</v>
      </c>
      <c r="O26" s="504"/>
      <c r="P26" s="504"/>
      <c r="Q26" s="505"/>
      <c r="R26" s="507">
        <f>V26</f>
        <v>0.11700000000000001</v>
      </c>
      <c r="S26" s="504"/>
      <c r="T26" s="504"/>
      <c r="U26" s="504"/>
      <c r="V26" s="507">
        <f>J26</f>
        <v>0.11700000000000001</v>
      </c>
      <c r="W26" s="504"/>
      <c r="X26" s="504"/>
      <c r="Y26" s="505"/>
      <c r="Z26" s="507">
        <f>J26</f>
        <v>0.11700000000000001</v>
      </c>
      <c r="AA26" s="504"/>
      <c r="AB26" s="504"/>
      <c r="AC26" s="505"/>
      <c r="AD26" s="507">
        <f>J26</f>
        <v>0.11700000000000001</v>
      </c>
      <c r="AE26" s="504"/>
      <c r="AF26" s="504"/>
      <c r="AG26" s="505"/>
      <c r="AH26" s="507">
        <f>J26</f>
        <v>0.11700000000000001</v>
      </c>
      <c r="AI26" s="504"/>
      <c r="AJ26" s="504"/>
      <c r="AK26" s="505"/>
      <c r="AL26" s="507">
        <v>0.11700000000000001</v>
      </c>
      <c r="AM26" s="504"/>
      <c r="AN26" s="504"/>
      <c r="AO26" s="505"/>
      <c r="AP26" s="507">
        <v>0.11700000000000001</v>
      </c>
      <c r="AQ26" s="504"/>
      <c r="AR26" s="504"/>
      <c r="AS26" s="505"/>
      <c r="AT26" s="507">
        <v>0.11700000000000001</v>
      </c>
      <c r="AU26" s="504"/>
      <c r="AV26" s="504"/>
      <c r="AW26" s="505"/>
      <c r="AX26" s="507">
        <v>0.11700000000000001</v>
      </c>
      <c r="AY26" s="504"/>
      <c r="AZ26" s="504"/>
      <c r="BA26" s="505"/>
      <c r="BB26" s="507">
        <f>AT26</f>
        <v>0.11700000000000001</v>
      </c>
      <c r="BC26" s="504"/>
      <c r="BD26" s="504"/>
      <c r="BE26" s="505"/>
      <c r="BF26" s="507">
        <f>AX26</f>
        <v>0.11700000000000001</v>
      </c>
      <c r="BG26" s="504"/>
      <c r="BH26" s="504"/>
      <c r="BI26" s="505"/>
      <c r="BJ26" s="507">
        <f>BB26</f>
        <v>0.11700000000000001</v>
      </c>
      <c r="BK26" s="504"/>
      <c r="BL26" s="504"/>
      <c r="BM26" s="505"/>
      <c r="BN26" s="507">
        <f>BF26</f>
        <v>0.11700000000000001</v>
      </c>
      <c r="BO26" s="504"/>
      <c r="BP26" s="504"/>
      <c r="BQ26" s="505"/>
      <c r="BR26" s="1560">
        <v>0.11700000000000001</v>
      </c>
      <c r="BS26" s="853"/>
      <c r="BT26" s="216"/>
      <c r="BU26" s="216"/>
      <c r="BV26" s="216"/>
      <c r="BW26" s="1560">
        <v>0.11700000000000001</v>
      </c>
      <c r="BX26" s="503"/>
      <c r="BY26" s="216"/>
      <c r="BZ26" s="216"/>
      <c r="CA26" s="1559"/>
      <c r="CB26" s="1560">
        <v>0.11700000000000001</v>
      </c>
      <c r="CC26" s="503"/>
      <c r="CD26" s="216"/>
      <c r="CE26" s="1559"/>
      <c r="CF26" s="1560">
        <v>0.11700000000000001</v>
      </c>
      <c r="CG26" s="503"/>
      <c r="CH26" s="216"/>
      <c r="CI26" s="1559"/>
      <c r="CJ26" s="1560">
        <v>0.11700000000000001</v>
      </c>
      <c r="CK26" s="503"/>
      <c r="CL26" s="216"/>
      <c r="CM26" s="1559"/>
      <c r="CN26" s="1560">
        <v>0.11700000000000001</v>
      </c>
      <c r="CO26" s="503"/>
      <c r="CP26" s="216"/>
      <c r="CQ26" s="1559"/>
      <c r="CR26" s="1560">
        <v>0.11700000000000001</v>
      </c>
      <c r="CS26" s="503"/>
      <c r="CT26" s="216"/>
      <c r="CU26" s="1559"/>
      <c r="CV26" s="1560">
        <v>0.11700000000000001</v>
      </c>
      <c r="CW26" s="503"/>
      <c r="CX26" s="216"/>
      <c r="CY26" s="1559"/>
      <c r="CZ26" s="1560">
        <v>0.11700000000000001</v>
      </c>
      <c r="DA26" s="503"/>
      <c r="DB26" s="216"/>
      <c r="DC26" s="1559"/>
      <c r="DD26" s="1560">
        <v>0.11700000000000001</v>
      </c>
      <c r="DE26" s="503"/>
      <c r="DF26" s="216"/>
      <c r="DG26" s="1559"/>
      <c r="DH26" s="1560">
        <v>0.11700000000000001</v>
      </c>
      <c r="DI26" s="503"/>
      <c r="DJ26" s="216"/>
      <c r="DK26" s="1559"/>
      <c r="DL26" s="1560">
        <v>0.11700000000000001</v>
      </c>
      <c r="DM26" s="503"/>
      <c r="DN26" s="216"/>
      <c r="DO26" s="1559"/>
      <c r="DP26" s="1560">
        <v>0.11700000000000001</v>
      </c>
      <c r="DQ26" s="503"/>
      <c r="DR26" s="216"/>
      <c r="DS26" s="1559"/>
      <c r="DT26" s="1560">
        <v>0.11700000000000001</v>
      </c>
      <c r="DU26" s="503"/>
      <c r="DV26" s="216"/>
      <c r="DW26" s="1559"/>
      <c r="DX26" s="1560">
        <v>0.11700000000000001</v>
      </c>
      <c r="DY26" s="503"/>
      <c r="DZ26" s="216"/>
      <c r="EA26" s="1559"/>
      <c r="EB26" s="1560">
        <v>0.11700000000000001</v>
      </c>
      <c r="EC26" s="503"/>
      <c r="ED26" s="216"/>
      <c r="EE26" s="1559"/>
      <c r="EF26" s="1560">
        <v>0.11700000000000001</v>
      </c>
      <c r="EG26" s="503"/>
      <c r="EH26" s="216"/>
      <c r="EI26" s="1559"/>
      <c r="EJ26" s="1560">
        <v>0.11700000000000001</v>
      </c>
      <c r="EK26" s="503"/>
      <c r="EL26" s="216"/>
      <c r="EM26" s="1559"/>
      <c r="EN26" s="1560">
        <v>0.11700000000000001</v>
      </c>
      <c r="EO26" s="503"/>
      <c r="EP26" s="216"/>
      <c r="EQ26" s="1559"/>
      <c r="ER26" s="1560">
        <v>0.11700000000000001</v>
      </c>
      <c r="ES26" s="503"/>
      <c r="ET26" s="216"/>
      <c r="EU26" s="1559"/>
      <c r="EV26" s="1560">
        <v>0.11700000000000001</v>
      </c>
      <c r="EW26" s="503"/>
      <c r="EX26" s="216"/>
      <c r="EY26" s="1559"/>
      <c r="EZ26" s="1560">
        <v>0.11700000000000001</v>
      </c>
      <c r="FA26" s="503"/>
      <c r="FB26" s="216"/>
      <c r="FC26" s="1559"/>
      <c r="FD26" s="1560">
        <v>0.11700000000000001</v>
      </c>
      <c r="FE26" s="503"/>
      <c r="FF26" s="216"/>
      <c r="FG26" s="1559"/>
      <c r="FH26" s="1560">
        <v>0.11700000000000001</v>
      </c>
      <c r="FI26" s="503"/>
      <c r="FJ26" s="216"/>
      <c r="FK26" s="1559"/>
      <c r="FL26" s="1560">
        <v>0.11700000000000001</v>
      </c>
      <c r="FM26" s="503"/>
      <c r="FN26" s="216"/>
      <c r="FO26" s="1559"/>
      <c r="FP26" s="1560">
        <v>0.11700000000000001</v>
      </c>
      <c r="FQ26" s="503"/>
      <c r="FR26" s="216"/>
      <c r="FS26" s="1559"/>
      <c r="FT26" s="1560">
        <v>0.11700000000000001</v>
      </c>
      <c r="FU26" s="503"/>
      <c r="FV26" s="216"/>
      <c r="FW26" s="1559"/>
      <c r="FX26" s="1560">
        <v>0.11700000000000001</v>
      </c>
      <c r="FY26" s="503"/>
      <c r="FZ26" s="216"/>
      <c r="GA26" s="1559"/>
      <c r="GB26" s="1560">
        <v>0.11700000000000001</v>
      </c>
      <c r="GC26" s="503"/>
      <c r="GD26" s="216"/>
      <c r="GE26" s="1559"/>
      <c r="GF26" s="1560">
        <v>0.11700000000000001</v>
      </c>
      <c r="GG26" s="503"/>
      <c r="GH26" s="216"/>
      <c r="GI26" s="1559"/>
      <c r="GJ26" s="1560">
        <v>0.11700000000000001</v>
      </c>
      <c r="GK26" s="503"/>
      <c r="GL26" s="216"/>
      <c r="GM26" s="1559"/>
      <c r="GN26" s="1560">
        <v>0.11700000000000001</v>
      </c>
      <c r="GO26" s="503"/>
      <c r="GP26" s="216"/>
      <c r="GQ26" s="1559"/>
      <c r="GR26" s="1560">
        <v>0.11700000000000001</v>
      </c>
      <c r="GS26" s="503"/>
      <c r="GT26" s="216"/>
      <c r="GU26" s="1559"/>
      <c r="GV26" s="1560">
        <v>0.11700000000000001</v>
      </c>
      <c r="GW26" s="503"/>
      <c r="GX26" s="216"/>
      <c r="GY26" s="1559"/>
      <c r="GZ26" s="1560">
        <v>0.11700000000000001</v>
      </c>
      <c r="HA26" s="503"/>
      <c r="HB26" s="216"/>
      <c r="HC26" s="1559"/>
      <c r="HD26" s="1560">
        <v>0.11700000000000001</v>
      </c>
      <c r="HE26" s="503"/>
      <c r="HF26" s="216"/>
      <c r="HG26" s="1559"/>
      <c r="HH26" s="1560">
        <v>0.11700000000000001</v>
      </c>
      <c r="HI26" s="503"/>
      <c r="HJ26" s="216"/>
      <c r="HK26" s="1559"/>
      <c r="HL26" s="1560">
        <v>0.11700000000000001</v>
      </c>
      <c r="HM26" s="503"/>
      <c r="HN26" s="216"/>
      <c r="HO26" s="1559"/>
      <c r="HP26" s="1560">
        <v>0.11700000000000001</v>
      </c>
      <c r="HQ26" s="503"/>
      <c r="HR26" s="216"/>
      <c r="HS26" s="1559"/>
      <c r="HT26" s="1560">
        <v>0.11700000000000001</v>
      </c>
      <c r="HU26" s="503"/>
      <c r="HV26" s="216"/>
      <c r="HW26" s="1559"/>
      <c r="HX26" s="1560">
        <v>0.11700000000000001</v>
      </c>
      <c r="HY26" s="503"/>
      <c r="HZ26" s="216"/>
      <c r="IA26" s="1559"/>
      <c r="IB26" s="1560">
        <v>0.11700000000000001</v>
      </c>
      <c r="IC26" s="503"/>
      <c r="ID26" s="216"/>
      <c r="IE26" s="1559"/>
      <c r="IF26" s="1560">
        <v>0.11700000000000001</v>
      </c>
      <c r="IG26" s="503"/>
      <c r="IH26" s="216"/>
      <c r="II26" s="1559"/>
      <c r="IJ26" s="1560">
        <v>0.11700000000000001</v>
      </c>
      <c r="IK26" s="503"/>
      <c r="IL26" s="216"/>
      <c r="IM26" s="1559"/>
      <c r="IN26" s="1560">
        <v>0.11700000000000001</v>
      </c>
      <c r="IO26" s="503"/>
      <c r="IP26" s="216"/>
      <c r="IQ26" s="1559"/>
      <c r="IR26" s="1560">
        <v>0.11700000000000001</v>
      </c>
      <c r="IS26" s="503"/>
      <c r="IT26" s="216"/>
      <c r="IU26" s="1559"/>
      <c r="IV26" s="1560">
        <v>0.11700000000000001</v>
      </c>
      <c r="IW26" s="503"/>
      <c r="IX26" s="216"/>
      <c r="IY26" s="1559"/>
      <c r="IZ26" s="216"/>
      <c r="JA26" s="506"/>
      <c r="JB26" s="502"/>
    </row>
    <row r="27" spans="1:262" ht="26.4">
      <c r="A27" s="276">
        <f>+A26+1</f>
        <v>14</v>
      </c>
      <c r="B27" s="110" t="s">
        <v>213</v>
      </c>
      <c r="C27" s="170" t="s">
        <v>241</v>
      </c>
      <c r="D27" s="184"/>
      <c r="E27" s="388">
        <f>O10</f>
        <v>0.11477830196489683</v>
      </c>
      <c r="F27" s="116"/>
      <c r="G27" s="116"/>
      <c r="H27" s="116"/>
      <c r="I27" s="1561"/>
      <c r="J27" s="388">
        <f>+E27</f>
        <v>0.11477830196489683</v>
      </c>
      <c r="K27" s="183"/>
      <c r="L27" s="183"/>
      <c r="M27" s="184"/>
      <c r="N27" s="388">
        <f>+J27</f>
        <v>0.11477830196489683</v>
      </c>
      <c r="O27" s="183"/>
      <c r="P27" s="183"/>
      <c r="Q27" s="184"/>
      <c r="R27" s="537">
        <f>O10</f>
        <v>0.11477830196489683</v>
      </c>
      <c r="S27" s="183"/>
      <c r="T27" s="183"/>
      <c r="U27" s="183"/>
      <c r="V27" s="537">
        <f>J27</f>
        <v>0.11477830196489683</v>
      </c>
      <c r="W27" s="183"/>
      <c r="X27" s="183"/>
      <c r="Y27" s="184"/>
      <c r="Z27" s="537">
        <f>N27</f>
        <v>0.11477830196489683</v>
      </c>
      <c r="AA27" s="183"/>
      <c r="AB27" s="183"/>
      <c r="AC27" s="184"/>
      <c r="AD27" s="537">
        <f>O10</f>
        <v>0.11477830196489683</v>
      </c>
      <c r="AE27" s="183"/>
      <c r="AF27" s="183"/>
      <c r="AG27" s="184"/>
      <c r="AH27" s="537">
        <f>O10</f>
        <v>0.11477830196489683</v>
      </c>
      <c r="AI27" s="183"/>
      <c r="AJ27" s="183"/>
      <c r="AK27" s="184"/>
      <c r="AL27" s="537">
        <f>$O$10</f>
        <v>0.11477830196489683</v>
      </c>
      <c r="AM27" s="183"/>
      <c r="AN27" s="183"/>
      <c r="AO27" s="184"/>
      <c r="AP27" s="537">
        <f>$O$10</f>
        <v>0.11477830196489683</v>
      </c>
      <c r="AQ27" s="183"/>
      <c r="AR27" s="183"/>
      <c r="AS27" s="184"/>
      <c r="AT27" s="537">
        <f>$O$10</f>
        <v>0.11477830196489683</v>
      </c>
      <c r="AU27" s="183"/>
      <c r="AV27" s="183"/>
      <c r="AW27" s="184"/>
      <c r="AX27" s="537">
        <f>$O$10</f>
        <v>0.11477830196489683</v>
      </c>
      <c r="AY27" s="183"/>
      <c r="AZ27" s="183"/>
      <c r="BA27" s="184"/>
      <c r="BB27" s="537">
        <f>$O$10</f>
        <v>0.11477830196489683</v>
      </c>
      <c r="BC27" s="183"/>
      <c r="BD27" s="183"/>
      <c r="BE27" s="184"/>
      <c r="BF27" s="537">
        <f>$O$10</f>
        <v>0.11477830196489683</v>
      </c>
      <c r="BG27" s="183"/>
      <c r="BH27" s="183"/>
      <c r="BI27" s="184"/>
      <c r="BJ27" s="537">
        <f>$O$10</f>
        <v>0.11477830196489683</v>
      </c>
      <c r="BK27" s="183"/>
      <c r="BL27" s="183"/>
      <c r="BM27" s="184"/>
      <c r="BN27" s="537">
        <f>$O$10</f>
        <v>0.11477830196489683</v>
      </c>
      <c r="BO27" s="183"/>
      <c r="BP27" s="183"/>
      <c r="BQ27" s="184"/>
      <c r="BR27" s="537">
        <f>$O$10</f>
        <v>0.11477830196489683</v>
      </c>
      <c r="BT27" s="116"/>
      <c r="BU27" s="116"/>
      <c r="BV27" s="116"/>
      <c r="BW27" s="537">
        <f>$O$10</f>
        <v>0.11477830196489683</v>
      </c>
      <c r="BX27" s="116"/>
      <c r="BY27" s="116"/>
      <c r="BZ27" s="116"/>
      <c r="CA27" s="1561"/>
      <c r="CB27" s="537">
        <f>$O$10</f>
        <v>0.11477830196489683</v>
      </c>
      <c r="CC27" s="116"/>
      <c r="CD27" s="116"/>
      <c r="CE27" s="1561"/>
      <c r="CF27" s="537">
        <f>$O$10</f>
        <v>0.11477830196489683</v>
      </c>
      <c r="CG27" s="116"/>
      <c r="CH27" s="116"/>
      <c r="CI27" s="1561"/>
      <c r="CJ27" s="537">
        <f>$O$10</f>
        <v>0.11477830196489683</v>
      </c>
      <c r="CK27" s="116"/>
      <c r="CL27" s="116"/>
      <c r="CM27" s="1561"/>
      <c r="CN27" s="537">
        <f>$O$10</f>
        <v>0.11477830196489683</v>
      </c>
      <c r="CO27" s="116"/>
      <c r="CP27" s="116"/>
      <c r="CQ27" s="1561"/>
      <c r="CR27" s="537">
        <f>$O$10</f>
        <v>0.11477830196489683</v>
      </c>
      <c r="CS27" s="116"/>
      <c r="CT27" s="116"/>
      <c r="CU27" s="1561"/>
      <c r="CV27" s="537">
        <f>$O$10</f>
        <v>0.11477830196489683</v>
      </c>
      <c r="CW27" s="116"/>
      <c r="CX27" s="116"/>
      <c r="CY27" s="1561"/>
      <c r="CZ27" s="537">
        <f>$O$10</f>
        <v>0.11477830196489683</v>
      </c>
      <c r="DA27" s="116"/>
      <c r="DB27" s="116"/>
      <c r="DC27" s="1561"/>
      <c r="DD27" s="537">
        <f>$O$10</f>
        <v>0.11477830196489683</v>
      </c>
      <c r="DE27" s="116"/>
      <c r="DF27" s="116"/>
      <c r="DG27" s="1561"/>
      <c r="DH27" s="537">
        <f>$O$10</f>
        <v>0.11477830196489683</v>
      </c>
      <c r="DI27" s="116"/>
      <c r="DJ27" s="116"/>
      <c r="DK27" s="1561"/>
      <c r="DL27" s="537">
        <f>$O$10</f>
        <v>0.11477830196489683</v>
      </c>
      <c r="DM27" s="116"/>
      <c r="DN27" s="116"/>
      <c r="DO27" s="1561"/>
      <c r="DP27" s="537">
        <f>$O$10</f>
        <v>0.11477830196489683</v>
      </c>
      <c r="DQ27" s="116"/>
      <c r="DR27" s="116"/>
      <c r="DS27" s="1561"/>
      <c r="DT27" s="537">
        <f>$O$10</f>
        <v>0.11477830196489683</v>
      </c>
      <c r="DU27" s="116"/>
      <c r="DV27" s="116"/>
      <c r="DW27" s="1561"/>
      <c r="DX27" s="537">
        <f>$O$10</f>
        <v>0.11477830196489683</v>
      </c>
      <c r="DY27" s="116"/>
      <c r="DZ27" s="116"/>
      <c r="EA27" s="1561"/>
      <c r="EB27" s="537">
        <f>$O$10</f>
        <v>0.11477830196489683</v>
      </c>
      <c r="EC27" s="116"/>
      <c r="ED27" s="116"/>
      <c r="EE27" s="1561"/>
      <c r="EF27" s="537">
        <f>$O$10</f>
        <v>0.11477830196489683</v>
      </c>
      <c r="EG27" s="116"/>
      <c r="EH27" s="116"/>
      <c r="EI27" s="1561"/>
      <c r="EJ27" s="537">
        <f>$O$10</f>
        <v>0.11477830196489683</v>
      </c>
      <c r="EK27" s="116"/>
      <c r="EL27" s="116"/>
      <c r="EM27" s="1561"/>
      <c r="EN27" s="537">
        <f>$O$10</f>
        <v>0.11477830196489683</v>
      </c>
      <c r="EO27" s="116"/>
      <c r="EP27" s="116"/>
      <c r="EQ27" s="1561"/>
      <c r="ER27" s="537">
        <f>$O$10</f>
        <v>0.11477830196489683</v>
      </c>
      <c r="ES27" s="116"/>
      <c r="ET27" s="116"/>
      <c r="EU27" s="1561"/>
      <c r="EV27" s="537">
        <f>$O$10</f>
        <v>0.11477830196489683</v>
      </c>
      <c r="EW27" s="116"/>
      <c r="EX27" s="116"/>
      <c r="EY27" s="1561"/>
      <c r="EZ27" s="537">
        <f>$O$10</f>
        <v>0.11477830196489683</v>
      </c>
      <c r="FA27" s="116"/>
      <c r="FB27" s="116"/>
      <c r="FC27" s="1561"/>
      <c r="FD27" s="537">
        <f>$O$10</f>
        <v>0.11477830196489683</v>
      </c>
      <c r="FE27" s="116"/>
      <c r="FF27" s="116"/>
      <c r="FG27" s="1561"/>
      <c r="FH27" s="537">
        <f>$O$10</f>
        <v>0.11477830196489683</v>
      </c>
      <c r="FI27" s="116"/>
      <c r="FJ27" s="116"/>
      <c r="FK27" s="1561"/>
      <c r="FL27" s="537">
        <f>$O$10</f>
        <v>0.11477830196489683</v>
      </c>
      <c r="FM27" s="116"/>
      <c r="FN27" s="116"/>
      <c r="FO27" s="1561"/>
      <c r="FP27" s="537">
        <f>$O$10</f>
        <v>0.11477830196489683</v>
      </c>
      <c r="FQ27" s="116"/>
      <c r="FR27" s="116"/>
      <c r="FS27" s="1561"/>
      <c r="FT27" s="537">
        <f>$O$10</f>
        <v>0.11477830196489683</v>
      </c>
      <c r="FU27" s="116"/>
      <c r="FV27" s="116"/>
      <c r="FW27" s="1561"/>
      <c r="FX27" s="537">
        <f>$O$10</f>
        <v>0.11477830196489683</v>
      </c>
      <c r="FY27" s="116"/>
      <c r="FZ27" s="116"/>
      <c r="GA27" s="1561"/>
      <c r="GB27" s="537">
        <f>$O$10</f>
        <v>0.11477830196489683</v>
      </c>
      <c r="GC27" s="116"/>
      <c r="GD27" s="116"/>
      <c r="GE27" s="1561"/>
      <c r="GF27" s="537">
        <f>$O$10</f>
        <v>0.11477830196489683</v>
      </c>
      <c r="GG27" s="116"/>
      <c r="GH27" s="116"/>
      <c r="GI27" s="1561"/>
      <c r="GJ27" s="537">
        <f>$O$10</f>
        <v>0.11477830196489683</v>
      </c>
      <c r="GK27" s="116"/>
      <c r="GL27" s="116"/>
      <c r="GM27" s="1561"/>
      <c r="GN27" s="537">
        <f>$O$10</f>
        <v>0.11477830196489683</v>
      </c>
      <c r="GO27" s="116"/>
      <c r="GP27" s="116"/>
      <c r="GQ27" s="1561"/>
      <c r="GR27" s="537">
        <f>$O$10</f>
        <v>0.11477830196489683</v>
      </c>
      <c r="GS27" s="116"/>
      <c r="GT27" s="116"/>
      <c r="GU27" s="1561"/>
      <c r="GV27" s="537">
        <f>$O$10</f>
        <v>0.11477830196489683</v>
      </c>
      <c r="GW27" s="116"/>
      <c r="GX27" s="116"/>
      <c r="GY27" s="1561"/>
      <c r="GZ27" s="537">
        <f>$O$10</f>
        <v>0.11477830196489683</v>
      </c>
      <c r="HA27" s="116"/>
      <c r="HB27" s="116"/>
      <c r="HC27" s="1561"/>
      <c r="HD27" s="537">
        <f>$O$10</f>
        <v>0.11477830196489683</v>
      </c>
      <c r="HE27" s="116"/>
      <c r="HF27" s="116"/>
      <c r="HG27" s="1561"/>
      <c r="HH27" s="537">
        <f>$O$10</f>
        <v>0.11477830196489683</v>
      </c>
      <c r="HI27" s="116"/>
      <c r="HJ27" s="116"/>
      <c r="HK27" s="1561"/>
      <c r="HL27" s="537">
        <f>$O$10</f>
        <v>0.11477830196489683</v>
      </c>
      <c r="HM27" s="116"/>
      <c r="HN27" s="116"/>
      <c r="HO27" s="1561"/>
      <c r="HP27" s="537">
        <f>$O$10</f>
        <v>0.11477830196489683</v>
      </c>
      <c r="HQ27" s="116"/>
      <c r="HR27" s="116"/>
      <c r="HS27" s="1561"/>
      <c r="HT27" s="537">
        <f>$O$10</f>
        <v>0.11477830196489683</v>
      </c>
      <c r="HU27" s="116"/>
      <c r="HV27" s="116"/>
      <c r="HW27" s="1561"/>
      <c r="HX27" s="537">
        <f>$O$10</f>
        <v>0.11477830196489683</v>
      </c>
      <c r="HY27" s="116"/>
      <c r="HZ27" s="116"/>
      <c r="IA27" s="1561"/>
      <c r="IB27" s="537">
        <f>$O$10</f>
        <v>0.11477830196489683</v>
      </c>
      <c r="IC27" s="116"/>
      <c r="ID27" s="116"/>
      <c r="IE27" s="1561"/>
      <c r="IF27" s="537">
        <f>$O$10</f>
        <v>0.11477830196489683</v>
      </c>
      <c r="IG27" s="116"/>
      <c r="IH27" s="116"/>
      <c r="II27" s="1561"/>
      <c r="IJ27" s="537">
        <f>$O$10</f>
        <v>0.11477830196489683</v>
      </c>
      <c r="IK27" s="116"/>
      <c r="IL27" s="116"/>
      <c r="IM27" s="1561"/>
      <c r="IN27" s="537">
        <f>$O$10</f>
        <v>0.11477830196489683</v>
      </c>
      <c r="IO27" s="116"/>
      <c r="IP27" s="116"/>
      <c r="IQ27" s="1561"/>
      <c r="IR27" s="537">
        <f>$O$10</f>
        <v>0.11477830196489683</v>
      </c>
      <c r="IS27" s="116"/>
      <c r="IT27" s="116"/>
      <c r="IU27" s="1561"/>
      <c r="IV27" s="537">
        <f>$O$10</f>
        <v>0.11477830196489683</v>
      </c>
      <c r="IW27" s="116"/>
      <c r="IX27" s="116"/>
      <c r="IY27" s="1561"/>
      <c r="IZ27" s="116"/>
      <c r="JA27" s="170"/>
      <c r="JB27" s="168"/>
    </row>
    <row r="28" spans="1:262" ht="26.4">
      <c r="A28" s="276">
        <f>+A27+1</f>
        <v>15</v>
      </c>
      <c r="B28" s="110" t="s">
        <v>214</v>
      </c>
      <c r="C28" s="170" t="s">
        <v>810</v>
      </c>
      <c r="D28" s="184"/>
      <c r="E28" s="388">
        <f>O11</f>
        <v>0.12118860546476623</v>
      </c>
      <c r="F28" s="116"/>
      <c r="G28" s="116"/>
      <c r="H28" s="116"/>
      <c r="I28" s="1561"/>
      <c r="J28" s="388">
        <f>O10</f>
        <v>0.11477830196489683</v>
      </c>
      <c r="K28" s="116"/>
      <c r="L28" s="116"/>
      <c r="M28" s="168"/>
      <c r="N28" s="388">
        <f>O11</f>
        <v>0.12118860546476623</v>
      </c>
      <c r="O28" s="116"/>
      <c r="P28" s="116"/>
      <c r="Q28" s="168"/>
      <c r="R28" s="388">
        <f>O10</f>
        <v>0.11477830196489683</v>
      </c>
      <c r="S28" s="116"/>
      <c r="T28" s="116"/>
      <c r="U28" s="116"/>
      <c r="V28" s="388">
        <f>J28</f>
        <v>0.11477830196489683</v>
      </c>
      <c r="W28" s="116"/>
      <c r="X28" s="116"/>
      <c r="Y28" s="168"/>
      <c r="Z28" s="388">
        <f>O10</f>
        <v>0.11477830196489683</v>
      </c>
      <c r="AA28" s="116"/>
      <c r="AB28" s="116"/>
      <c r="AC28" s="168"/>
      <c r="AD28" s="388">
        <f>O10</f>
        <v>0.11477830196489683</v>
      </c>
      <c r="AE28" s="116"/>
      <c r="AF28" s="116"/>
      <c r="AG28" s="168"/>
      <c r="AH28" s="388">
        <f>O10</f>
        <v>0.11477830196489683</v>
      </c>
      <c r="AI28" s="116"/>
      <c r="AJ28" s="116"/>
      <c r="AK28" s="168"/>
      <c r="AL28" s="388">
        <f>$O$10</f>
        <v>0.11477830196489683</v>
      </c>
      <c r="AM28" s="116"/>
      <c r="AN28" s="116"/>
      <c r="AO28" s="168"/>
      <c r="AP28" s="388">
        <f>$O$10</f>
        <v>0.11477830196489683</v>
      </c>
      <c r="AQ28" s="116"/>
      <c r="AR28" s="116"/>
      <c r="AS28" s="168"/>
      <c r="AT28" s="388">
        <f>$O$10</f>
        <v>0.11477830196489683</v>
      </c>
      <c r="AU28" s="116"/>
      <c r="AV28" s="116"/>
      <c r="AW28" s="168"/>
      <c r="AX28" s="388">
        <f>$O$10</f>
        <v>0.11477830196489683</v>
      </c>
      <c r="AY28" s="116"/>
      <c r="AZ28" s="116"/>
      <c r="BA28" s="168"/>
      <c r="BB28" s="388">
        <f>$O$10</f>
        <v>0.11477830196489683</v>
      </c>
      <c r="BC28" s="116"/>
      <c r="BD28" s="116"/>
      <c r="BE28" s="168"/>
      <c r="BF28" s="388">
        <f>$O$10</f>
        <v>0.11477830196489683</v>
      </c>
      <c r="BG28" s="116"/>
      <c r="BH28" s="116"/>
      <c r="BI28" s="168"/>
      <c r="BJ28" s="388">
        <f>$O$10</f>
        <v>0.11477830196489683</v>
      </c>
      <c r="BK28" s="116"/>
      <c r="BL28" s="116"/>
      <c r="BM28" s="168"/>
      <c r="BN28" s="388">
        <f>$O$10</f>
        <v>0.11477830196489683</v>
      </c>
      <c r="BO28" s="116"/>
      <c r="BP28" s="116"/>
      <c r="BQ28" s="168"/>
      <c r="BR28" s="388">
        <f>$O$10</f>
        <v>0.11477830196489683</v>
      </c>
      <c r="BT28" s="193"/>
      <c r="BU28" s="193"/>
      <c r="BV28" s="116"/>
      <c r="BW28" s="388">
        <f>$O$10</f>
        <v>0.11477830196489683</v>
      </c>
      <c r="BX28" s="116"/>
      <c r="BY28" s="116"/>
      <c r="BZ28" s="116"/>
      <c r="CA28" s="1561"/>
      <c r="CB28" s="388">
        <f>$O$10</f>
        <v>0.11477830196489683</v>
      </c>
      <c r="CC28" s="116"/>
      <c r="CD28" s="116"/>
      <c r="CE28" s="1561"/>
      <c r="CF28" s="388">
        <f>$O$10</f>
        <v>0.11477830196489683</v>
      </c>
      <c r="CG28" s="116"/>
      <c r="CH28" s="116"/>
      <c r="CI28" s="1561"/>
      <c r="CJ28" s="388">
        <f>$O$10</f>
        <v>0.11477830196489683</v>
      </c>
      <c r="CK28" s="116"/>
      <c r="CL28" s="116"/>
      <c r="CM28" s="1561"/>
      <c r="CN28" s="388">
        <f>$O$10</f>
        <v>0.11477830196489683</v>
      </c>
      <c r="CO28" s="116"/>
      <c r="CP28" s="116"/>
      <c r="CQ28" s="1561"/>
      <c r="CR28" s="388">
        <f>$O$10</f>
        <v>0.11477830196489683</v>
      </c>
      <c r="CS28" s="116"/>
      <c r="CT28" s="116"/>
      <c r="CU28" s="1561"/>
      <c r="CV28" s="388">
        <f>$O$10</f>
        <v>0.11477830196489683</v>
      </c>
      <c r="CW28" s="116"/>
      <c r="CX28" s="116"/>
      <c r="CY28" s="1561"/>
      <c r="CZ28" s="388">
        <f>$O$10</f>
        <v>0.11477830196489683</v>
      </c>
      <c r="DA28" s="116"/>
      <c r="DB28" s="116"/>
      <c r="DC28" s="1561"/>
      <c r="DD28" s="388">
        <f>$O$10</f>
        <v>0.11477830196489683</v>
      </c>
      <c r="DE28" s="116"/>
      <c r="DF28" s="116"/>
      <c r="DG28" s="1561"/>
      <c r="DH28" s="388">
        <f>$O$10</f>
        <v>0.11477830196489683</v>
      </c>
      <c r="DI28" s="116"/>
      <c r="DJ28" s="116"/>
      <c r="DK28" s="1561"/>
      <c r="DL28" s="388">
        <f>$O$10</f>
        <v>0.11477830196489683</v>
      </c>
      <c r="DM28" s="116"/>
      <c r="DN28" s="116"/>
      <c r="DO28" s="1561"/>
      <c r="DP28" s="388">
        <f>$O$10</f>
        <v>0.11477830196489683</v>
      </c>
      <c r="DQ28" s="116"/>
      <c r="DR28" s="116"/>
      <c r="DS28" s="1561"/>
      <c r="DT28" s="388">
        <f>$O$10</f>
        <v>0.11477830196489683</v>
      </c>
      <c r="DU28" s="116"/>
      <c r="DV28" s="116"/>
      <c r="DW28" s="1561"/>
      <c r="DX28" s="388">
        <f>$O$10</f>
        <v>0.11477830196489683</v>
      </c>
      <c r="DY28" s="116"/>
      <c r="DZ28" s="116"/>
      <c r="EA28" s="1561"/>
      <c r="EB28" s="388">
        <f>$O$10</f>
        <v>0.11477830196489683</v>
      </c>
      <c r="EC28" s="116"/>
      <c r="ED28" s="116"/>
      <c r="EE28" s="1561"/>
      <c r="EF28" s="388">
        <f>$O$10</f>
        <v>0.11477830196489683</v>
      </c>
      <c r="EG28" s="116"/>
      <c r="EH28" s="116"/>
      <c r="EI28" s="1561"/>
      <c r="EJ28" s="388">
        <f>$O$10</f>
        <v>0.11477830196489683</v>
      </c>
      <c r="EK28" s="116"/>
      <c r="EL28" s="116"/>
      <c r="EM28" s="1561"/>
      <c r="EN28" s="388">
        <f>$O$10</f>
        <v>0.11477830196489683</v>
      </c>
      <c r="EO28" s="116"/>
      <c r="EP28" s="116"/>
      <c r="EQ28" s="1561"/>
      <c r="ER28" s="388">
        <f>$O$10</f>
        <v>0.11477830196489683</v>
      </c>
      <c r="ES28" s="116"/>
      <c r="ET28" s="116"/>
      <c r="EU28" s="1561"/>
      <c r="EV28" s="388">
        <f>$O$10</f>
        <v>0.11477830196489683</v>
      </c>
      <c r="EW28" s="116"/>
      <c r="EX28" s="116"/>
      <c r="EY28" s="1561"/>
      <c r="EZ28" s="388">
        <f>$O$10</f>
        <v>0.11477830196489683</v>
      </c>
      <c r="FA28" s="116"/>
      <c r="FB28" s="116"/>
      <c r="FC28" s="1561"/>
      <c r="FD28" s="388">
        <f>$O$10</f>
        <v>0.11477830196489683</v>
      </c>
      <c r="FE28" s="116"/>
      <c r="FF28" s="116"/>
      <c r="FG28" s="1561"/>
      <c r="FH28" s="388">
        <f>$O$10</f>
        <v>0.11477830196489683</v>
      </c>
      <c r="FI28" s="116"/>
      <c r="FJ28" s="116"/>
      <c r="FK28" s="1561"/>
      <c r="FL28" s="388">
        <f>$O$10</f>
        <v>0.11477830196489683</v>
      </c>
      <c r="FM28" s="116"/>
      <c r="FN28" s="116"/>
      <c r="FO28" s="1561"/>
      <c r="FP28" s="388">
        <f>$O$10</f>
        <v>0.11477830196489683</v>
      </c>
      <c r="FQ28" s="116"/>
      <c r="FR28" s="116"/>
      <c r="FS28" s="1561"/>
      <c r="FT28" s="388">
        <f>$O$10</f>
        <v>0.11477830196489683</v>
      </c>
      <c r="FU28" s="116"/>
      <c r="FV28" s="116"/>
      <c r="FW28" s="1561"/>
      <c r="FX28" s="388">
        <f>$O$10</f>
        <v>0.11477830196489683</v>
      </c>
      <c r="FY28" s="116"/>
      <c r="FZ28" s="116"/>
      <c r="GA28" s="1561"/>
      <c r="GB28" s="388">
        <f>$O$10</f>
        <v>0.11477830196489683</v>
      </c>
      <c r="GC28" s="116"/>
      <c r="GD28" s="116"/>
      <c r="GE28" s="1561"/>
      <c r="GF28" s="388">
        <f>$O$10</f>
        <v>0.11477830196489683</v>
      </c>
      <c r="GG28" s="116"/>
      <c r="GH28" s="116"/>
      <c r="GI28" s="1561"/>
      <c r="GJ28" s="388">
        <f>$O$10</f>
        <v>0.11477830196489683</v>
      </c>
      <c r="GK28" s="116"/>
      <c r="GL28" s="116"/>
      <c r="GM28" s="1561"/>
      <c r="GN28" s="388">
        <f>$O$10</f>
        <v>0.11477830196489683</v>
      </c>
      <c r="GO28" s="116"/>
      <c r="GP28" s="116"/>
      <c r="GQ28" s="1561"/>
      <c r="GR28" s="388">
        <f>$O$10</f>
        <v>0.11477830196489683</v>
      </c>
      <c r="GS28" s="116"/>
      <c r="GT28" s="116"/>
      <c r="GU28" s="1561"/>
      <c r="GV28" s="388">
        <f>$O$10</f>
        <v>0.11477830196489683</v>
      </c>
      <c r="GW28" s="116"/>
      <c r="GX28" s="116"/>
      <c r="GY28" s="1561"/>
      <c r="GZ28" s="388">
        <f>$O$10</f>
        <v>0.11477830196489683</v>
      </c>
      <c r="HA28" s="116"/>
      <c r="HB28" s="116"/>
      <c r="HC28" s="1561"/>
      <c r="HD28" s="388">
        <f>$O$10</f>
        <v>0.11477830196489683</v>
      </c>
      <c r="HE28" s="116"/>
      <c r="HF28" s="116"/>
      <c r="HG28" s="1561"/>
      <c r="HH28" s="388">
        <f>$O$10</f>
        <v>0.11477830196489683</v>
      </c>
      <c r="HI28" s="116"/>
      <c r="HJ28" s="116"/>
      <c r="HK28" s="1561"/>
      <c r="HL28" s="388">
        <f>$O$10</f>
        <v>0.11477830196489683</v>
      </c>
      <c r="HM28" s="116"/>
      <c r="HN28" s="116"/>
      <c r="HO28" s="1561"/>
      <c r="HP28" s="388">
        <f>$O$10</f>
        <v>0.11477830196489683</v>
      </c>
      <c r="HQ28" s="116"/>
      <c r="HR28" s="116"/>
      <c r="HS28" s="1561"/>
      <c r="HT28" s="388">
        <f>$O$10</f>
        <v>0.11477830196489683</v>
      </c>
      <c r="HU28" s="116"/>
      <c r="HV28" s="116"/>
      <c r="HW28" s="1561"/>
      <c r="HX28" s="388">
        <f>$O$10</f>
        <v>0.11477830196489683</v>
      </c>
      <c r="HY28" s="116"/>
      <c r="HZ28" s="116"/>
      <c r="IA28" s="1561"/>
      <c r="IB28" s="388">
        <f>$O$10</f>
        <v>0.11477830196489683</v>
      </c>
      <c r="IC28" s="116"/>
      <c r="ID28" s="116"/>
      <c r="IE28" s="1561"/>
      <c r="IF28" s="388">
        <f>$O$10</f>
        <v>0.11477830196489683</v>
      </c>
      <c r="IG28" s="116"/>
      <c r="IH28" s="116"/>
      <c r="II28" s="1561"/>
      <c r="IJ28" s="388">
        <f>$O$10</f>
        <v>0.11477830196489683</v>
      </c>
      <c r="IK28" s="116"/>
      <c r="IL28" s="116"/>
      <c r="IM28" s="1561"/>
      <c r="IN28" s="388">
        <f>$O$10</f>
        <v>0.11477830196489683</v>
      </c>
      <c r="IO28" s="116"/>
      <c r="IP28" s="116"/>
      <c r="IQ28" s="1561"/>
      <c r="IR28" s="388">
        <f>$O$10</f>
        <v>0.11477830196489683</v>
      </c>
      <c r="IS28" s="116"/>
      <c r="IT28" s="116"/>
      <c r="IU28" s="1561"/>
      <c r="IV28" s="388">
        <f>$O$10</f>
        <v>0.11477830196489683</v>
      </c>
      <c r="IW28" s="116"/>
      <c r="IX28" s="116"/>
      <c r="IY28" s="1561"/>
      <c r="IZ28" s="116"/>
      <c r="JA28" s="170"/>
      <c r="JB28" s="168"/>
    </row>
    <row r="29" spans="1:262" ht="51" customHeight="1">
      <c r="A29" s="276">
        <f>+A28+1</f>
        <v>16</v>
      </c>
      <c r="B29" s="1649" t="s">
        <v>155</v>
      </c>
      <c r="C29" s="170" t="s">
        <v>812</v>
      </c>
      <c r="D29" s="184"/>
      <c r="E29" s="1562">
        <f>'6- Est &amp; Reconcile WS'!V167+'5 - Cost Support'!J20-'5 - Cost Support'!J85</f>
        <v>792363107.74003756</v>
      </c>
      <c r="F29" s="1563" t="s">
        <v>447</v>
      </c>
      <c r="G29" s="1563"/>
      <c r="H29" s="1563"/>
      <c r="I29" s="1559"/>
      <c r="J29" s="1562">
        <f>'6- Est &amp; Reconcile WS'!V187+'5 - Cost Support'!I20-'5 - Cost Support'!I85</f>
        <v>14778603.021334443</v>
      </c>
      <c r="K29" s="1563" t="s">
        <v>447</v>
      </c>
      <c r="L29" s="1563"/>
      <c r="M29" s="1559"/>
      <c r="N29" s="1562">
        <f>'6- Est &amp; Reconcile WS'!Q187+'5 - Cost Support'!H20-'5 - Cost Support'!H85</f>
        <v>40707611.925685965</v>
      </c>
      <c r="O29" s="1563" t="s">
        <v>447</v>
      </c>
      <c r="P29" s="1563"/>
      <c r="Q29" s="1559"/>
      <c r="R29" s="1562">
        <f>'6- Est &amp; Reconcile WS'!P267+'5 - Cost Support'!N20-'5 - Cost Support'!N85</f>
        <v>1359442.6291076099</v>
      </c>
      <c r="S29" s="1563"/>
      <c r="T29" s="1563" t="s">
        <v>447</v>
      </c>
      <c r="U29" s="1563"/>
      <c r="V29" s="1562">
        <f>'6- Est &amp; Reconcile WS'!O267+'5 - Cost Support'!M20-'5 - Cost Support'!M85</f>
        <v>5534761.4462767467</v>
      </c>
      <c r="W29" s="1563" t="s">
        <v>447</v>
      </c>
      <c r="X29" s="1563"/>
      <c r="Y29" s="1559"/>
      <c r="Z29" s="1562">
        <f>'6- Est &amp; Reconcile WS'!U247+'5 - Cost Support'!O20-'5 - Cost Support'!O85</f>
        <v>7389972.6947123781</v>
      </c>
      <c r="AA29" s="1563" t="s">
        <v>447</v>
      </c>
      <c r="AB29" s="1563"/>
      <c r="AC29" s="1559"/>
      <c r="AD29" s="1562">
        <f>'6- Est &amp; Reconcile WS'!R207+'5 - Cost Support'!P20-'5 - Cost Support'!P85</f>
        <v>6872138.0283255288</v>
      </c>
      <c r="AE29" s="1563" t="s">
        <v>447</v>
      </c>
      <c r="AF29" s="1563"/>
      <c r="AG29" s="1559"/>
      <c r="AH29" s="1562">
        <f>'6- Est &amp; Reconcile WS'!U167+'5 - Cost Support'!Q20-'5 - Cost Support'!Q85</f>
        <v>27574448.17791862</v>
      </c>
      <c r="AI29" s="1563" t="s">
        <v>447</v>
      </c>
      <c r="AJ29" s="1563"/>
      <c r="AK29" s="1559"/>
      <c r="AL29" s="1562">
        <f>'6- Est &amp; Reconcile WS'!R267+'5 - Cost Support'!R20-'5 - Cost Support'!R85</f>
        <v>9888715.7246502414</v>
      </c>
      <c r="AM29" s="1563" t="s">
        <v>447</v>
      </c>
      <c r="AN29" s="1563"/>
      <c r="AO29" s="1559"/>
      <c r="AP29" s="1562">
        <f>'6- Est &amp; Reconcile WS'!S267+'5 - Cost Support'!S20-'5 - Cost Support'!S85</f>
        <v>3679218.3895323412</v>
      </c>
      <c r="AQ29" s="1563" t="s">
        <v>447</v>
      </c>
      <c r="AR29" s="1563"/>
      <c r="AS29" s="1559"/>
      <c r="AT29" s="1562">
        <f>'6- Est &amp; Reconcile WS'!T267+'5 - Cost Support'!T20-'5 - Cost Support'!T85</f>
        <v>3598394.9184490428</v>
      </c>
      <c r="AU29" s="1563" t="s">
        <v>447</v>
      </c>
      <c r="AV29" s="1563"/>
      <c r="AW29" s="1559"/>
      <c r="AX29" s="1562">
        <f>'6- Est &amp; Reconcile WS'!U207+'5 - Cost Support'!U20-'5 - Cost Support'!U85</f>
        <v>9099302.8697794359</v>
      </c>
      <c r="AY29" s="1563" t="s">
        <v>447</v>
      </c>
      <c r="AZ29" s="1563"/>
      <c r="BA29" s="1559"/>
      <c r="BB29" s="1562">
        <f>'6- Est &amp; Reconcile WS'!V207+'5 - Cost Support'!V20-'5 - Cost Support'!V85</f>
        <v>12424623.661633033</v>
      </c>
      <c r="BC29" s="1563" t="s">
        <v>447</v>
      </c>
      <c r="BD29" s="1563"/>
      <c r="BE29" s="1559"/>
      <c r="BF29" s="1562">
        <f>'6- Est &amp; Reconcile WS'!P207+'5 - Cost Support'!W20-'5 - Cost Support'!W85</f>
        <v>2671225.3680553827</v>
      </c>
      <c r="BG29" s="1563" t="s">
        <v>447</v>
      </c>
      <c r="BH29" s="1563"/>
      <c r="BI29" s="1559"/>
      <c r="BJ29" s="1562">
        <f>'6- Est &amp; Reconcile WS'!U267+'5 - Cost Support'!X20-'5 - Cost Support'!X85</f>
        <v>642963.70100263529</v>
      </c>
      <c r="BK29" s="1563"/>
      <c r="BL29" s="1563"/>
      <c r="BM29" s="1559"/>
      <c r="BN29" s="1562">
        <f>'6- Est &amp; Reconcile WS'!T187+'5 - Cost Support'!Y20-'5 - Cost Support'!Y85</f>
        <v>5832454.6077467594</v>
      </c>
      <c r="BO29" s="1563"/>
      <c r="BP29" s="1563"/>
      <c r="BQ29" s="1559"/>
      <c r="BR29" s="1562">
        <f>'6- Est &amp; Reconcile WS'!R247+'5 - Cost Support'!K20-'5 - Cost Support'!K85</f>
        <v>1709260.9356384671</v>
      </c>
      <c r="BS29" s="1563" t="s">
        <v>447</v>
      </c>
      <c r="BT29" s="118"/>
      <c r="BU29" s="118"/>
      <c r="BV29" s="1563"/>
      <c r="BW29" s="1562">
        <f>'6- Est &amp; Reconcile WS'!R187+'5 - Cost Support'!L20-'5 - Cost Support'!L85</f>
        <v>17973270.797956694</v>
      </c>
      <c r="BX29" s="1563"/>
      <c r="BY29" s="1563"/>
      <c r="BZ29" s="1563"/>
      <c r="CA29" s="1559"/>
      <c r="CB29" s="1562">
        <f>'6- Est &amp; Reconcile WS'!Q267+'5 - Cost Support'!Z20-'5 - Cost Support'!Z85</f>
        <v>50475234.17284739</v>
      </c>
      <c r="CC29" s="1563"/>
      <c r="CD29" s="1563"/>
      <c r="CE29" s="1559"/>
      <c r="CF29" s="1562">
        <f>'6- Est &amp; Reconcile WS'!U187+'5 - Cost Support'!AJ20-'5 - Cost Support'!AJ85</f>
        <v>34103172.03209471</v>
      </c>
      <c r="CG29" s="1563"/>
      <c r="CH29" s="1563"/>
      <c r="CI29" s="1559"/>
      <c r="CJ29" s="1562">
        <f>'6- Est &amp; Reconcile WS'!Q207+'5 - Cost Support'!AN20-'5 - Cost Support'!AN85</f>
        <v>46795333.496502869</v>
      </c>
      <c r="CK29" s="1563"/>
      <c r="CL29" s="1563"/>
      <c r="CM29" s="1559"/>
      <c r="CN29" s="1562">
        <f>'6- Est &amp; Reconcile WS'!S207+'5 - Cost Support'!AC20-'5 - Cost Support'!AC85</f>
        <v>22127645.254298545</v>
      </c>
      <c r="CO29" s="1563"/>
      <c r="CP29" s="1563"/>
      <c r="CQ29" s="1559"/>
      <c r="CR29" s="1562">
        <f>'6- Est &amp; Reconcile WS'!Q287+'5 - Cost Support'!AH20-'5 - Cost Support'!AH85</f>
        <v>2970311.1343357181</v>
      </c>
      <c r="CS29" s="1563"/>
      <c r="CT29" s="1563"/>
      <c r="CU29" s="1559"/>
      <c r="CV29" s="1562">
        <f>'6- Est &amp; Reconcile WS'!O247+'5 - Cost Support'!AO20-'5 - Cost Support'!AO85</f>
        <v>7992871.1250458751</v>
      </c>
      <c r="CW29" s="1563"/>
      <c r="CX29" s="1563"/>
      <c r="CY29" s="1559"/>
      <c r="CZ29" s="1562">
        <f>+'6- Est &amp; Reconcile WS'!P247+'5 - Cost Support'!AK20-'5 - Cost Support'!AK85</f>
        <v>4962617.6501415391</v>
      </c>
      <c r="DA29" s="1563"/>
      <c r="DB29" s="1563"/>
      <c r="DC29" s="1559"/>
      <c r="DD29" s="1562">
        <f>'6- Est &amp; Reconcile WS'!S247+'5 - Cost Support'!BC20-'5 - Cost Support'!BC85</f>
        <v>876235.90493420104</v>
      </c>
      <c r="DE29" s="1563"/>
      <c r="DF29" s="1563"/>
      <c r="DG29" s="1559"/>
      <c r="DH29" s="1562">
        <f>'6- Est &amp; Reconcile WS'!V267+'5 - Cost Support'!AA20-'5 - Cost Support'!AA85</f>
        <v>501121.96318124724</v>
      </c>
      <c r="DI29" s="1563"/>
      <c r="DJ29" s="1563"/>
      <c r="DK29" s="1559"/>
      <c r="DL29" s="1562">
        <f>+'6- Est &amp; Reconcile WS'!V247+'5 - Cost Support'!AG20-'5 - Cost Support'!AG85</f>
        <v>28668361.703345668</v>
      </c>
      <c r="DM29" s="1563"/>
      <c r="DN29" s="1563"/>
      <c r="DO29" s="1559"/>
      <c r="DP29" s="1562">
        <f>'6- Est &amp; Reconcile WS'!O287+'5 - Cost Support'!AD20-'5 - Cost Support'!AD85</f>
        <v>972724.72383069841</v>
      </c>
      <c r="DQ29" s="1563"/>
      <c r="DR29" s="1563"/>
      <c r="DS29" s="1559"/>
      <c r="DT29" s="1562">
        <f>'6- Est &amp; Reconcile WS'!O207+'5 - Cost Support'!AE20-'5 - Cost Support'!AE85</f>
        <v>1386447.0359908193</v>
      </c>
      <c r="DU29" s="1563"/>
      <c r="DV29" s="1563"/>
      <c r="DW29" s="1559"/>
      <c r="DX29" s="1562">
        <f>'6- Est &amp; Reconcile WS'!T287+'5 - Cost Support'!AM20-'5 - Cost Support'!AM85</f>
        <v>6269639.7738378393</v>
      </c>
      <c r="DY29" s="1563"/>
      <c r="DZ29" s="1563"/>
      <c r="EA29" s="1559"/>
      <c r="EB29" s="1562">
        <f>'6- Est &amp; Reconcile WS'!R287+'5 - Cost Support'!AI20-'5 - Cost Support'!AI85</f>
        <v>444673.47498604818</v>
      </c>
      <c r="EC29" s="1563"/>
      <c r="ED29" s="1563"/>
      <c r="EE29" s="1559"/>
      <c r="EF29" s="1562">
        <f>'6- Est &amp; Reconcile WS'!V287+'5 - Cost Support'!AZ20-'5 - Cost Support'!AZ85</f>
        <v>2119475.9938541986</v>
      </c>
      <c r="EG29" s="1563"/>
      <c r="EH29" s="1563"/>
      <c r="EI29" s="1559"/>
      <c r="EJ29" s="1562">
        <v>0</v>
      </c>
      <c r="EK29" s="1563"/>
      <c r="EL29" s="1563"/>
      <c r="EM29" s="1559"/>
      <c r="EN29" s="1562">
        <f>'6- Est &amp; Reconcile WS'!O187+'5 - Cost Support'!AQ20-'5 - Cost Support'!AQ85</f>
        <v>1056067.5461753435</v>
      </c>
      <c r="EO29" s="1563"/>
      <c r="EP29" s="1563"/>
      <c r="EQ29" s="1559"/>
      <c r="ER29" s="1562">
        <f>'6- Est &amp; Reconcile WS'!S287+'5 - Cost Support'!AL20-'5 - Cost Support'!AL85</f>
        <v>342714.19342887972</v>
      </c>
      <c r="ES29" s="1563"/>
      <c r="ET29" s="1563"/>
      <c r="EU29" s="1559"/>
      <c r="EV29" s="1562">
        <v>0</v>
      </c>
      <c r="EW29" s="1563"/>
      <c r="EX29" s="1563"/>
      <c r="EY29" s="1559"/>
      <c r="EZ29" s="1562">
        <f>'6- Est &amp; Reconcile WS'!Q308+'5 - Cost Support'!AX20-'5 - Cost Support'!AX85</f>
        <v>777514.72438442346</v>
      </c>
      <c r="FA29" s="1563"/>
      <c r="FB29" s="1563"/>
      <c r="FC29" s="1559"/>
      <c r="FD29" s="1562">
        <f>'6- Est &amp; Reconcile WS'!P187+'5 - Cost Support'!AB20-'5 - Cost Support'!AB85</f>
        <v>23321766.099403996</v>
      </c>
      <c r="FE29" s="1563"/>
      <c r="FF29" s="1563"/>
      <c r="FG29" s="1559"/>
      <c r="FH29" s="1562">
        <f>'6- Est &amp; Reconcile WS'!P287+'5 - Cost Support'!AF20-'5 - Cost Support'!AF85</f>
        <v>9912075.5401532743</v>
      </c>
      <c r="FI29" s="1563"/>
      <c r="FJ29" s="1563"/>
      <c r="FK29" s="1559"/>
      <c r="FL29" s="1562">
        <f>'6- Est &amp; Reconcile WS'!U287+'5 - Cost Support'!AP20-'5 - Cost Support'!AP85</f>
        <v>785503.35500492982</v>
      </c>
      <c r="FM29" s="1563"/>
      <c r="FN29" s="1563"/>
      <c r="FO29" s="1559"/>
      <c r="FP29" s="1562">
        <f>'6- Est &amp; Reconcile WS'!T207+'5 - Cost Support'!AY20-'5 - Cost Support'!AY85</f>
        <v>14167991.254048079</v>
      </c>
      <c r="FQ29" s="1563"/>
      <c r="FR29" s="1563"/>
      <c r="FS29" s="1559"/>
      <c r="FT29" s="1562">
        <f>'6- Est &amp; Reconcile WS'!Q247+'5 - Cost Support'!BA20-'5 - Cost Support'!BA85</f>
        <v>31708024.103999794</v>
      </c>
      <c r="FU29" s="1563"/>
      <c r="FV29" s="1563"/>
      <c r="FW29" s="1559"/>
      <c r="FX29" s="1562">
        <f>'6- Est &amp; Reconcile WS'!U227+'5 - Cost Support'!AR20-'5 - Cost Support'!AR85</f>
        <v>529837.40350268059</v>
      </c>
      <c r="FY29" s="1563"/>
      <c r="FZ29" s="1563"/>
      <c r="GA29" s="1559"/>
      <c r="GB29" s="1562">
        <f>'6- Est &amp; Reconcile WS'!O227+'5 - Cost Support'!BB20-'5 - Cost Support'!BB85</f>
        <v>28444433.214229673</v>
      </c>
      <c r="GC29" s="1563"/>
      <c r="GD29" s="1563"/>
      <c r="GE29" s="1559"/>
      <c r="GF29" s="1562">
        <f>'6- Est &amp; Reconcile WS'!P308+'5 - Cost Support'!AW20-'5 - Cost Support'!AW85</f>
        <v>1089671.4769821418</v>
      </c>
      <c r="GG29" s="1563"/>
      <c r="GH29" s="1563"/>
      <c r="GI29" s="1559"/>
      <c r="GJ29" s="1562">
        <f>'6- Est &amp; Reconcile WS'!O308+'5 - Cost Support'!AV20-'5 - Cost Support'!AV85</f>
        <v>5896634.2635552734</v>
      </c>
      <c r="GK29" s="1563"/>
      <c r="GL29" s="1563"/>
      <c r="GM29" s="1559"/>
      <c r="GN29" s="1562">
        <v>0</v>
      </c>
      <c r="GO29" s="1563"/>
      <c r="GP29" s="1563"/>
      <c r="GQ29" s="1559"/>
      <c r="GR29" s="1562">
        <f>'6- Est &amp; Reconcile WS'!S187+'5 - Cost Support'!AS20-'5 - Cost Support'!AS85</f>
        <v>15205527.895433722</v>
      </c>
      <c r="GS29" s="1563"/>
      <c r="GT29" s="1563"/>
      <c r="GU29" s="1559"/>
      <c r="GV29" s="1562">
        <f>'6- Est &amp; Reconcile WS'!V227+'5 - Cost Support'!AT20-'5 - Cost Support'!AT85</f>
        <v>21982830.417030331</v>
      </c>
      <c r="GW29" s="1563"/>
      <c r="GX29" s="1563"/>
      <c r="GY29" s="1559"/>
      <c r="GZ29" s="1562">
        <f>'6- Est &amp; Reconcile WS'!Q227+'5 - Cost Support'!AU20-'5 - Cost Support'!AU85</f>
        <v>1272062.4031875203</v>
      </c>
      <c r="HA29" s="1563"/>
      <c r="HB29" s="1563"/>
      <c r="HC29" s="1559"/>
      <c r="HD29" s="1562">
        <f>'6- Est &amp; Reconcile WS'!T247+'5 - Cost Support'!BD20-'5 - Cost Support'!BD85</f>
        <v>732713.63174470386</v>
      </c>
      <c r="HE29" s="1563"/>
      <c r="HF29" s="1563"/>
      <c r="HG29" s="1559"/>
      <c r="HH29" s="1562">
        <f>'6- Est &amp; Reconcile WS'!O167+'5 - Cost Support'!BI20-'5 - Cost Support'!BI85</f>
        <v>57630533.648816176</v>
      </c>
      <c r="HI29" s="1563"/>
      <c r="HJ29" s="1563"/>
      <c r="HK29" s="1559"/>
      <c r="HL29" s="1562">
        <f>'6- Est &amp; Reconcile WS'!P167+'5 - Cost Support'!BG20-'5 - Cost Support'!BG85</f>
        <v>33358553.814046748</v>
      </c>
      <c r="HM29" s="1563"/>
      <c r="HN29" s="1563"/>
      <c r="HO29" s="1559"/>
      <c r="HP29" s="1562">
        <f>'6- Est &amp; Reconcile WS'!Q167+'5 - Cost Support'!BF20-'5 - Cost Support'!BF85</f>
        <v>37084605.029590286</v>
      </c>
      <c r="HQ29" s="1563"/>
      <c r="HR29" s="1563"/>
      <c r="HS29" s="1559"/>
      <c r="HT29" s="1562">
        <f>'6- Est &amp; Reconcile WS'!R167+'5 - Cost Support'!BE20-'5 - Cost Support'!BE85</f>
        <v>94982429.194341481</v>
      </c>
      <c r="HU29" s="1563"/>
      <c r="HV29" s="1563"/>
      <c r="HW29" s="1559"/>
      <c r="HX29" s="1562">
        <f>'6- Est &amp; Reconcile WS'!R227+'5 - Cost Support'!BH20-'5 - Cost Support'!BH85</f>
        <v>30790329.325440012</v>
      </c>
      <c r="HY29" s="1563"/>
      <c r="HZ29" s="1563"/>
      <c r="IA29" s="1559"/>
      <c r="IB29" s="1562">
        <f>'6- Est &amp; Reconcile WS'!S167+'5 - Cost Support'!$BJ$20-'5 - Cost Support'!$BJ$85</f>
        <v>1704552.9203816019</v>
      </c>
      <c r="IC29" s="1563"/>
      <c r="ID29" s="1563"/>
      <c r="IE29" s="1559"/>
      <c r="IF29" s="1562">
        <f>'6- Est &amp; Reconcile WS'!T167+'5 - Cost Support'!$BK$20-'5 - Cost Support'!$BK$85</f>
        <v>19336681.968868569</v>
      </c>
      <c r="IG29" s="1563"/>
      <c r="IH29" s="1563"/>
      <c r="II29" s="1559"/>
      <c r="IJ29" s="1562">
        <v>0</v>
      </c>
      <c r="IK29" s="1563"/>
      <c r="IL29" s="1563"/>
      <c r="IM29" s="1559"/>
      <c r="IN29" s="1562">
        <f>'6- Est &amp; Reconcile WS'!P227+'5 - Cost Support'!$BL$20-'5 - Cost Support'!$BL$85</f>
        <v>9652385.5911939256</v>
      </c>
      <c r="IO29" s="1563"/>
      <c r="IP29" s="1563"/>
      <c r="IQ29" s="1559"/>
      <c r="IR29" s="1562">
        <f>'6- Est &amp; Reconcile WS'!S227</f>
        <v>0</v>
      </c>
      <c r="IS29" s="1563"/>
      <c r="IT29" s="1563"/>
      <c r="IU29" s="1559"/>
      <c r="IV29" s="1562">
        <f>'6- Est &amp; Reconcile WS'!T227+'5 - Cost Support'!$BM$20-'5 - Cost Support'!$BM$85</f>
        <v>169404501.88835749</v>
      </c>
      <c r="IW29" s="1563"/>
      <c r="IX29" s="1563"/>
      <c r="IY29" s="1559"/>
      <c r="IZ29" s="216"/>
      <c r="JA29" s="506"/>
      <c r="JB29" s="502"/>
    </row>
    <row r="30" spans="1:262" ht="17.25" customHeight="1">
      <c r="A30" s="276">
        <f>+A29+1</f>
        <v>17</v>
      </c>
      <c r="B30" s="389" t="s">
        <v>831</v>
      </c>
      <c r="C30" s="265"/>
      <c r="D30" s="381"/>
      <c r="E30" s="1562">
        <f>'5 - Cost Support'!M273</f>
        <v>23974492.390000001</v>
      </c>
      <c r="F30" s="1563"/>
      <c r="G30" s="1563"/>
      <c r="H30" s="1563"/>
      <c r="I30" s="1559"/>
      <c r="J30" s="1562">
        <f>'5 - Cost Support'!L273</f>
        <v>594380.46</v>
      </c>
      <c r="K30" s="1563"/>
      <c r="L30" s="1563"/>
      <c r="M30" s="1559"/>
      <c r="N30" s="1562">
        <f>'5 - Cost Support'!K273</f>
        <v>1479189.67</v>
      </c>
      <c r="O30" s="1563"/>
      <c r="P30" s="1563"/>
      <c r="Q30" s="1559"/>
      <c r="R30" s="1562">
        <f>'5 - Cost Support'!O273</f>
        <v>40401.96</v>
      </c>
      <c r="S30" s="1563"/>
      <c r="T30" s="1563"/>
      <c r="U30" s="1563"/>
      <c r="V30" s="1562">
        <f>'5 - Cost Support'!N273</f>
        <v>163980.26999999999</v>
      </c>
      <c r="W30" s="1563"/>
      <c r="X30" s="1563"/>
      <c r="Y30" s="1559"/>
      <c r="Z30" s="1562">
        <f>'5 - Cost Support'!P273</f>
        <v>161786.82</v>
      </c>
      <c r="AA30" s="1563"/>
      <c r="AB30" s="1563"/>
      <c r="AC30" s="1559"/>
      <c r="AD30" s="1562">
        <f>'5 - Cost Support'!Q273</f>
        <v>145530.84</v>
      </c>
      <c r="AE30" s="1563"/>
      <c r="AF30" s="1563"/>
      <c r="AG30" s="1559"/>
      <c r="AH30" s="1562">
        <f>'5 - Cost Support'!R273</f>
        <v>831940.92</v>
      </c>
      <c r="AI30" s="1563"/>
      <c r="AJ30" s="1563"/>
      <c r="AK30" s="1559"/>
      <c r="AL30" s="1562">
        <f>'5 - Cost Support'!S273</f>
        <v>93859.54</v>
      </c>
      <c r="AM30" s="1563"/>
      <c r="AN30" s="1563"/>
      <c r="AO30" s="1559"/>
      <c r="AP30" s="1562">
        <f>'5 - Cost Support'!T273</f>
        <v>109796.54</v>
      </c>
      <c r="AQ30" s="1563"/>
      <c r="AR30" s="1563"/>
      <c r="AS30" s="1559"/>
      <c r="AT30" s="1562">
        <f>'5 - Cost Support'!U273</f>
        <v>147945.04</v>
      </c>
      <c r="AU30" s="1563"/>
      <c r="AV30" s="1563"/>
      <c r="AW30" s="1559"/>
      <c r="AX30" s="1562">
        <f>'5 - Cost Support'!V273</f>
        <v>186391.64</v>
      </c>
      <c r="AY30" s="1563"/>
      <c r="AZ30" s="1563"/>
      <c r="BA30" s="1559"/>
      <c r="BB30" s="1562">
        <f>'5 - Cost Support'!Z273</f>
        <v>339376.73</v>
      </c>
      <c r="BC30" s="1563"/>
      <c r="BD30" s="1563"/>
      <c r="BE30" s="1559"/>
      <c r="BF30" s="1562">
        <f>'5 - Cost Support'!AA273</f>
        <v>1253.8699999999999</v>
      </c>
      <c r="BG30" s="1563"/>
      <c r="BH30" s="1563"/>
      <c r="BI30" s="1559"/>
      <c r="BJ30" s="1562">
        <f>'5 - Cost Support'!AB273</f>
        <v>17459.900000000001</v>
      </c>
      <c r="BK30" s="1563"/>
      <c r="BL30" s="1563"/>
      <c r="BM30" s="1559"/>
      <c r="BN30" s="1562">
        <f>'5 - Cost Support'!AC273</f>
        <v>102775.77</v>
      </c>
      <c r="BO30" s="1563"/>
      <c r="BP30" s="1563"/>
      <c r="BQ30" s="1559"/>
      <c r="BR30" s="1562">
        <f>'5 - Cost Support'!X273</f>
        <v>35310.160000000003</v>
      </c>
      <c r="BS30" s="118"/>
      <c r="BT30" s="1563"/>
      <c r="BU30" s="1563"/>
      <c r="BV30" s="1563"/>
      <c r="BW30" s="1562">
        <f>'5 - Cost Support'!Y273</f>
        <v>580549.68999999994</v>
      </c>
      <c r="BX30" s="1563"/>
      <c r="BY30" s="1563"/>
      <c r="BZ30" s="1563"/>
      <c r="CA30" s="1559"/>
      <c r="CB30" s="1562">
        <f>'5 - Cost Support'!AD273</f>
        <v>1231248.58</v>
      </c>
      <c r="CC30" s="1563"/>
      <c r="CD30" s="1563"/>
      <c r="CE30" s="1559"/>
      <c r="CF30" s="1562">
        <f>'5 - Cost Support'!AM273</f>
        <v>1308067.3599999999</v>
      </c>
      <c r="CG30" s="1563"/>
      <c r="CH30" s="1563"/>
      <c r="CI30" s="1559"/>
      <c r="CJ30" s="1562">
        <f>'5 - Cost Support'!AQ273</f>
        <v>1587862.6300000001</v>
      </c>
      <c r="CK30" s="1563"/>
      <c r="CL30" s="1563"/>
      <c r="CM30" s="1559"/>
      <c r="CN30" s="1562">
        <f>'5 - Cost Support'!AF273</f>
        <v>694961.01</v>
      </c>
      <c r="CO30" s="1563"/>
      <c r="CP30" s="1563"/>
      <c r="CQ30" s="1559"/>
      <c r="CR30" s="1562">
        <f>'5 - Cost Support'!AK273</f>
        <v>77856.83</v>
      </c>
      <c r="CS30" s="1563"/>
      <c r="CT30" s="1563"/>
      <c r="CU30" s="1559"/>
      <c r="CV30" s="1562">
        <f>'5 - Cost Support'!AR273</f>
        <v>192996.40</v>
      </c>
      <c r="CW30" s="1563"/>
      <c r="CX30" s="1563"/>
      <c r="CY30" s="1559"/>
      <c r="CZ30" s="1562">
        <f>'5 - Cost Support'!AN273</f>
        <v>130412.60</v>
      </c>
      <c r="DA30" s="1563"/>
      <c r="DB30" s="1563"/>
      <c r="DC30" s="1559"/>
      <c r="DD30" s="1562">
        <f>'5 - Cost Support'!BF273</f>
        <v>22908.06</v>
      </c>
      <c r="DE30" s="1563"/>
      <c r="DF30" s="1563"/>
      <c r="DG30" s="1559"/>
      <c r="DH30" s="1562">
        <f>'5 - Cost Support'!W273</f>
        <v>13800.86</v>
      </c>
      <c r="DI30" s="1563"/>
      <c r="DJ30" s="1563"/>
      <c r="DK30" s="1559"/>
      <c r="DL30" s="1562">
        <f>'5 - Cost Support'!AJ273</f>
        <v>769487.52</v>
      </c>
      <c r="DM30" s="1563"/>
      <c r="DN30" s="1563"/>
      <c r="DO30" s="1559"/>
      <c r="DP30" s="1562">
        <f>'5 - Cost Support'!AG273</f>
        <v>25321.47</v>
      </c>
      <c r="DQ30" s="1563"/>
      <c r="DR30" s="1563"/>
      <c r="DS30" s="1559"/>
      <c r="DT30" s="1562">
        <f>'5 - Cost Support'!AH273</f>
        <v>37230.699999999997</v>
      </c>
      <c r="DU30" s="1563"/>
      <c r="DV30" s="1563"/>
      <c r="DW30" s="1559"/>
      <c r="DX30" s="1562">
        <f>'5 - Cost Support'!AP273</f>
        <v>165312.37</v>
      </c>
      <c r="DY30" s="1563"/>
      <c r="DZ30" s="1563"/>
      <c r="EA30" s="1559"/>
      <c r="EB30" s="1562">
        <f>'5 - Cost Support'!AL273</f>
        <v>11946.40</v>
      </c>
      <c r="EC30" s="1563"/>
      <c r="ED30" s="1563"/>
      <c r="EE30" s="1559"/>
      <c r="EF30" s="1562">
        <f>'5 - Cost Support'!BC273</f>
        <v>45391.53</v>
      </c>
      <c r="EG30" s="1563"/>
      <c r="EH30" s="1563"/>
      <c r="EI30" s="1559"/>
      <c r="EJ30" s="1562">
        <v>0</v>
      </c>
      <c r="EK30" s="1563"/>
      <c r="EL30" s="1563"/>
      <c r="EM30" s="1559"/>
      <c r="EN30" s="1562">
        <f>'5 - Cost Support'!AT273</f>
        <v>66905.16</v>
      </c>
      <c r="EO30" s="1563"/>
      <c r="EP30" s="1563"/>
      <c r="EQ30" s="1559"/>
      <c r="ER30" s="1562">
        <f>'5 - Cost Support'!AO273</f>
        <v>9206.9599999999991</v>
      </c>
      <c r="ES30" s="1563"/>
      <c r="ET30" s="1563"/>
      <c r="EU30" s="1559"/>
      <c r="EV30" s="1562">
        <v>0</v>
      </c>
      <c r="EW30" s="1563"/>
      <c r="EX30" s="1563"/>
      <c r="EY30" s="1559"/>
      <c r="EZ30" s="1562">
        <f>'5 - Cost Support'!BA273</f>
        <v>11306.52</v>
      </c>
      <c r="FA30" s="1563"/>
      <c r="FB30" s="1563"/>
      <c r="FC30" s="1559"/>
      <c r="FD30" s="1562">
        <f>'5 - Cost Support'!AE273</f>
        <v>124532.16</v>
      </c>
      <c r="FE30" s="1563"/>
      <c r="FF30" s="1563"/>
      <c r="FG30" s="1559"/>
      <c r="FH30" s="1562">
        <f>'5 - Cost Support'!AI273</f>
        <v>260981.37</v>
      </c>
      <c r="FI30" s="1563"/>
      <c r="FJ30" s="1563"/>
      <c r="FK30" s="1559"/>
      <c r="FL30" s="1562">
        <f>'5 - Cost Support'!AS273</f>
        <v>20152.740000000002</v>
      </c>
      <c r="FM30" s="1563"/>
      <c r="FN30" s="1563"/>
      <c r="FO30" s="1559"/>
      <c r="FP30" s="1562">
        <f>'5 - Cost Support'!BB273</f>
        <v>398549.73</v>
      </c>
      <c r="FQ30" s="1563"/>
      <c r="FR30" s="1563"/>
      <c r="FS30" s="1559"/>
      <c r="FT30" s="1562">
        <f>'5 - Cost Support'!BD273</f>
        <v>795713.95</v>
      </c>
      <c r="FU30" s="1563"/>
      <c r="FV30" s="1563"/>
      <c r="FW30" s="1559"/>
      <c r="FX30" s="1562">
        <f>'5 - Cost Support'!AU273</f>
        <v>13795.05</v>
      </c>
      <c r="FY30" s="1563"/>
      <c r="FZ30" s="1563"/>
      <c r="GA30" s="1559"/>
      <c r="GB30" s="1562">
        <f>'5 - Cost Support'!BE273</f>
        <v>589322.65</v>
      </c>
      <c r="GC30" s="1563"/>
      <c r="GD30" s="1563"/>
      <c r="GE30" s="1559"/>
      <c r="GF30" s="1562">
        <f>'5 - Cost Support'!AZ273</f>
        <v>28706.88</v>
      </c>
      <c r="GG30" s="1563"/>
      <c r="GH30" s="1563"/>
      <c r="GI30" s="1559"/>
      <c r="GJ30" s="1562">
        <f>'5 - Cost Support'!AY273</f>
        <v>156961.81</v>
      </c>
      <c r="GK30" s="1563"/>
      <c r="GL30" s="1563"/>
      <c r="GM30" s="1559"/>
      <c r="GN30" s="1562">
        <v>0</v>
      </c>
      <c r="GO30" s="1563"/>
      <c r="GP30" s="1563"/>
      <c r="GQ30" s="1559"/>
      <c r="GR30" s="1562">
        <f>'5 - Cost Support'!AV273</f>
        <v>294201.61</v>
      </c>
      <c r="GS30" s="1563"/>
      <c r="GT30" s="1563"/>
      <c r="GU30" s="1559"/>
      <c r="GV30" s="1562">
        <f>'5 - Cost Support'!AW273</f>
        <v>1092867.3599999999</v>
      </c>
      <c r="GW30" s="1563"/>
      <c r="GX30" s="1563"/>
      <c r="GY30" s="1559"/>
      <c r="GZ30" s="1562">
        <f>'5 - Cost Support'!AX273</f>
        <v>42611.47</v>
      </c>
      <c r="HA30" s="1563"/>
      <c r="HB30" s="1563"/>
      <c r="HC30" s="1559"/>
      <c r="HD30" s="1562">
        <f>'5 - Cost Support'!BG273</f>
        <v>18898.349999999999</v>
      </c>
      <c r="HE30" s="1563"/>
      <c r="HF30" s="1563"/>
      <c r="HG30" s="1559"/>
      <c r="HH30" s="1562">
        <f>'5 - Cost Support'!BL273</f>
        <v>1791086.12</v>
      </c>
      <c r="HI30" s="1563"/>
      <c r="HJ30" s="1563"/>
      <c r="HK30" s="1559"/>
      <c r="HL30" s="1562">
        <f>'5 - Cost Support'!BJ273</f>
        <v>1325142.9400000002</v>
      </c>
      <c r="HM30" s="1563"/>
      <c r="HN30" s="1563"/>
      <c r="HO30" s="1559"/>
      <c r="HP30" s="1562">
        <f>'5 - Cost Support'!BI273</f>
        <v>1208687.1100000001</v>
      </c>
      <c r="HQ30" s="1563"/>
      <c r="HR30" s="1563"/>
      <c r="HS30" s="1559"/>
      <c r="HT30" s="1562">
        <f>'5 - Cost Support'!BH273</f>
        <v>2111292.4699999997</v>
      </c>
      <c r="HU30" s="1563"/>
      <c r="HV30" s="1563"/>
      <c r="HW30" s="1559"/>
      <c r="HX30" s="1562">
        <f>'5 - Cost Support'!BK273</f>
        <v>882514.81</v>
      </c>
      <c r="HY30" s="1563"/>
      <c r="HZ30" s="1563"/>
      <c r="IA30" s="1559"/>
      <c r="IB30" s="1562">
        <f>'5 - Cost Support'!$BN$273</f>
        <v>46534.35</v>
      </c>
      <c r="IC30" s="1563"/>
      <c r="ID30" s="1563"/>
      <c r="IE30" s="1559"/>
      <c r="IF30" s="1562">
        <f>'5 - Cost Support'!$BO$273</f>
        <v>481776.20</v>
      </c>
      <c r="IG30" s="1563"/>
      <c r="IH30" s="1563"/>
      <c r="II30" s="1559"/>
      <c r="IJ30" s="1562">
        <v>0</v>
      </c>
      <c r="IK30" s="1563"/>
      <c r="IL30" s="1563"/>
      <c r="IM30" s="1559"/>
      <c r="IN30" s="1562">
        <f>'5 - Cost Support'!$BP$273</f>
        <v>168996.65</v>
      </c>
      <c r="IO30" s="1563"/>
      <c r="IP30" s="1563"/>
      <c r="IQ30" s="1559"/>
      <c r="IR30" s="1562">
        <v>0</v>
      </c>
      <c r="IS30" s="1563"/>
      <c r="IT30" s="1563"/>
      <c r="IU30" s="1559"/>
      <c r="IV30" s="1562">
        <f>'5 - Cost Support'!$BM$273</f>
        <v>899098.38</v>
      </c>
      <c r="IW30" s="1563"/>
      <c r="IX30" s="1563"/>
      <c r="IY30" s="1559"/>
      <c r="IZ30" s="216"/>
      <c r="JA30" s="506"/>
      <c r="JB30" s="502"/>
    </row>
    <row r="31" spans="1:262" ht="14.4" thickBot="1">
      <c r="A31" s="276"/>
      <c r="B31" s="110"/>
      <c r="C31" s="173"/>
      <c r="D31" s="390"/>
      <c r="E31" s="610"/>
      <c r="F31" s="194"/>
      <c r="G31" s="194"/>
      <c r="H31" s="427"/>
      <c r="I31" s="195"/>
      <c r="J31" s="454"/>
      <c r="K31" s="427"/>
      <c r="L31" s="427"/>
      <c r="M31" s="455"/>
      <c r="N31" s="454"/>
      <c r="O31" s="427"/>
      <c r="P31" s="427"/>
      <c r="Q31" s="455"/>
      <c r="R31" s="457"/>
      <c r="S31" s="427"/>
      <c r="T31" s="427"/>
      <c r="U31" s="194"/>
      <c r="V31" s="457"/>
      <c r="W31" s="427"/>
      <c r="X31" s="427"/>
      <c r="Y31" s="455"/>
      <c r="Z31" s="457"/>
      <c r="AA31" s="427"/>
      <c r="AB31" s="427"/>
      <c r="AC31" s="455"/>
      <c r="AD31" s="457"/>
      <c r="AE31" s="427"/>
      <c r="AF31" s="427"/>
      <c r="AG31" s="455"/>
      <c r="AH31" s="457"/>
      <c r="AI31" s="427"/>
      <c r="AJ31" s="427"/>
      <c r="AK31" s="455"/>
      <c r="AL31" s="457"/>
      <c r="AM31" s="427"/>
      <c r="AN31" s="427"/>
      <c r="AO31" s="455"/>
      <c r="AP31" s="457"/>
      <c r="AQ31" s="427"/>
      <c r="AR31" s="427"/>
      <c r="AS31" s="455"/>
      <c r="AT31" s="457"/>
      <c r="AU31" s="427"/>
      <c r="AV31" s="427"/>
      <c r="AW31" s="455"/>
      <c r="AX31" s="457"/>
      <c r="AY31" s="427"/>
      <c r="AZ31" s="427"/>
      <c r="BA31" s="455"/>
      <c r="BB31" s="1564"/>
      <c r="BC31" s="1565"/>
      <c r="BD31" s="1565"/>
      <c r="BE31" s="1566"/>
      <c r="BF31" s="1564"/>
      <c r="BG31" s="1565"/>
      <c r="BH31" s="1565"/>
      <c r="BI31" s="1566"/>
      <c r="BJ31" s="1564"/>
      <c r="BK31" s="1565"/>
      <c r="BL31" s="1565"/>
      <c r="BM31" s="1566"/>
      <c r="BN31" s="1564"/>
      <c r="BO31" s="1565"/>
      <c r="BP31" s="1565"/>
      <c r="BQ31" s="1566"/>
      <c r="BR31" s="1567"/>
      <c r="BT31" s="1177"/>
      <c r="BU31" s="1565"/>
      <c r="BV31" s="1177"/>
      <c r="BW31" s="945"/>
      <c r="BX31" s="1177"/>
      <c r="BY31" s="1177"/>
      <c r="BZ31" s="1565"/>
      <c r="CA31" s="1561"/>
      <c r="CB31" s="945"/>
      <c r="CC31" s="1177"/>
      <c r="CD31" s="1565"/>
      <c r="CE31" s="1561"/>
      <c r="CF31" s="945"/>
      <c r="CG31" s="1177"/>
      <c r="CH31" s="1565"/>
      <c r="CI31" s="1561"/>
      <c r="CJ31" s="945"/>
      <c r="CK31" s="1177"/>
      <c r="CL31" s="1565"/>
      <c r="CM31" s="1561"/>
      <c r="CN31" s="945"/>
      <c r="CO31" s="1177"/>
      <c r="CP31" s="1565"/>
      <c r="CQ31" s="1561"/>
      <c r="CR31" s="945"/>
      <c r="CS31" s="1177"/>
      <c r="CT31" s="1565"/>
      <c r="CU31" s="1561"/>
      <c r="CV31" s="945"/>
      <c r="CW31" s="1177"/>
      <c r="CX31" s="1565"/>
      <c r="CY31" s="1561"/>
      <c r="CZ31" s="945"/>
      <c r="DA31" s="1177"/>
      <c r="DB31" s="1565"/>
      <c r="DC31" s="1561"/>
      <c r="DD31" s="945"/>
      <c r="DE31" s="1177"/>
      <c r="DF31" s="1565"/>
      <c r="DG31" s="1561"/>
      <c r="DH31" s="945"/>
      <c r="DI31" s="1177"/>
      <c r="DJ31" s="1565"/>
      <c r="DK31" s="1561"/>
      <c r="DL31" s="945"/>
      <c r="DM31" s="1177"/>
      <c r="DN31" s="1565"/>
      <c r="DO31" s="1561"/>
      <c r="DP31" s="945"/>
      <c r="DQ31" s="1177"/>
      <c r="DR31" s="1565"/>
      <c r="DS31" s="1561"/>
      <c r="DT31" s="945"/>
      <c r="DU31" s="1177"/>
      <c r="DV31" s="1565"/>
      <c r="DW31" s="1561"/>
      <c r="DX31" s="945"/>
      <c r="DY31" s="1177"/>
      <c r="DZ31" s="1565"/>
      <c r="EA31" s="1561"/>
      <c r="EB31" s="945"/>
      <c r="EC31" s="1177"/>
      <c r="ED31" s="1565"/>
      <c r="EE31" s="1561"/>
      <c r="EF31" s="945"/>
      <c r="EG31" s="1177"/>
      <c r="EH31" s="1565"/>
      <c r="EI31" s="1561"/>
      <c r="EJ31" s="945"/>
      <c r="EK31" s="1177"/>
      <c r="EL31" s="1565"/>
      <c r="EM31" s="1561"/>
      <c r="EN31" s="945"/>
      <c r="EO31" s="1177"/>
      <c r="EP31" s="1565"/>
      <c r="EQ31" s="1561"/>
      <c r="ER31" s="945"/>
      <c r="ES31" s="1177"/>
      <c r="ET31" s="1565"/>
      <c r="EU31" s="1561"/>
      <c r="EV31" s="945"/>
      <c r="EW31" s="1177"/>
      <c r="EX31" s="1565"/>
      <c r="EY31" s="1561"/>
      <c r="EZ31" s="945"/>
      <c r="FA31" s="1177"/>
      <c r="FB31" s="1565"/>
      <c r="FC31" s="1561"/>
      <c r="FD31" s="945"/>
      <c r="FE31" s="1177"/>
      <c r="FF31" s="1565"/>
      <c r="FG31" s="1561"/>
      <c r="FH31" s="945"/>
      <c r="FI31" s="1177"/>
      <c r="FJ31" s="1565"/>
      <c r="FK31" s="1561"/>
      <c r="FL31" s="945"/>
      <c r="FM31" s="1177"/>
      <c r="FN31" s="1565"/>
      <c r="FO31" s="1561"/>
      <c r="FP31" s="945"/>
      <c r="FQ31" s="1177"/>
      <c r="FR31" s="1565"/>
      <c r="FS31" s="1561"/>
      <c r="FT31" s="945"/>
      <c r="FU31" s="1177"/>
      <c r="FV31" s="1565"/>
      <c r="FW31" s="1561"/>
      <c r="FX31" s="945"/>
      <c r="FY31" s="1177"/>
      <c r="FZ31" s="1565"/>
      <c r="GA31" s="1561"/>
      <c r="GB31" s="945"/>
      <c r="GC31" s="1177"/>
      <c r="GD31" s="1565"/>
      <c r="GE31" s="1561"/>
      <c r="GF31" s="945"/>
      <c r="GG31" s="1177"/>
      <c r="GH31" s="1565"/>
      <c r="GI31" s="1561"/>
      <c r="GJ31" s="945"/>
      <c r="GK31" s="1177"/>
      <c r="GL31" s="1565"/>
      <c r="GM31" s="1561"/>
      <c r="GN31" s="945"/>
      <c r="GO31" s="1177"/>
      <c r="GP31" s="1565"/>
      <c r="GQ31" s="1561"/>
      <c r="GR31" s="945"/>
      <c r="GS31" s="1177"/>
      <c r="GT31" s="1565"/>
      <c r="GU31" s="1561"/>
      <c r="GV31" s="945"/>
      <c r="GW31" s="1177"/>
      <c r="GX31" s="1565"/>
      <c r="GY31" s="1561"/>
      <c r="GZ31" s="945"/>
      <c r="HA31" s="1177"/>
      <c r="HB31" s="1565"/>
      <c r="HC31" s="1561"/>
      <c r="HD31" s="945"/>
      <c r="HE31" s="1177"/>
      <c r="HF31" s="1565"/>
      <c r="HG31" s="1561"/>
      <c r="HH31" s="945"/>
      <c r="HI31" s="1177"/>
      <c r="HJ31" s="1565"/>
      <c r="HK31" s="1561"/>
      <c r="HL31" s="945"/>
      <c r="HM31" s="1177"/>
      <c r="HN31" s="1565"/>
      <c r="HO31" s="1561"/>
      <c r="HP31" s="945"/>
      <c r="HQ31" s="1177"/>
      <c r="HR31" s="1565"/>
      <c r="HS31" s="1561"/>
      <c r="HT31" s="945"/>
      <c r="HU31" s="1177"/>
      <c r="HV31" s="1565"/>
      <c r="HW31" s="1561"/>
      <c r="HX31" s="945"/>
      <c r="HY31" s="1177"/>
      <c r="HZ31" s="1565"/>
      <c r="IA31" s="1561"/>
      <c r="IB31" s="945"/>
      <c r="IC31" s="1177"/>
      <c r="ID31" s="1565"/>
      <c r="IE31" s="1561"/>
      <c r="IF31" s="945"/>
      <c r="IG31" s="1177"/>
      <c r="IH31" s="1565"/>
      <c r="II31" s="1561"/>
      <c r="IJ31" s="945"/>
      <c r="IK31" s="1177"/>
      <c r="IL31" s="1565"/>
      <c r="IM31" s="1561"/>
      <c r="IN31" s="945"/>
      <c r="IO31" s="1177"/>
      <c r="IP31" s="1565"/>
      <c r="IQ31" s="1561"/>
      <c r="IR31" s="945"/>
      <c r="IS31" s="1177"/>
      <c r="IT31" s="1565"/>
      <c r="IU31" s="1561"/>
      <c r="IV31" s="945"/>
      <c r="IW31" s="1177"/>
      <c r="IX31" s="1565"/>
      <c r="IY31" s="1561"/>
      <c r="IZ31" s="116"/>
      <c r="JA31" s="173"/>
      <c r="JB31" s="174"/>
    </row>
    <row r="32" spans="1:263" ht="37.5" customHeight="1">
      <c r="A32" s="108">
        <f>+A30+1</f>
        <v>18</v>
      </c>
      <c r="C32" s="968"/>
      <c r="D32" s="524" t="s">
        <v>806</v>
      </c>
      <c r="E32" s="458" t="s">
        <v>209</v>
      </c>
      <c r="F32" s="459" t="s">
        <v>814</v>
      </c>
      <c r="G32" s="459" t="s">
        <v>637</v>
      </c>
      <c r="H32" s="522" t="s">
        <v>141</v>
      </c>
      <c r="I32" s="969" t="s">
        <v>813</v>
      </c>
      <c r="J32" s="458" t="s">
        <v>209</v>
      </c>
      <c r="K32" s="459" t="s">
        <v>814</v>
      </c>
      <c r="L32" s="522" t="s">
        <v>141</v>
      </c>
      <c r="M32" s="426" t="s">
        <v>813</v>
      </c>
      <c r="N32" s="458" t="s">
        <v>209</v>
      </c>
      <c r="O32" s="459" t="s">
        <v>814</v>
      </c>
      <c r="P32" s="522" t="s">
        <v>141</v>
      </c>
      <c r="Q32" s="426" t="s">
        <v>813</v>
      </c>
      <c r="R32" s="458" t="s">
        <v>209</v>
      </c>
      <c r="S32" s="459" t="s">
        <v>814</v>
      </c>
      <c r="T32" s="522" t="s">
        <v>141</v>
      </c>
      <c r="U32" s="523" t="s">
        <v>813</v>
      </c>
      <c r="V32" s="458" t="s">
        <v>209</v>
      </c>
      <c r="W32" s="459" t="s">
        <v>814</v>
      </c>
      <c r="X32" s="522" t="s">
        <v>141</v>
      </c>
      <c r="Y32" s="426" t="s">
        <v>813</v>
      </c>
      <c r="Z32" s="458" t="s">
        <v>209</v>
      </c>
      <c r="AA32" s="459" t="s">
        <v>814</v>
      </c>
      <c r="AB32" s="522" t="s">
        <v>141</v>
      </c>
      <c r="AC32" s="426" t="s">
        <v>813</v>
      </c>
      <c r="AD32" s="458" t="s">
        <v>209</v>
      </c>
      <c r="AE32" s="459" t="s">
        <v>814</v>
      </c>
      <c r="AF32" s="522" t="s">
        <v>141</v>
      </c>
      <c r="AG32" s="426" t="s">
        <v>813</v>
      </c>
      <c r="AH32" s="458" t="s">
        <v>209</v>
      </c>
      <c r="AI32" s="459" t="s">
        <v>814</v>
      </c>
      <c r="AJ32" s="522" t="s">
        <v>141</v>
      </c>
      <c r="AK32" s="426" t="s">
        <v>813</v>
      </c>
      <c r="AL32" s="458" t="s">
        <v>209</v>
      </c>
      <c r="AM32" s="459" t="s">
        <v>814</v>
      </c>
      <c r="AN32" s="522" t="s">
        <v>141</v>
      </c>
      <c r="AO32" s="426" t="s">
        <v>813</v>
      </c>
      <c r="AP32" s="458" t="s">
        <v>209</v>
      </c>
      <c r="AQ32" s="459" t="s">
        <v>814</v>
      </c>
      <c r="AR32" s="522" t="s">
        <v>141</v>
      </c>
      <c r="AS32" s="426" t="s">
        <v>813</v>
      </c>
      <c r="AT32" s="458" t="s">
        <v>209</v>
      </c>
      <c r="AU32" s="459" t="s">
        <v>814</v>
      </c>
      <c r="AV32" s="522" t="s">
        <v>141</v>
      </c>
      <c r="AW32" s="426" t="s">
        <v>813</v>
      </c>
      <c r="AX32" s="458" t="s">
        <v>209</v>
      </c>
      <c r="AY32" s="459" t="s">
        <v>814</v>
      </c>
      <c r="AZ32" s="522" t="s">
        <v>141</v>
      </c>
      <c r="BA32" s="426" t="s">
        <v>813</v>
      </c>
      <c r="BB32" s="458" t="s">
        <v>209</v>
      </c>
      <c r="BC32" s="459" t="s">
        <v>814</v>
      </c>
      <c r="BD32" s="522" t="s">
        <v>141</v>
      </c>
      <c r="BE32" s="426" t="s">
        <v>813</v>
      </c>
      <c r="BF32" s="458" t="s">
        <v>209</v>
      </c>
      <c r="BG32" s="459" t="s">
        <v>814</v>
      </c>
      <c r="BH32" s="522" t="s">
        <v>141</v>
      </c>
      <c r="BI32" s="426" t="s">
        <v>813</v>
      </c>
      <c r="BJ32" s="458" t="s">
        <v>209</v>
      </c>
      <c r="BK32" s="459" t="s">
        <v>814</v>
      </c>
      <c r="BL32" s="522" t="s">
        <v>141</v>
      </c>
      <c r="BM32" s="426" t="s">
        <v>813</v>
      </c>
      <c r="BN32" s="458" t="s">
        <v>209</v>
      </c>
      <c r="BO32" s="459" t="s">
        <v>814</v>
      </c>
      <c r="BP32" s="522" t="s">
        <v>141</v>
      </c>
      <c r="BQ32" s="426" t="s">
        <v>813</v>
      </c>
      <c r="BR32" s="458" t="s">
        <v>209</v>
      </c>
      <c r="BS32" s="459" t="s">
        <v>814</v>
      </c>
      <c r="BT32" s="459" t="s">
        <v>637</v>
      </c>
      <c r="BU32" s="522" t="s">
        <v>141</v>
      </c>
      <c r="BV32" s="1568" t="s">
        <v>813</v>
      </c>
      <c r="BW32" s="458" t="s">
        <v>209</v>
      </c>
      <c r="BX32" s="459" t="s">
        <v>814</v>
      </c>
      <c r="BY32" s="459" t="s">
        <v>637</v>
      </c>
      <c r="BZ32" s="522" t="s">
        <v>218</v>
      </c>
      <c r="CA32" s="1568" t="s">
        <v>813</v>
      </c>
      <c r="CB32" s="458" t="s">
        <v>209</v>
      </c>
      <c r="CC32" s="459" t="s">
        <v>814</v>
      </c>
      <c r="CD32" s="522" t="s">
        <v>218</v>
      </c>
      <c r="CE32" s="1568" t="s">
        <v>813</v>
      </c>
      <c r="CF32" s="458" t="s">
        <v>209</v>
      </c>
      <c r="CG32" s="459" t="s">
        <v>814</v>
      </c>
      <c r="CH32" s="522" t="s">
        <v>218</v>
      </c>
      <c r="CI32" s="1568" t="s">
        <v>813</v>
      </c>
      <c r="CJ32" s="458" t="s">
        <v>209</v>
      </c>
      <c r="CK32" s="459" t="s">
        <v>814</v>
      </c>
      <c r="CL32" s="522" t="s">
        <v>218</v>
      </c>
      <c r="CM32" s="1568" t="s">
        <v>813</v>
      </c>
      <c r="CN32" s="458" t="s">
        <v>209</v>
      </c>
      <c r="CO32" s="459" t="s">
        <v>814</v>
      </c>
      <c r="CP32" s="522" t="s">
        <v>218</v>
      </c>
      <c r="CQ32" s="1568" t="s">
        <v>813</v>
      </c>
      <c r="CR32" s="458" t="s">
        <v>209</v>
      </c>
      <c r="CS32" s="459" t="s">
        <v>814</v>
      </c>
      <c r="CT32" s="522" t="s">
        <v>218</v>
      </c>
      <c r="CU32" s="1568" t="s">
        <v>813</v>
      </c>
      <c r="CV32" s="458" t="s">
        <v>209</v>
      </c>
      <c r="CW32" s="459" t="s">
        <v>814</v>
      </c>
      <c r="CX32" s="522" t="s">
        <v>218</v>
      </c>
      <c r="CY32" s="1568" t="s">
        <v>813</v>
      </c>
      <c r="CZ32" s="458" t="s">
        <v>209</v>
      </c>
      <c r="DA32" s="459" t="s">
        <v>814</v>
      </c>
      <c r="DB32" s="522" t="s">
        <v>218</v>
      </c>
      <c r="DC32" s="1568" t="s">
        <v>813</v>
      </c>
      <c r="DD32" s="458" t="s">
        <v>209</v>
      </c>
      <c r="DE32" s="459" t="s">
        <v>814</v>
      </c>
      <c r="DF32" s="522" t="s">
        <v>218</v>
      </c>
      <c r="DG32" s="1568" t="s">
        <v>813</v>
      </c>
      <c r="DH32" s="458" t="s">
        <v>209</v>
      </c>
      <c r="DI32" s="459" t="s">
        <v>814</v>
      </c>
      <c r="DJ32" s="522" t="s">
        <v>218</v>
      </c>
      <c r="DK32" s="1568" t="s">
        <v>813</v>
      </c>
      <c r="DL32" s="458" t="s">
        <v>209</v>
      </c>
      <c r="DM32" s="459" t="s">
        <v>814</v>
      </c>
      <c r="DN32" s="522" t="s">
        <v>218</v>
      </c>
      <c r="DO32" s="1568" t="s">
        <v>813</v>
      </c>
      <c r="DP32" s="458" t="s">
        <v>209</v>
      </c>
      <c r="DQ32" s="459" t="s">
        <v>814</v>
      </c>
      <c r="DR32" s="522" t="s">
        <v>218</v>
      </c>
      <c r="DS32" s="1568" t="s">
        <v>813</v>
      </c>
      <c r="DT32" s="458" t="s">
        <v>209</v>
      </c>
      <c r="DU32" s="459" t="s">
        <v>814</v>
      </c>
      <c r="DV32" s="522" t="s">
        <v>218</v>
      </c>
      <c r="DW32" s="1568" t="s">
        <v>813</v>
      </c>
      <c r="DX32" s="458" t="s">
        <v>209</v>
      </c>
      <c r="DY32" s="459" t="s">
        <v>814</v>
      </c>
      <c r="DZ32" s="522" t="s">
        <v>218</v>
      </c>
      <c r="EA32" s="1568" t="s">
        <v>813</v>
      </c>
      <c r="EB32" s="458" t="s">
        <v>209</v>
      </c>
      <c r="EC32" s="459" t="s">
        <v>814</v>
      </c>
      <c r="ED32" s="522" t="s">
        <v>218</v>
      </c>
      <c r="EE32" s="1568" t="s">
        <v>813</v>
      </c>
      <c r="EF32" s="458" t="s">
        <v>209</v>
      </c>
      <c r="EG32" s="459" t="s">
        <v>814</v>
      </c>
      <c r="EH32" s="522" t="s">
        <v>218</v>
      </c>
      <c r="EI32" s="1568" t="s">
        <v>813</v>
      </c>
      <c r="EJ32" s="458" t="s">
        <v>209</v>
      </c>
      <c r="EK32" s="459" t="s">
        <v>814</v>
      </c>
      <c r="EL32" s="522" t="s">
        <v>218</v>
      </c>
      <c r="EM32" s="1568" t="s">
        <v>813</v>
      </c>
      <c r="EN32" s="458" t="s">
        <v>209</v>
      </c>
      <c r="EO32" s="459" t="s">
        <v>814</v>
      </c>
      <c r="EP32" s="522" t="s">
        <v>218</v>
      </c>
      <c r="EQ32" s="1568" t="s">
        <v>813</v>
      </c>
      <c r="ER32" s="458" t="s">
        <v>209</v>
      </c>
      <c r="ES32" s="459" t="s">
        <v>814</v>
      </c>
      <c r="ET32" s="522" t="s">
        <v>218</v>
      </c>
      <c r="EU32" s="1568" t="s">
        <v>813</v>
      </c>
      <c r="EV32" s="458" t="s">
        <v>209</v>
      </c>
      <c r="EW32" s="459" t="s">
        <v>814</v>
      </c>
      <c r="EX32" s="522" t="s">
        <v>218</v>
      </c>
      <c r="EY32" s="1568" t="s">
        <v>813</v>
      </c>
      <c r="EZ32" s="458" t="s">
        <v>209</v>
      </c>
      <c r="FA32" s="459" t="s">
        <v>814</v>
      </c>
      <c r="FB32" s="522" t="s">
        <v>218</v>
      </c>
      <c r="FC32" s="1568" t="s">
        <v>813</v>
      </c>
      <c r="FD32" s="458" t="s">
        <v>209</v>
      </c>
      <c r="FE32" s="459" t="s">
        <v>814</v>
      </c>
      <c r="FF32" s="522" t="s">
        <v>218</v>
      </c>
      <c r="FG32" s="1568" t="s">
        <v>813</v>
      </c>
      <c r="FH32" s="458" t="s">
        <v>209</v>
      </c>
      <c r="FI32" s="459" t="s">
        <v>814</v>
      </c>
      <c r="FJ32" s="522" t="s">
        <v>218</v>
      </c>
      <c r="FK32" s="1568" t="s">
        <v>813</v>
      </c>
      <c r="FL32" s="458" t="s">
        <v>209</v>
      </c>
      <c r="FM32" s="459" t="s">
        <v>814</v>
      </c>
      <c r="FN32" s="522" t="s">
        <v>218</v>
      </c>
      <c r="FO32" s="1568" t="s">
        <v>813</v>
      </c>
      <c r="FP32" s="458" t="s">
        <v>209</v>
      </c>
      <c r="FQ32" s="459" t="s">
        <v>814</v>
      </c>
      <c r="FR32" s="522" t="s">
        <v>218</v>
      </c>
      <c r="FS32" s="1568" t="s">
        <v>813</v>
      </c>
      <c r="FT32" s="458" t="s">
        <v>209</v>
      </c>
      <c r="FU32" s="459" t="s">
        <v>814</v>
      </c>
      <c r="FV32" s="522" t="s">
        <v>218</v>
      </c>
      <c r="FW32" s="1568" t="s">
        <v>813</v>
      </c>
      <c r="FX32" s="458" t="s">
        <v>209</v>
      </c>
      <c r="FY32" s="459" t="s">
        <v>814</v>
      </c>
      <c r="FZ32" s="522" t="s">
        <v>218</v>
      </c>
      <c r="GA32" s="1568" t="s">
        <v>813</v>
      </c>
      <c r="GB32" s="458" t="s">
        <v>209</v>
      </c>
      <c r="GC32" s="459" t="s">
        <v>814</v>
      </c>
      <c r="GD32" s="522" t="s">
        <v>218</v>
      </c>
      <c r="GE32" s="1568" t="s">
        <v>813</v>
      </c>
      <c r="GF32" s="458" t="s">
        <v>209</v>
      </c>
      <c r="GG32" s="459" t="s">
        <v>814</v>
      </c>
      <c r="GH32" s="522" t="s">
        <v>218</v>
      </c>
      <c r="GI32" s="1568" t="s">
        <v>813</v>
      </c>
      <c r="GJ32" s="458" t="s">
        <v>209</v>
      </c>
      <c r="GK32" s="459" t="s">
        <v>814</v>
      </c>
      <c r="GL32" s="522" t="s">
        <v>218</v>
      </c>
      <c r="GM32" s="1568" t="s">
        <v>813</v>
      </c>
      <c r="GN32" s="458" t="s">
        <v>209</v>
      </c>
      <c r="GO32" s="459" t="s">
        <v>814</v>
      </c>
      <c r="GP32" s="522" t="s">
        <v>218</v>
      </c>
      <c r="GQ32" s="1568" t="s">
        <v>813</v>
      </c>
      <c r="GR32" s="458" t="s">
        <v>209</v>
      </c>
      <c r="GS32" s="459" t="s">
        <v>814</v>
      </c>
      <c r="GT32" s="522" t="s">
        <v>218</v>
      </c>
      <c r="GU32" s="1568" t="s">
        <v>813</v>
      </c>
      <c r="GV32" s="458" t="s">
        <v>209</v>
      </c>
      <c r="GW32" s="459" t="s">
        <v>814</v>
      </c>
      <c r="GX32" s="522" t="s">
        <v>218</v>
      </c>
      <c r="GY32" s="1568" t="s">
        <v>813</v>
      </c>
      <c r="GZ32" s="458" t="s">
        <v>209</v>
      </c>
      <c r="HA32" s="459" t="s">
        <v>814</v>
      </c>
      <c r="HB32" s="522" t="s">
        <v>218</v>
      </c>
      <c r="HC32" s="1568" t="s">
        <v>813</v>
      </c>
      <c r="HD32" s="458" t="s">
        <v>209</v>
      </c>
      <c r="HE32" s="459" t="s">
        <v>814</v>
      </c>
      <c r="HF32" s="522" t="s">
        <v>218</v>
      </c>
      <c r="HG32" s="1568" t="s">
        <v>813</v>
      </c>
      <c r="HH32" s="458" t="s">
        <v>209</v>
      </c>
      <c r="HI32" s="459" t="s">
        <v>814</v>
      </c>
      <c r="HJ32" s="522" t="s">
        <v>218</v>
      </c>
      <c r="HK32" s="1568" t="s">
        <v>813</v>
      </c>
      <c r="HL32" s="458" t="s">
        <v>209</v>
      </c>
      <c r="HM32" s="459" t="s">
        <v>814</v>
      </c>
      <c r="HN32" s="522" t="s">
        <v>218</v>
      </c>
      <c r="HO32" s="1568" t="s">
        <v>813</v>
      </c>
      <c r="HP32" s="458" t="s">
        <v>209</v>
      </c>
      <c r="HQ32" s="459" t="s">
        <v>814</v>
      </c>
      <c r="HR32" s="522" t="s">
        <v>218</v>
      </c>
      <c r="HS32" s="1568" t="s">
        <v>813</v>
      </c>
      <c r="HT32" s="458" t="s">
        <v>209</v>
      </c>
      <c r="HU32" s="459" t="s">
        <v>814</v>
      </c>
      <c r="HV32" s="522" t="s">
        <v>218</v>
      </c>
      <c r="HW32" s="1568" t="s">
        <v>813</v>
      </c>
      <c r="HX32" s="458" t="s">
        <v>209</v>
      </c>
      <c r="HY32" s="459" t="s">
        <v>814</v>
      </c>
      <c r="HZ32" s="522" t="s">
        <v>218</v>
      </c>
      <c r="IA32" s="1568" t="s">
        <v>813</v>
      </c>
      <c r="IB32" s="458" t="s">
        <v>209</v>
      </c>
      <c r="IC32" s="459" t="s">
        <v>814</v>
      </c>
      <c r="ID32" s="522" t="s">
        <v>218</v>
      </c>
      <c r="IE32" s="1568" t="s">
        <v>813</v>
      </c>
      <c r="IF32" s="458" t="s">
        <v>209</v>
      </c>
      <c r="IG32" s="459" t="s">
        <v>814</v>
      </c>
      <c r="IH32" s="522" t="s">
        <v>218</v>
      </c>
      <c r="II32" s="1568" t="s">
        <v>813</v>
      </c>
      <c r="IJ32" s="458" t="s">
        <v>209</v>
      </c>
      <c r="IK32" s="459" t="s">
        <v>814</v>
      </c>
      <c r="IL32" s="522" t="s">
        <v>218</v>
      </c>
      <c r="IM32" s="1568" t="s">
        <v>813</v>
      </c>
      <c r="IN32" s="458" t="s">
        <v>209</v>
      </c>
      <c r="IO32" s="459" t="s">
        <v>814</v>
      </c>
      <c r="IP32" s="522" t="s">
        <v>218</v>
      </c>
      <c r="IQ32" s="1568" t="s">
        <v>813</v>
      </c>
      <c r="IR32" s="458" t="s">
        <v>209</v>
      </c>
      <c r="IS32" s="459" t="s">
        <v>814</v>
      </c>
      <c r="IT32" s="522" t="s">
        <v>218</v>
      </c>
      <c r="IU32" s="1568" t="s">
        <v>813</v>
      </c>
      <c r="IV32" s="458" t="s">
        <v>209</v>
      </c>
      <c r="IW32" s="459" t="s">
        <v>814</v>
      </c>
      <c r="IX32" s="522" t="s">
        <v>218</v>
      </c>
      <c r="IY32" s="1568" t="s">
        <v>813</v>
      </c>
      <c r="IZ32" s="524" t="s">
        <v>524</v>
      </c>
      <c r="JA32" s="459" t="s">
        <v>815</v>
      </c>
      <c r="JB32" s="333" t="s">
        <v>816</v>
      </c>
      <c r="JC32" s="970">
        <f>JA34-JB33</f>
        <v>5340236.1499119401</v>
      </c>
    </row>
    <row r="33" spans="1:263" ht="13.8">
      <c r="A33" s="108">
        <v>19</v>
      </c>
      <c r="B33" s="230" t="s">
        <v>653</v>
      </c>
      <c r="C33" s="971" t="str">
        <f>"Wo Incentive ROE"</f>
        <v>Wo Incentive ROE</v>
      </c>
      <c r="D33" s="312">
        <v>2011</v>
      </c>
      <c r="E33" s="972">
        <f>E29*E27</f>
        <v>90946092.046030104</v>
      </c>
      <c r="F33" s="627">
        <f>E30</f>
        <v>23974492.390000001</v>
      </c>
      <c r="G33" s="627">
        <f>'5a- Precommercial Costs'!H50+'5a- Precommercial Costs'!J50</f>
        <v>0</v>
      </c>
      <c r="H33" s="627">
        <f>'6- Est &amp; Reconcile WS'!Q424</f>
        <v>-6866399.923815717</v>
      </c>
      <c r="I33" s="973">
        <f>SUM(E33:H33)</f>
        <v>108054184.51221439</v>
      </c>
      <c r="J33" s="972">
        <f>J29*J27</f>
        <v>1696262.9602020613</v>
      </c>
      <c r="K33" s="627">
        <f>J30</f>
        <v>594380.46</v>
      </c>
      <c r="L33" s="627">
        <f>'6- Est &amp; Reconcile WS'!P424</f>
        <v>-312113.46482814837</v>
      </c>
      <c r="M33" s="973">
        <f>SUM(J33:L33)</f>
        <v>1978529.955373913</v>
      </c>
      <c r="N33" s="972">
        <f>N29*N27</f>
        <v>4672350.5738762189</v>
      </c>
      <c r="O33" s="628">
        <f>N30</f>
        <v>1479189.67</v>
      </c>
      <c r="P33" s="627">
        <f>'6- Est &amp; Reconcile WS'!O424</f>
        <v>-321323.62666496332</v>
      </c>
      <c r="Q33" s="973">
        <f>SUM(N33:P33)</f>
        <v>5830216.6172112552</v>
      </c>
      <c r="R33" s="972">
        <f>R29*R27</f>
        <v>156034.5165876665</v>
      </c>
      <c r="S33" s="627">
        <f>R30</f>
        <v>40401.96</v>
      </c>
      <c r="T33" s="627">
        <f>'6- Est &amp; Reconcile WS'!N424</f>
        <v>-11066.892123812157</v>
      </c>
      <c r="U33" s="627">
        <f>SUM(R33:T33)</f>
        <v>185369.58446385432</v>
      </c>
      <c r="V33" s="972">
        <f>V29*V27</f>
        <v>635270.52058442158</v>
      </c>
      <c r="W33" s="627">
        <f>V30</f>
        <v>163980.26999999999</v>
      </c>
      <c r="X33" s="627">
        <f>'6- Est &amp; Reconcile WS'!M424</f>
        <v>-44029.906005224722</v>
      </c>
      <c r="Y33" s="973">
        <f>SUM(V33:X33)</f>
        <v>755220.88457919692</v>
      </c>
      <c r="Z33" s="972">
        <f>Z29*Z27</f>
        <v>848208.51746603963</v>
      </c>
      <c r="AA33" s="627">
        <f>Z30</f>
        <v>161786.82</v>
      </c>
      <c r="AB33" s="627">
        <f>'6- Est &amp; Reconcile WS'!L424</f>
        <v>-54943.629605907146</v>
      </c>
      <c r="AC33" s="973">
        <f>SUM(Z33:AB33)</f>
        <v>955051.70786013256</v>
      </c>
      <c r="AD33" s="972">
        <f>AD29*AD27</f>
        <v>788772.33375959832</v>
      </c>
      <c r="AE33" s="627">
        <f>AD30</f>
        <v>145530.84</v>
      </c>
      <c r="AF33" s="627">
        <f>'6- Est &amp; Reconcile WS'!K424</f>
        <v>-41173.9146719571</v>
      </c>
      <c r="AG33" s="973">
        <f>SUM(AD33:AF33)</f>
        <v>893129.25908764114</v>
      </c>
      <c r="AH33" s="972">
        <f>AH29*AH27</f>
        <v>3164948.3394805426</v>
      </c>
      <c r="AI33" s="627">
        <f>AH30</f>
        <v>831940.92</v>
      </c>
      <c r="AJ33" s="627">
        <f>'6- Est &amp; Reconcile WS'!J424</f>
        <v>-221738.31063290237</v>
      </c>
      <c r="AK33" s="973">
        <f>SUM(AH33:AJ33)</f>
        <v>3775150.9488476403</v>
      </c>
      <c r="AL33" s="972">
        <f>AL29*AL27</f>
        <v>1135009.9994889291</v>
      </c>
      <c r="AM33" s="627">
        <f>AL30</f>
        <v>93859.54</v>
      </c>
      <c r="AN33" s="627">
        <f>'6- Est &amp; Reconcile WS'!I424</f>
        <v>-30749.622986757175</v>
      </c>
      <c r="AO33" s="973">
        <f>SUM(AL33:AN33)</f>
        <v>1198119.9165021719</v>
      </c>
      <c r="AP33" s="972">
        <f>AP29*AP27</f>
        <v>422294.43930854445</v>
      </c>
      <c r="AQ33" s="627">
        <f>AP30</f>
        <v>109796.54</v>
      </c>
      <c r="AR33" s="627">
        <f>'6- Est &amp; Reconcile WS'!H424</f>
        <v>-16324.772270842941</v>
      </c>
      <c r="AS33" s="973">
        <f>SUM(AP33:AR33)</f>
        <v>515766.2070377015</v>
      </c>
      <c r="AT33" s="972">
        <f>AT29*AT27</f>
        <v>413017.65853869455</v>
      </c>
      <c r="AU33" s="627">
        <f>AT30</f>
        <v>147945.04</v>
      </c>
      <c r="AV33" s="627">
        <f>'6- Est &amp; Reconcile WS'!G424</f>
        <v>-33820.333398265524</v>
      </c>
      <c r="AW33" s="973">
        <f>SUM(AT33:AV33)</f>
        <v>527142.365140429</v>
      </c>
      <c r="AX33" s="972">
        <f>AX29*AX27</f>
        <v>1044402.5324575964</v>
      </c>
      <c r="AY33" s="627">
        <f>AX30</f>
        <v>186391.64</v>
      </c>
      <c r="AZ33" s="627">
        <f>'6- Est &amp; Reconcile WS'!F424</f>
        <v>63224.133544342963</v>
      </c>
      <c r="BA33" s="973">
        <f>SUM(AX33:AZ33)</f>
        <v>1294018.3060019393</v>
      </c>
      <c r="BB33" s="1569">
        <f>BB29*BB27</f>
        <v>1426077.2064351183</v>
      </c>
      <c r="BC33" s="1570">
        <f>BB30</f>
        <v>339376.73</v>
      </c>
      <c r="BD33" s="1570">
        <f>'6- Est &amp; Reconcile WS'!S424</f>
        <v>-95335.069188782581</v>
      </c>
      <c r="BE33" s="1571">
        <f>SUM(BB33:BD33)</f>
        <v>1670118.8672463358</v>
      </c>
      <c r="BF33" s="1569">
        <f>BF29*BF27</f>
        <v>306598.7119109534</v>
      </c>
      <c r="BG33" s="1570">
        <f>BF30</f>
        <v>1253.8699999999999</v>
      </c>
      <c r="BH33" s="1570">
        <f>'6- Est &amp; Reconcile WS'!T424</f>
        <v>-36411.609171059885</v>
      </c>
      <c r="BI33" s="1571">
        <f>SUM(BF33:BH33)</f>
        <v>271440.97273989348</v>
      </c>
      <c r="BJ33" s="1569">
        <f>BJ29*BJ27</f>
        <v>73798.281826148115</v>
      </c>
      <c r="BK33" s="1570">
        <f>BJ30</f>
        <v>17459.900000000001</v>
      </c>
      <c r="BL33" s="1570">
        <f>'6- Est &amp; Reconcile WS'!U424</f>
        <v>-5133.0737334937221</v>
      </c>
      <c r="BM33" s="1571">
        <f>SUM(BJ33:BL33)</f>
        <v>86125.108092654409</v>
      </c>
      <c r="BN33" s="1569">
        <f>BN29*BN27</f>
        <v>669439.23616451141</v>
      </c>
      <c r="BO33" s="1570">
        <f>BN30</f>
        <v>102775.77</v>
      </c>
      <c r="BP33" s="1570">
        <f>'6- Est &amp; Reconcile WS'!V424</f>
        <v>-36181.185838679536</v>
      </c>
      <c r="BQ33" s="1571">
        <f>SUM(BN33:BP33)</f>
        <v>736033.82032583188</v>
      </c>
      <c r="BR33" s="1562">
        <f>BR29*BR27</f>
        <v>196186.06780751405</v>
      </c>
      <c r="BS33" s="1572">
        <f>BR30</f>
        <v>35310.160000000003</v>
      </c>
      <c r="BT33" s="1572">
        <v>0</v>
      </c>
      <c r="BU33" s="1572">
        <f>'6- Est &amp; Reconcile WS'!E424</f>
        <v>-12867.466478701745</v>
      </c>
      <c r="BV33" s="1571">
        <f>BR33+BS33+BT33+BU33</f>
        <v>218628.76132881231</v>
      </c>
      <c r="BW33" s="1562">
        <f>BW29*BW27</f>
        <v>2062941.5029447356</v>
      </c>
      <c r="BX33" s="1572">
        <f>BW30</f>
        <v>580549.68999999994</v>
      </c>
      <c r="BY33" s="1572">
        <v>0</v>
      </c>
      <c r="BZ33" s="1572">
        <f>'6- Est &amp; Reconcile WS'!R424</f>
        <v>-203420.55825005792</v>
      </c>
      <c r="CA33" s="1571">
        <f>SUM(BW33:BZ33)</f>
        <v>2440070.6346946773</v>
      </c>
      <c r="CB33" s="1562">
        <f>CB29*CB27</f>
        <v>5793461.6696399571</v>
      </c>
      <c r="CC33" s="1572">
        <f>CB30</f>
        <v>1231248.58</v>
      </c>
      <c r="CD33" s="1572">
        <f>'6- Est &amp; Reconcile WS'!E427</f>
        <v>-363725.61563538777</v>
      </c>
      <c r="CE33" s="1571">
        <f>SUM(CB33:CD33)</f>
        <v>6660984.6340045696</v>
      </c>
      <c r="CF33" s="1562">
        <f>CF29*CF27</f>
        <v>3914304.1774605908</v>
      </c>
      <c r="CG33" s="1572">
        <f>CF30</f>
        <v>1308067.3599999999</v>
      </c>
      <c r="CH33" s="1572">
        <f>'6- Est &amp; Reconcile WS'!P427</f>
        <v>85650.047646566207</v>
      </c>
      <c r="CI33" s="1571">
        <f>SUM(CF33:CH33)</f>
        <v>5308021.585107157</v>
      </c>
      <c r="CJ33" s="1562">
        <f>CJ29*CJ27</f>
        <v>5371088.9186096573</v>
      </c>
      <c r="CK33" s="1572">
        <f>CJ30</f>
        <v>1587862.6300000001</v>
      </c>
      <c r="CL33" s="1572">
        <f>'6- Est &amp; Reconcile WS'!S427</f>
        <v>-372675.33624400577</v>
      </c>
      <c r="CM33" s="1571">
        <f>SUM(CJ33:CL33)</f>
        <v>6586276.2123656515</v>
      </c>
      <c r="CN33" s="1562">
        <f>CN29*CN27</f>
        <v>2539773.5487699946</v>
      </c>
      <c r="CO33" s="1572">
        <f>CN30</f>
        <v>694961.01</v>
      </c>
      <c r="CP33" s="1572">
        <f>'6- Est &amp; Reconcile WS'!M427</f>
        <v>-160237.02958327471</v>
      </c>
      <c r="CQ33" s="1571">
        <f>SUM(CN33:CP33)</f>
        <v>3074497.5291867196</v>
      </c>
      <c r="CR33" s="1562">
        <f>CR29*CR27</f>
        <v>340927.26830648025</v>
      </c>
      <c r="CS33" s="1572">
        <f>CR30</f>
        <v>77856.83</v>
      </c>
      <c r="CT33" s="1572">
        <f>'6- Est &amp; Reconcile WS'!L427</f>
        <v>-21419.009594438339</v>
      </c>
      <c r="CU33" s="1571">
        <f>SUM(CR33:CT33)</f>
        <v>397365.08871204191</v>
      </c>
      <c r="CV33" s="1562">
        <f>CV29*CV27</f>
        <v>917408.17555702012</v>
      </c>
      <c r="CW33" s="1572">
        <f>CV30</f>
        <v>192996.40</v>
      </c>
      <c r="CX33" s="1572">
        <f>'6- Est &amp; Reconcile WS'!T427</f>
        <v>-64786.841998653319</v>
      </c>
      <c r="CY33" s="1571">
        <f>SUM(CV33:CX33)</f>
        <v>1045617.7335583667</v>
      </c>
      <c r="CZ33" s="1562">
        <f>CZ29*CZ27</f>
        <v>569600.82718427235</v>
      </c>
      <c r="DA33" s="1572">
        <f>CZ30</f>
        <v>130412.60</v>
      </c>
      <c r="DB33" s="1572">
        <f>'6- Est &amp; Reconcile WS'!Q427</f>
        <v>-186234.02194840918</v>
      </c>
      <c r="DC33" s="1571">
        <f>SUM(CZ33:DB33)</f>
        <v>513779.40523586317</v>
      </c>
      <c r="DD33" s="1562">
        <f>DD29*DD27</f>
        <v>100572.86928902236</v>
      </c>
      <c r="DE33" s="1572">
        <f>DD30</f>
        <v>22908.06</v>
      </c>
      <c r="DF33" s="1572">
        <f>'6- Est &amp; Reconcile WS'!E430</f>
        <v>-6917.8138228124499</v>
      </c>
      <c r="DG33" s="1571">
        <f>SUM(DD33:DF33)</f>
        <v>116563.11546620991</v>
      </c>
      <c r="DH33" s="1562">
        <f>DH29*DH27</f>
        <v>57517.928011259108</v>
      </c>
      <c r="DI33" s="1572">
        <f>DH30</f>
        <v>13800.86</v>
      </c>
      <c r="DJ33" s="1572">
        <f>'6- Est &amp; Reconcile WS'!H427</f>
        <v>-4014.1489766685968</v>
      </c>
      <c r="DK33" s="1571">
        <f>SUM(DH33:DJ33)</f>
        <v>67304.639034590509</v>
      </c>
      <c r="DL33" s="1562">
        <f>DL29*DL27</f>
        <v>3290505.876425493</v>
      </c>
      <c r="DM33" s="1572">
        <f>DL30</f>
        <v>769487.52</v>
      </c>
      <c r="DN33" s="1572">
        <f>'6- Est &amp; Reconcile WS'!K427</f>
        <v>-225542.20212785367</v>
      </c>
      <c r="DO33" s="1571">
        <f>SUM(DL33:DN33)</f>
        <v>3834451.1942976392</v>
      </c>
      <c r="DP33" s="1562">
        <f>DP29*DP27</f>
        <v>111647.69208056078</v>
      </c>
      <c r="DQ33" s="1572">
        <f>DP30</f>
        <v>25321.47</v>
      </c>
      <c r="DR33" s="1572">
        <f>'6- Est &amp; Reconcile WS'!I427</f>
        <v>-7475.6477359578985</v>
      </c>
      <c r="DS33" s="1571">
        <f>SUM(DP33:DR33)</f>
        <v>129493.51434460288</v>
      </c>
      <c r="DT33" s="1562">
        <f>DT29*DT27</f>
        <v>159134.03655529045</v>
      </c>
      <c r="DU33" s="1572">
        <f>DT30</f>
        <v>37230.699999999997</v>
      </c>
      <c r="DV33" s="1572">
        <f>'6- Est &amp; Reconcile WS'!J427</f>
        <v>-11039.393765410015</v>
      </c>
      <c r="DW33" s="1571">
        <f>SUM(DT33:DV33)</f>
        <v>185325.34278988047</v>
      </c>
      <c r="DX33" s="1562">
        <f>DX29*DX27</f>
        <v>719618.60717268696</v>
      </c>
      <c r="DY33" s="1572">
        <f>DX30</f>
        <v>165312.37</v>
      </c>
      <c r="DZ33" s="1572">
        <f>'6- Est &amp; Reconcile WS'!R427</f>
        <v>-47718.040864374518</v>
      </c>
      <c r="EA33" s="1571">
        <f>SUM(DX33:DZ33)</f>
        <v>837212.93630831246</v>
      </c>
      <c r="EB33" s="1562">
        <f>EB29*EB27</f>
        <v>51038.866387728638</v>
      </c>
      <c r="EC33" s="1572">
        <f>EB30</f>
        <v>11946.40</v>
      </c>
      <c r="ED33" s="1572">
        <f>'6- Est &amp; Reconcile WS'!O427</f>
        <v>-3540.9720335408347</v>
      </c>
      <c r="EE33" s="1571">
        <f>SUM(EB33:ED33)</f>
        <v>59444.294354187805</v>
      </c>
      <c r="EF33" s="1562">
        <f>EF29*EF27</f>
        <v>243269.85562994701</v>
      </c>
      <c r="EG33" s="1572">
        <f>EF30</f>
        <v>45391.53</v>
      </c>
      <c r="EH33" s="1572">
        <f>'6- Est &amp; Reconcile WS'!Q430</f>
        <v>-13625.375150685959</v>
      </c>
      <c r="EI33" s="1571">
        <f>SUM(EF33:EH33)</f>
        <v>275036.01047926105</v>
      </c>
      <c r="EJ33" s="1562">
        <f>EJ29*EJ27</f>
        <v>0</v>
      </c>
      <c r="EK33" s="1572">
        <f>EJ30</f>
        <v>0</v>
      </c>
      <c r="EL33" s="1572">
        <v>0</v>
      </c>
      <c r="EM33" s="1571">
        <f>SUM(EJ33:EL33)</f>
        <v>0</v>
      </c>
      <c r="EN33" s="1562">
        <f>EN29*EN27</f>
        <v>121213.6397102412</v>
      </c>
      <c r="EO33" s="1572">
        <f>EN30</f>
        <v>66905.16</v>
      </c>
      <c r="EP33" s="1572">
        <f>'6- Est &amp; Reconcile WS'!H430</f>
        <v>-11054.810985168906</v>
      </c>
      <c r="EQ33" s="1571">
        <f>SUM(EN33:EP33)</f>
        <v>177063.9887250723</v>
      </c>
      <c r="ER33" s="1562">
        <f>ER29*ER27</f>
        <v>39336.153181036017</v>
      </c>
      <c r="ES33" s="1572">
        <f>ER30</f>
        <v>9206.9599999999991</v>
      </c>
      <c r="ET33" s="1572">
        <f>'6- Est &amp; Reconcile WS'!F427</f>
        <v>-2729.1253447705453</v>
      </c>
      <c r="EU33" s="1571">
        <f>SUM(ER33:ET33)</f>
        <v>45813.987836265471</v>
      </c>
      <c r="EV33" s="1562">
        <f>EV29*EV27</f>
        <v>0</v>
      </c>
      <c r="EW33" s="1572">
        <f>EV30</f>
        <v>0</v>
      </c>
      <c r="EX33" s="1572">
        <v>0</v>
      </c>
      <c r="EY33" s="1571">
        <f>SUM(EV33:EX33)</f>
        <v>0</v>
      </c>
      <c r="EZ33" s="1562">
        <f>EZ29*EZ27</f>
        <v>89241.819817548894</v>
      </c>
      <c r="FA33" s="1572">
        <f>EZ30</f>
        <v>11306.52</v>
      </c>
      <c r="FB33" s="1572">
        <f>'6- Est &amp; Reconcile WS'!K430</f>
        <v>-5511.3147836296384</v>
      </c>
      <c r="FC33" s="1571">
        <f>SUM(EZ33:FB33)</f>
        <v>95037.025033919257</v>
      </c>
      <c r="FD33" s="1562">
        <f>FD29*FD27</f>
        <v>2676832.7117120861</v>
      </c>
      <c r="FE33" s="1572">
        <f>FD30</f>
        <v>124532.16</v>
      </c>
      <c r="FF33" s="1572">
        <f>'6- Est &amp; Reconcile WS'!N427</f>
        <v>-177771.18389649814</v>
      </c>
      <c r="FG33" s="1571">
        <f>SUM(FD33:FF33)</f>
        <v>2623593.687815588</v>
      </c>
      <c r="FH33" s="1562">
        <f>FH29*FH27</f>
        <v>1137691.1994465804</v>
      </c>
      <c r="FI33" s="1572">
        <f>FH30</f>
        <v>260981.37</v>
      </c>
      <c r="FJ33" s="1572">
        <f>'6- Est &amp; Reconcile WS'!G427</f>
        <v>-96714.683689142519</v>
      </c>
      <c r="FK33" s="1571">
        <f>SUM(FH33:FJ33)</f>
        <v>1301957.8857574379</v>
      </c>
      <c r="FL33" s="1562">
        <f>FL29*FL27</f>
        <v>90158.741275195382</v>
      </c>
      <c r="FM33" s="1572">
        <f>FL30</f>
        <v>20152.740000000002</v>
      </c>
      <c r="FN33" s="1572">
        <f>'6- Est &amp; Reconcile WS'!U427</f>
        <v>-6239.7483203459051</v>
      </c>
      <c r="FO33" s="1571">
        <f>SUM(FL33:FN33)</f>
        <v>104071.73295484949</v>
      </c>
      <c r="FP33" s="1562">
        <f>FP29*FP27</f>
        <v>1626177.9783931477</v>
      </c>
      <c r="FQ33" s="1572">
        <f>FP30</f>
        <v>398549.73</v>
      </c>
      <c r="FR33" s="1572">
        <f>'6- Est &amp; Reconcile WS'!F430</f>
        <v>-118564.97224734424</v>
      </c>
      <c r="FS33" s="1571">
        <f>SUM(FP33:FR33)</f>
        <v>1906162.7361458035</v>
      </c>
      <c r="FT33" s="1562">
        <f>FT29*FT27</f>
        <v>3639393.1653191154</v>
      </c>
      <c r="FU33" s="1572">
        <f>FT30</f>
        <v>795713.95</v>
      </c>
      <c r="FV33" s="1572">
        <f>'6- Est &amp; Reconcile WS'!G430</f>
        <v>-288198.86105010193</v>
      </c>
      <c r="FW33" s="1571">
        <f>SUM(FT33:FV33)</f>
        <v>4146908.2542690132</v>
      </c>
      <c r="FX33" s="1562">
        <f>FX29*FX27</f>
        <v>60813.837491527556</v>
      </c>
      <c r="FY33" s="1572">
        <f>FX30</f>
        <v>13795.05</v>
      </c>
      <c r="FZ33" s="1572">
        <f>'6- Est &amp; Reconcile WS'!V427</f>
        <v>-4175.9087447613083</v>
      </c>
      <c r="GA33" s="1571">
        <f>SUM(FX33:FZ33)</f>
        <v>70432.978746766239</v>
      </c>
      <c r="GB33" s="1562">
        <f>GB29*GB27</f>
        <v>3264803.7446831944</v>
      </c>
      <c r="GC33" s="1572">
        <f>GB30</f>
        <v>589322.65</v>
      </c>
      <c r="GD33" s="1572">
        <f>'6- Est &amp; Reconcile WS'!I430</f>
        <v>-211316.12224442689</v>
      </c>
      <c r="GE33" s="1571">
        <f>SUM(GB33:GD33)</f>
        <v>3642810.2724387674</v>
      </c>
      <c r="GF33" s="1562">
        <f>GF29*GF27</f>
        <v>125070.6418275914</v>
      </c>
      <c r="GG33" s="1572">
        <f>GF30</f>
        <v>28706.88</v>
      </c>
      <c r="GH33" s="1572">
        <f>'6- Est &amp; Reconcile WS'!J430</f>
        <v>-5561.3885301512546</v>
      </c>
      <c r="GI33" s="1571">
        <f>SUM(GF33:GH33)</f>
        <v>148216.13329744016</v>
      </c>
      <c r="GJ33" s="1562">
        <f>GJ29*GJ27</f>
        <v>676805.66807890416</v>
      </c>
      <c r="GK33" s="1572">
        <f>GJ30</f>
        <v>156961.81</v>
      </c>
      <c r="GL33" s="1572">
        <f>'6- Est &amp; Reconcile WS'!L430</f>
        <v>-46712.114592814294</v>
      </c>
      <c r="GM33" s="1571">
        <f>SUM(GJ33:GL33)</f>
        <v>787055.36348608974</v>
      </c>
      <c r="GN33" s="1562">
        <f>GN29*GN27</f>
        <v>0</v>
      </c>
      <c r="GO33" s="1572">
        <f>GN30</f>
        <v>0</v>
      </c>
      <c r="GP33" s="1572">
        <v>0</v>
      </c>
      <c r="GQ33" s="1571">
        <f>SUM(GN33:GP33)</f>
        <v>0</v>
      </c>
      <c r="GR33" s="1562">
        <f>GR29*GR27</f>
        <v>1745264.672317754</v>
      </c>
      <c r="GS33" s="1572">
        <f>GR30</f>
        <v>294201.61</v>
      </c>
      <c r="GT33" s="1572">
        <f>'6- Est &amp; Reconcile WS'!M430</f>
        <v>-154004.10085158522</v>
      </c>
      <c r="GU33" s="1571">
        <f>SUM(GR33:GT33)</f>
        <v>1885462.1814661687</v>
      </c>
      <c r="GV33" s="1562">
        <f>GV29*GV27</f>
        <v>2523151.9476490263</v>
      </c>
      <c r="GW33" s="1572">
        <f>GV30</f>
        <v>1092867.3599999999</v>
      </c>
      <c r="GX33" s="1572">
        <f>'6- Est &amp; Reconcile WS'!N430</f>
        <v>-197665.41044411302</v>
      </c>
      <c r="GY33" s="1571">
        <f>SUM(GV33:GX33)</f>
        <v>3418353.8972049132</v>
      </c>
      <c r="GZ33" s="1562">
        <f>GZ29*GZ27</f>
        <v>146005.16263124955</v>
      </c>
      <c r="HA33" s="1572">
        <f>GZ30</f>
        <v>42611.47</v>
      </c>
      <c r="HB33" s="1572">
        <f>'6- Est &amp; Reconcile WS'!O430</f>
        <v>-10683.533520271289</v>
      </c>
      <c r="HC33" s="1571">
        <f>SUM(GZ33:HB33)</f>
        <v>177933.09911097825</v>
      </c>
      <c r="HD33" s="1562">
        <f>HD29*HD27</f>
        <v>84099.626478189835</v>
      </c>
      <c r="HE33" s="1572">
        <f>HD30</f>
        <v>18898.349999999999</v>
      </c>
      <c r="HF33" s="1572">
        <f>'6- Est &amp; Reconcile WS'!P430</f>
        <v>-5710.9774626937306</v>
      </c>
      <c r="HG33" s="1571">
        <f>SUM(HD33:HF33)</f>
        <v>97286.999015496112</v>
      </c>
      <c r="HH33" s="1562">
        <f>HH29*HH27</f>
        <v>6614734.7935419707</v>
      </c>
      <c r="HI33" s="1572">
        <f>HH30</f>
        <v>1791086.12</v>
      </c>
      <c r="HJ33" s="1572">
        <f>'6- Est &amp; Reconcile WS'!V430</f>
        <v>-454230.23844461917</v>
      </c>
      <c r="HK33" s="1571">
        <f>SUM(HH33:HJ33)</f>
        <v>7951590.6750973519</v>
      </c>
      <c r="HL33" s="1562">
        <f>HL29*HL27</f>
        <v>3828838.1627809186</v>
      </c>
      <c r="HM33" s="1572">
        <f>HL30</f>
        <v>1325142.9400000002</v>
      </c>
      <c r="HN33" s="1572">
        <f>'6- Est &amp; Reconcile WS'!T430</f>
        <v>-293939.52517027996</v>
      </c>
      <c r="HO33" s="1571">
        <f>SUM(HL33:HN33)</f>
        <v>4860041.5776106389</v>
      </c>
      <c r="HP33" s="1562">
        <f>HP29*HP27</f>
        <v>4256507.9943352453</v>
      </c>
      <c r="HQ33" s="1572">
        <f>HP30</f>
        <v>1208687.1100000001</v>
      </c>
      <c r="HR33" s="1572">
        <f>'6- Est &amp; Reconcile WS'!S430</f>
        <v>-299540.47546260228</v>
      </c>
      <c r="HS33" s="1571">
        <f>SUM(HP33:HR33)</f>
        <v>5165654.6288726432</v>
      </c>
      <c r="HT33" s="1562">
        <f>HT29*HT27</f>
        <v>10901921.939427558</v>
      </c>
      <c r="HU33" s="1572">
        <f>HT30</f>
        <v>2111292.4699999997</v>
      </c>
      <c r="HV33" s="1572">
        <f>'6- Est &amp; Reconcile WS'!R430</f>
        <v>-728096.55068491749</v>
      </c>
      <c r="HW33" s="1571">
        <f>SUM(HT33:HV33)</f>
        <v>12285117.858742639</v>
      </c>
      <c r="HX33" s="1562">
        <f>HX29*HX27</f>
        <v>3534061.7169139716</v>
      </c>
      <c r="HY33" s="1572">
        <f>HX30</f>
        <v>882514.81</v>
      </c>
      <c r="HZ33" s="1572">
        <f>'6- Est &amp; Reconcile WS'!U430</f>
        <v>-213516.10561793431</v>
      </c>
      <c r="IA33" s="1571">
        <f>SUM(HX33:HZ33)</f>
        <v>4203060.4212960377</v>
      </c>
      <c r="IB33" s="1562">
        <f>IB29*IB27</f>
        <v>195645.68981070624</v>
      </c>
      <c r="IC33" s="1572">
        <f>IB30</f>
        <v>46534.35</v>
      </c>
      <c r="ID33" s="1572">
        <f>'6- Est &amp; Reconcile WS'!E433</f>
        <v>-458853.23169686017</v>
      </c>
      <c r="IE33" s="1571">
        <f>SUM(IB33:ID33)</f>
        <v>-216673.19188615392</v>
      </c>
      <c r="IF33" s="1562">
        <f>IF29*IF27</f>
        <v>2219431.5220219721</v>
      </c>
      <c r="IG33" s="1572">
        <f>IF30</f>
        <v>481776.20</v>
      </c>
      <c r="IH33" s="1572">
        <f>'6- Est &amp; Reconcile WS'!F433</f>
        <v>190674.95517556701</v>
      </c>
      <c r="II33" s="1571">
        <f>SUM(IF33:IH33)</f>
        <v>2891882.6771975392</v>
      </c>
      <c r="IJ33" s="1562">
        <f>IJ29*IJ27</f>
        <v>0</v>
      </c>
      <c r="IK33" s="1572">
        <f>IJ30</f>
        <v>0</v>
      </c>
      <c r="IL33" s="1572">
        <f>'6- Est &amp; Reconcile WS'!G433</f>
        <v>0</v>
      </c>
      <c r="IM33" s="1571">
        <f>SUM(IJ33:IL33)</f>
        <v>0</v>
      </c>
      <c r="IN33" s="1562">
        <f>IN29*IN27</f>
        <v>1107884.4280676756</v>
      </c>
      <c r="IO33" s="1572">
        <f>IN30</f>
        <v>168996.65</v>
      </c>
      <c r="IP33" s="1572">
        <f>'6- Est &amp; Reconcile WS'!H433</f>
        <v>-873693.61087892042</v>
      </c>
      <c r="IQ33" s="1571">
        <f>SUM(IN33:IP33)</f>
        <v>403187.46718875505</v>
      </c>
      <c r="IR33" s="1562">
        <f>IR29*IR27</f>
        <v>0</v>
      </c>
      <c r="IS33" s="1572">
        <f>IR30</f>
        <v>0</v>
      </c>
      <c r="IT33" s="1572">
        <f>'6- Est &amp; Reconcile WS'!J433</f>
        <v>0</v>
      </c>
      <c r="IU33" s="1571">
        <f>SUM(IR33:IT33)</f>
        <v>0</v>
      </c>
      <c r="IV33" s="1562">
        <f>IV29*IV27</f>
        <v>19443961.071954831</v>
      </c>
      <c r="IW33" s="1572">
        <f>IV30</f>
        <v>899098.38</v>
      </c>
      <c r="IX33" s="1572">
        <f>'6- Est &amp; Reconcile WS'!I433</f>
        <v>-681114.0121009046</v>
      </c>
      <c r="IY33" s="1571">
        <f>SUM(IV33:IX33)</f>
        <v>19661945.439853925</v>
      </c>
      <c r="IZ33" s="974">
        <f>+I33+M33+Q33+U33+Y33+AC33+AG33+AK33+AO33+AW33+AS33+BA33+BE33+BI33+BM33+BQ33+BV33+CA33+CI33+CM33+CU33+CY33+DC33+DG33+DK33+DO33+DS33+DW33+EA33+EE33+EI33+EM33+EQ33+EU33+CQ33+CE33+EY33+FC33+FG33+FK33+FO33+FS33+FW33+GA33+GE33+GI33+GM33+GQ33+GU33+GY33+HC33+HG33+HK33+HO33+HS33+HW33+IA33+IE33+II33+IM33+IQ33+IU33+IY33</f>
        <v>238309659.44127145</v>
      </c>
      <c r="JA33" s="629"/>
      <c r="JB33" s="630">
        <f>+IZ33</f>
        <v>238309659.44127145</v>
      </c>
      <c r="JC33" s="321" t="s">
        <v>914</v>
      </c>
    </row>
    <row r="34" spans="1:263" ht="14.4" thickBot="1">
      <c r="A34" s="108">
        <v>20</v>
      </c>
      <c r="B34" s="230" t="s">
        <v>653</v>
      </c>
      <c r="C34" s="975" t="s">
        <v>646</v>
      </c>
      <c r="D34" s="471">
        <f>D33</f>
        <v>2011</v>
      </c>
      <c r="E34" s="976">
        <f>E29*E28</f>
        <v>96025380.048743472</v>
      </c>
      <c r="F34" s="631">
        <f>F33</f>
        <v>23974492.390000001</v>
      </c>
      <c r="G34" s="631">
        <f>+G33</f>
        <v>0</v>
      </c>
      <c r="H34" s="631">
        <f>H33</f>
        <v>-6866399.923815717</v>
      </c>
      <c r="I34" s="977">
        <f>SUM(E34:H34)</f>
        <v>113133472.51492776</v>
      </c>
      <c r="J34" s="976">
        <f>J29*J28</f>
        <v>1696262.9602020613</v>
      </c>
      <c r="K34" s="631">
        <f>+K33</f>
        <v>594380.46</v>
      </c>
      <c r="L34" s="631">
        <f>L33</f>
        <v>-312113.46482814837</v>
      </c>
      <c r="M34" s="977">
        <f>SUM(J34:L34)</f>
        <v>1978529.955373913</v>
      </c>
      <c r="N34" s="976">
        <f>N29*N28</f>
        <v>4933298.7210747693</v>
      </c>
      <c r="O34" s="632">
        <f>O33</f>
        <v>1479189.67</v>
      </c>
      <c r="P34" s="631">
        <f>P33</f>
        <v>-321323.62666496332</v>
      </c>
      <c r="Q34" s="977">
        <f>SUM(N34:P34)</f>
        <v>6091164.7644098056</v>
      </c>
      <c r="R34" s="631">
        <f>R29*R28</f>
        <v>156034.5165876665</v>
      </c>
      <c r="S34" s="631">
        <f>S33</f>
        <v>40401.96</v>
      </c>
      <c r="T34" s="631">
        <f>T33</f>
        <v>-11066.892123812157</v>
      </c>
      <c r="U34" s="631">
        <f>SUM(R34:T34)</f>
        <v>185369.58446385432</v>
      </c>
      <c r="V34" s="976">
        <f>V29*V28</f>
        <v>635270.52058442158</v>
      </c>
      <c r="W34" s="631">
        <f>W33</f>
        <v>163980.26999999999</v>
      </c>
      <c r="X34" s="631">
        <f>+X33</f>
        <v>-44029.906005224722</v>
      </c>
      <c r="Y34" s="977">
        <f>SUM(V34:X34)</f>
        <v>755220.88457919692</v>
      </c>
      <c r="Z34" s="976">
        <f>Z29*Z28</f>
        <v>848208.51746603963</v>
      </c>
      <c r="AA34" s="631">
        <f>AA33</f>
        <v>161786.82</v>
      </c>
      <c r="AB34" s="631">
        <f>+AB33</f>
        <v>-54943.629605907146</v>
      </c>
      <c r="AC34" s="977">
        <f>SUM(Z34:AB34)</f>
        <v>955051.70786013256</v>
      </c>
      <c r="AD34" s="976">
        <f>AD29*AD28</f>
        <v>788772.33375959832</v>
      </c>
      <c r="AE34" s="631">
        <f>AE33</f>
        <v>145530.84</v>
      </c>
      <c r="AF34" s="631">
        <f>+AF33</f>
        <v>-41173.9146719571</v>
      </c>
      <c r="AG34" s="977">
        <f>SUM(AD34:AF34)</f>
        <v>893129.25908764114</v>
      </c>
      <c r="AH34" s="976">
        <f>AH29*AH28</f>
        <v>3164948.3394805426</v>
      </c>
      <c r="AI34" s="631">
        <f>AI33</f>
        <v>831940.92</v>
      </c>
      <c r="AJ34" s="631">
        <f>+AJ33</f>
        <v>-221738.31063290237</v>
      </c>
      <c r="AK34" s="977">
        <f>SUM(AH34:AJ34)</f>
        <v>3775150.9488476403</v>
      </c>
      <c r="AL34" s="976">
        <f>AL29*AL28</f>
        <v>1135009.9994889291</v>
      </c>
      <c r="AM34" s="631">
        <f>AM33</f>
        <v>93859.54</v>
      </c>
      <c r="AN34" s="631">
        <f>+AN33</f>
        <v>-30749.622986757175</v>
      </c>
      <c r="AO34" s="977">
        <f>SUM(AL34:AN34)</f>
        <v>1198119.9165021719</v>
      </c>
      <c r="AP34" s="976">
        <f>AP29*AP28</f>
        <v>422294.43930854445</v>
      </c>
      <c r="AQ34" s="631">
        <f>AQ33</f>
        <v>109796.54</v>
      </c>
      <c r="AR34" s="631">
        <f>+AR33</f>
        <v>-16324.772270842941</v>
      </c>
      <c r="AS34" s="977">
        <f>SUM(AP34:AR34)</f>
        <v>515766.2070377015</v>
      </c>
      <c r="AT34" s="976">
        <f>AT29*AT28</f>
        <v>413017.65853869455</v>
      </c>
      <c r="AU34" s="631">
        <f>AU33</f>
        <v>147945.04</v>
      </c>
      <c r="AV34" s="631">
        <f>+AV33</f>
        <v>-33820.333398265524</v>
      </c>
      <c r="AW34" s="977">
        <f>SUM(AT34:AV34)</f>
        <v>527142.365140429</v>
      </c>
      <c r="AX34" s="976">
        <f>AX29*AX28</f>
        <v>1044402.5324575964</v>
      </c>
      <c r="AY34" s="631">
        <f>AY33</f>
        <v>186391.64</v>
      </c>
      <c r="AZ34" s="631">
        <f>+AZ33</f>
        <v>63224.133544342963</v>
      </c>
      <c r="BA34" s="977">
        <f>SUM(AX34:AZ34)</f>
        <v>1294018.3060019393</v>
      </c>
      <c r="BB34" s="1573">
        <f>BB29*BB28</f>
        <v>1426077.2064351183</v>
      </c>
      <c r="BC34" s="1574">
        <f>BC33</f>
        <v>339376.73</v>
      </c>
      <c r="BD34" s="1574">
        <f>BD33</f>
        <v>-95335.069188782581</v>
      </c>
      <c r="BE34" s="1575">
        <f>SUM(BB34:BD34)</f>
        <v>1670118.8672463358</v>
      </c>
      <c r="BF34" s="1573">
        <f>BF29*BF28</f>
        <v>306598.7119109534</v>
      </c>
      <c r="BG34" s="1574">
        <f>BG33</f>
        <v>1253.8699999999999</v>
      </c>
      <c r="BH34" s="1574">
        <f>BH33</f>
        <v>-36411.609171059885</v>
      </c>
      <c r="BI34" s="1575">
        <f>SUM(BF34:BH34)</f>
        <v>271440.97273989348</v>
      </c>
      <c r="BJ34" s="1573">
        <f>BJ29*BJ28</f>
        <v>73798.281826148115</v>
      </c>
      <c r="BK34" s="1574">
        <f>BK33</f>
        <v>17459.900000000001</v>
      </c>
      <c r="BL34" s="1574">
        <f>BL33</f>
        <v>-5133.0737334937221</v>
      </c>
      <c r="BM34" s="1575">
        <f>SUM(BJ34:BL34)</f>
        <v>86125.108092654409</v>
      </c>
      <c r="BN34" s="1573">
        <f>BN29*BN28</f>
        <v>669439.23616451141</v>
      </c>
      <c r="BO34" s="1574">
        <f>BO33</f>
        <v>102775.77</v>
      </c>
      <c r="BP34" s="1574">
        <f>BP33</f>
        <v>-36181.185838679536</v>
      </c>
      <c r="BQ34" s="1575">
        <f>SUM(BN34:BP34)</f>
        <v>736033.82032583188</v>
      </c>
      <c r="BR34" s="1576">
        <f>BR29*BR28</f>
        <v>196186.06780751405</v>
      </c>
      <c r="BS34" s="1577">
        <f>BS33</f>
        <v>35310.160000000003</v>
      </c>
      <c r="BT34" s="1577">
        <f>+BT33</f>
        <v>0</v>
      </c>
      <c r="BU34" s="1577">
        <f>BU33</f>
        <v>-12867.466478701745</v>
      </c>
      <c r="BV34" s="1575">
        <f>BR34+BS34+BT34+BU34</f>
        <v>218628.76132881231</v>
      </c>
      <c r="BW34" s="1576">
        <f>BW29*BW28</f>
        <v>2062941.5029447356</v>
      </c>
      <c r="BX34" s="1577">
        <f>BX33</f>
        <v>580549.68999999994</v>
      </c>
      <c r="BY34" s="1577">
        <f>BY33</f>
        <v>0</v>
      </c>
      <c r="BZ34" s="1577">
        <f>BZ33</f>
        <v>-203420.55825005792</v>
      </c>
      <c r="CA34" s="1575">
        <f>SUM(BW34:BZ34)</f>
        <v>2440070.6346946773</v>
      </c>
      <c r="CB34" s="1576">
        <f>CB29*CB28</f>
        <v>5793461.6696399571</v>
      </c>
      <c r="CC34" s="1577">
        <f>CC33</f>
        <v>1231248.58</v>
      </c>
      <c r="CD34" s="1577">
        <f>CD33</f>
        <v>-363725.61563538777</v>
      </c>
      <c r="CE34" s="1575">
        <f>SUM(CB34:CD34)</f>
        <v>6660984.6340045696</v>
      </c>
      <c r="CF34" s="1576">
        <f>CF29*CF28</f>
        <v>3914304.1774605908</v>
      </c>
      <c r="CG34" s="1577">
        <f>CG33</f>
        <v>1308067.3599999999</v>
      </c>
      <c r="CH34" s="1577">
        <f>CH33</f>
        <v>85650.047646566207</v>
      </c>
      <c r="CI34" s="1575">
        <f>SUM(CF34:CH34)</f>
        <v>5308021.585107157</v>
      </c>
      <c r="CJ34" s="1576">
        <f>CJ29*CJ28</f>
        <v>5371088.9186096573</v>
      </c>
      <c r="CK34" s="1577">
        <f>CK33</f>
        <v>1587862.6300000001</v>
      </c>
      <c r="CL34" s="1577">
        <f>CL33</f>
        <v>-372675.33624400577</v>
      </c>
      <c r="CM34" s="1575">
        <f>SUM(CJ34:CL34)</f>
        <v>6586276.2123656515</v>
      </c>
      <c r="CN34" s="1576">
        <f>CN29*CN28</f>
        <v>2539773.5487699946</v>
      </c>
      <c r="CO34" s="1577">
        <f>CO33</f>
        <v>694961.01</v>
      </c>
      <c r="CP34" s="1577">
        <f>CP33</f>
        <v>-160237.02958327471</v>
      </c>
      <c r="CQ34" s="1575">
        <f>SUM(CN34:CP34)</f>
        <v>3074497.5291867196</v>
      </c>
      <c r="CR34" s="1576">
        <f>CR29*CR28</f>
        <v>340927.26830648025</v>
      </c>
      <c r="CS34" s="1577">
        <f>CS33</f>
        <v>77856.83</v>
      </c>
      <c r="CT34" s="1577">
        <f>CT33</f>
        <v>-21419.009594438339</v>
      </c>
      <c r="CU34" s="1575">
        <f>SUM(CR34:CT34)</f>
        <v>397365.08871204191</v>
      </c>
      <c r="CV34" s="1576">
        <f>CV29*CV28</f>
        <v>917408.17555702012</v>
      </c>
      <c r="CW34" s="1577">
        <f>CW33</f>
        <v>192996.40</v>
      </c>
      <c r="CX34" s="1577">
        <f>CX33</f>
        <v>-64786.841998653319</v>
      </c>
      <c r="CY34" s="1575">
        <f>SUM(CV34:CX34)</f>
        <v>1045617.7335583667</v>
      </c>
      <c r="CZ34" s="1576">
        <f>CZ29*CZ28</f>
        <v>569600.82718427235</v>
      </c>
      <c r="DA34" s="1577">
        <f>DA33</f>
        <v>130412.60</v>
      </c>
      <c r="DB34" s="1577">
        <f>DB33</f>
        <v>-186234.02194840918</v>
      </c>
      <c r="DC34" s="1575">
        <f>SUM(CZ34:DB34)</f>
        <v>513779.40523586317</v>
      </c>
      <c r="DD34" s="1576">
        <f>DD29*DD28</f>
        <v>100572.86928902236</v>
      </c>
      <c r="DE34" s="1577">
        <f>DE33</f>
        <v>22908.06</v>
      </c>
      <c r="DF34" s="1577">
        <f>DF33</f>
        <v>-6917.8138228124499</v>
      </c>
      <c r="DG34" s="1575">
        <f>SUM(DD34:DF34)</f>
        <v>116563.11546620991</v>
      </c>
      <c r="DH34" s="1576">
        <f>DH29*DH28</f>
        <v>57517.928011259108</v>
      </c>
      <c r="DI34" s="1577">
        <f>DI33</f>
        <v>13800.86</v>
      </c>
      <c r="DJ34" s="1577">
        <f>DJ33</f>
        <v>-4014.1489766685968</v>
      </c>
      <c r="DK34" s="1575">
        <f>SUM(DH34:DJ34)</f>
        <v>67304.639034590509</v>
      </c>
      <c r="DL34" s="1576">
        <f>DL29*DL28</f>
        <v>3290505.876425493</v>
      </c>
      <c r="DM34" s="1577">
        <f>DM33</f>
        <v>769487.52</v>
      </c>
      <c r="DN34" s="1577">
        <f>DN33</f>
        <v>-225542.20212785367</v>
      </c>
      <c r="DO34" s="1575">
        <f>SUM(DL34:DN34)</f>
        <v>3834451.1942976392</v>
      </c>
      <c r="DP34" s="1576">
        <f>DP29*DP28</f>
        <v>111647.69208056078</v>
      </c>
      <c r="DQ34" s="1577">
        <f>DQ33</f>
        <v>25321.47</v>
      </c>
      <c r="DR34" s="1577">
        <f>DR33</f>
        <v>-7475.6477359578985</v>
      </c>
      <c r="DS34" s="1575">
        <f>SUM(DP34:DR34)</f>
        <v>129493.51434460288</v>
      </c>
      <c r="DT34" s="1576">
        <f>DT29*DT28</f>
        <v>159134.03655529045</v>
      </c>
      <c r="DU34" s="1577">
        <f>DU33</f>
        <v>37230.699999999997</v>
      </c>
      <c r="DV34" s="1577">
        <f>DV33</f>
        <v>-11039.393765410015</v>
      </c>
      <c r="DW34" s="1575">
        <f>SUM(DT34:DV34)</f>
        <v>185325.34278988047</v>
      </c>
      <c r="DX34" s="1576">
        <f>DX29*DX28</f>
        <v>719618.60717268696</v>
      </c>
      <c r="DY34" s="1577">
        <f>DY33</f>
        <v>165312.37</v>
      </c>
      <c r="DZ34" s="1577">
        <f>DZ33</f>
        <v>-47718.040864374518</v>
      </c>
      <c r="EA34" s="1575">
        <f>SUM(DX34:DZ34)</f>
        <v>837212.93630831246</v>
      </c>
      <c r="EB34" s="1576">
        <f>EB29*EB28</f>
        <v>51038.866387728638</v>
      </c>
      <c r="EC34" s="1577">
        <f>EC33</f>
        <v>11946.40</v>
      </c>
      <c r="ED34" s="1577">
        <f>ED33</f>
        <v>-3540.9720335408347</v>
      </c>
      <c r="EE34" s="1575">
        <f>SUM(EB34:ED34)</f>
        <v>59444.294354187805</v>
      </c>
      <c r="EF34" s="1576">
        <f>EF29*EF28</f>
        <v>243269.85562994701</v>
      </c>
      <c r="EG34" s="1577">
        <f>EG33</f>
        <v>45391.53</v>
      </c>
      <c r="EH34" s="1577">
        <f>EH33</f>
        <v>-13625.375150685959</v>
      </c>
      <c r="EI34" s="1575">
        <f>SUM(EF34:EH34)</f>
        <v>275036.01047926105</v>
      </c>
      <c r="EJ34" s="1576">
        <f>EJ29*EJ28</f>
        <v>0</v>
      </c>
      <c r="EK34" s="1577">
        <f>EK33</f>
        <v>0</v>
      </c>
      <c r="EL34" s="1577">
        <f>EL33</f>
        <v>0</v>
      </c>
      <c r="EM34" s="1575">
        <f>SUM(EJ34:EL34)</f>
        <v>0</v>
      </c>
      <c r="EN34" s="1576">
        <f>EN29*EN28</f>
        <v>121213.6397102412</v>
      </c>
      <c r="EO34" s="1577">
        <f>EO33</f>
        <v>66905.16</v>
      </c>
      <c r="EP34" s="1577">
        <f>EP33</f>
        <v>-11054.810985168906</v>
      </c>
      <c r="EQ34" s="1575">
        <f>SUM(EN34:EP34)</f>
        <v>177063.9887250723</v>
      </c>
      <c r="ER34" s="1576">
        <f>ER29*ER28</f>
        <v>39336.153181036017</v>
      </c>
      <c r="ES34" s="1577">
        <f>ES33</f>
        <v>9206.9599999999991</v>
      </c>
      <c r="ET34" s="1577">
        <f>ET33</f>
        <v>-2729.1253447705453</v>
      </c>
      <c r="EU34" s="1575">
        <f>SUM(ER34:ET34)</f>
        <v>45813.987836265471</v>
      </c>
      <c r="EV34" s="1576">
        <f>EV29*EV28</f>
        <v>0</v>
      </c>
      <c r="EW34" s="1577">
        <f>EW33</f>
        <v>0</v>
      </c>
      <c r="EX34" s="1577">
        <f>EX33</f>
        <v>0</v>
      </c>
      <c r="EY34" s="1575">
        <f>SUM(EV34:EX34)</f>
        <v>0</v>
      </c>
      <c r="EZ34" s="1576">
        <f>EZ29*EZ28</f>
        <v>89241.819817548894</v>
      </c>
      <c r="FA34" s="1577">
        <f>FA33</f>
        <v>11306.52</v>
      </c>
      <c r="FB34" s="1577">
        <f>FB33</f>
        <v>-5511.3147836296384</v>
      </c>
      <c r="FC34" s="1575">
        <f>SUM(EZ34:FB34)</f>
        <v>95037.025033919257</v>
      </c>
      <c r="FD34" s="1576">
        <f>FD29*FD28</f>
        <v>2676832.7117120861</v>
      </c>
      <c r="FE34" s="1577">
        <f>FE33</f>
        <v>124532.16</v>
      </c>
      <c r="FF34" s="1577">
        <f>FF33</f>
        <v>-177771.18389649814</v>
      </c>
      <c r="FG34" s="1575">
        <f>SUM(FD34:FF34)</f>
        <v>2623593.687815588</v>
      </c>
      <c r="FH34" s="1576">
        <f>FH29*FH28</f>
        <v>1137691.1994465804</v>
      </c>
      <c r="FI34" s="1577">
        <f>FI33</f>
        <v>260981.37</v>
      </c>
      <c r="FJ34" s="1577">
        <f>FJ33</f>
        <v>-96714.683689142519</v>
      </c>
      <c r="FK34" s="1575">
        <f>SUM(FH34:FJ34)</f>
        <v>1301957.8857574379</v>
      </c>
      <c r="FL34" s="1576">
        <f>FL29*FL28</f>
        <v>90158.741275195382</v>
      </c>
      <c r="FM34" s="1577">
        <f>FM33</f>
        <v>20152.740000000002</v>
      </c>
      <c r="FN34" s="1577">
        <f>FN33</f>
        <v>-6239.7483203459051</v>
      </c>
      <c r="FO34" s="1575">
        <f>SUM(FL34:FN34)</f>
        <v>104071.73295484949</v>
      </c>
      <c r="FP34" s="1576">
        <f>FP29*FP28</f>
        <v>1626177.9783931477</v>
      </c>
      <c r="FQ34" s="1577">
        <f>FQ33</f>
        <v>398549.73</v>
      </c>
      <c r="FR34" s="1577">
        <f>FR33</f>
        <v>-118564.97224734424</v>
      </c>
      <c r="FS34" s="1575">
        <f>SUM(FP34:FR34)</f>
        <v>1906162.7361458035</v>
      </c>
      <c r="FT34" s="1576">
        <f>FT29*FT28</f>
        <v>3639393.1653191154</v>
      </c>
      <c r="FU34" s="1577">
        <f>FU33</f>
        <v>795713.95</v>
      </c>
      <c r="FV34" s="1577">
        <f>FV33</f>
        <v>-288198.86105010193</v>
      </c>
      <c r="FW34" s="1575">
        <f>SUM(FT34:FV34)</f>
        <v>4146908.2542690132</v>
      </c>
      <c r="FX34" s="1576">
        <f>FX29*FX28</f>
        <v>60813.837491527556</v>
      </c>
      <c r="FY34" s="1577">
        <f>FY33</f>
        <v>13795.05</v>
      </c>
      <c r="FZ34" s="1577">
        <f>FZ33</f>
        <v>-4175.9087447613083</v>
      </c>
      <c r="GA34" s="1575">
        <f>SUM(FX34:FZ34)</f>
        <v>70432.978746766239</v>
      </c>
      <c r="GB34" s="1576">
        <f>GB29*GB28</f>
        <v>3264803.7446831944</v>
      </c>
      <c r="GC34" s="1577">
        <f>GC33</f>
        <v>589322.65</v>
      </c>
      <c r="GD34" s="1577">
        <f>GD33</f>
        <v>-211316.12224442689</v>
      </c>
      <c r="GE34" s="1575">
        <f>SUM(GB34:GD34)</f>
        <v>3642810.2724387674</v>
      </c>
      <c r="GF34" s="1576">
        <f>GF29*GF28</f>
        <v>125070.6418275914</v>
      </c>
      <c r="GG34" s="1577">
        <f>GG33</f>
        <v>28706.88</v>
      </c>
      <c r="GH34" s="1577">
        <f>GH33</f>
        <v>-5561.3885301512546</v>
      </c>
      <c r="GI34" s="1575">
        <f>SUM(GF34:GH34)</f>
        <v>148216.13329744016</v>
      </c>
      <c r="GJ34" s="1576">
        <f>GJ29*GJ28</f>
        <v>676805.66807890416</v>
      </c>
      <c r="GK34" s="1577">
        <f>GK33</f>
        <v>156961.81</v>
      </c>
      <c r="GL34" s="1577">
        <f>GL33</f>
        <v>-46712.114592814294</v>
      </c>
      <c r="GM34" s="1575">
        <f>SUM(GJ34:GL34)</f>
        <v>787055.36348608974</v>
      </c>
      <c r="GN34" s="1576">
        <f>GN29*GN28</f>
        <v>0</v>
      </c>
      <c r="GO34" s="1577">
        <f>GO33</f>
        <v>0</v>
      </c>
      <c r="GP34" s="1577">
        <f>GP33</f>
        <v>0</v>
      </c>
      <c r="GQ34" s="1575">
        <f>SUM(GN34:GP34)</f>
        <v>0</v>
      </c>
      <c r="GR34" s="1576">
        <f>GR29*GR28</f>
        <v>1745264.672317754</v>
      </c>
      <c r="GS34" s="1577">
        <f>GS33</f>
        <v>294201.61</v>
      </c>
      <c r="GT34" s="1577">
        <f>GT33</f>
        <v>-154004.10085158522</v>
      </c>
      <c r="GU34" s="1575">
        <f>SUM(GR34:GT34)</f>
        <v>1885462.1814661687</v>
      </c>
      <c r="GV34" s="1576">
        <f>GV29*GV28</f>
        <v>2523151.9476490263</v>
      </c>
      <c r="GW34" s="1577">
        <f>GW33</f>
        <v>1092867.3599999999</v>
      </c>
      <c r="GX34" s="1577">
        <f>GX33</f>
        <v>-197665.41044411302</v>
      </c>
      <c r="GY34" s="1575">
        <f>SUM(GV34:GX34)</f>
        <v>3418353.8972049132</v>
      </c>
      <c r="GZ34" s="1576">
        <f>GZ29*GZ28</f>
        <v>146005.16263124955</v>
      </c>
      <c r="HA34" s="1577">
        <f>HA33</f>
        <v>42611.47</v>
      </c>
      <c r="HB34" s="1577">
        <f>HB33</f>
        <v>-10683.533520271289</v>
      </c>
      <c r="HC34" s="1575">
        <f>SUM(GZ34:HB34)</f>
        <v>177933.09911097825</v>
      </c>
      <c r="HD34" s="1576">
        <f>HD29*HD28</f>
        <v>84099.626478189835</v>
      </c>
      <c r="HE34" s="1577">
        <f>HE33</f>
        <v>18898.349999999999</v>
      </c>
      <c r="HF34" s="1577">
        <f>HF33</f>
        <v>-5710.9774626937306</v>
      </c>
      <c r="HG34" s="1575">
        <f>SUM(HD34:HF34)</f>
        <v>97286.999015496112</v>
      </c>
      <c r="HH34" s="1576">
        <f>HH29*HH28</f>
        <v>6614734.7935419707</v>
      </c>
      <c r="HI34" s="1577">
        <f>HI33</f>
        <v>1791086.12</v>
      </c>
      <c r="HJ34" s="1577">
        <f>HJ33</f>
        <v>-454230.23844461917</v>
      </c>
      <c r="HK34" s="1575">
        <f>SUM(HH34:HJ34)</f>
        <v>7951590.6750973519</v>
      </c>
      <c r="HL34" s="1576">
        <f>HL29*HL28</f>
        <v>3828838.1627809186</v>
      </c>
      <c r="HM34" s="1577">
        <f>HM33</f>
        <v>1325142.9400000002</v>
      </c>
      <c r="HN34" s="1577">
        <f>HN33</f>
        <v>-293939.52517027996</v>
      </c>
      <c r="HO34" s="1575">
        <f>SUM(HL34:HN34)</f>
        <v>4860041.5776106389</v>
      </c>
      <c r="HP34" s="1576">
        <f>HP29*HP28</f>
        <v>4256507.9943352453</v>
      </c>
      <c r="HQ34" s="1577">
        <f>HQ33</f>
        <v>1208687.1100000001</v>
      </c>
      <c r="HR34" s="1577">
        <f>HR33</f>
        <v>-299540.47546260228</v>
      </c>
      <c r="HS34" s="1575">
        <f>SUM(HP34:HR34)</f>
        <v>5165654.6288726432</v>
      </c>
      <c r="HT34" s="1576">
        <f>HT29*HT28</f>
        <v>10901921.939427558</v>
      </c>
      <c r="HU34" s="1577">
        <f>HU33</f>
        <v>2111292.4699999997</v>
      </c>
      <c r="HV34" s="1577">
        <f>HV33</f>
        <v>-728096.55068491749</v>
      </c>
      <c r="HW34" s="1575">
        <f>SUM(HT34:HV34)</f>
        <v>12285117.858742639</v>
      </c>
      <c r="HX34" s="1576">
        <f>HX29*HX28</f>
        <v>3534061.7169139716</v>
      </c>
      <c r="HY34" s="1577">
        <f>HY33</f>
        <v>882514.81</v>
      </c>
      <c r="HZ34" s="1577">
        <f>HZ33</f>
        <v>-213516.10561793431</v>
      </c>
      <c r="IA34" s="1575">
        <f>SUM(HX34:HZ34)</f>
        <v>4203060.4212960377</v>
      </c>
      <c r="IB34" s="1576">
        <f>IB29*IB28</f>
        <v>195645.68981070624</v>
      </c>
      <c r="IC34" s="1577">
        <f>IC33</f>
        <v>46534.35</v>
      </c>
      <c r="ID34" s="1577">
        <f>ID33</f>
        <v>-458853.23169686017</v>
      </c>
      <c r="IE34" s="1575">
        <f>SUM(IB34:ID34)</f>
        <v>-216673.19188615392</v>
      </c>
      <c r="IF34" s="1576">
        <f>IF29*IF28</f>
        <v>2219431.5220219721</v>
      </c>
      <c r="IG34" s="1577">
        <f>IG33</f>
        <v>481776.20</v>
      </c>
      <c r="IH34" s="1577">
        <f>IH33</f>
        <v>190674.95517556701</v>
      </c>
      <c r="II34" s="1575">
        <f>SUM(IF34:IH34)</f>
        <v>2891882.6771975392</v>
      </c>
      <c r="IJ34" s="1576">
        <f>IJ29*IJ28</f>
        <v>0</v>
      </c>
      <c r="IK34" s="1577">
        <f>IK33</f>
        <v>0</v>
      </c>
      <c r="IL34" s="1577">
        <f>IL33</f>
        <v>0</v>
      </c>
      <c r="IM34" s="1575">
        <f>SUM(IJ34:IL34)</f>
        <v>0</v>
      </c>
      <c r="IN34" s="1576">
        <f>IN29*IN28</f>
        <v>1107884.4280676756</v>
      </c>
      <c r="IO34" s="1577">
        <f>IO33</f>
        <v>168996.65</v>
      </c>
      <c r="IP34" s="1577">
        <f>IP33</f>
        <v>-873693.61087892042</v>
      </c>
      <c r="IQ34" s="1575">
        <f>SUM(IN34:IP34)</f>
        <v>403187.46718875505</v>
      </c>
      <c r="IR34" s="1576">
        <f>IR29*IR28</f>
        <v>0</v>
      </c>
      <c r="IS34" s="1577">
        <f>IS33</f>
        <v>0</v>
      </c>
      <c r="IT34" s="1577">
        <f>IT33</f>
        <v>0</v>
      </c>
      <c r="IU34" s="1575">
        <f>SUM(IR34:IT34)</f>
        <v>0</v>
      </c>
      <c r="IV34" s="1576">
        <f>IV29*IV28</f>
        <v>19443961.071954831</v>
      </c>
      <c r="IW34" s="1577">
        <f>IW33</f>
        <v>899098.38</v>
      </c>
      <c r="IX34" s="1577">
        <f>IX33</f>
        <v>-681114.0121009046</v>
      </c>
      <c r="IY34" s="1575">
        <f>SUM(IV34:IX34)</f>
        <v>19661945.439853925</v>
      </c>
      <c r="IZ34" s="978">
        <f>+I34+M34+Q34+U34+Y34+AC34+AG34+AK34+AO34+AW34+AS34+BA34+BE34+BI34+BM34+BQ34+BV34+CA34+CI34+CM34+CU34+CY34+DC34+DG34+DK34+DO34+DS34+DW34+EA34+EE34+EI34+EM34+EQ34+EU34+CQ34+CE34+EY34+FC34+FG34+FK34+FO34+FS34+FW34+GA34+GE34+GI34+GM34+GQ34+GU34+GY34+HC34+HG34+HK34+HO34+HS34+HW34+IA34+IE34+II34+IM34+IQ34+IU34+IY34</f>
        <v>243649895.59118339</v>
      </c>
      <c r="JA34" s="633">
        <f>+IZ34</f>
        <v>243649895.59118339</v>
      </c>
      <c r="JB34" s="634"/>
      <c r="JC34" s="255"/>
    </row>
    <row r="35" spans="263:263" ht="13.2">
      <c r="JC35" s="255"/>
    </row>
    <row r="36" spans="13:263" ht="13.2">
      <c r="M36" s="240"/>
      <c r="Q36" s="240"/>
      <c r="U36" s="240"/>
      <c r="Y36" s="240"/>
      <c r="AC36" s="240"/>
      <c r="AG36" s="240"/>
      <c r="AK36" s="240"/>
      <c r="AO36" s="240"/>
      <c r="AS36" s="240"/>
      <c r="AW36" s="240"/>
      <c r="BA36" s="240"/>
      <c r="BB36" s="1578"/>
      <c r="BC36" s="1578"/>
      <c r="BD36" s="1578"/>
      <c r="BE36" s="240"/>
      <c r="BI36" s="240"/>
      <c r="BM36" s="240"/>
      <c r="BQ36" s="240"/>
      <c r="BV36" s="240"/>
      <c r="CA36" s="240"/>
      <c r="CE36" s="240"/>
      <c r="CI36" s="240"/>
      <c r="CM36" s="240"/>
      <c r="CQ36" s="240"/>
      <c r="CU36" s="240"/>
      <c r="CY36" s="240"/>
      <c r="DC36" s="240"/>
      <c r="DG36" s="240"/>
      <c r="DK36" s="240"/>
      <c r="DO36" s="240"/>
      <c r="DS36" s="240"/>
      <c r="DW36" s="240"/>
      <c r="EA36" s="240"/>
      <c r="EE36" s="240"/>
      <c r="EI36" s="240"/>
      <c r="EM36" s="240"/>
      <c r="EQ36" s="240"/>
      <c r="EU36" s="240"/>
      <c r="EY36" s="240"/>
      <c r="FC36" s="240"/>
      <c r="FG36" s="240"/>
      <c r="FK36" s="240"/>
      <c r="FO36" s="240"/>
      <c r="FS36" s="240"/>
      <c r="FW36" s="240"/>
      <c r="GA36" s="240"/>
      <c r="GE36" s="240"/>
      <c r="GI36" s="240"/>
      <c r="GM36" s="240"/>
      <c r="GQ36" s="240"/>
      <c r="GU36" s="240"/>
      <c r="GY36" s="240"/>
      <c r="HC36" s="240"/>
      <c r="HG36" s="240"/>
      <c r="HK36" s="240"/>
      <c r="HO36" s="240"/>
      <c r="HS36" s="240"/>
      <c r="HW36" s="240"/>
      <c r="IA36" s="240"/>
      <c r="IB36" s="240"/>
      <c r="IC36" s="240"/>
      <c r="ID36" s="240"/>
      <c r="IE36" s="240"/>
      <c r="IF36" s="240"/>
      <c r="IG36" s="240"/>
      <c r="IH36" s="240"/>
      <c r="II36" s="240"/>
      <c r="IJ36" s="240"/>
      <c r="IK36" s="240"/>
      <c r="IL36" s="240"/>
      <c r="IM36" s="240"/>
      <c r="IN36" s="240"/>
      <c r="IO36" s="240"/>
      <c r="IP36" s="240"/>
      <c r="IQ36" s="240"/>
      <c r="IR36" s="240"/>
      <c r="IS36" s="240"/>
      <c r="IT36" s="240"/>
      <c r="IU36" s="240"/>
      <c r="JC36" s="255"/>
    </row>
    <row r="37" spans="9:246 263:263" ht="13.2">
      <c r="I37" s="1579"/>
      <c r="M37" s="1579"/>
      <c r="Q37" s="1579"/>
      <c r="U37" s="1579"/>
      <c r="Y37" s="1579"/>
      <c r="AC37" s="1579"/>
      <c r="AG37" s="1579"/>
      <c r="AK37" s="1579"/>
      <c r="AO37" s="1579"/>
      <c r="AS37" s="1579"/>
      <c r="AW37" s="1579"/>
      <c r="BA37" s="1579"/>
      <c r="BE37" s="1579"/>
      <c r="BI37" s="1579"/>
      <c r="BM37" s="1579"/>
      <c r="BQ37" s="1579"/>
      <c r="BV37" s="1579"/>
      <c r="BZ37" s="1579"/>
      <c r="CA37" s="1579"/>
      <c r="CE37" s="1579"/>
      <c r="CI37" s="1579"/>
      <c r="CM37" s="1579"/>
      <c r="CQ37" s="1579"/>
      <c r="CU37" s="1579"/>
      <c r="CY37" s="1579"/>
      <c r="DC37" s="1579"/>
      <c r="DG37" s="1579"/>
      <c r="DK37" s="1579"/>
      <c r="DO37" s="1579"/>
      <c r="DS37" s="1579"/>
      <c r="DW37" s="1579"/>
      <c r="EA37" s="1579"/>
      <c r="EE37" s="1579"/>
      <c r="EI37" s="1579"/>
      <c r="EM37" s="1579"/>
      <c r="EQ37" s="1579"/>
      <c r="EU37" s="1579"/>
      <c r="EV37" s="1579"/>
      <c r="EW37" s="1579"/>
      <c r="EX37" s="1579"/>
      <c r="EY37" s="1579"/>
      <c r="EZ37" s="1579"/>
      <c r="FA37" s="1579"/>
      <c r="FB37" s="1579"/>
      <c r="FC37" s="1579"/>
      <c r="FD37" s="1579"/>
      <c r="FE37" s="1579"/>
      <c r="FF37" s="1579"/>
      <c r="FG37" s="1579"/>
      <c r="FH37" s="1579"/>
      <c r="FI37" s="1579"/>
      <c r="FJ37" s="1579"/>
      <c r="FK37" s="1579"/>
      <c r="FL37" s="1579"/>
      <c r="FM37" s="1579"/>
      <c r="FN37" s="1579"/>
      <c r="FO37" s="1579"/>
      <c r="FP37" s="1579"/>
      <c r="FQ37" s="1579"/>
      <c r="FR37" s="1579"/>
      <c r="FS37" s="1579"/>
      <c r="FT37" s="1579"/>
      <c r="FU37" s="1579"/>
      <c r="FV37" s="1579"/>
      <c r="FW37" s="1579"/>
      <c r="FX37" s="1579"/>
      <c r="FY37" s="1579"/>
      <c r="FZ37" s="1579"/>
      <c r="GA37" s="1579"/>
      <c r="GB37" s="1579"/>
      <c r="GC37" s="1579"/>
      <c r="GD37" s="1579"/>
      <c r="GE37" s="1579"/>
      <c r="GF37" s="1579"/>
      <c r="GG37" s="1579"/>
      <c r="GH37" s="1579"/>
      <c r="GI37" s="1579"/>
      <c r="GJ37" s="1579"/>
      <c r="GK37" s="1579"/>
      <c r="GL37" s="1579"/>
      <c r="GM37" s="1579"/>
      <c r="GN37" s="1579"/>
      <c r="GO37" s="1579"/>
      <c r="GP37" s="1579"/>
      <c r="GQ37" s="1579"/>
      <c r="GR37" s="1579"/>
      <c r="GS37" s="1579"/>
      <c r="GT37" s="1579"/>
      <c r="GU37" s="1579"/>
      <c r="GV37" s="1579"/>
      <c r="GW37" s="1579"/>
      <c r="GX37" s="1579"/>
      <c r="GY37" s="1579"/>
      <c r="GZ37" s="1579"/>
      <c r="HA37" s="1579"/>
      <c r="HB37" s="1579"/>
      <c r="HC37" s="1579"/>
      <c r="HD37" s="1579"/>
      <c r="HE37" s="1579"/>
      <c r="HF37" s="1579"/>
      <c r="HG37" s="1579"/>
      <c r="HH37" s="1579"/>
      <c r="HI37" s="1579"/>
      <c r="HJ37" s="1579"/>
      <c r="HK37" s="1579"/>
      <c r="HL37" s="1579"/>
      <c r="HM37" s="1579"/>
      <c r="HN37" s="1579"/>
      <c r="HO37" s="1579"/>
      <c r="HP37" s="1579"/>
      <c r="HQ37" s="1579"/>
      <c r="HR37" s="1579"/>
      <c r="HS37" s="1579"/>
      <c r="HT37" s="1579"/>
      <c r="HU37" s="1579"/>
      <c r="HV37" s="1579"/>
      <c r="HW37" s="1579"/>
      <c r="IL37" s="226"/>
      <c r="JC37" s="255"/>
    </row>
    <row r="38" spans="2:12 196:196 246:246 263:263" ht="13.2">
      <c r="B38" s="131" t="s">
        <v>316</v>
      </c>
      <c r="K38" s="131"/>
      <c r="L38" s="131"/>
      <c r="GN38" s="299"/>
      <c r="IL38" s="226"/>
      <c r="JC38" s="255"/>
    </row>
    <row r="39" spans="2:12 263:263" ht="13.2">
      <c r="B39" s="230" t="s">
        <v>640</v>
      </c>
      <c r="K39" s="230"/>
      <c r="L39" s="230"/>
      <c r="JC39" s="255"/>
    </row>
    <row r="40" spans="2:12 246:246 263:263" ht="13.2">
      <c r="B40" s="230" t="s">
        <v>215</v>
      </c>
      <c r="L40" s="230"/>
      <c r="IL40" s="1579"/>
      <c r="JC40" s="255"/>
    </row>
    <row r="41" spans="2:12 263:263" ht="13.2">
      <c r="B41" s="1092" t="s">
        <v>138</v>
      </c>
      <c r="K41" s="230"/>
      <c r="L41" s="230"/>
      <c r="JC41" s="255"/>
    </row>
    <row r="42" spans="9:12" ht="13.2">
      <c r="I42"/>
      <c r="J42" s="108"/>
      <c r="K42" s="108"/>
      <c r="L42" s="108"/>
    </row>
    <row r="43" spans="5:26 66:75" ht="13.2">
      <c r="E43" s="299"/>
      <c r="I43"/>
      <c r="J43" s="316"/>
      <c r="K43" s="823"/>
      <c r="L43" s="255"/>
      <c r="N43" s="299"/>
      <c r="R43" s="299"/>
      <c r="V43" s="299"/>
      <c r="Z43" s="299"/>
      <c r="BN43" s="299"/>
      <c r="BW43" s="299"/>
    </row>
    <row r="44" spans="9:12 30:84 128:140 188:192" ht="13.2">
      <c r="I44"/>
      <c r="J44" s="255"/>
      <c r="K44" s="823"/>
      <c r="L44" s="255"/>
      <c r="AD44" s="1235"/>
      <c r="AH44" s="299"/>
      <c r="AP44" s="299"/>
      <c r="BB44" s="299"/>
      <c r="BF44" s="299"/>
      <c r="BR44" s="299"/>
      <c r="CF44" s="299"/>
      <c r="DX44" s="299"/>
      <c r="EB44" s="299"/>
      <c r="EJ44" s="299"/>
      <c r="GF44" s="299"/>
      <c r="GJ44" s="299"/>
    </row>
    <row r="45" spans="9:12 38:62 88:180 200:228" ht="13.2">
      <c r="I45"/>
      <c r="J45" s="255"/>
      <c r="K45" s="823"/>
      <c r="L45" s="255"/>
      <c r="AL45" s="299"/>
      <c r="AT45" s="299"/>
      <c r="AX45" s="299"/>
      <c r="BJ45" s="299"/>
      <c r="CJ45" s="299"/>
      <c r="CN45" s="299"/>
      <c r="CR45" s="299"/>
      <c r="CV45" s="299"/>
      <c r="DL45" s="299"/>
      <c r="DP45" s="299"/>
      <c r="DT45" s="299"/>
      <c r="EF45" s="299"/>
      <c r="EN45" s="299"/>
      <c r="ER45" s="299"/>
      <c r="FH45" s="299"/>
      <c r="FL45" s="299"/>
      <c r="FP45" s="299"/>
      <c r="FT45" s="299"/>
      <c r="FX45" s="299"/>
      <c r="GR45" s="299"/>
      <c r="GV45" s="299"/>
      <c r="HL45" s="299"/>
      <c r="HP45" s="299"/>
      <c r="HT45" s="299"/>
    </row>
    <row r="46" spans="9:11 108:112 152:160 184:184 208:216" ht="13.2">
      <c r="I46"/>
      <c r="J46" s="255"/>
      <c r="K46" s="823"/>
      <c r="DD46" s="299"/>
      <c r="DH46" s="299"/>
      <c r="EV46" s="299"/>
      <c r="EZ46" s="299"/>
      <c r="FD46" s="299"/>
      <c r="GB46" s="299"/>
      <c r="GZ46" s="299"/>
      <c r="HH46" s="299"/>
    </row>
    <row r="47" spans="3:11 104:104 212:212" ht="13.2">
      <c r="C47" s="108"/>
      <c r="D47"/>
      <c r="I47"/>
      <c r="J47" s="127"/>
      <c r="K47" s="476"/>
      <c r="CZ47" s="299"/>
      <c r="HD47" s="299"/>
    </row>
    <row r="48" spans="3:11" ht="13.2">
      <c r="C48" s="108"/>
      <c r="I48"/>
      <c r="K48" s="823"/>
    </row>
    <row r="49" spans="3:12 262:262" ht="13.2">
      <c r="C49" s="108"/>
      <c r="D49" s="476"/>
      <c r="I49"/>
      <c r="J49" s="108"/>
      <c r="K49" s="108"/>
      <c r="L49" s="476"/>
      <c r="JB49" s="970"/>
    </row>
    <row r="50" spans="3:12" ht="13.2">
      <c r="C50" s="108"/>
      <c r="D50" s="476"/>
      <c r="I50"/>
      <c r="J50" s="127"/>
      <c r="K50" s="587"/>
      <c r="L50" s="255"/>
    </row>
    <row r="51" spans="3:12" ht="13.2">
      <c r="C51" s="108"/>
      <c r="D51" s="476"/>
      <c r="I51"/>
      <c r="J51" s="127"/>
      <c r="K51" s="476"/>
      <c r="L51" s="255"/>
    </row>
    <row r="52" spans="3:12" ht="13.2">
      <c r="C52" s="108"/>
      <c r="D52" s="476"/>
      <c r="I52" t="s">
        <v>447</v>
      </c>
      <c r="J52" s="127"/>
      <c r="K52" s="476"/>
      <c r="L52" s="255"/>
    </row>
    <row r="53" spans="3:12" ht="13.2">
      <c r="C53" s="108"/>
      <c r="D53" s="476"/>
      <c r="I53"/>
      <c r="L53" s="476"/>
    </row>
    <row r="54" spans="3:4" ht="13.2">
      <c r="C54" s="108"/>
      <c r="D54" s="476"/>
    </row>
    <row r="55" spans="3:4" ht="13.2">
      <c r="C55" s="118"/>
      <c r="D55" s="476"/>
    </row>
    <row r="56" spans="3:4" ht="13.2">
      <c r="C56" s="108"/>
      <c r="D56" s="626"/>
    </row>
    <row r="57" spans="3:4" ht="13.2">
      <c r="C57" s="118"/>
      <c r="D57" s="626"/>
    </row>
    <row r="58" spans="3:4" ht="13.2">
      <c r="C58" s="108"/>
      <c r="D58" s="626"/>
    </row>
    <row r="59" spans="3:4" ht="13.2">
      <c r="C59" s="108"/>
      <c r="D59" s="626"/>
    </row>
    <row r="97" spans="8:8" ht="13.2">
      <c r="H97">
        <v>13847278</v>
      </c>
    </row>
  </sheetData>
  <mergeCells count="126">
    <mergeCell ref="IF22:II22"/>
    <mergeCell ref="IJ22:IM22"/>
    <mergeCell ref="IN22:IQ22"/>
    <mergeCell ref="IR22:IU22"/>
    <mergeCell ref="IV22:IY22"/>
    <mergeCell ref="IF23:II23"/>
    <mergeCell ref="IJ23:IM23"/>
    <mergeCell ref="IN23:IQ23"/>
    <mergeCell ref="IR23:IU23"/>
    <mergeCell ref="IV23:IY23"/>
    <mergeCell ref="HH22:HK22"/>
    <mergeCell ref="HH23:HK23"/>
    <mergeCell ref="HL22:HO22"/>
    <mergeCell ref="HL23:HO23"/>
    <mergeCell ref="GV22:GY22"/>
    <mergeCell ref="GV23:GY23"/>
    <mergeCell ref="GZ22:HC22"/>
    <mergeCell ref="GZ23:HC23"/>
    <mergeCell ref="HD22:HG22"/>
    <mergeCell ref="HD23:HG23"/>
    <mergeCell ref="GF22:GI22"/>
    <mergeCell ref="GF23:GI23"/>
    <mergeCell ref="GJ22:GM22"/>
    <mergeCell ref="GJ23:GM23"/>
    <mergeCell ref="GN22:GQ22"/>
    <mergeCell ref="GN23:GQ23"/>
    <mergeCell ref="FT22:FW22"/>
    <mergeCell ref="FT23:FW23"/>
    <mergeCell ref="FX22:GA22"/>
    <mergeCell ref="FX23:GA23"/>
    <mergeCell ref="GB22:GE22"/>
    <mergeCell ref="GB23:GE23"/>
    <mergeCell ref="AX22:BA22"/>
    <mergeCell ref="AX23:BA23"/>
    <mergeCell ref="BR22:BV22"/>
    <mergeCell ref="BW22:CA22"/>
    <mergeCell ref="BR23:BV23"/>
    <mergeCell ref="BW23:CA23"/>
    <mergeCell ref="BB22:BE22"/>
    <mergeCell ref="BB23:BE23"/>
    <mergeCell ref="CF22:CI22"/>
    <mergeCell ref="CF23:CI23"/>
    <mergeCell ref="BF22:BI22"/>
    <mergeCell ref="BF23:BI23"/>
    <mergeCell ref="BJ22:BM22"/>
    <mergeCell ref="BN22:BQ22"/>
    <mergeCell ref="BJ23:BM23"/>
    <mergeCell ref="BN23:BQ23"/>
    <mergeCell ref="CB22:CE22"/>
    <mergeCell ref="CB23:CE23"/>
    <mergeCell ref="AH22:AK22"/>
    <mergeCell ref="AH23:AK23"/>
    <mergeCell ref="Z22:AC22"/>
    <mergeCell ref="Z23:AC23"/>
    <mergeCell ref="AD22:AG22"/>
    <mergeCell ref="AD23:AG23"/>
    <mergeCell ref="AL22:AO22"/>
    <mergeCell ref="AL23:AO23"/>
    <mergeCell ref="AT22:AW22"/>
    <mergeCell ref="AT23:AW23"/>
    <mergeCell ref="AP22:AS22"/>
    <mergeCell ref="AP23:AS23"/>
    <mergeCell ref="R22:U22"/>
    <mergeCell ref="V22:Y22"/>
    <mergeCell ref="E22:I22"/>
    <mergeCell ref="J22:M22"/>
    <mergeCell ref="N22:Q22"/>
    <mergeCell ref="V23:Y23"/>
    <mergeCell ref="R23:U23"/>
    <mergeCell ref="E23:I23"/>
    <mergeCell ref="J23:M23"/>
    <mergeCell ref="N23:Q23"/>
    <mergeCell ref="CJ22:CM22"/>
    <mergeCell ref="CJ23:CM23"/>
    <mergeCell ref="CN22:CQ22"/>
    <mergeCell ref="CN23:CQ23"/>
    <mergeCell ref="CR22:CU22"/>
    <mergeCell ref="CR23:CU23"/>
    <mergeCell ref="CV22:CY22"/>
    <mergeCell ref="CV23:CY23"/>
    <mergeCell ref="CZ22:DC22"/>
    <mergeCell ref="CZ23:DC23"/>
    <mergeCell ref="DD22:DG22"/>
    <mergeCell ref="DD23:DG23"/>
    <mergeCell ref="DH22:DK22"/>
    <mergeCell ref="DH23:DK23"/>
    <mergeCell ref="DL22:DO22"/>
    <mergeCell ref="DL23:DO23"/>
    <mergeCell ref="DP22:DS22"/>
    <mergeCell ref="DP23:DS23"/>
    <mergeCell ref="DT22:DW22"/>
    <mergeCell ref="DT23:DW23"/>
    <mergeCell ref="DX22:EA22"/>
    <mergeCell ref="DX23:EA23"/>
    <mergeCell ref="EB22:EE22"/>
    <mergeCell ref="EB23:EE23"/>
    <mergeCell ref="EF22:EI22"/>
    <mergeCell ref="EF23:EI23"/>
    <mergeCell ref="EJ22:EM22"/>
    <mergeCell ref="EJ23:EM23"/>
    <mergeCell ref="EN22:EQ22"/>
    <mergeCell ref="EN23:EQ23"/>
    <mergeCell ref="IB22:IE22"/>
    <mergeCell ref="IB23:IE23"/>
    <mergeCell ref="HP22:HS22"/>
    <mergeCell ref="HP23:HS23"/>
    <mergeCell ref="HT22:HW22"/>
    <mergeCell ref="HT23:HW23"/>
    <mergeCell ref="HX22:IA22"/>
    <mergeCell ref="HX23:IA23"/>
    <mergeCell ref="ER22:EU22"/>
    <mergeCell ref="ER23:EU23"/>
    <mergeCell ref="FH22:FK22"/>
    <mergeCell ref="FH23:FK23"/>
    <mergeCell ref="FL22:FO22"/>
    <mergeCell ref="FL23:FO23"/>
    <mergeCell ref="FP22:FS22"/>
    <mergeCell ref="FP23:FS23"/>
    <mergeCell ref="EV22:EY22"/>
    <mergeCell ref="EV23:EY23"/>
    <mergeCell ref="EZ22:FC22"/>
    <mergeCell ref="EZ23:FC23"/>
    <mergeCell ref="FD22:FG22"/>
    <mergeCell ref="FD23:FG23"/>
    <mergeCell ref="GR22:GU22"/>
    <mergeCell ref="GR23:GU23"/>
  </mergeCells>
  <printOptions horizontalCentered="1"/>
  <pageMargins left="0" right="0" top="1.4" bottom="0.75" header="0.4" footer="0.25"/>
  <pageSetup orientation="landscape" paperSize="1" scale="25" r:id="rId1"/>
  <headerFooter alignWithMargins="0">
    <oddHeader>&amp;R&amp;14EXHIBIT NO. TRC-203
ATTACHMENT H-18A
Page &amp;P of &amp;N</oddHeader>
  </headerFooter>
  <colBreaks count="13" manualBreakCount="13">
    <brk id="17" max="40" man="1"/>
    <brk id="33" max="40" man="1"/>
    <brk id="49" max="40" man="1"/>
    <brk id="65" max="40" man="1"/>
    <brk id="83" max="40" man="1"/>
    <brk id="99" max="40" man="1"/>
    <brk id="115" max="40" man="1"/>
    <brk id="135" max="40" man="1"/>
    <brk id="159" max="40" man="1"/>
    <brk id="183" max="40" man="1"/>
    <brk id="203" max="40" man="1"/>
    <brk id="227" max="40" man="1"/>
    <brk id="243" max="40"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dimension ref="A1:AU137"/>
  <sheetViews>
    <sheetView view="pageBreakPreview" zoomScale="85" zoomScaleNormal="70" zoomScaleSheetLayoutView="85" workbookViewId="0" topLeftCell="A1">
      <selection pane="topLeft" activeCell="H97" sqref="H97"/>
    </sheetView>
  </sheetViews>
  <sheetFormatPr defaultColWidth="17.9955555555556" defaultRowHeight="15"/>
  <cols>
    <col min="1" max="1" width="3.55555555555556" style="1408" bestFit="1" customWidth="1"/>
    <col min="2" max="2" width="41.4444444444444" style="1408" customWidth="1"/>
    <col min="3" max="3" width="14.1111111111111" style="1408" bestFit="1" customWidth="1"/>
    <col min="4" max="4" width="19.5555555555556" style="1408" bestFit="1" customWidth="1"/>
    <col min="5" max="6" width="3.55555555555556" style="1408" customWidth="1"/>
    <col min="7" max="7" width="18.4444444444444" style="1408" bestFit="1" customWidth="1"/>
    <col min="8" max="8" width="3.55555555555556" style="1408" customWidth="1"/>
    <col min="9" max="9" width="18.4444444444444" style="1408" bestFit="1" customWidth="1"/>
    <col min="10" max="10" width="3.55555555555556" style="1408" customWidth="1"/>
    <col min="11" max="11" width="18.8888888888889" style="1408" bestFit="1" customWidth="1"/>
    <col min="12" max="12" width="3.55555555555556" style="1408" customWidth="1"/>
    <col min="13" max="13" width="20.1111111111111" style="1408" bestFit="1" customWidth="1"/>
    <col min="14" max="14" width="3.55555555555556" style="1408" customWidth="1"/>
    <col min="15" max="15" width="18.4444444444444" style="1408" bestFit="1" customWidth="1"/>
    <col min="16" max="16" width="3.55555555555556" style="1408" customWidth="1"/>
    <col min="17" max="17" width="21.4444444444444" style="1408" customWidth="1"/>
    <col min="18" max="18" width="3.55555555555556" style="1408" customWidth="1"/>
    <col min="19" max="19" width="18.4444444444444" style="1408" bestFit="1" customWidth="1"/>
    <col min="20" max="20" width="3.55555555555556" style="1408" customWidth="1"/>
    <col min="21" max="21" width="18.1111111111111" style="1408" bestFit="1" customWidth="1"/>
    <col min="22" max="22" width="3.55555555555556" style="1408" customWidth="1"/>
    <col min="23" max="23" width="18.1111111111111" style="1408" bestFit="1" customWidth="1"/>
    <col min="24" max="24" width="3.55555555555556" style="1408" customWidth="1"/>
    <col min="25" max="25" width="18.1111111111111" style="1408" bestFit="1" customWidth="1"/>
    <col min="26" max="26" width="3.55555555555556" style="1408" customWidth="1"/>
    <col min="27" max="27" width="20.8888888888889" style="1408" customWidth="1"/>
    <col min="28" max="16384" width="18" style="1408"/>
  </cols>
  <sheetData>
    <row r="1" spans="2:2" ht="15.6">
      <c r="B1" s="1409" t="s">
        <v>754</v>
      </c>
    </row>
    <row r="2" spans="2:2" ht="15.6">
      <c r="B2" s="1409" t="s">
        <v>578</v>
      </c>
    </row>
    <row r="3" spans="2:2" ht="15.6">
      <c r="B3" s="1409" t="s">
        <v>754</v>
      </c>
    </row>
    <row r="4" spans="2:2" ht="15.6">
      <c r="B4" s="1410"/>
    </row>
    <row r="5" spans="1:26" ht="15.6">
      <c r="A5" s="1411"/>
      <c r="B5" s="1412" t="s">
        <v>750</v>
      </c>
      <c r="C5" s="1412"/>
      <c r="D5" s="1412"/>
      <c r="E5" s="1412"/>
      <c r="F5" s="1412"/>
      <c r="G5" s="1412"/>
      <c r="H5" s="1412"/>
      <c r="I5" s="1412"/>
      <c r="J5" s="1412"/>
      <c r="K5" s="1412"/>
      <c r="L5" s="1412"/>
      <c r="M5" s="1412"/>
      <c r="N5" s="1412"/>
      <c r="O5" s="1412"/>
      <c r="P5" s="1412"/>
      <c r="Q5" s="1412"/>
      <c r="R5" s="1412"/>
      <c r="S5" s="1412"/>
      <c r="T5" s="1412"/>
      <c r="U5" s="1412"/>
      <c r="V5" s="1412"/>
      <c r="W5" s="1413"/>
      <c r="X5" s="1410"/>
      <c r="Y5" s="1410"/>
      <c r="Z5" s="1410"/>
    </row>
    <row r="6" spans="1:26" ht="15.6">
      <c r="A6" s="1414"/>
      <c r="C6" s="1410"/>
      <c r="D6" s="1410"/>
      <c r="E6" s="1410"/>
      <c r="F6" s="1410"/>
      <c r="G6" s="1415"/>
      <c r="H6" s="1415"/>
      <c r="I6" s="1415"/>
      <c r="J6" s="1415"/>
      <c r="K6" s="1410"/>
      <c r="L6" s="1410"/>
      <c r="M6" s="1410"/>
      <c r="N6" s="1410"/>
      <c r="O6" s="1410"/>
      <c r="P6" s="1410"/>
      <c r="Q6" s="1410"/>
      <c r="R6" s="1410"/>
      <c r="S6" s="1410"/>
      <c r="T6" s="1410"/>
      <c r="U6" s="1410"/>
      <c r="V6" s="1410"/>
      <c r="W6" s="1416"/>
      <c r="X6" s="1410"/>
      <c r="Y6" s="1410"/>
      <c r="Z6" s="1410"/>
    </row>
    <row r="7" spans="1:26" ht="15.6">
      <c r="A7" s="1414"/>
      <c r="B7" s="1410" t="s">
        <v>1036</v>
      </c>
      <c r="C7" s="1410"/>
      <c r="D7" s="1410"/>
      <c r="E7" s="1410"/>
      <c r="F7" s="1410"/>
      <c r="G7" s="1415"/>
      <c r="H7" s="1415"/>
      <c r="I7" s="1415"/>
      <c r="J7" s="1415"/>
      <c r="K7" s="1410"/>
      <c r="L7" s="1410"/>
      <c r="M7" s="1410"/>
      <c r="N7" s="1410"/>
      <c r="O7" s="1410"/>
      <c r="P7" s="1410"/>
      <c r="Q7" s="1410"/>
      <c r="R7" s="1410"/>
      <c r="S7" s="1410"/>
      <c r="T7" s="1410"/>
      <c r="U7" s="1410"/>
      <c r="V7" s="1410"/>
      <c r="W7" s="1416"/>
      <c r="X7" s="1410"/>
      <c r="Y7" s="1410"/>
      <c r="Z7" s="1410"/>
    </row>
    <row r="8" spans="1:26" ht="16.2" thickBot="1">
      <c r="A8" s="1414"/>
      <c r="D8" s="1410"/>
      <c r="E8" s="1410"/>
      <c r="F8" s="1410"/>
      <c r="G8" s="1415"/>
      <c r="H8" s="1415"/>
      <c r="I8" s="1415"/>
      <c r="J8" s="1415"/>
      <c r="K8" s="1410"/>
      <c r="L8" s="1410"/>
      <c r="M8" s="1410"/>
      <c r="N8" s="1410"/>
      <c r="O8" s="1410"/>
      <c r="P8" s="1410"/>
      <c r="Q8" s="1410"/>
      <c r="R8" s="1410"/>
      <c r="S8" s="1410"/>
      <c r="T8" s="1410"/>
      <c r="U8" s="1410"/>
      <c r="V8" s="1410"/>
      <c r="W8" s="1416"/>
      <c r="X8" s="1410"/>
      <c r="Y8" s="1410"/>
      <c r="Z8" s="1410"/>
    </row>
    <row r="9" spans="1:26" ht="16.2" thickBot="1">
      <c r="A9" s="1414"/>
      <c r="B9" s="1417" t="s">
        <v>886</v>
      </c>
      <c r="C9" s="1418">
        <v>45657</v>
      </c>
      <c r="D9" s="1410"/>
      <c r="E9" s="1410"/>
      <c r="F9" s="1410"/>
      <c r="G9" s="1410"/>
      <c r="H9" s="1410"/>
      <c r="J9" s="1410"/>
      <c r="K9" s="1419"/>
      <c r="L9" s="1410"/>
      <c r="M9" s="1410"/>
      <c r="N9" s="1410"/>
      <c r="O9" s="1410"/>
      <c r="P9" s="1410"/>
      <c r="Q9" s="1410"/>
      <c r="R9" s="1410"/>
      <c r="S9" s="1410"/>
      <c r="T9" s="1410"/>
      <c r="U9" s="1410"/>
      <c r="V9" s="1410"/>
      <c r="W9" s="1416"/>
      <c r="X9" s="1410"/>
      <c r="Y9" s="1410"/>
      <c r="Z9" s="1410"/>
    </row>
    <row r="10" spans="1:26" ht="15.6">
      <c r="A10" s="1414"/>
      <c r="B10" s="1415"/>
      <c r="C10" s="1410"/>
      <c r="E10" s="1410"/>
      <c r="F10" s="1410"/>
      <c r="H10" s="1410"/>
      <c r="I10" s="1410"/>
      <c r="J10" s="1410"/>
      <c r="K10" s="1419"/>
      <c r="L10" s="1410"/>
      <c r="M10" s="1410"/>
      <c r="N10" s="1410"/>
      <c r="O10" s="1410"/>
      <c r="P10" s="1410"/>
      <c r="Q10" s="1410"/>
      <c r="R10" s="1410"/>
      <c r="S10" s="1410"/>
      <c r="T10" s="1410"/>
      <c r="U10" s="1410"/>
      <c r="V10" s="1410"/>
      <c r="W10" s="1416"/>
      <c r="X10" s="1410"/>
      <c r="Y10" s="1410"/>
      <c r="Z10" s="1410"/>
    </row>
    <row r="11" spans="1:23" s="1421" customFormat="1" ht="15.6">
      <c r="A11" s="1420"/>
      <c r="D11" s="1421" t="s">
        <v>120</v>
      </c>
      <c r="G11" s="1421" t="s">
        <v>119</v>
      </c>
      <c r="I11" s="1421" t="s">
        <v>118</v>
      </c>
      <c r="K11" s="1421" t="s">
        <v>117</v>
      </c>
      <c r="M11" s="1422" t="s">
        <v>116</v>
      </c>
      <c r="O11" s="1422" t="s">
        <v>115</v>
      </c>
      <c r="Q11" s="1421" t="s">
        <v>114</v>
      </c>
      <c r="S11" s="1421" t="s">
        <v>113</v>
      </c>
      <c r="U11" s="1421" t="s">
        <v>112</v>
      </c>
      <c r="W11" s="1423" t="s">
        <v>111</v>
      </c>
    </row>
    <row r="12" spans="1:47" ht="15.6">
      <c r="A12" s="1414"/>
      <c r="B12" s="1424"/>
      <c r="N12" s="1424"/>
      <c r="S12" s="1425"/>
      <c r="W12" s="1426"/>
      <c r="AE12" s="1427"/>
      <c r="AK12" s="1428"/>
      <c r="AL12" s="1424"/>
      <c r="AM12" s="1424"/>
      <c r="AN12" s="1424"/>
      <c r="AO12" s="1424"/>
      <c r="AP12" s="1424"/>
      <c r="AQ12" s="1424"/>
      <c r="AR12" s="1424"/>
      <c r="AS12" s="1424"/>
      <c r="AT12" s="1821"/>
      <c r="AU12" s="1821"/>
    </row>
    <row r="13" spans="1:47" ht="15.6">
      <c r="A13" s="1414"/>
      <c r="M13" s="1424" t="s">
        <v>887</v>
      </c>
      <c r="N13" s="1424"/>
      <c r="Q13" s="1424" t="s">
        <v>749</v>
      </c>
      <c r="S13" s="1425"/>
      <c r="W13" s="1429" t="s">
        <v>110</v>
      </c>
      <c r="AE13" s="1427"/>
      <c r="AK13" s="1428"/>
      <c r="AL13" s="1424"/>
      <c r="AM13" s="1424"/>
      <c r="AN13" s="1424"/>
      <c r="AO13" s="1424"/>
      <c r="AP13" s="1424"/>
      <c r="AQ13" s="1424"/>
      <c r="AR13" s="1424"/>
      <c r="AS13" s="1424"/>
      <c r="AT13" s="1424"/>
      <c r="AU13" s="1424"/>
    </row>
    <row r="14" spans="1:47" ht="15.6">
      <c r="A14" s="1414"/>
      <c r="B14" s="1410"/>
      <c r="G14" s="1424"/>
      <c r="H14" s="1424"/>
      <c r="I14" s="1424"/>
      <c r="J14" s="1424"/>
      <c r="K14" s="1424"/>
      <c r="L14" s="1424"/>
      <c r="M14" s="1424" t="s">
        <v>802</v>
      </c>
      <c r="N14" s="1424"/>
      <c r="O14" s="1424" t="s">
        <v>287</v>
      </c>
      <c r="P14" s="1424"/>
      <c r="Q14" s="1424" t="s">
        <v>889</v>
      </c>
      <c r="R14" s="1424"/>
      <c r="S14" s="1424" t="s">
        <v>110</v>
      </c>
      <c r="T14" s="1424"/>
      <c r="U14" s="1424" t="s">
        <v>888</v>
      </c>
      <c r="V14" s="1424"/>
      <c r="W14" s="1429" t="s">
        <v>565</v>
      </c>
      <c r="AE14" s="1427"/>
      <c r="AK14" s="1430"/>
      <c r="AL14" s="1431"/>
      <c r="AM14" s="1431"/>
      <c r="AN14" s="1431"/>
      <c r="AO14" s="1431"/>
      <c r="AP14" s="1431"/>
      <c r="AQ14" s="1431"/>
      <c r="AR14" s="1431"/>
      <c r="AS14" s="1431"/>
      <c r="AT14" s="1431"/>
      <c r="AU14" s="1431"/>
    </row>
    <row r="15" spans="1:47" ht="15.6">
      <c r="A15" s="1414"/>
      <c r="B15" s="1410"/>
      <c r="E15" s="1424"/>
      <c r="F15" s="1424"/>
      <c r="G15" s="1424"/>
      <c r="H15" s="1424"/>
      <c r="I15" s="1424" t="s">
        <v>109</v>
      </c>
      <c r="J15" s="1424"/>
      <c r="K15" s="1424" t="s">
        <v>108</v>
      </c>
      <c r="L15" s="1424"/>
      <c r="M15" s="1424" t="s">
        <v>889</v>
      </c>
      <c r="N15" s="1424"/>
      <c r="O15" s="1424" t="s">
        <v>889</v>
      </c>
      <c r="P15" s="1424"/>
      <c r="Q15" s="1424" t="s">
        <v>748</v>
      </c>
      <c r="R15" s="1424"/>
      <c r="S15" s="1424" t="s">
        <v>889</v>
      </c>
      <c r="T15" s="1424"/>
      <c r="U15" s="1424" t="s">
        <v>892</v>
      </c>
      <c r="V15" s="1424"/>
      <c r="W15" s="1429" t="s">
        <v>107</v>
      </c>
      <c r="AE15" s="1427"/>
      <c r="AK15" s="1432"/>
      <c r="AL15" s="1433"/>
      <c r="AM15" s="1433"/>
      <c r="AN15" s="1433"/>
      <c r="AO15" s="1433"/>
      <c r="AP15" s="1433"/>
      <c r="AQ15" s="1433"/>
      <c r="AR15" s="1433"/>
      <c r="AS15" s="1433"/>
      <c r="AT15" s="1433"/>
      <c r="AU15" s="1433"/>
    </row>
    <row r="16" spans="1:47" ht="15.6">
      <c r="A16" s="1414"/>
      <c r="C16" s="1421" t="s">
        <v>106</v>
      </c>
      <c r="D16" s="1424" t="s">
        <v>105</v>
      </c>
      <c r="E16" s="1424"/>
      <c r="F16" s="1424"/>
      <c r="G16" s="1424" t="s">
        <v>104</v>
      </c>
      <c r="H16" s="1424"/>
      <c r="I16" s="1424" t="s">
        <v>103</v>
      </c>
      <c r="J16" s="1424"/>
      <c r="K16" s="1424" t="s">
        <v>102</v>
      </c>
      <c r="L16" s="1424"/>
      <c r="M16" s="1424" t="s">
        <v>101</v>
      </c>
      <c r="N16" s="1424"/>
      <c r="O16" s="1424" t="s">
        <v>101</v>
      </c>
      <c r="P16" s="1424"/>
      <c r="Q16" s="1424" t="s">
        <v>747</v>
      </c>
      <c r="R16" s="1424"/>
      <c r="S16" s="1424" t="s">
        <v>100</v>
      </c>
      <c r="T16" s="1424"/>
      <c r="U16" s="1408" t="s">
        <v>746</v>
      </c>
      <c r="V16" s="1424"/>
      <c r="W16" s="1429" t="s">
        <v>99</v>
      </c>
      <c r="AK16" s="1432"/>
      <c r="AL16" s="1433"/>
      <c r="AM16" s="1433"/>
      <c r="AN16" s="1433"/>
      <c r="AO16" s="1433"/>
      <c r="AP16" s="1433"/>
      <c r="AQ16" s="1433"/>
      <c r="AR16" s="1433"/>
      <c r="AS16" s="1433"/>
      <c r="AT16" s="1433"/>
      <c r="AU16" s="1433"/>
    </row>
    <row r="17" spans="1:47" ht="15.6">
      <c r="A17" s="1414"/>
      <c r="B17" s="1434" t="s">
        <v>98</v>
      </c>
      <c r="C17" s="1435">
        <f>C41</f>
        <v>45657</v>
      </c>
      <c r="E17" s="1424"/>
      <c r="F17" s="1424"/>
      <c r="G17" s="1424"/>
      <c r="H17" s="1424"/>
      <c r="I17" s="1424"/>
      <c r="J17" s="1424"/>
      <c r="K17" s="1424"/>
      <c r="L17" s="1424"/>
      <c r="M17" s="1424"/>
      <c r="N17" s="1424"/>
      <c r="O17" s="1424"/>
      <c r="P17" s="1424"/>
      <c r="Q17" s="1424"/>
      <c r="R17" s="1424"/>
      <c r="S17" s="1424"/>
      <c r="T17" s="1424"/>
      <c r="U17" s="1424"/>
      <c r="V17" s="1424"/>
      <c r="W17" s="1426"/>
      <c r="AK17" s="1432"/>
      <c r="AL17" s="1433"/>
      <c r="AM17" s="1433"/>
      <c r="AN17" s="1433"/>
      <c r="AO17" s="1433"/>
      <c r="AP17" s="1433"/>
      <c r="AQ17" s="1433"/>
      <c r="AR17" s="1433"/>
      <c r="AS17" s="1433"/>
      <c r="AT17" s="1433"/>
      <c r="AU17" s="1433"/>
    </row>
    <row r="18" spans="1:47" ht="15">
      <c r="A18" s="1414"/>
      <c r="B18" s="1436" t="s">
        <v>893</v>
      </c>
      <c r="E18" s="1437"/>
      <c r="F18" s="1437"/>
      <c r="G18" s="1437"/>
      <c r="H18" s="1437"/>
      <c r="I18" s="1437"/>
      <c r="J18" s="1437"/>
      <c r="K18" s="1437"/>
      <c r="L18" s="1437"/>
      <c r="M18" s="1437"/>
      <c r="N18" s="1437"/>
      <c r="O18" s="1424"/>
      <c r="P18" s="1437"/>
      <c r="Q18" s="1437"/>
      <c r="R18" s="1437"/>
      <c r="S18" s="1424"/>
      <c r="T18" s="1424"/>
      <c r="U18" s="1424"/>
      <c r="V18" s="1424"/>
      <c r="W18" s="1426"/>
      <c r="AK18" s="1432"/>
      <c r="AL18" s="1433"/>
      <c r="AM18" s="1433"/>
      <c r="AN18" s="1433"/>
      <c r="AO18" s="1433"/>
      <c r="AP18" s="1433"/>
      <c r="AQ18" s="1433"/>
      <c r="AR18" s="1433"/>
      <c r="AS18" s="1433"/>
      <c r="AT18" s="1433"/>
      <c r="AU18" s="1433"/>
    </row>
    <row r="19" spans="1:47" ht="15">
      <c r="A19" s="1438" t="str">
        <f>A48</f>
        <v>(1)</v>
      </c>
      <c r="B19" s="1439" t="str">
        <f>B48</f>
        <v>3.85%, Senior Unsecured Notes</v>
      </c>
      <c r="C19" s="1408" t="str">
        <f>C48</f>
        <v>No</v>
      </c>
      <c r="D19" s="1440">
        <f>D48</f>
        <v>41984</v>
      </c>
      <c r="E19" s="1437"/>
      <c r="F19" s="1437"/>
      <c r="G19" s="1440">
        <f>G48</f>
        <v>45810</v>
      </c>
      <c r="H19" s="1437"/>
      <c r="I19" s="1441">
        <f>I48</f>
        <v>550000000</v>
      </c>
      <c r="J19" s="1441"/>
      <c r="K19" s="1441">
        <f>S48</f>
        <v>545247429</v>
      </c>
      <c r="L19" s="1441"/>
      <c r="M19" s="1593">
        <v>549809065</v>
      </c>
      <c r="N19" s="1437"/>
      <c r="O19" s="1424">
        <f>IF(YEAR($C$9)=YEAR(D19),($C$9-D19)/(365/12),IF(YEAR($C$9)=YEAR(G19),(G19-($C$9-365))/(365/12),12))</f>
        <v>12</v>
      </c>
      <c r="P19" s="1437"/>
      <c r="Q19" s="1442">
        <f>M19*O19/12</f>
        <v>549809065</v>
      </c>
      <c r="R19" s="1437"/>
      <c r="S19" s="1443">
        <f>+Q19/$Q$26</f>
        <v>0.87999713828742288</v>
      </c>
      <c r="U19" s="1443">
        <f>AA48</f>
        <v>0.039514347101496212</v>
      </c>
      <c r="W19" s="1444">
        <f>+S19*U19</f>
        <v>0.034772512370612588</v>
      </c>
      <c r="X19" s="1445"/>
      <c r="Y19" s="1445"/>
      <c r="Z19" s="1445"/>
      <c r="AK19" s="1432"/>
      <c r="AL19" s="1433"/>
      <c r="AM19" s="1433"/>
      <c r="AN19" s="1433"/>
      <c r="AO19" s="1433"/>
      <c r="AP19" s="1433"/>
      <c r="AQ19" s="1433"/>
      <c r="AR19" s="1433"/>
      <c r="AS19" s="1433"/>
      <c r="AT19" s="1433"/>
      <c r="AU19" s="1433"/>
    </row>
    <row r="20" spans="1:47" ht="15">
      <c r="A20" s="1438" t="str">
        <f>A49</f>
        <v>(2)</v>
      </c>
      <c r="B20" s="1439" t="str">
        <f>B49</f>
        <v>3.76%, Senior Unsecured Notes</v>
      </c>
      <c r="C20" s="1425"/>
      <c r="D20" s="1440">
        <f>D49</f>
        <v>42293</v>
      </c>
      <c r="E20" s="1446"/>
      <c r="F20" s="1446"/>
      <c r="G20" s="1440">
        <f>G49</f>
        <v>45807</v>
      </c>
      <c r="H20" s="1446"/>
      <c r="I20" s="1441">
        <f>I49</f>
        <v>75000000</v>
      </c>
      <c r="J20" s="1447"/>
      <c r="K20" s="1441">
        <f>S49</f>
        <v>74437647</v>
      </c>
      <c r="L20" s="1447"/>
      <c r="M20" s="1448">
        <f>K20+((I20-K20)/((G20-D20)/365*12)*($C$9-D20)/365*12)</f>
        <v>74975995.17643711</v>
      </c>
      <c r="N20" s="1449"/>
      <c r="O20" s="1424">
        <f>IF(YEAR($C$9)=YEAR(D20),($C$9-D20)/(365/12),IF(YEAR($C$9)=YEAR(G20),(G20-($C$9-365))/(365/12),12))</f>
        <v>12</v>
      </c>
      <c r="P20" s="1449"/>
      <c r="Q20" s="1442">
        <f>M20*O20/12</f>
        <v>74975995.17643711</v>
      </c>
      <c r="R20" s="1449"/>
      <c r="S20" s="1450">
        <f>Q20/Q26</f>
        <v>0.12000286171257704</v>
      </c>
      <c r="T20" s="1451"/>
      <c r="U20" s="1443">
        <f>AA49</f>
        <v>0.038535860120355127</v>
      </c>
      <c r="V20" s="1451"/>
      <c r="W20" s="1452">
        <f>+S20*U20</f>
        <v>0.0046244134929981891</v>
      </c>
      <c r="X20" s="1445"/>
      <c r="Y20" s="1445"/>
      <c r="Z20" s="1445"/>
      <c r="AK20" s="1432"/>
      <c r="AL20" s="1433"/>
      <c r="AM20" s="1433"/>
      <c r="AN20" s="1433"/>
      <c r="AO20" s="1433"/>
      <c r="AP20" s="1433"/>
      <c r="AQ20" s="1433"/>
      <c r="AR20" s="1433"/>
      <c r="AS20" s="1433"/>
      <c r="AT20" s="1433"/>
      <c r="AU20" s="1433"/>
    </row>
    <row r="21" spans="1:47" ht="15" hidden="1">
      <c r="A21" s="1414"/>
      <c r="C21" s="1451"/>
      <c r="D21" s="1453"/>
      <c r="E21" s="1446"/>
      <c r="F21" s="1446"/>
      <c r="G21" s="1454"/>
      <c r="H21" s="1446"/>
      <c r="I21" s="1447"/>
      <c r="J21" s="1447"/>
      <c r="K21" s="1447"/>
      <c r="L21" s="1447"/>
      <c r="M21" s="1447"/>
      <c r="N21" s="1449"/>
      <c r="O21" s="1455"/>
      <c r="P21" s="1449"/>
      <c r="Q21" s="1456"/>
      <c r="R21" s="1449"/>
      <c r="S21" s="1457"/>
      <c r="T21" s="1451"/>
      <c r="U21" s="1458"/>
      <c r="V21" s="1451"/>
      <c r="W21" s="1459"/>
      <c r="X21" s="1445"/>
      <c r="Y21" s="1445"/>
      <c r="Z21" s="1445"/>
      <c r="AK21" s="1432"/>
      <c r="AL21" s="1433"/>
      <c r="AM21" s="1433"/>
      <c r="AN21" s="1433"/>
      <c r="AO21" s="1433"/>
      <c r="AP21" s="1433"/>
      <c r="AQ21" s="1433"/>
      <c r="AR21" s="1433"/>
      <c r="AS21" s="1433"/>
      <c r="AT21" s="1433"/>
      <c r="AU21" s="1433"/>
    </row>
    <row r="22" spans="1:47" ht="15" hidden="1">
      <c r="A22" s="1414"/>
      <c r="B22" s="1460"/>
      <c r="D22" s="1461"/>
      <c r="E22" s="1462"/>
      <c r="F22" s="1462"/>
      <c r="G22" s="1461"/>
      <c r="H22" s="1462"/>
      <c r="I22" s="1456"/>
      <c r="J22" s="1456"/>
      <c r="K22" s="1456"/>
      <c r="L22" s="1456"/>
      <c r="M22" s="1456"/>
      <c r="N22" s="1463"/>
      <c r="O22" s="1424"/>
      <c r="P22" s="1463"/>
      <c r="Q22" s="1456"/>
      <c r="R22" s="1463"/>
      <c r="S22" s="1464"/>
      <c r="U22" s="1465"/>
      <c r="W22" s="1459"/>
      <c r="AK22" s="1432"/>
      <c r="AL22" s="1433"/>
      <c r="AM22" s="1433"/>
      <c r="AN22" s="1433"/>
      <c r="AO22" s="1433"/>
      <c r="AP22" s="1433"/>
      <c r="AQ22" s="1433"/>
      <c r="AR22" s="1433"/>
      <c r="AS22" s="1433"/>
      <c r="AT22" s="1433"/>
      <c r="AU22" s="1433"/>
    </row>
    <row r="23" spans="1:47" ht="15" hidden="1">
      <c r="A23" s="1438"/>
      <c r="B23" s="1439"/>
      <c r="D23" s="1461"/>
      <c r="G23" s="1461"/>
      <c r="H23" s="1445"/>
      <c r="I23" s="1456"/>
      <c r="J23" s="1456"/>
      <c r="K23" s="1456"/>
      <c r="L23" s="1456"/>
      <c r="M23" s="1441"/>
      <c r="N23" s="1437"/>
      <c r="O23" s="1424"/>
      <c r="P23" s="1437"/>
      <c r="Q23" s="1466"/>
      <c r="R23" s="1437"/>
      <c r="S23" s="1443"/>
      <c r="U23" s="1464"/>
      <c r="W23" s="1459"/>
      <c r="AK23" s="1432"/>
      <c r="AL23" s="1433"/>
      <c r="AM23" s="1433"/>
      <c r="AN23" s="1433"/>
      <c r="AO23" s="1433"/>
      <c r="AP23" s="1433"/>
      <c r="AQ23" s="1433"/>
      <c r="AR23" s="1433"/>
      <c r="AS23" s="1433"/>
      <c r="AT23" s="1433"/>
      <c r="AU23" s="1433"/>
    </row>
    <row r="24" spans="1:45" ht="15" hidden="1">
      <c r="A24" s="1438"/>
      <c r="D24" s="1424"/>
      <c r="G24" s="1424"/>
      <c r="H24" s="1445"/>
      <c r="I24" s="1466"/>
      <c r="J24" s="1456"/>
      <c r="K24" s="1466"/>
      <c r="L24" s="1456"/>
      <c r="M24" s="1466"/>
      <c r="N24" s="1463"/>
      <c r="O24" s="1424"/>
      <c r="P24" s="1463"/>
      <c r="Q24" s="1466"/>
      <c r="R24" s="1463"/>
      <c r="S24" s="1443"/>
      <c r="U24" s="1465"/>
      <c r="W24" s="1459"/>
      <c r="AQ24" s="1433"/>
      <c r="AS24" s="1433"/>
    </row>
    <row r="25" spans="1:45" ht="15" hidden="1">
      <c r="A25" s="1414"/>
      <c r="I25" s="1467"/>
      <c r="J25" s="1456"/>
      <c r="K25" s="1456"/>
      <c r="L25" s="1456"/>
      <c r="M25" s="1467"/>
      <c r="Q25" s="1467"/>
      <c r="S25" s="1468"/>
      <c r="U25" s="1469"/>
      <c r="W25" s="1470"/>
      <c r="AQ25" s="1433"/>
      <c r="AS25" s="1433"/>
    </row>
    <row r="26" spans="1:45" ht="16.2" thickBot="1">
      <c r="A26" s="1414"/>
      <c r="B26" s="1471" t="s">
        <v>524</v>
      </c>
      <c r="C26" s="1445"/>
      <c r="E26" s="1445"/>
      <c r="F26" s="1445"/>
      <c r="G26" s="1427"/>
      <c r="H26" s="1445"/>
      <c r="I26" s="1472">
        <f>SUM(I19:I25)</f>
        <v>625000000</v>
      </c>
      <c r="J26" s="1473"/>
      <c r="K26" s="1473"/>
      <c r="L26" s="1473"/>
      <c r="M26" s="1472">
        <f>SUM(M19:M24)</f>
        <v>624785060.17643714</v>
      </c>
      <c r="N26" s="1427"/>
      <c r="O26" s="1445"/>
      <c r="P26" s="1427"/>
      <c r="Q26" s="1474">
        <f>SUM(Q19:Q25)</f>
        <v>624785060.17643714</v>
      </c>
      <c r="R26" s="1427"/>
      <c r="S26" s="1475">
        <f>SUM(S19:S24)</f>
        <v>0.99999999999999989</v>
      </c>
      <c r="T26" s="1445"/>
      <c r="V26" s="1445"/>
      <c r="W26" s="1592">
        <f>ROUND(SUM(W19:W25),4)</f>
        <v>0.039399999999999998</v>
      </c>
      <c r="AQ26" s="1433"/>
      <c r="AS26" s="1433"/>
    </row>
    <row r="27" spans="1:45" ht="16.2" thickTop="1">
      <c r="A27" s="1414"/>
      <c r="B27" s="1476"/>
      <c r="C27" s="1445"/>
      <c r="E27" s="1445"/>
      <c r="F27" s="1445"/>
      <c r="G27" s="1427"/>
      <c r="H27" s="1445"/>
      <c r="I27" s="1473"/>
      <c r="J27" s="1473"/>
      <c r="K27" s="1473"/>
      <c r="L27" s="1473"/>
      <c r="M27" s="1473"/>
      <c r="N27" s="1427"/>
      <c r="O27" s="1445"/>
      <c r="P27" s="1427"/>
      <c r="Q27" s="1456"/>
      <c r="R27" s="1427"/>
      <c r="S27" s="1464"/>
      <c r="T27" s="1445"/>
      <c r="V27" s="1445"/>
      <c r="W27" s="1477"/>
      <c r="AQ27" s="1433"/>
      <c r="AS27" s="1433"/>
    </row>
    <row r="28" spans="1:45" ht="15" hidden="1">
      <c r="A28" s="1414"/>
      <c r="C28" s="1445"/>
      <c r="D28" s="1445"/>
      <c r="E28" s="1445"/>
      <c r="F28" s="1445"/>
      <c r="G28" s="1445"/>
      <c r="H28" s="1445"/>
      <c r="I28" s="1445"/>
      <c r="J28" s="1445"/>
      <c r="K28" s="1478" t="s">
        <v>1365</v>
      </c>
      <c r="L28" s="1479"/>
      <c r="M28" s="1480">
        <f>624903453-1144823</f>
        <v>623758630</v>
      </c>
      <c r="N28" s="1481"/>
      <c r="O28" s="1482">
        <f>M28-M26</f>
        <v>-1026430.1764371395</v>
      </c>
      <c r="P28" s="1445"/>
      <c r="Q28" s="1483"/>
      <c r="R28" s="1445"/>
      <c r="S28" s="1445"/>
      <c r="T28" s="1445"/>
      <c r="U28" s="1445"/>
      <c r="V28" s="1445"/>
      <c r="W28" s="1484"/>
      <c r="X28" s="1445"/>
      <c r="Y28" s="1445"/>
      <c r="Z28" s="1445"/>
      <c r="AA28" s="1426"/>
      <c r="AC28" s="1485"/>
      <c r="AQ28" s="1433"/>
      <c r="AS28" s="1433"/>
    </row>
    <row r="29" spans="1:45" ht="15">
      <c r="A29" s="1414"/>
      <c r="C29" s="1445"/>
      <c r="D29" s="1445"/>
      <c r="E29" s="1445"/>
      <c r="F29" s="1445"/>
      <c r="G29" s="1445"/>
      <c r="H29" s="1445"/>
      <c r="I29" s="1445"/>
      <c r="J29" s="1445"/>
      <c r="K29" s="1445"/>
      <c r="L29" s="1445"/>
      <c r="M29" s="1445"/>
      <c r="N29" s="1445"/>
      <c r="O29" s="1445"/>
      <c r="P29" s="1445"/>
      <c r="Q29" s="1483"/>
      <c r="R29" s="1445"/>
      <c r="S29" s="1445"/>
      <c r="T29" s="1445"/>
      <c r="U29" s="1445"/>
      <c r="V29" s="1445"/>
      <c r="W29" s="1484"/>
      <c r="X29" s="1445"/>
      <c r="Y29" s="1445"/>
      <c r="Z29" s="1445"/>
      <c r="AQ29" s="1433"/>
      <c r="AS29" s="1433"/>
    </row>
    <row r="30" spans="1:45" ht="15">
      <c r="A30" s="1414"/>
      <c r="B30" s="1408" t="s">
        <v>97</v>
      </c>
      <c r="C30" s="1445"/>
      <c r="D30" s="1445"/>
      <c r="E30" s="1445"/>
      <c r="F30" s="1445"/>
      <c r="G30" s="1445"/>
      <c r="H30" s="1445"/>
      <c r="I30" s="1445"/>
      <c r="J30" s="1445"/>
      <c r="K30" s="1445"/>
      <c r="L30" s="1445"/>
      <c r="M30" s="1445"/>
      <c r="N30" s="1445"/>
      <c r="O30" s="1445"/>
      <c r="P30" s="1445"/>
      <c r="Q30" s="1445"/>
      <c r="R30" s="1445"/>
      <c r="S30" s="1445"/>
      <c r="T30" s="1445"/>
      <c r="U30" s="1445"/>
      <c r="V30" s="1445"/>
      <c r="W30" s="1484"/>
      <c r="X30" s="1445"/>
      <c r="Y30" s="1445"/>
      <c r="Z30" s="1445"/>
      <c r="AQ30" s="1433"/>
      <c r="AS30" s="1433"/>
    </row>
    <row r="31" spans="1:45" ht="15">
      <c r="A31" s="1414"/>
      <c r="B31" s="1408" t="s">
        <v>96</v>
      </c>
      <c r="C31" s="1445"/>
      <c r="D31" s="1445"/>
      <c r="E31" s="1445"/>
      <c r="F31" s="1445"/>
      <c r="G31" s="1445"/>
      <c r="H31" s="1445"/>
      <c r="I31" s="1445"/>
      <c r="J31" s="1445"/>
      <c r="K31" s="1445"/>
      <c r="L31" s="1445"/>
      <c r="M31" s="1445"/>
      <c r="N31" s="1445"/>
      <c r="O31" s="1445"/>
      <c r="P31" s="1445"/>
      <c r="Q31" s="1445"/>
      <c r="R31" s="1445"/>
      <c r="S31" s="1445"/>
      <c r="T31" s="1445"/>
      <c r="U31" s="1445"/>
      <c r="V31" s="1445"/>
      <c r="W31" s="1484"/>
      <c r="X31" s="1445"/>
      <c r="Y31" s="1445"/>
      <c r="Z31" s="1445"/>
      <c r="AQ31" s="1433"/>
      <c r="AS31" s="1433"/>
    </row>
    <row r="32" spans="1:26" ht="15">
      <c r="A32" s="1414"/>
      <c r="B32" s="1464" t="s">
        <v>745</v>
      </c>
      <c r="C32" s="1445"/>
      <c r="D32" s="1445"/>
      <c r="E32" s="1445"/>
      <c r="F32" s="1445"/>
      <c r="G32" s="1445"/>
      <c r="H32" s="1445"/>
      <c r="I32" s="1445"/>
      <c r="J32" s="1445"/>
      <c r="K32" s="1445"/>
      <c r="L32" s="1445"/>
      <c r="M32" s="1445"/>
      <c r="N32" s="1445"/>
      <c r="O32" s="1445"/>
      <c r="P32" s="1445"/>
      <c r="Q32" s="1445"/>
      <c r="R32" s="1445"/>
      <c r="S32" s="1445"/>
      <c r="T32" s="1445"/>
      <c r="U32" s="1445"/>
      <c r="V32" s="1445"/>
      <c r="W32" s="1486"/>
      <c r="X32" s="1445"/>
      <c r="Y32" s="1445"/>
      <c r="Z32" s="1445"/>
    </row>
    <row r="33" spans="1:26" ht="15.6">
      <c r="A33" s="1414"/>
      <c r="B33" s="1464" t="s">
        <v>744</v>
      </c>
      <c r="C33" s="1445"/>
      <c r="D33" s="1445"/>
      <c r="E33" s="1445"/>
      <c r="F33" s="1445"/>
      <c r="G33" s="1445"/>
      <c r="H33" s="1445"/>
      <c r="I33" s="1445"/>
      <c r="J33" s="1445"/>
      <c r="K33" s="1445"/>
      <c r="L33" s="1445"/>
      <c r="M33" s="1487"/>
      <c r="N33" s="1445"/>
      <c r="O33" s="1445"/>
      <c r="P33" s="1445"/>
      <c r="Q33" s="1445"/>
      <c r="R33" s="1445"/>
      <c r="S33" s="1445"/>
      <c r="T33" s="1445"/>
      <c r="U33" s="1445"/>
      <c r="V33" s="1445"/>
      <c r="W33" s="1486"/>
      <c r="X33" s="1445"/>
      <c r="Y33" s="1445"/>
      <c r="Z33" s="1445"/>
    </row>
    <row r="34" spans="1:26" ht="15">
      <c r="A34" s="1414"/>
      <c r="B34" s="1464" t="s">
        <v>95</v>
      </c>
      <c r="C34" s="1445"/>
      <c r="D34" s="1445"/>
      <c r="E34" s="1445"/>
      <c r="F34" s="1445"/>
      <c r="G34" s="1445"/>
      <c r="H34" s="1445"/>
      <c r="I34" s="1445"/>
      <c r="J34" s="1445"/>
      <c r="K34" s="1445"/>
      <c r="L34" s="1445"/>
      <c r="M34" s="1445"/>
      <c r="N34" s="1445"/>
      <c r="O34" s="1445"/>
      <c r="P34" s="1445"/>
      <c r="Q34" s="1445"/>
      <c r="R34" s="1445"/>
      <c r="S34" s="1445"/>
      <c r="T34" s="1445"/>
      <c r="U34" s="1445"/>
      <c r="V34" s="1445"/>
      <c r="W34" s="1486"/>
      <c r="X34" s="1445"/>
      <c r="Y34" s="1445"/>
      <c r="Z34" s="1445"/>
    </row>
    <row r="35" spans="1:26" ht="15">
      <c r="A35" s="1488"/>
      <c r="B35" s="1489" t="s">
        <v>577</v>
      </c>
      <c r="C35" s="1490"/>
      <c r="D35" s="1490"/>
      <c r="E35" s="1490"/>
      <c r="F35" s="1490"/>
      <c r="G35" s="1490"/>
      <c r="H35" s="1490"/>
      <c r="I35" s="1490"/>
      <c r="J35" s="1490"/>
      <c r="K35" s="1490"/>
      <c r="L35" s="1490"/>
      <c r="M35" s="1490"/>
      <c r="N35" s="1490"/>
      <c r="O35" s="1490"/>
      <c r="P35" s="1490"/>
      <c r="Q35" s="1490"/>
      <c r="R35" s="1490"/>
      <c r="S35" s="1490"/>
      <c r="T35" s="1490"/>
      <c r="U35" s="1490"/>
      <c r="V35" s="1490"/>
      <c r="W35" s="1491"/>
      <c r="X35" s="1445"/>
      <c r="Y35" s="1445"/>
      <c r="Z35" s="1445"/>
    </row>
    <row r="36" spans="2:26" ht="15">
      <c r="B36" s="1464"/>
      <c r="C36" s="1445"/>
      <c r="D36" s="1445"/>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row>
    <row r="37" spans="2:26" ht="15">
      <c r="B37" s="1464"/>
      <c r="C37" s="1445"/>
      <c r="D37" s="1445"/>
      <c r="E37" s="1445"/>
      <c r="F37" s="1445"/>
      <c r="G37" s="1445"/>
      <c r="H37" s="1445"/>
      <c r="I37" s="1445"/>
      <c r="J37" s="1445"/>
      <c r="K37" s="1445"/>
      <c r="L37" s="1445"/>
      <c r="M37" s="1445"/>
      <c r="N37" s="1445"/>
      <c r="O37" s="1445"/>
      <c r="P37" s="1445"/>
      <c r="Q37" s="1445"/>
      <c r="R37" s="1445"/>
      <c r="S37" s="1445"/>
      <c r="T37" s="1445"/>
      <c r="U37" s="1445"/>
      <c r="V37" s="1445"/>
      <c r="W37" s="1445"/>
      <c r="X37" s="1445"/>
      <c r="Y37" s="1445"/>
      <c r="Z37" s="1445"/>
    </row>
    <row r="38" spans="2:27" ht="15.6">
      <c r="B38" s="1487"/>
      <c r="C38" s="1445"/>
      <c r="D38" s="1445"/>
      <c r="E38" s="1445"/>
      <c r="F38" s="1445"/>
      <c r="G38" s="1445"/>
      <c r="H38" s="1445"/>
      <c r="I38" s="1445"/>
      <c r="J38" s="1445"/>
      <c r="K38" s="1445"/>
      <c r="L38" s="1445"/>
      <c r="M38" s="1445"/>
      <c r="N38" s="1445"/>
      <c r="O38" s="1445"/>
      <c r="P38" s="1445"/>
      <c r="Q38" s="1445"/>
      <c r="R38" s="1445"/>
      <c r="S38" s="1445"/>
      <c r="T38" s="1445"/>
      <c r="U38" s="1445"/>
      <c r="V38" s="1445"/>
      <c r="W38" s="1445"/>
      <c r="X38" s="1445"/>
      <c r="Y38" s="1445"/>
      <c r="Z38" s="1490"/>
      <c r="AA38" s="1468"/>
    </row>
    <row r="39" spans="1:27" ht="15.6">
      <c r="A39" s="1411"/>
      <c r="B39" s="1492" t="s">
        <v>743</v>
      </c>
      <c r="C39" s="1493"/>
      <c r="D39" s="1493"/>
      <c r="E39" s="1493"/>
      <c r="F39" s="1493"/>
      <c r="G39" s="1493"/>
      <c r="H39" s="1493"/>
      <c r="I39" s="1493"/>
      <c r="J39" s="1493"/>
      <c r="K39" s="1493"/>
      <c r="L39" s="1493"/>
      <c r="M39" s="1493"/>
      <c r="N39" s="1493"/>
      <c r="O39" s="1493"/>
      <c r="P39" s="1493"/>
      <c r="Q39" s="1493"/>
      <c r="R39" s="1493"/>
      <c r="S39" s="1493"/>
      <c r="T39" s="1493"/>
      <c r="U39" s="1493"/>
      <c r="V39" s="1493"/>
      <c r="W39" s="1493"/>
      <c r="X39" s="1493"/>
      <c r="Y39" s="1493"/>
      <c r="Z39" s="1493"/>
      <c r="AA39" s="1494"/>
    </row>
    <row r="40" spans="1:27" ht="16.2" thickBot="1">
      <c r="A40" s="1414"/>
      <c r="B40" s="1434"/>
      <c r="C40" s="1445"/>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26"/>
    </row>
    <row r="41" spans="1:27" ht="16.2" thickBot="1">
      <c r="A41" s="1414"/>
      <c r="B41" s="1417" t="s">
        <v>886</v>
      </c>
      <c r="C41" s="1495">
        <f>C9</f>
        <v>45657</v>
      </c>
      <c r="D41" s="1445"/>
      <c r="E41" s="1445"/>
      <c r="F41" s="1445"/>
      <c r="G41" s="1445"/>
      <c r="H41" s="1445"/>
      <c r="I41" s="1445"/>
      <c r="J41" s="1445"/>
      <c r="K41" s="1445"/>
      <c r="L41" s="1445"/>
      <c r="M41" s="1445"/>
      <c r="N41" s="1445"/>
      <c r="O41" s="1445"/>
      <c r="P41" s="1445"/>
      <c r="Q41" s="1445"/>
      <c r="R41" s="1445"/>
      <c r="S41" s="1445"/>
      <c r="T41" s="1445"/>
      <c r="U41" s="1445"/>
      <c r="V41" s="1445"/>
      <c r="W41" s="1445"/>
      <c r="X41" s="1445"/>
      <c r="Y41" s="1445"/>
      <c r="Z41" s="1445"/>
      <c r="AA41" s="1426"/>
    </row>
    <row r="42" spans="1:45" s="1421" customFormat="1" ht="15.6">
      <c r="A42" s="1420"/>
      <c r="D42" s="1422" t="s">
        <v>93</v>
      </c>
      <c r="G42" s="1422" t="s">
        <v>92</v>
      </c>
      <c r="I42" s="1422" t="s">
        <v>91</v>
      </c>
      <c r="K42" s="1422" t="s">
        <v>90</v>
      </c>
      <c r="L42" s="1421">
        <v>14</v>
      </c>
      <c r="M42" s="1422" t="s">
        <v>89</v>
      </c>
      <c r="O42" s="1422" t="s">
        <v>88</v>
      </c>
      <c r="Q42" s="1421" t="s">
        <v>87</v>
      </c>
      <c r="S42" s="1421" t="s">
        <v>86</v>
      </c>
      <c r="U42" s="1422" t="s">
        <v>85</v>
      </c>
      <c r="W42" s="1422" t="s">
        <v>84</v>
      </c>
      <c r="Y42" s="1421" t="s">
        <v>83</v>
      </c>
      <c r="AA42" s="1423" t="s">
        <v>751</v>
      </c>
      <c r="AQ42" s="1496"/>
      <c r="AS42" s="1496"/>
    </row>
    <row r="43" spans="1:33" ht="15.6">
      <c r="A43" s="1414"/>
      <c r="B43" s="1487"/>
      <c r="K43" s="1424" t="s">
        <v>891</v>
      </c>
      <c r="L43" s="1424"/>
      <c r="O43" s="1424" t="s">
        <v>742</v>
      </c>
      <c r="Q43" s="1424" t="s">
        <v>752</v>
      </c>
      <c r="U43" s="1424" t="s">
        <v>887</v>
      </c>
      <c r="AA43" s="1429" t="s">
        <v>741</v>
      </c>
      <c r="AB43" s="1424"/>
      <c r="AD43" s="1424"/>
      <c r="AE43" s="1424"/>
      <c r="AF43" s="1424"/>
      <c r="AG43" s="1424"/>
    </row>
    <row r="44" spans="1:34" ht="15">
      <c r="A44" s="1414"/>
      <c r="D44" s="1424" t="s">
        <v>894</v>
      </c>
      <c r="E44" s="1424"/>
      <c r="F44" s="1424"/>
      <c r="G44" s="1424" t="s">
        <v>895</v>
      </c>
      <c r="H44" s="1424"/>
      <c r="I44" s="1424" t="s">
        <v>802</v>
      </c>
      <c r="J44" s="1424"/>
      <c r="K44" s="1424" t="s">
        <v>896</v>
      </c>
      <c r="L44" s="1424"/>
      <c r="M44" s="1424" t="s">
        <v>897</v>
      </c>
      <c r="N44" s="1424"/>
      <c r="O44" s="1424" t="s">
        <v>898</v>
      </c>
      <c r="P44" s="1424"/>
      <c r="Q44" s="1424" t="s">
        <v>794</v>
      </c>
      <c r="S44" s="1424" t="s">
        <v>887</v>
      </c>
      <c r="T44" s="1424"/>
      <c r="U44" s="1424" t="s">
        <v>899</v>
      </c>
      <c r="V44" s="1424"/>
      <c r="W44" s="1424" t="s">
        <v>900</v>
      </c>
      <c r="X44" s="1424"/>
      <c r="Y44" s="1424" t="s">
        <v>901</v>
      </c>
      <c r="Z44" s="1424"/>
      <c r="AA44" s="1429" t="s">
        <v>82</v>
      </c>
      <c r="AB44" s="1424"/>
      <c r="AD44" s="1424"/>
      <c r="AF44" s="1424"/>
      <c r="AG44" s="1425"/>
      <c r="AH44" s="1424"/>
    </row>
    <row r="45" spans="1:34" ht="15.6">
      <c r="A45" s="1414"/>
      <c r="B45" s="1434" t="s">
        <v>740</v>
      </c>
      <c r="C45" s="1408" t="s">
        <v>81</v>
      </c>
      <c r="D45" s="1424" t="s">
        <v>902</v>
      </c>
      <c r="E45" s="1431"/>
      <c r="F45" s="1431"/>
      <c r="G45" s="1424" t="s">
        <v>902</v>
      </c>
      <c r="H45" s="1431"/>
      <c r="I45" s="1424" t="s">
        <v>903</v>
      </c>
      <c r="J45" s="1431"/>
      <c r="K45" s="1424" t="s">
        <v>904</v>
      </c>
      <c r="L45" s="1431"/>
      <c r="M45" s="1424" t="s">
        <v>890</v>
      </c>
      <c r="N45" s="1424"/>
      <c r="O45" s="1424" t="s">
        <v>905</v>
      </c>
      <c r="P45" s="1424"/>
      <c r="Q45" s="1424" t="s">
        <v>753</v>
      </c>
      <c r="S45" s="1424" t="s">
        <v>899</v>
      </c>
      <c r="T45" s="1424"/>
      <c r="U45" s="1424" t="s">
        <v>906</v>
      </c>
      <c r="V45" s="1431"/>
      <c r="W45" s="1424" t="s">
        <v>907</v>
      </c>
      <c r="X45" s="1431"/>
      <c r="Y45" s="1424" t="s">
        <v>285</v>
      </c>
      <c r="Z45" s="1431"/>
      <c r="AA45" s="1429" t="s">
        <v>80</v>
      </c>
      <c r="AB45" s="1424"/>
      <c r="AD45" s="1424"/>
      <c r="AF45" s="1424"/>
      <c r="AG45" s="1425"/>
      <c r="AH45" s="1424"/>
    </row>
    <row r="46" spans="1:34" ht="15">
      <c r="A46" s="1414"/>
      <c r="D46" s="1424"/>
      <c r="E46" s="1431"/>
      <c r="F46" s="1431"/>
      <c r="G46" s="1424"/>
      <c r="H46" s="1431"/>
      <c r="I46" s="1424"/>
      <c r="J46" s="1431"/>
      <c r="K46" s="1424"/>
      <c r="L46" s="1431"/>
      <c r="M46" s="1424"/>
      <c r="N46" s="1424"/>
      <c r="O46" s="1424"/>
      <c r="P46" s="1424"/>
      <c r="S46" s="1424"/>
      <c r="T46" s="1424"/>
      <c r="U46" s="1424"/>
      <c r="V46" s="1431"/>
      <c r="W46" s="1424"/>
      <c r="X46" s="1431"/>
      <c r="Y46" s="1424"/>
      <c r="Z46" s="1431"/>
      <c r="AA46" s="1429"/>
      <c r="AB46" s="1424"/>
      <c r="AD46" s="1424"/>
      <c r="AF46" s="1424"/>
      <c r="AG46" s="1425"/>
      <c r="AH46" s="1424"/>
    </row>
    <row r="47" spans="1:34" ht="15">
      <c r="A47" s="1414"/>
      <c r="B47" s="1460"/>
      <c r="D47" s="1424"/>
      <c r="E47" s="1431"/>
      <c r="F47" s="1431"/>
      <c r="G47" s="1424"/>
      <c r="H47" s="1431"/>
      <c r="I47" s="1424"/>
      <c r="J47" s="1431"/>
      <c r="K47" s="1424"/>
      <c r="L47" s="1431"/>
      <c r="M47" s="1424"/>
      <c r="N47" s="1424"/>
      <c r="O47" s="1424"/>
      <c r="P47" s="1424"/>
      <c r="S47" s="1431"/>
      <c r="T47" s="1424"/>
      <c r="U47" s="1424"/>
      <c r="V47" s="1431"/>
      <c r="W47" s="1424"/>
      <c r="X47" s="1431"/>
      <c r="Y47" s="1424"/>
      <c r="Z47" s="1431"/>
      <c r="AA47" s="1429"/>
      <c r="AB47" s="1424"/>
      <c r="AD47" s="1424"/>
      <c r="AF47" s="1424"/>
      <c r="AG47" s="1424"/>
      <c r="AH47" s="1424"/>
    </row>
    <row r="48" spans="1:34" ht="15">
      <c r="A48" s="1497" t="s">
        <v>79</v>
      </c>
      <c r="B48" s="1498" t="s">
        <v>1366</v>
      </c>
      <c r="C48" s="1499" t="s">
        <v>807</v>
      </c>
      <c r="D48" s="1500">
        <v>41984</v>
      </c>
      <c r="G48" s="1501">
        <v>45810</v>
      </c>
      <c r="I48" s="1502">
        <v>550000000</v>
      </c>
      <c r="K48" s="1502">
        <v>-418000</v>
      </c>
      <c r="M48" s="1503">
        <v>4334571</v>
      </c>
      <c r="N48" s="1504"/>
      <c r="O48" s="1505">
        <v>0</v>
      </c>
      <c r="P48" s="1504"/>
      <c r="Q48" s="1424" t="s">
        <v>763</v>
      </c>
      <c r="S48" s="1506">
        <f>+I48+K48-M48-O48</f>
        <v>545247429</v>
      </c>
      <c r="T48" s="1504"/>
      <c r="U48" s="1507">
        <f>(S48/I48)*100</f>
        <v>99.135896181818183</v>
      </c>
      <c r="W48" s="1508">
        <v>0.0385</v>
      </c>
      <c r="Y48" s="1427">
        <f>W48*I48</f>
        <v>21175000</v>
      </c>
      <c r="AA48" s="1509">
        <f>YIELD(D48,G48,W48,U48,100,2,0)</f>
        <v>0.039514347101496212</v>
      </c>
      <c r="AB48" s="1510"/>
      <c r="AD48" s="1510"/>
      <c r="AF48" s="1511"/>
      <c r="AG48" s="1464"/>
      <c r="AH48" s="1464"/>
    </row>
    <row r="49" spans="1:34" ht="15">
      <c r="A49" s="1497" t="s">
        <v>78</v>
      </c>
      <c r="B49" s="1498" t="s">
        <v>1367</v>
      </c>
      <c r="C49" s="1499"/>
      <c r="D49" s="1500">
        <v>42293</v>
      </c>
      <c r="E49" s="1431"/>
      <c r="F49" s="1431"/>
      <c r="G49" s="1500">
        <v>45807</v>
      </c>
      <c r="H49" s="1431"/>
      <c r="I49" s="1512">
        <v>75000000</v>
      </c>
      <c r="J49" s="1431"/>
      <c r="K49" s="1513"/>
      <c r="L49" s="1431"/>
      <c r="M49" s="1514">
        <v>562353</v>
      </c>
      <c r="N49" s="1424"/>
      <c r="O49" s="1513"/>
      <c r="P49" s="1424"/>
      <c r="Q49" s="1424"/>
      <c r="S49" s="1515">
        <f>+I49+K49-M49-O49</f>
        <v>74437647</v>
      </c>
      <c r="T49" s="1424"/>
      <c r="U49" s="1507">
        <f>(S49/I49)*100</f>
        <v>99.250196000000003</v>
      </c>
      <c r="V49" s="1431"/>
      <c r="W49" s="1508">
        <v>0.037600000000000001</v>
      </c>
      <c r="X49" s="1431"/>
      <c r="Y49" s="1516">
        <f>W49*I49</f>
        <v>2820000</v>
      </c>
      <c r="Z49" s="1431"/>
      <c r="AA49" s="1509">
        <f>YIELD(D49,G49,W49,U49,100,2,0)</f>
        <v>0.038535860120355127</v>
      </c>
      <c r="AB49" s="1424"/>
      <c r="AD49" s="1424"/>
      <c r="AF49" s="1424"/>
      <c r="AG49" s="1424"/>
      <c r="AH49" s="1424"/>
    </row>
    <row r="50" spans="1:27" ht="15" hidden="1">
      <c r="A50" s="1414"/>
      <c r="AA50" s="1426"/>
    </row>
    <row r="51" spans="1:33" ht="15" hidden="1">
      <c r="A51" s="1517"/>
      <c r="B51" s="1460"/>
      <c r="D51" s="1461"/>
      <c r="G51" s="1461"/>
      <c r="I51" s="1518"/>
      <c r="K51" s="1518"/>
      <c r="M51" s="1518"/>
      <c r="N51" s="1518"/>
      <c r="O51" s="1518"/>
      <c r="P51" s="1518"/>
      <c r="T51" s="1518"/>
      <c r="U51" s="1507"/>
      <c r="W51" s="1511"/>
      <c r="Y51" s="1518">
        <f>W51*I51</f>
        <v>0</v>
      </c>
      <c r="AA51" s="1519"/>
      <c r="AG51" s="1464"/>
    </row>
    <row r="52" spans="1:33" ht="15" hidden="1">
      <c r="A52" s="1520"/>
      <c r="B52" s="1439"/>
      <c r="D52" s="1461"/>
      <c r="G52" s="1461"/>
      <c r="I52" s="1518"/>
      <c r="K52" s="1518"/>
      <c r="M52" s="1518"/>
      <c r="N52" s="1518"/>
      <c r="O52" s="1518"/>
      <c r="P52" s="1518"/>
      <c r="Q52" s="1424"/>
      <c r="S52" s="1506"/>
      <c r="T52" s="1518"/>
      <c r="U52" s="1507"/>
      <c r="W52" s="1511"/>
      <c r="Y52" s="1518"/>
      <c r="AA52" s="1521"/>
      <c r="AG52" s="1464"/>
    </row>
    <row r="53" spans="1:33" ht="15" hidden="1">
      <c r="A53" s="1414"/>
      <c r="B53" s="1464"/>
      <c r="D53" s="1522"/>
      <c r="G53" s="1523"/>
      <c r="I53" s="1524"/>
      <c r="K53" s="1524"/>
      <c r="M53" s="1524"/>
      <c r="N53" s="1518"/>
      <c r="O53" s="1524"/>
      <c r="P53" s="1518"/>
      <c r="Q53" s="1468"/>
      <c r="S53" s="1468"/>
      <c r="T53" s="1518"/>
      <c r="Y53" s="1516"/>
      <c r="AA53" s="1519"/>
      <c r="AE53" s="1511"/>
      <c r="AG53" s="1464"/>
    </row>
    <row r="54" spans="1:33" ht="15">
      <c r="A54" s="1414"/>
      <c r="B54" s="1525" t="s">
        <v>77</v>
      </c>
      <c r="D54" s="1522"/>
      <c r="G54" s="1523"/>
      <c r="I54" s="1526">
        <f>SUM(I48:I53)</f>
        <v>625000000</v>
      </c>
      <c r="K54" s="1527">
        <f>SUM(K48:K53)</f>
        <v>-418000</v>
      </c>
      <c r="M54" s="1526">
        <f>SUM(M48:M53)</f>
        <v>4896924</v>
      </c>
      <c r="N54" s="1506"/>
      <c r="O54" s="1518">
        <f>SUM(O48:O53)</f>
        <v>0</v>
      </c>
      <c r="P54" s="1506"/>
      <c r="Q54" s="1424" t="s">
        <v>763</v>
      </c>
      <c r="S54" s="1504">
        <f>SUM(S48:S53)</f>
        <v>619685076</v>
      </c>
      <c r="T54" s="1506"/>
      <c r="Y54" s="1506">
        <f>SUM(Y48:Y53)</f>
        <v>23995000</v>
      </c>
      <c r="AA54" s="1509"/>
      <c r="AE54" s="1511"/>
      <c r="AG54" s="1464"/>
    </row>
    <row r="55" spans="1:35" ht="15">
      <c r="A55" s="1414"/>
      <c r="B55" s="1408" t="s">
        <v>76</v>
      </c>
      <c r="D55" s="1522"/>
      <c r="G55" s="1523"/>
      <c r="I55" s="1518"/>
      <c r="K55" s="1518"/>
      <c r="M55" s="1518"/>
      <c r="N55" s="1518"/>
      <c r="O55" s="1518"/>
      <c r="P55" s="1518"/>
      <c r="Q55" s="1518"/>
      <c r="R55" s="1518"/>
      <c r="W55" s="1518"/>
      <c r="Y55" s="1518"/>
      <c r="AA55" s="1528"/>
      <c r="AE55" s="1511"/>
      <c r="AG55" s="1464"/>
      <c r="AI55" s="1427"/>
    </row>
    <row r="56" spans="1:27" ht="18.6">
      <c r="A56" s="1414"/>
      <c r="B56" s="1464" t="s">
        <v>1368</v>
      </c>
      <c r="M56" s="1529"/>
      <c r="N56" s="1529"/>
      <c r="O56" s="1529"/>
      <c r="P56" s="1529"/>
      <c r="Q56" s="1529"/>
      <c r="R56" s="1529"/>
      <c r="AA56" s="1530"/>
    </row>
    <row r="57" spans="1:27" ht="15">
      <c r="A57" s="1488"/>
      <c r="B57" s="1489"/>
      <c r="C57" s="1468"/>
      <c r="D57" s="1468"/>
      <c r="E57" s="1468"/>
      <c r="F57" s="1468"/>
      <c r="G57" s="1468"/>
      <c r="H57" s="1468"/>
      <c r="I57" s="1468"/>
      <c r="J57" s="1468"/>
      <c r="K57" s="1468"/>
      <c r="L57" s="1468"/>
      <c r="M57" s="1531"/>
      <c r="N57" s="1531"/>
      <c r="O57" s="1531"/>
      <c r="P57" s="1531"/>
      <c r="Q57" s="1531"/>
      <c r="R57" s="1531"/>
      <c r="S57" s="1468"/>
      <c r="T57" s="1468"/>
      <c r="U57" s="1468"/>
      <c r="V57" s="1468"/>
      <c r="W57" s="1468"/>
      <c r="X57" s="1468"/>
      <c r="Y57" s="1468"/>
      <c r="Z57" s="1468"/>
      <c r="AA57" s="1532"/>
    </row>
    <row r="58" spans="2:25" ht="15">
      <c r="B58" s="1464"/>
      <c r="M58" s="1533"/>
      <c r="N58" s="1533"/>
      <c r="O58" s="1533"/>
      <c r="P58" s="1533"/>
      <c r="Q58" s="1533"/>
      <c r="R58" s="1533"/>
      <c r="Y58" s="1463"/>
    </row>
    <row r="59" spans="2:25" ht="17.4">
      <c r="B59" s="1534"/>
      <c r="M59" s="1535"/>
      <c r="N59" s="1535"/>
      <c r="O59" s="1535"/>
      <c r="P59" s="1535"/>
      <c r="Q59" s="1535"/>
      <c r="R59" s="1535"/>
      <c r="Y59" s="1518"/>
    </row>
    <row r="60" spans="25:27" ht="15">
      <c r="Y60" s="1518"/>
      <c r="AA60" s="1463"/>
    </row>
    <row r="61" spans="4:25" ht="15">
      <c r="D61" s="1518"/>
      <c r="G61" s="1518"/>
      <c r="M61" s="1518"/>
      <c r="N61" s="1518"/>
      <c r="O61" s="1518"/>
      <c r="P61" s="1518"/>
      <c r="Q61" s="1518"/>
      <c r="R61" s="1518"/>
      <c r="W61" s="1536"/>
      <c r="Y61" s="1518"/>
    </row>
    <row r="62" spans="23:23" ht="15">
      <c r="W62" s="1536"/>
    </row>
    <row r="63" spans="4:25" ht="15">
      <c r="D63" s="1537"/>
      <c r="G63" s="1537"/>
      <c r="M63" s="1537"/>
      <c r="N63" s="1537"/>
      <c r="O63" s="1537"/>
      <c r="P63" s="1537"/>
      <c r="Q63" s="1537"/>
      <c r="R63" s="1537"/>
      <c r="W63" s="1536"/>
      <c r="Y63" s="1537"/>
    </row>
    <row r="64" spans="2:2" ht="15">
      <c r="B64" s="1464"/>
    </row>
    <row r="65" spans="2:2" ht="15">
      <c r="B65" s="1464"/>
    </row>
    <row r="67" spans="2:4" ht="15">
      <c r="B67" s="1538"/>
      <c r="D67" s="1504"/>
    </row>
    <row r="68" spans="2:4" ht="15">
      <c r="B68" s="1538"/>
      <c r="D68" s="1504"/>
    </row>
    <row r="69" spans="2:11" ht="15.6">
      <c r="B69" s="1539"/>
      <c r="C69" s="1410"/>
      <c r="D69" s="1410"/>
      <c r="E69" s="1410"/>
      <c r="F69" s="1410"/>
      <c r="G69" s="1410"/>
      <c r="H69" s="1410"/>
      <c r="I69" s="1410"/>
      <c r="J69" s="1410"/>
      <c r="K69" s="1410"/>
    </row>
    <row r="70" spans="4:11" ht="15">
      <c r="D70" s="1424"/>
      <c r="G70" s="1424"/>
      <c r="I70" s="1424"/>
      <c r="K70" s="1424"/>
    </row>
    <row r="71" spans="4:11" ht="15">
      <c r="D71" s="1424"/>
      <c r="G71" s="1424"/>
      <c r="I71" s="1424"/>
      <c r="K71" s="1424"/>
    </row>
    <row r="72" spans="4:11" ht="15">
      <c r="D72" s="1504"/>
      <c r="G72" s="1540"/>
      <c r="I72" s="1540"/>
      <c r="K72" s="1540"/>
    </row>
    <row r="73" spans="4:9" ht="15">
      <c r="D73" s="1504"/>
      <c r="G73" s="1540"/>
      <c r="I73" s="1540"/>
    </row>
    <row r="74" spans="4:11" ht="15">
      <c r="D74" s="1504"/>
      <c r="G74" s="1540"/>
      <c r="I74" s="1540"/>
      <c r="K74" s="1540"/>
    </row>
    <row r="75" spans="4:9" ht="15">
      <c r="D75" s="1504"/>
      <c r="G75" s="1540"/>
      <c r="I75" s="1540"/>
    </row>
    <row r="76" spans="4:11" ht="15">
      <c r="D76" s="1504"/>
      <c r="G76" s="1540"/>
      <c r="I76" s="1540"/>
      <c r="K76" s="1540"/>
    </row>
    <row r="77" spans="4:9" ht="15">
      <c r="D77" s="1504"/>
      <c r="G77" s="1540"/>
      <c r="I77" s="1540"/>
    </row>
    <row r="78" spans="4:26" ht="15.6">
      <c r="D78" s="1504"/>
      <c r="G78" s="1540"/>
      <c r="K78" s="1540"/>
      <c r="L78" s="1410"/>
      <c r="M78" s="1410"/>
      <c r="N78" s="1410"/>
      <c r="O78" s="1410"/>
      <c r="P78" s="1410"/>
      <c r="Q78" s="1410"/>
      <c r="R78" s="1410"/>
      <c r="S78" s="1410"/>
      <c r="T78" s="1410"/>
      <c r="U78" s="1410"/>
      <c r="V78" s="1410"/>
      <c r="W78" s="1410"/>
      <c r="X78" s="1410"/>
      <c r="Y78" s="1410"/>
      <c r="Z78" s="1410"/>
    </row>
    <row r="79" spans="4:26" ht="15.6">
      <c r="D79" s="1504"/>
      <c r="G79" s="1540"/>
      <c r="K79" s="1540"/>
      <c r="L79" s="1410"/>
      <c r="M79" s="1410"/>
      <c r="N79" s="1410"/>
      <c r="O79" s="1410"/>
      <c r="P79" s="1410"/>
      <c r="Q79" s="1410"/>
      <c r="R79" s="1410"/>
      <c r="S79" s="1410"/>
      <c r="T79" s="1410"/>
      <c r="U79" s="1410"/>
      <c r="V79" s="1410"/>
      <c r="W79" s="1410"/>
      <c r="X79" s="1410"/>
      <c r="Y79" s="1410"/>
      <c r="Z79" s="1410"/>
    </row>
    <row r="80" spans="4:26" ht="15.6">
      <c r="D80" s="1504"/>
      <c r="G80" s="1540"/>
      <c r="K80" s="1540"/>
      <c r="L80" s="1410"/>
      <c r="M80" s="1410"/>
      <c r="N80" s="1410"/>
      <c r="O80" s="1410"/>
      <c r="P80" s="1410"/>
      <c r="Q80" s="1410"/>
      <c r="R80" s="1410"/>
      <c r="S80" s="1410"/>
      <c r="T80" s="1410"/>
      <c r="U80" s="1410"/>
      <c r="V80" s="1410"/>
      <c r="W80" s="1410"/>
      <c r="X80" s="1410"/>
      <c r="Y80" s="1410"/>
      <c r="Z80" s="1410"/>
    </row>
    <row r="81" spans="4:26" ht="15.6">
      <c r="D81" s="1504"/>
      <c r="G81" s="1540"/>
      <c r="K81" s="1540"/>
      <c r="L81" s="1410"/>
      <c r="M81" s="1410"/>
      <c r="N81" s="1410"/>
      <c r="O81" s="1410"/>
      <c r="P81" s="1410"/>
      <c r="Q81" s="1410"/>
      <c r="R81" s="1410"/>
      <c r="S81" s="1410"/>
      <c r="T81" s="1410"/>
      <c r="U81" s="1410"/>
      <c r="V81" s="1410"/>
      <c r="W81" s="1410"/>
      <c r="X81" s="1410"/>
      <c r="Y81" s="1410"/>
      <c r="Z81" s="1410"/>
    </row>
    <row r="82" spans="2:26" ht="15.6">
      <c r="B82" s="1410"/>
      <c r="C82" s="1410"/>
      <c r="D82" s="1410"/>
      <c r="E82" s="1410"/>
      <c r="F82" s="1410"/>
      <c r="G82" s="1410"/>
      <c r="H82" s="1410"/>
      <c r="I82" s="1410"/>
      <c r="J82" s="1410"/>
      <c r="K82" s="1410"/>
      <c r="L82" s="1410"/>
      <c r="M82" s="1410"/>
      <c r="N82" s="1410"/>
      <c r="O82" s="1410"/>
      <c r="P82" s="1410"/>
      <c r="Q82" s="1410"/>
      <c r="R82" s="1410"/>
      <c r="S82" s="1410"/>
      <c r="T82" s="1410"/>
      <c r="U82" s="1410"/>
      <c r="V82" s="1410"/>
      <c r="W82" s="1410"/>
      <c r="X82" s="1410"/>
      <c r="Y82" s="1410"/>
      <c r="Z82" s="1410"/>
    </row>
    <row r="83" spans="2:2" ht="15.6">
      <c r="B83" s="1409"/>
    </row>
    <row r="84" spans="2:22" ht="15.6">
      <c r="B84" s="1434"/>
      <c r="G84" s="1424"/>
      <c r="H84" s="1424"/>
      <c r="I84" s="1424"/>
      <c r="J84" s="1424"/>
      <c r="K84" s="1424"/>
      <c r="L84" s="1424"/>
      <c r="M84" s="1424"/>
      <c r="N84" s="1424"/>
      <c r="O84" s="1424"/>
      <c r="P84" s="1424"/>
      <c r="Q84" s="1424"/>
      <c r="R84" s="1424"/>
      <c r="S84" s="1424"/>
      <c r="T84" s="1424"/>
      <c r="U84" s="1424"/>
      <c r="V84" s="1424"/>
    </row>
    <row r="85" spans="4:26" ht="15">
      <c r="D85" s="1424"/>
      <c r="E85" s="1424"/>
      <c r="F85" s="1424"/>
      <c r="G85" s="1424"/>
      <c r="H85" s="1424"/>
      <c r="I85" s="1424"/>
      <c r="J85" s="1424"/>
      <c r="K85" s="1424"/>
      <c r="L85" s="1424"/>
      <c r="M85" s="1424"/>
      <c r="N85" s="1424"/>
      <c r="O85" s="1424"/>
      <c r="P85" s="1424"/>
      <c r="Q85" s="1424"/>
      <c r="R85" s="1424"/>
      <c r="S85" s="1424"/>
      <c r="T85" s="1424"/>
      <c r="U85" s="1424"/>
      <c r="V85" s="1424"/>
      <c r="W85" s="1424"/>
      <c r="Y85" s="1424"/>
      <c r="Z85" s="1424"/>
    </row>
    <row r="86" spans="2:26" ht="15">
      <c r="B86" s="1436"/>
      <c r="D86" s="1424"/>
      <c r="E86" s="1424"/>
      <c r="F86" s="1424"/>
      <c r="G86" s="1424"/>
      <c r="H86" s="1424"/>
      <c r="I86" s="1424"/>
      <c r="J86" s="1424"/>
      <c r="K86" s="1424"/>
      <c r="L86" s="1424"/>
      <c r="M86" s="1424"/>
      <c r="N86" s="1424"/>
      <c r="O86" s="1424"/>
      <c r="P86" s="1424"/>
      <c r="Q86" s="1424"/>
      <c r="R86" s="1424"/>
      <c r="S86" s="1424"/>
      <c r="T86" s="1424"/>
      <c r="U86" s="1424"/>
      <c r="V86" s="1424"/>
      <c r="W86" s="1424"/>
      <c r="Y86" s="1424"/>
      <c r="Z86" s="1424"/>
    </row>
    <row r="87" spans="2:26" ht="15">
      <c r="B87" s="1436"/>
      <c r="D87" s="1424"/>
      <c r="E87" s="1424"/>
      <c r="F87" s="1424"/>
      <c r="G87" s="1424"/>
      <c r="H87" s="1424"/>
      <c r="I87" s="1424"/>
      <c r="J87" s="1424"/>
      <c r="K87" s="1424"/>
      <c r="L87" s="1424"/>
      <c r="M87" s="1424"/>
      <c r="N87" s="1424"/>
      <c r="O87" s="1424"/>
      <c r="P87" s="1424"/>
      <c r="Q87" s="1424"/>
      <c r="R87" s="1424"/>
      <c r="S87" s="1424"/>
      <c r="T87" s="1424"/>
      <c r="U87" s="1424"/>
      <c r="V87" s="1424"/>
      <c r="W87" s="1424"/>
      <c r="Y87" s="1424"/>
      <c r="Z87" s="1424"/>
    </row>
    <row r="88" spans="2:26" ht="15">
      <c r="B88" s="1464"/>
      <c r="D88" s="1427"/>
      <c r="E88" s="1427"/>
      <c r="F88" s="1427"/>
      <c r="G88" s="1427"/>
      <c r="H88" s="1445"/>
      <c r="I88" s="1427"/>
      <c r="J88" s="1445"/>
      <c r="K88" s="1445"/>
      <c r="L88" s="1445"/>
      <c r="M88" s="1445"/>
      <c r="N88" s="1445"/>
      <c r="O88" s="1445"/>
      <c r="P88" s="1445"/>
      <c r="Q88" s="1445"/>
      <c r="R88" s="1445"/>
      <c r="W88" s="1464"/>
      <c r="Y88" s="1445"/>
      <c r="Z88" s="1424"/>
    </row>
    <row r="89" spans="2:26" ht="15">
      <c r="B89" s="1464"/>
      <c r="D89" s="1427"/>
      <c r="E89" s="1427"/>
      <c r="F89" s="1427"/>
      <c r="G89" s="1427"/>
      <c r="H89" s="1445"/>
      <c r="I89" s="1427"/>
      <c r="J89" s="1445"/>
      <c r="K89" s="1445"/>
      <c r="L89" s="1445"/>
      <c r="M89" s="1445"/>
      <c r="N89" s="1445"/>
      <c r="O89" s="1445"/>
      <c r="P89" s="1445"/>
      <c r="Q89" s="1445"/>
      <c r="R89" s="1445"/>
      <c r="W89" s="1464"/>
      <c r="Y89" s="1445"/>
      <c r="Z89" s="1424"/>
    </row>
    <row r="90" spans="2:26" ht="15">
      <c r="B90" s="1464"/>
      <c r="D90" s="1427"/>
      <c r="E90" s="1427"/>
      <c r="F90" s="1427"/>
      <c r="G90" s="1427"/>
      <c r="H90" s="1445"/>
      <c r="I90" s="1427"/>
      <c r="J90" s="1445"/>
      <c r="K90" s="1445"/>
      <c r="L90" s="1445"/>
      <c r="M90" s="1445"/>
      <c r="N90" s="1445"/>
      <c r="O90" s="1445"/>
      <c r="P90" s="1445"/>
      <c r="Q90" s="1445"/>
      <c r="R90" s="1445"/>
      <c r="W90" s="1464"/>
      <c r="Y90" s="1445"/>
      <c r="Z90" s="1424"/>
    </row>
    <row r="91" spans="2:26" ht="15">
      <c r="B91" s="1419"/>
      <c r="D91" s="1427"/>
      <c r="E91" s="1427"/>
      <c r="F91" s="1427"/>
      <c r="G91" s="1427"/>
      <c r="H91" s="1445"/>
      <c r="I91" s="1427"/>
      <c r="J91" s="1445"/>
      <c r="K91" s="1445"/>
      <c r="L91" s="1445"/>
      <c r="M91" s="1445"/>
      <c r="N91" s="1445"/>
      <c r="O91" s="1445"/>
      <c r="P91" s="1445"/>
      <c r="Q91" s="1445"/>
      <c r="R91" s="1445"/>
      <c r="W91" s="1464"/>
      <c r="Y91" s="1445"/>
      <c r="Z91" s="1424"/>
    </row>
    <row r="92" spans="2:26" ht="15">
      <c r="B92" s="1419"/>
      <c r="D92" s="1427"/>
      <c r="E92" s="1427"/>
      <c r="F92" s="1427"/>
      <c r="G92" s="1427"/>
      <c r="H92" s="1445"/>
      <c r="I92" s="1427"/>
      <c r="J92" s="1445"/>
      <c r="K92" s="1445"/>
      <c r="L92" s="1445"/>
      <c r="M92" s="1445"/>
      <c r="N92" s="1445"/>
      <c r="O92" s="1445"/>
      <c r="P92" s="1445"/>
      <c r="Q92" s="1445"/>
      <c r="R92" s="1445"/>
      <c r="W92" s="1464"/>
      <c r="Y92" s="1445"/>
      <c r="Z92" s="1424"/>
    </row>
    <row r="93" spans="2:26" ht="15">
      <c r="B93" s="1460"/>
      <c r="D93" s="1427"/>
      <c r="E93" s="1427"/>
      <c r="F93" s="1427"/>
      <c r="G93" s="1427"/>
      <c r="H93" s="1445"/>
      <c r="I93" s="1427"/>
      <c r="J93" s="1445"/>
      <c r="K93" s="1445"/>
      <c r="L93" s="1445"/>
      <c r="M93" s="1445"/>
      <c r="N93" s="1445"/>
      <c r="O93" s="1445"/>
      <c r="P93" s="1445"/>
      <c r="Q93" s="1445"/>
      <c r="R93" s="1445"/>
      <c r="W93" s="1464"/>
      <c r="Y93" s="1445"/>
      <c r="Z93" s="1424"/>
    </row>
    <row r="94" spans="2:26" ht="15">
      <c r="B94" s="1464"/>
      <c r="D94" s="1427"/>
      <c r="E94" s="1427"/>
      <c r="F94" s="1427"/>
      <c r="G94" s="1427"/>
      <c r="H94" s="1445"/>
      <c r="I94" s="1427"/>
      <c r="J94" s="1445"/>
      <c r="K94" s="1445"/>
      <c r="L94" s="1445"/>
      <c r="M94" s="1445"/>
      <c r="N94" s="1445"/>
      <c r="O94" s="1445"/>
      <c r="P94" s="1445"/>
      <c r="Q94" s="1445"/>
      <c r="R94" s="1445"/>
      <c r="W94" s="1464"/>
      <c r="Y94" s="1445"/>
      <c r="Z94" s="1424"/>
    </row>
    <row r="95" spans="2:26" ht="15">
      <c r="B95" s="1464"/>
      <c r="D95" s="1427"/>
      <c r="E95" s="1427"/>
      <c r="F95" s="1427"/>
      <c r="G95" s="1427"/>
      <c r="H95" s="1445"/>
      <c r="I95" s="1427"/>
      <c r="J95" s="1445"/>
      <c r="K95" s="1445"/>
      <c r="L95" s="1445"/>
      <c r="M95" s="1445"/>
      <c r="N95" s="1445"/>
      <c r="O95" s="1445"/>
      <c r="P95" s="1445"/>
      <c r="Q95" s="1445"/>
      <c r="R95" s="1445"/>
      <c r="W95" s="1464"/>
      <c r="Y95" s="1445"/>
      <c r="Z95" s="1424"/>
    </row>
    <row r="96" spans="2:26" ht="15">
      <c r="B96" s="1464"/>
      <c r="D96" s="1427"/>
      <c r="E96" s="1427"/>
      <c r="F96" s="1427"/>
      <c r="G96" s="1427"/>
      <c r="H96" s="1445"/>
      <c r="I96" s="1427"/>
      <c r="J96" s="1445"/>
      <c r="K96" s="1445"/>
      <c r="L96" s="1445"/>
      <c r="M96" s="1445"/>
      <c r="N96" s="1445"/>
      <c r="O96" s="1445"/>
      <c r="P96" s="1445"/>
      <c r="Q96" s="1445"/>
      <c r="R96" s="1445"/>
      <c r="W96" s="1464"/>
      <c r="Y96" s="1445"/>
      <c r="Z96" s="1424"/>
    </row>
    <row r="97" spans="2:26" ht="15">
      <c r="B97" s="1464"/>
      <c r="D97" s="1427"/>
      <c r="E97" s="1427"/>
      <c r="F97" s="1427"/>
      <c r="G97" s="1427"/>
      <c r="H97" s="1445">
        <v>13847278</v>
      </c>
      <c r="I97" s="1427"/>
      <c r="J97" s="1445"/>
      <c r="K97" s="1445"/>
      <c r="L97" s="1445"/>
      <c r="M97" s="1445"/>
      <c r="N97" s="1445"/>
      <c r="O97" s="1445"/>
      <c r="P97" s="1445"/>
      <c r="Q97" s="1445"/>
      <c r="R97" s="1445"/>
      <c r="W97" s="1464"/>
      <c r="Y97" s="1445"/>
      <c r="Z97" s="1424"/>
    </row>
    <row r="98" spans="2:26" ht="15">
      <c r="B98" s="1464"/>
      <c r="D98" s="1427"/>
      <c r="E98" s="1427"/>
      <c r="F98" s="1427"/>
      <c r="G98" s="1427"/>
      <c r="H98" s="1445"/>
      <c r="I98" s="1427"/>
      <c r="J98" s="1445"/>
      <c r="K98" s="1445"/>
      <c r="L98" s="1445"/>
      <c r="M98" s="1445"/>
      <c r="N98" s="1445"/>
      <c r="O98" s="1445"/>
      <c r="P98" s="1445"/>
      <c r="Q98" s="1445"/>
      <c r="R98" s="1445"/>
      <c r="W98" s="1464"/>
      <c r="Y98" s="1445"/>
      <c r="Z98" s="1424"/>
    </row>
    <row r="99" spans="2:26" ht="15">
      <c r="B99" s="1464"/>
      <c r="D99" s="1427"/>
      <c r="E99" s="1427"/>
      <c r="F99" s="1427"/>
      <c r="G99" s="1427"/>
      <c r="H99" s="1445"/>
      <c r="I99" s="1427"/>
      <c r="J99" s="1445"/>
      <c r="K99" s="1445"/>
      <c r="L99" s="1445"/>
      <c r="M99" s="1445"/>
      <c r="N99" s="1445"/>
      <c r="O99" s="1445"/>
      <c r="P99" s="1445"/>
      <c r="Q99" s="1445"/>
      <c r="R99" s="1445"/>
      <c r="W99" s="1464"/>
      <c r="Y99" s="1445"/>
      <c r="Z99" s="1424"/>
    </row>
    <row r="100" spans="2:26" ht="15">
      <c r="B100" s="1464"/>
      <c r="D100" s="1427"/>
      <c r="E100" s="1427"/>
      <c r="F100" s="1427"/>
      <c r="G100" s="1427"/>
      <c r="H100" s="1445"/>
      <c r="I100" s="1427"/>
      <c r="J100" s="1445"/>
      <c r="K100" s="1445"/>
      <c r="L100" s="1445"/>
      <c r="M100" s="1445"/>
      <c r="N100" s="1445"/>
      <c r="O100" s="1445"/>
      <c r="P100" s="1445"/>
      <c r="Q100" s="1445"/>
      <c r="R100" s="1445"/>
      <c r="W100" s="1464"/>
      <c r="Y100" s="1445"/>
      <c r="Z100" s="1424"/>
    </row>
    <row r="101" spans="2:26" ht="15">
      <c r="B101" s="1464"/>
      <c r="D101" s="1427"/>
      <c r="E101" s="1427"/>
      <c r="F101" s="1427"/>
      <c r="G101" s="1427"/>
      <c r="H101" s="1445"/>
      <c r="I101" s="1427"/>
      <c r="J101" s="1445"/>
      <c r="K101" s="1445"/>
      <c r="L101" s="1445"/>
      <c r="M101" s="1445"/>
      <c r="N101" s="1445"/>
      <c r="O101" s="1445"/>
      <c r="P101" s="1445"/>
      <c r="Q101" s="1445"/>
      <c r="R101" s="1445"/>
      <c r="W101" s="1464"/>
      <c r="Y101" s="1445"/>
      <c r="Z101" s="1424"/>
    </row>
    <row r="102" spans="2:26" ht="15">
      <c r="B102" s="1464"/>
      <c r="D102" s="1427"/>
      <c r="E102" s="1427"/>
      <c r="F102" s="1427"/>
      <c r="G102" s="1427"/>
      <c r="H102" s="1445"/>
      <c r="I102" s="1427"/>
      <c r="J102" s="1445"/>
      <c r="K102" s="1445"/>
      <c r="L102" s="1445"/>
      <c r="M102" s="1445"/>
      <c r="N102" s="1445"/>
      <c r="O102" s="1445"/>
      <c r="P102" s="1445"/>
      <c r="Q102" s="1445"/>
      <c r="R102" s="1445"/>
      <c r="W102" s="1464"/>
      <c r="Y102" s="1445"/>
      <c r="Z102" s="1424"/>
    </row>
    <row r="103" spans="2:26" ht="15">
      <c r="B103" s="1464"/>
      <c r="D103" s="1427"/>
      <c r="E103" s="1427"/>
      <c r="F103" s="1427"/>
      <c r="G103" s="1427"/>
      <c r="H103" s="1445"/>
      <c r="I103" s="1427"/>
      <c r="J103" s="1445"/>
      <c r="K103" s="1445"/>
      <c r="L103" s="1445"/>
      <c r="M103" s="1445"/>
      <c r="N103" s="1445"/>
      <c r="O103" s="1445"/>
      <c r="P103" s="1445"/>
      <c r="Q103" s="1445"/>
      <c r="R103" s="1445"/>
      <c r="W103" s="1464"/>
      <c r="Y103" s="1445"/>
      <c r="Z103" s="1424"/>
    </row>
    <row r="104" spans="2:26" ht="15">
      <c r="B104" s="1464"/>
      <c r="D104" s="1427"/>
      <c r="E104" s="1427"/>
      <c r="F104" s="1427"/>
      <c r="G104" s="1427"/>
      <c r="H104" s="1445"/>
      <c r="I104" s="1427"/>
      <c r="J104" s="1445"/>
      <c r="K104" s="1445"/>
      <c r="L104" s="1445"/>
      <c r="M104" s="1445"/>
      <c r="N104" s="1445"/>
      <c r="O104" s="1445"/>
      <c r="P104" s="1445"/>
      <c r="Q104" s="1445"/>
      <c r="R104" s="1445"/>
      <c r="W104" s="1464"/>
      <c r="Y104" s="1445"/>
      <c r="Z104" s="1424"/>
    </row>
    <row r="105" spans="4:18" ht="15">
      <c r="D105" s="1427"/>
      <c r="E105" s="1427"/>
      <c r="F105" s="1427"/>
      <c r="G105" s="1427"/>
      <c r="I105" s="1427"/>
      <c r="M105" s="1445"/>
      <c r="N105" s="1445"/>
      <c r="O105" s="1445"/>
      <c r="P105" s="1445"/>
      <c r="Q105" s="1445"/>
      <c r="R105" s="1445"/>
    </row>
    <row r="106" spans="2:26" ht="15">
      <c r="B106" s="1445"/>
      <c r="C106" s="1445"/>
      <c r="D106" s="1427"/>
      <c r="E106" s="1427"/>
      <c r="F106" s="1427"/>
      <c r="G106" s="1427"/>
      <c r="H106" s="1445"/>
      <c r="I106" s="1427"/>
      <c r="J106" s="1445"/>
      <c r="K106" s="1427"/>
      <c r="L106" s="1445"/>
      <c r="M106" s="1445"/>
      <c r="N106" s="1445"/>
      <c r="O106" s="1445"/>
      <c r="P106" s="1445"/>
      <c r="Q106" s="1445"/>
      <c r="R106" s="1445"/>
      <c r="S106" s="1445"/>
      <c r="T106" s="1445"/>
      <c r="U106" s="1445"/>
      <c r="V106" s="1445"/>
      <c r="W106" s="1464"/>
      <c r="X106" s="1445"/>
      <c r="Y106" s="1445"/>
      <c r="Z106" s="1445"/>
    </row>
    <row r="107" spans="2:26" ht="15">
      <c r="B107" s="1445"/>
      <c r="C107" s="1445"/>
      <c r="D107" s="1445"/>
      <c r="E107" s="1445"/>
      <c r="F107" s="1445"/>
      <c r="G107" s="1445"/>
      <c r="H107" s="1445"/>
      <c r="I107" s="1445"/>
      <c r="J107" s="1445"/>
      <c r="K107" s="1445"/>
      <c r="L107" s="1445"/>
      <c r="M107" s="1445"/>
      <c r="N107" s="1445"/>
      <c r="O107" s="1445"/>
      <c r="P107" s="1445"/>
      <c r="Q107" s="1445"/>
      <c r="R107" s="1445"/>
      <c r="S107" s="1445"/>
      <c r="T107" s="1445"/>
      <c r="U107" s="1445"/>
      <c r="V107" s="1445"/>
      <c r="W107" s="1464"/>
      <c r="X107" s="1445"/>
      <c r="Y107" s="1445"/>
      <c r="Z107" s="1445"/>
    </row>
    <row r="108" spans="2:26" ht="15.6">
      <c r="B108" s="1487"/>
      <c r="C108" s="1445"/>
      <c r="D108" s="1445"/>
      <c r="E108" s="1445"/>
      <c r="F108" s="1445"/>
      <c r="G108" s="1445"/>
      <c r="H108" s="1445"/>
      <c r="I108" s="1445"/>
      <c r="J108" s="1445"/>
      <c r="K108" s="1445"/>
      <c r="L108" s="1445"/>
      <c r="M108" s="1445"/>
      <c r="N108" s="1445"/>
      <c r="O108" s="1445"/>
      <c r="P108" s="1445"/>
      <c r="Q108" s="1445"/>
      <c r="R108" s="1445"/>
      <c r="S108" s="1445"/>
      <c r="T108" s="1445"/>
      <c r="U108" s="1445"/>
      <c r="V108" s="1445"/>
      <c r="W108" s="1445"/>
      <c r="X108" s="1445"/>
      <c r="Y108" s="1445"/>
      <c r="Z108" s="1445"/>
    </row>
    <row r="109" spans="2:2" ht="15.6">
      <c r="B109" s="1434"/>
    </row>
    <row r="110" spans="4:25" ht="15">
      <c r="D110" s="1537"/>
      <c r="K110" s="1537"/>
      <c r="M110" s="1427"/>
      <c r="N110" s="1427"/>
      <c r="O110" s="1427"/>
      <c r="P110" s="1427"/>
      <c r="Q110" s="1427"/>
      <c r="R110" s="1427"/>
      <c r="W110" s="1536"/>
      <c r="Y110" s="1427"/>
    </row>
    <row r="111" spans="4:25" ht="15">
      <c r="D111" s="1518"/>
      <c r="K111" s="1518"/>
      <c r="M111" s="1518"/>
      <c r="N111" s="1518"/>
      <c r="O111" s="1518"/>
      <c r="P111" s="1518"/>
      <c r="Q111" s="1518"/>
      <c r="R111" s="1518"/>
      <c r="W111" s="1536"/>
      <c r="Y111" s="1518"/>
    </row>
    <row r="112" spans="4:25" ht="15">
      <c r="D112" s="1518"/>
      <c r="K112" s="1518"/>
      <c r="M112" s="1518"/>
      <c r="N112" s="1518"/>
      <c r="O112" s="1518"/>
      <c r="P112" s="1518"/>
      <c r="Q112" s="1518"/>
      <c r="R112" s="1518"/>
      <c r="W112" s="1536"/>
      <c r="Y112" s="1518"/>
    </row>
    <row r="113" spans="4:25" ht="15">
      <c r="D113" s="1518"/>
      <c r="K113" s="1518"/>
      <c r="M113" s="1518"/>
      <c r="N113" s="1518"/>
      <c r="O113" s="1518"/>
      <c r="P113" s="1518"/>
      <c r="Q113" s="1518"/>
      <c r="R113" s="1518"/>
      <c r="W113" s="1536"/>
      <c r="Y113" s="1518"/>
    </row>
    <row r="114" spans="4:25" ht="15">
      <c r="D114" s="1518"/>
      <c r="K114" s="1518"/>
      <c r="M114" s="1518"/>
      <c r="N114" s="1518"/>
      <c r="O114" s="1518"/>
      <c r="P114" s="1518"/>
      <c r="Q114" s="1518"/>
      <c r="R114" s="1518"/>
      <c r="W114" s="1536"/>
      <c r="Y114" s="1518"/>
    </row>
    <row r="115" spans="2:23" ht="15">
      <c r="B115" s="1464"/>
      <c r="W115" s="1536"/>
    </row>
    <row r="116" spans="2:25" ht="15">
      <c r="B116" s="1464"/>
      <c r="D116" s="1537"/>
      <c r="K116" s="1537"/>
      <c r="M116" s="1537"/>
      <c r="N116" s="1537"/>
      <c r="O116" s="1537"/>
      <c r="P116" s="1537"/>
      <c r="Q116" s="1537"/>
      <c r="R116" s="1537"/>
      <c r="W116" s="1536"/>
      <c r="Y116" s="1537"/>
    </row>
    <row r="118" spans="2:2" ht="15.6">
      <c r="B118" s="1434"/>
    </row>
    <row r="119" spans="2:2" ht="15.6">
      <c r="B119" s="1409"/>
    </row>
    <row r="120" spans="4:4" ht="15">
      <c r="D120" s="1504"/>
    </row>
    <row r="121" spans="4:4" ht="15">
      <c r="D121" s="1433"/>
    </row>
    <row r="122" spans="4:4" ht="15">
      <c r="D122" s="1433"/>
    </row>
    <row r="123" spans="4:4" ht="15">
      <c r="D123" s="1529"/>
    </row>
    <row r="124" spans="4:4" ht="15">
      <c r="D124" s="1433"/>
    </row>
    <row r="125" spans="4:4" ht="15">
      <c r="D125" s="1433"/>
    </row>
    <row r="126" spans="2:4" ht="15">
      <c r="B126" s="1538"/>
      <c r="D126" s="1504"/>
    </row>
    <row r="127" spans="2:2" ht="15">
      <c r="B127" s="1538"/>
    </row>
    <row r="128" spans="3:3" ht="15.6">
      <c r="C128" s="1410"/>
    </row>
    <row r="129" spans="2:11" ht="15.6">
      <c r="B129" s="1539"/>
      <c r="D129" s="1424"/>
      <c r="G129" s="1424"/>
      <c r="I129" s="1424"/>
      <c r="K129" s="1424"/>
    </row>
    <row r="130" spans="4:11" ht="15">
      <c r="D130" s="1424"/>
      <c r="G130" s="1424"/>
      <c r="I130" s="1424"/>
      <c r="K130" s="1424"/>
    </row>
    <row r="131" spans="4:11" ht="15">
      <c r="D131" s="1504"/>
      <c r="G131" s="1464"/>
      <c r="I131" s="1464"/>
      <c r="K131" s="1541"/>
    </row>
    <row r="132" spans="4:11" ht="15">
      <c r="D132" s="1504"/>
      <c r="G132" s="1464"/>
      <c r="I132" s="1464"/>
      <c r="K132" s="1464"/>
    </row>
    <row r="133" spans="4:11" ht="15">
      <c r="D133" s="1504"/>
      <c r="G133" s="1464"/>
      <c r="I133" s="1464"/>
      <c r="K133" s="1464"/>
    </row>
    <row r="134" spans="4:11" ht="15">
      <c r="D134" s="1504"/>
      <c r="G134" s="1464"/>
      <c r="I134" s="1464"/>
      <c r="K134" s="1464"/>
    </row>
    <row r="135" spans="4:11" ht="15">
      <c r="D135" s="1504"/>
      <c r="G135" s="1464"/>
      <c r="I135" s="1464"/>
      <c r="K135" s="1464"/>
    </row>
    <row r="136" spans="4:11" ht="15">
      <c r="D136" s="1504"/>
      <c r="G136" s="1464"/>
      <c r="I136" s="1464"/>
      <c r="K136" s="1464"/>
    </row>
    <row r="137" spans="4:11" ht="15">
      <c r="D137" s="1504"/>
      <c r="G137" s="1464"/>
      <c r="I137" s="1464"/>
      <c r="K137" s="1464"/>
    </row>
  </sheetData>
  <mergeCells count="1">
    <mergeCell ref="AT12:AU12"/>
  </mergeCells>
  <pageMargins left="0.17" right="0.16" top="1" bottom="1" header="0.5" footer="0.5"/>
  <pageSetup orientation="landscape" paperSize="1" scale="29" r:id="rId3"/>
  <headerFooter alignWithMargins="0">
    <oddHeader>&amp;REXHIBIT NO. TRC-203
ATTACHMENT H-18A
Page &amp;P of &amp;N</oddHeader>
  </headerFooter>
  <colBreaks count="1" manualBreakCount="1">
    <brk id="27" max="54"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dimension ref="A1:AR322"/>
  <sheetViews>
    <sheetView view="pageBreakPreview" zoomScale="60" zoomScaleNormal="100" workbookViewId="0" topLeftCell="A1">
      <selection pane="topLeft" activeCell="H97" sqref="H97"/>
    </sheetView>
  </sheetViews>
  <sheetFormatPr defaultColWidth="20.4455555555556" defaultRowHeight="13.2"/>
  <cols>
    <col min="1" max="1" width="4.11111111111111" style="539" customWidth="1"/>
    <col min="2" max="16384" width="20.4444444444444" style="539"/>
  </cols>
  <sheetData>
    <row r="1" spans="1:12" ht="17.4">
      <c r="A1" s="1726" t="s">
        <v>368</v>
      </c>
      <c r="B1" s="1726"/>
      <c r="C1" s="1726"/>
      <c r="D1" s="1726"/>
      <c r="E1" s="1726"/>
      <c r="F1" s="1726"/>
      <c r="G1" s="1726"/>
      <c r="H1" s="1726"/>
      <c r="I1" s="1726"/>
      <c r="J1" s="1726"/>
      <c r="K1" s="1726"/>
      <c r="L1" s="538"/>
    </row>
    <row r="2" spans="1:12" ht="13.2">
      <c r="A2" s="120"/>
      <c r="E2" s="199"/>
      <c r="F2" s="199"/>
      <c r="G2" s="199"/>
      <c r="H2" s="199"/>
      <c r="I2" s="199"/>
      <c r="L2" s="538"/>
    </row>
    <row r="3" spans="1:12" ht="13.2">
      <c r="A3"/>
      <c r="E3" s="199"/>
      <c r="F3" s="199"/>
      <c r="G3" s="199"/>
      <c r="H3" s="199"/>
      <c r="I3" s="199"/>
      <c r="L3" s="538"/>
    </row>
    <row r="4" spans="1:12" ht="15.6">
      <c r="A4"/>
      <c r="C4" s="118"/>
      <c r="D4" s="7" t="s">
        <v>294</v>
      </c>
      <c r="F4" s="199"/>
      <c r="G4" s="199"/>
      <c r="H4" s="199"/>
      <c r="I4" s="199"/>
      <c r="L4" s="538"/>
    </row>
    <row r="5" spans="1:12" ht="12.75" customHeight="1" hidden="1">
      <c r="A5" s="349"/>
      <c r="B5" s="199"/>
      <c r="C5" s="199"/>
      <c r="D5" s="199"/>
      <c r="E5" s="463"/>
      <c r="F5" s="199"/>
      <c r="G5" s="199"/>
      <c r="H5" s="199"/>
      <c r="I5" s="199"/>
      <c r="L5" s="538"/>
    </row>
    <row r="6" spans="1:9" ht="13.2">
      <c r="A6" s="349"/>
      <c r="B6" s="199"/>
      <c r="C6" s="199"/>
      <c r="D6" s="199"/>
      <c r="E6" s="463"/>
      <c r="F6" s="199"/>
      <c r="G6" s="199"/>
      <c r="H6" s="199"/>
      <c r="I6" s="199"/>
    </row>
    <row r="7" spans="1:9" ht="17.4">
      <c r="A7" s="349"/>
      <c r="B7" s="199"/>
      <c r="C7" s="199"/>
      <c r="D7" s="199"/>
      <c r="E7" s="463"/>
      <c r="F7" s="199"/>
      <c r="G7" s="199"/>
      <c r="H7" s="199"/>
      <c r="I7" s="711"/>
    </row>
    <row r="8" spans="1:12" ht="13.2">
      <c r="A8" s="349"/>
      <c r="B8" s="199" t="s">
        <v>143</v>
      </c>
      <c r="C8" s="199"/>
      <c r="D8" s="199"/>
      <c r="E8" s="463"/>
      <c r="F8" s="199"/>
      <c r="G8" s="199"/>
      <c r="H8" s="199"/>
      <c r="I8" s="199"/>
      <c r="L8" s="538"/>
    </row>
    <row r="9" spans="1:12" ht="13.2">
      <c r="A9" s="349"/>
      <c r="B9" s="199" t="s">
        <v>144</v>
      </c>
      <c r="C9" s="199"/>
      <c r="D9" s="199"/>
      <c r="E9" s="463"/>
      <c r="F9" s="199"/>
      <c r="G9" s="199"/>
      <c r="H9" s="199"/>
      <c r="I9" s="199"/>
      <c r="L9" s="558"/>
    </row>
    <row r="10" spans="1:12" ht="13.2">
      <c r="A10" s="349"/>
      <c r="B10" s="199" t="s">
        <v>145</v>
      </c>
      <c r="C10" s="199"/>
      <c r="D10" s="199"/>
      <c r="E10" s="463"/>
      <c r="F10" s="199"/>
      <c r="G10" s="199"/>
      <c r="H10" s="199"/>
      <c r="I10" s="199"/>
      <c r="J10" s="538"/>
      <c r="K10" s="635"/>
      <c r="L10" s="538"/>
    </row>
    <row r="11" spans="1:12" ht="15.6">
      <c r="A11" s="563"/>
      <c r="B11" s="538"/>
      <c r="C11" s="538"/>
      <c r="D11" s="538"/>
      <c r="E11" s="538"/>
      <c r="F11" s="540"/>
      <c r="G11" s="540"/>
      <c r="H11" s="538"/>
      <c r="I11" s="712"/>
      <c r="J11" s="538"/>
      <c r="K11" s="538"/>
      <c r="L11" s="538"/>
    </row>
    <row r="12" spans="1:12" ht="13.8" thickBot="1">
      <c r="A12" s="538"/>
      <c r="B12" s="538"/>
      <c r="C12" s="538"/>
      <c r="D12" s="538"/>
      <c r="E12" s="538"/>
      <c r="F12" s="538"/>
      <c r="G12" s="538"/>
      <c r="H12" s="574"/>
      <c r="I12" s="538"/>
      <c r="J12" s="538"/>
      <c r="K12" s="538"/>
      <c r="L12" s="538"/>
    </row>
    <row r="13" spans="1:12" ht="13.8">
      <c r="A13" s="538"/>
      <c r="B13" s="541"/>
      <c r="C13" s="542"/>
      <c r="D13" s="542"/>
      <c r="E13" s="542"/>
      <c r="F13" s="543"/>
      <c r="G13" s="544"/>
      <c r="H13" s="538"/>
      <c r="J13" s="538"/>
      <c r="K13" s="538"/>
      <c r="L13" s="538"/>
    </row>
    <row r="14" spans="1:12" ht="14.4" thickBot="1">
      <c r="A14" s="538"/>
      <c r="B14" s="545" t="s">
        <v>585</v>
      </c>
      <c r="C14" s="546"/>
      <c r="D14" s="546"/>
      <c r="E14" s="546"/>
      <c r="F14" s="547"/>
      <c r="G14" s="548"/>
      <c r="H14" s="538"/>
      <c r="J14" s="538"/>
      <c r="K14" s="538"/>
      <c r="L14" s="538"/>
    </row>
    <row r="15" spans="1:12" ht="14.4" thickBot="1">
      <c r="A15" s="538"/>
      <c r="B15" s="549"/>
      <c r="C15" s="544"/>
      <c r="D15" s="544"/>
      <c r="E15" s="544"/>
      <c r="F15" s="548"/>
      <c r="G15" s="548"/>
      <c r="H15" s="677"/>
      <c r="J15" s="538"/>
      <c r="K15" s="538"/>
      <c r="L15" s="538"/>
    </row>
    <row r="16" spans="1:12" ht="16.2">
      <c r="A16" s="538"/>
      <c r="B16" s="541" t="s">
        <v>295</v>
      </c>
      <c r="C16" s="542"/>
      <c r="D16" s="542"/>
      <c r="E16" s="542"/>
      <c r="F16" s="713"/>
      <c r="G16" s="714"/>
      <c r="H16" s="715"/>
      <c r="J16" s="538"/>
      <c r="K16" s="538"/>
      <c r="L16" s="538"/>
    </row>
    <row r="17" spans="1:12" ht="16.2">
      <c r="A17" s="538"/>
      <c r="B17" s="550" t="s">
        <v>293</v>
      </c>
      <c r="C17" s="544"/>
      <c r="D17" s="544"/>
      <c r="E17" s="544"/>
      <c r="F17" s="551"/>
      <c r="G17" s="716"/>
      <c r="H17" s="717"/>
      <c r="I17" s="648"/>
      <c r="J17" s="538"/>
      <c r="K17" s="538"/>
      <c r="L17" s="538"/>
    </row>
    <row r="18" spans="1:12" ht="13.2">
      <c r="A18" s="538"/>
      <c r="B18" s="552"/>
      <c r="D18" s="538"/>
      <c r="E18" s="538"/>
      <c r="F18" s="553"/>
      <c r="G18" s="554"/>
      <c r="H18" s="717"/>
      <c r="I18" s="648"/>
      <c r="L18" s="538"/>
    </row>
    <row r="19" spans="1:12" ht="13.2">
      <c r="A19" s="538"/>
      <c r="B19" s="552"/>
      <c r="D19" s="538"/>
      <c r="E19" s="538"/>
      <c r="F19" s="553"/>
      <c r="G19" s="718"/>
      <c r="H19" s="719"/>
      <c r="L19" s="538"/>
    </row>
    <row r="20" spans="1:12" ht="22.8">
      <c r="A20" s="538"/>
      <c r="B20" s="555" t="s">
        <v>290</v>
      </c>
      <c r="C20" s="556"/>
      <c r="D20" s="557"/>
      <c r="E20" s="557"/>
      <c r="F20" s="553"/>
      <c r="G20" s="554"/>
      <c r="H20" s="538"/>
      <c r="L20" s="538"/>
    </row>
    <row r="21" spans="1:12" ht="30" customHeight="1">
      <c r="A21" s="538"/>
      <c r="B21" s="552"/>
      <c r="C21" s="559"/>
      <c r="D21" s="538"/>
      <c r="E21" s="538"/>
      <c r="F21" s="553"/>
      <c r="G21" s="554"/>
      <c r="H21" s="538"/>
      <c r="L21" s="538"/>
    </row>
    <row r="22" spans="1:12" ht="13.8" thickBot="1">
      <c r="A22" s="538"/>
      <c r="B22" s="560"/>
      <c r="C22" s="720"/>
      <c r="D22" s="561"/>
      <c r="E22" s="561"/>
      <c r="F22" s="562"/>
      <c r="G22" s="554"/>
      <c r="H22" s="538"/>
      <c r="L22" s="538"/>
    </row>
    <row r="23" spans="1:12" ht="13.2">
      <c r="A23" s="538"/>
      <c r="B23" s="563"/>
      <c r="D23" s="538"/>
      <c r="E23" s="538"/>
      <c r="F23" s="554"/>
      <c r="G23" s="554"/>
      <c r="H23" s="538"/>
      <c r="L23" s="538"/>
    </row>
    <row r="24" spans="1:12" ht="13.8" thickBot="1">
      <c r="A24" s="538"/>
      <c r="B24" s="538"/>
      <c r="D24" s="538"/>
      <c r="E24" s="538"/>
      <c r="F24" s="564"/>
      <c r="G24" s="564"/>
      <c r="H24" s="538"/>
      <c r="L24" s="538"/>
    </row>
    <row r="25" spans="1:12" ht="13.2">
      <c r="A25" s="538"/>
      <c r="B25" s="721"/>
      <c r="C25" s="722"/>
      <c r="D25" s="565"/>
      <c r="E25" s="565"/>
      <c r="F25" s="566"/>
      <c r="G25" s="564"/>
      <c r="H25" s="538"/>
      <c r="L25" s="538"/>
    </row>
    <row r="26" spans="1:12" ht="13.2">
      <c r="A26" s="538"/>
      <c r="B26" s="552" t="s">
        <v>584</v>
      </c>
      <c r="D26" s="538"/>
      <c r="E26" s="538"/>
      <c r="F26" s="567"/>
      <c r="G26" s="564"/>
      <c r="H26" s="538"/>
      <c r="L26" s="538"/>
    </row>
    <row r="27" spans="1:12" ht="13.2">
      <c r="A27" s="538"/>
      <c r="B27" s="568" t="s">
        <v>584</v>
      </c>
      <c r="D27" s="538"/>
      <c r="E27" s="538"/>
      <c r="F27" s="569"/>
      <c r="G27" s="570"/>
      <c r="H27" s="538"/>
      <c r="L27" s="538"/>
    </row>
    <row r="28" spans="1:12" ht="13.2">
      <c r="A28" s="538"/>
      <c r="B28" s="568" t="s">
        <v>146</v>
      </c>
      <c r="D28" s="538"/>
      <c r="E28" s="538"/>
      <c r="F28" s="569"/>
      <c r="G28" s="570"/>
      <c r="H28" s="538"/>
      <c r="L28" s="538"/>
    </row>
    <row r="29" spans="1:12" ht="13.2">
      <c r="A29" s="538"/>
      <c r="B29" s="568"/>
      <c r="D29" s="538"/>
      <c r="E29" s="538"/>
      <c r="F29" s="569"/>
      <c r="G29" s="570"/>
      <c r="H29" s="538"/>
      <c r="L29" s="538"/>
    </row>
    <row r="30" spans="1:12" ht="13.2">
      <c r="A30" s="538"/>
      <c r="B30" s="568"/>
      <c r="D30" s="538"/>
      <c r="E30" s="538"/>
      <c r="F30" s="569"/>
      <c r="G30" s="570"/>
      <c r="H30" s="538"/>
      <c r="L30" s="538"/>
    </row>
    <row r="31" spans="1:12" ht="13.2">
      <c r="A31" s="538"/>
      <c r="B31" s="568"/>
      <c r="C31" s="570"/>
      <c r="D31" s="538"/>
      <c r="E31" s="538"/>
      <c r="F31" s="569"/>
      <c r="G31" s="570"/>
      <c r="H31" s="538"/>
      <c r="L31" s="538"/>
    </row>
    <row r="32" spans="1:12" ht="13.8" thickBot="1">
      <c r="A32" s="538"/>
      <c r="B32" s="568" t="s">
        <v>300</v>
      </c>
      <c r="C32" s="570"/>
      <c r="D32" s="538"/>
      <c r="E32" s="538"/>
      <c r="F32" s="571">
        <f>SUM(F27:F31)</f>
        <v>0</v>
      </c>
      <c r="G32" s="572"/>
      <c r="H32" s="538"/>
      <c r="L32" s="538"/>
    </row>
    <row r="33" spans="1:12" ht="14.4" thickTop="1" thickBot="1">
      <c r="A33" s="538"/>
      <c r="B33" s="723"/>
      <c r="C33" s="724"/>
      <c r="D33" s="725"/>
      <c r="E33" s="725"/>
      <c r="F33" s="726"/>
      <c r="G33" s="570"/>
      <c r="H33" s="538"/>
      <c r="I33" s="538"/>
      <c r="L33" s="538"/>
    </row>
    <row r="34" spans="1:12" ht="13.2">
      <c r="A34" s="538"/>
      <c r="B34" s="721"/>
      <c r="C34" s="727"/>
      <c r="D34" s="565"/>
      <c r="E34" s="565"/>
      <c r="F34" s="728"/>
      <c r="G34" s="570"/>
      <c r="H34" s="538"/>
      <c r="I34" s="538"/>
      <c r="J34" s="538"/>
      <c r="K34" s="573"/>
      <c r="L34" s="538"/>
    </row>
    <row r="35" spans="1:12" ht="13.2">
      <c r="A35" s="538"/>
      <c r="B35" s="552" t="s">
        <v>447</v>
      </c>
      <c r="C35" s="570"/>
      <c r="D35" s="538"/>
      <c r="E35" s="636"/>
      <c r="F35" s="637"/>
      <c r="G35" s="574"/>
      <c r="H35" s="538"/>
      <c r="I35" s="538"/>
      <c r="J35" s="538"/>
      <c r="K35" s="573"/>
      <c r="L35" s="538"/>
    </row>
    <row r="36" spans="1:12" ht="13.2">
      <c r="A36" s="538"/>
      <c r="B36" s="552" t="s">
        <v>261</v>
      </c>
      <c r="C36" s="570"/>
      <c r="D36" s="538"/>
      <c r="E36" s="638"/>
      <c r="F36" s="575"/>
      <c r="G36" s="576"/>
      <c r="H36" s="538"/>
      <c r="I36" s="538"/>
      <c r="J36" s="538"/>
      <c r="K36" s="573"/>
      <c r="L36" s="538"/>
    </row>
    <row r="37" spans="1:12" ht="13.8" thickBot="1">
      <c r="A37" s="538"/>
      <c r="B37" s="560" t="s">
        <v>261</v>
      </c>
      <c r="C37" s="577"/>
      <c r="D37" s="561"/>
      <c r="E37" s="639"/>
      <c r="F37" s="578"/>
      <c r="G37" s="579" t="s">
        <v>762</v>
      </c>
      <c r="H37" s="580"/>
      <c r="I37" s="538"/>
      <c r="J37" s="538"/>
      <c r="L37" s="538"/>
    </row>
    <row r="38" spans="1:12" ht="13.2">
      <c r="A38" s="538"/>
      <c r="B38" s="563"/>
      <c r="C38" s="540"/>
      <c r="D38" s="538"/>
      <c r="E38" s="538"/>
      <c r="F38" s="538"/>
      <c r="G38" s="538"/>
      <c r="H38" s="538"/>
      <c r="I38" s="538"/>
      <c r="J38" s="538"/>
      <c r="K38" s="538"/>
      <c r="L38" s="538"/>
    </row>
    <row r="39" spans="1:12" ht="13.8" thickBot="1">
      <c r="A39" s="538"/>
      <c r="B39" s="563"/>
      <c r="C39" s="540"/>
      <c r="D39" s="538"/>
      <c r="E39" s="538"/>
      <c r="F39" s="538"/>
      <c r="G39" s="538"/>
      <c r="H39" s="538"/>
      <c r="I39" s="538"/>
      <c r="J39" s="538"/>
      <c r="K39" s="538"/>
      <c r="L39" s="538"/>
    </row>
    <row r="40" spans="2:14" ht="13.8" thickBot="1">
      <c r="B40" s="729"/>
      <c r="C40" s="730">
        <v>2008</v>
      </c>
      <c r="D40" s="731">
        <v>2008</v>
      </c>
      <c r="E40" s="730">
        <v>2008</v>
      </c>
      <c r="F40" s="730">
        <v>2008</v>
      </c>
      <c r="G40" s="731">
        <v>2009</v>
      </c>
      <c r="H40" s="730">
        <v>2010</v>
      </c>
      <c r="I40" s="731">
        <v>2011</v>
      </c>
      <c r="J40" s="730">
        <v>2012</v>
      </c>
      <c r="K40" s="731">
        <v>2013</v>
      </c>
      <c r="L40" s="730">
        <v>2014</v>
      </c>
      <c r="M40" s="730">
        <v>2015</v>
      </c>
      <c r="N40" s="678"/>
    </row>
    <row r="41" spans="2:14" ht="13.8" thickBot="1">
      <c r="B41" s="732" t="s">
        <v>262</v>
      </c>
      <c r="C41" s="581"/>
      <c r="D41" s="581"/>
      <c r="E41" s="581"/>
      <c r="F41" s="581"/>
      <c r="G41" s="581"/>
      <c r="H41" s="581"/>
      <c r="I41" s="581"/>
      <c r="J41" s="581"/>
      <c r="K41" s="581"/>
      <c r="L41" s="581"/>
      <c r="M41" s="581"/>
      <c r="N41" s="835"/>
    </row>
    <row r="42" spans="2:14" ht="13.8" thickBot="1">
      <c r="B42" s="732" t="s">
        <v>263</v>
      </c>
      <c r="C42" s="582"/>
      <c r="D42" s="582"/>
      <c r="E42" s="582"/>
      <c r="F42" s="582"/>
      <c r="G42" s="582"/>
      <c r="H42" s="582"/>
      <c r="I42" s="582"/>
      <c r="J42" s="582"/>
      <c r="K42" s="582"/>
      <c r="L42" s="582"/>
      <c r="M42" s="582"/>
      <c r="N42" s="836"/>
    </row>
    <row r="43" spans="2:14" ht="13.2">
      <c r="B43" s="733"/>
      <c r="C43" s="734"/>
      <c r="D43" s="734"/>
      <c r="E43" s="734"/>
      <c r="F43" s="734"/>
      <c r="G43" s="734"/>
      <c r="H43" s="734"/>
      <c r="I43" s="734"/>
      <c r="J43" s="734"/>
      <c r="K43" s="734"/>
      <c r="L43" s="734"/>
      <c r="M43" s="734"/>
      <c r="N43" s="465"/>
    </row>
    <row r="44" spans="2:14" ht="13.2">
      <c r="B44" s="773"/>
      <c r="C44" s="774"/>
      <c r="D44" s="775"/>
      <c r="E44" s="775"/>
      <c r="F44" s="775"/>
      <c r="G44" s="775"/>
      <c r="H44" s="775"/>
      <c r="I44" s="775"/>
      <c r="J44" s="775"/>
      <c r="K44" s="775"/>
      <c r="L44" s="775"/>
      <c r="M44" s="775"/>
      <c r="N44" s="465"/>
    </row>
    <row r="45" spans="2:14" ht="13.2">
      <c r="B45" s="773"/>
      <c r="C45" s="774"/>
      <c r="D45" s="775"/>
      <c r="E45" s="775"/>
      <c r="F45" s="775"/>
      <c r="G45" s="775"/>
      <c r="H45" s="776"/>
      <c r="I45" s="775"/>
      <c r="J45" s="775"/>
      <c r="K45" s="735"/>
      <c r="L45" s="735"/>
      <c r="M45" s="735"/>
      <c r="N45" s="465"/>
    </row>
    <row r="46" spans="2:14" ht="13.2">
      <c r="B46" s="773"/>
      <c r="C46" s="774"/>
      <c r="D46" s="777"/>
      <c r="E46" s="775"/>
      <c r="F46" s="775"/>
      <c r="G46" s="775"/>
      <c r="H46" s="776"/>
      <c r="I46" s="775"/>
      <c r="J46" s="775"/>
      <c r="K46" s="465"/>
      <c r="L46" s="465"/>
      <c r="M46" s="465"/>
      <c r="N46" s="465"/>
    </row>
    <row r="47" spans="2:14" ht="13.2">
      <c r="B47" s="773"/>
      <c r="C47" s="774"/>
      <c r="D47" s="777"/>
      <c r="E47" s="775"/>
      <c r="F47" s="775"/>
      <c r="G47" s="775"/>
      <c r="H47" s="776"/>
      <c r="I47" s="775"/>
      <c r="J47" s="775"/>
      <c r="K47" s="465"/>
      <c r="L47" s="465"/>
      <c r="M47" s="465"/>
      <c r="N47" s="465"/>
    </row>
    <row r="48" spans="2:14" ht="13.2">
      <c r="B48" s="773"/>
      <c r="C48" s="774"/>
      <c r="D48" s="777"/>
      <c r="E48" s="775"/>
      <c r="F48" s="775"/>
      <c r="G48" s="775"/>
      <c r="H48" s="776"/>
      <c r="I48" s="775"/>
      <c r="J48" s="775"/>
      <c r="K48" s="465"/>
      <c r="L48" s="465"/>
      <c r="M48" s="465"/>
      <c r="N48" s="465"/>
    </row>
    <row r="49" spans="2:14" ht="13.2">
      <c r="B49" s="773"/>
      <c r="C49" s="774"/>
      <c r="D49" s="777"/>
      <c r="E49" s="775"/>
      <c r="F49" s="775"/>
      <c r="G49" s="775"/>
      <c r="H49" s="776"/>
      <c r="I49" s="775"/>
      <c r="J49" s="775"/>
      <c r="K49" s="465"/>
      <c r="L49" s="465"/>
      <c r="M49" s="465"/>
      <c r="N49" s="465"/>
    </row>
    <row r="50" spans="2:14" ht="13.2">
      <c r="B50" s="773"/>
      <c r="C50" s="774"/>
      <c r="D50" s="777"/>
      <c r="E50" s="775"/>
      <c r="F50" s="775"/>
      <c r="G50" s="775"/>
      <c r="H50" s="776"/>
      <c r="I50" s="775"/>
      <c r="J50" s="775"/>
      <c r="K50" s="465"/>
      <c r="L50" s="465"/>
      <c r="M50" s="465"/>
      <c r="N50" s="465"/>
    </row>
    <row r="51" spans="2:14" ht="13.2">
      <c r="B51" s="773"/>
      <c r="C51" s="774"/>
      <c r="D51" s="777"/>
      <c r="E51" s="775"/>
      <c r="F51" s="775"/>
      <c r="G51" s="775"/>
      <c r="H51" s="776"/>
      <c r="I51" s="775"/>
      <c r="J51" s="775"/>
      <c r="K51" s="465"/>
      <c r="L51" s="465"/>
      <c r="M51" s="465"/>
      <c r="N51" s="465"/>
    </row>
    <row r="52" spans="2:14" ht="13.2">
      <c r="B52" s="773"/>
      <c r="C52" s="774"/>
      <c r="D52" s="777"/>
      <c r="E52" s="775"/>
      <c r="F52" s="775"/>
      <c r="G52" s="775"/>
      <c r="H52" s="776"/>
      <c r="I52" s="775"/>
      <c r="J52" s="775"/>
      <c r="K52" s="465"/>
      <c r="L52" s="465"/>
      <c r="M52" s="465"/>
      <c r="N52" s="465"/>
    </row>
    <row r="53" spans="2:14" ht="13.2">
      <c r="B53" s="773"/>
      <c r="C53" s="774"/>
      <c r="D53" s="777"/>
      <c r="E53" s="775"/>
      <c r="F53" s="775"/>
      <c r="G53" s="775"/>
      <c r="H53" s="776"/>
      <c r="I53" s="775"/>
      <c r="J53" s="775"/>
      <c r="K53" s="465"/>
      <c r="L53" s="465"/>
      <c r="M53" s="465"/>
      <c r="N53" s="465"/>
    </row>
    <row r="54" spans="2:14" ht="13.2">
      <c r="B54" s="773"/>
      <c r="C54" s="774"/>
      <c r="D54" s="688"/>
      <c r="E54" s="775"/>
      <c r="F54" s="775"/>
      <c r="G54" s="775"/>
      <c r="H54" s="776"/>
      <c r="I54" s="775"/>
      <c r="J54" s="775"/>
      <c r="K54" s="465"/>
      <c r="L54" s="465"/>
      <c r="M54" s="465"/>
      <c r="N54" s="465"/>
    </row>
    <row r="55" spans="2:14" ht="13.2">
      <c r="B55" s="773"/>
      <c r="C55" s="774"/>
      <c r="D55" s="688"/>
      <c r="E55" s="775"/>
      <c r="F55" s="775"/>
      <c r="G55" s="775"/>
      <c r="H55" s="776"/>
      <c r="I55" s="775"/>
      <c r="J55" s="775"/>
      <c r="K55" s="465"/>
      <c r="L55" s="465"/>
      <c r="M55" s="465"/>
      <c r="N55" s="465"/>
    </row>
    <row r="56" spans="2:14" ht="13.2">
      <c r="B56" s="773"/>
      <c r="C56" s="774"/>
      <c r="D56" s="688"/>
      <c r="E56" s="775"/>
      <c r="F56" s="775"/>
      <c r="G56" s="775"/>
      <c r="H56" s="776"/>
      <c r="I56" s="775"/>
      <c r="J56" s="775"/>
      <c r="K56" s="465"/>
      <c r="L56" s="465"/>
      <c r="M56" s="465"/>
      <c r="N56" s="465"/>
    </row>
    <row r="57" spans="2:14" ht="13.2">
      <c r="B57" s="773"/>
      <c r="C57" s="774"/>
      <c r="D57" s="688"/>
      <c r="E57" s="775"/>
      <c r="F57" s="775"/>
      <c r="G57" s="775"/>
      <c r="H57" s="776"/>
      <c r="I57" s="775"/>
      <c r="J57" s="775"/>
      <c r="K57" s="465"/>
      <c r="L57" s="465"/>
      <c r="M57" s="465"/>
      <c r="N57" s="465"/>
    </row>
    <row r="58" spans="2:14" ht="13.2">
      <c r="B58" s="773"/>
      <c r="C58" s="774"/>
      <c r="D58" s="688"/>
      <c r="E58" s="775"/>
      <c r="F58" s="775"/>
      <c r="G58" s="775"/>
      <c r="H58" s="776"/>
      <c r="I58" s="775"/>
      <c r="J58" s="775"/>
      <c r="K58" s="465"/>
      <c r="L58" s="465"/>
      <c r="M58" s="465"/>
      <c r="N58" s="465"/>
    </row>
    <row r="59" spans="2:14" ht="13.2">
      <c r="B59" s="773"/>
      <c r="C59" s="774"/>
      <c r="D59" s="688"/>
      <c r="E59" s="775"/>
      <c r="F59" s="775"/>
      <c r="G59" s="775"/>
      <c r="H59" s="776"/>
      <c r="I59" s="775"/>
      <c r="J59" s="775"/>
      <c r="K59" s="465"/>
      <c r="L59" s="465"/>
      <c r="M59" s="465"/>
      <c r="N59" s="465"/>
    </row>
    <row r="60" spans="2:14" ht="13.2">
      <c r="B60" s="773"/>
      <c r="C60" s="774"/>
      <c r="D60" s="688"/>
      <c r="E60" s="775"/>
      <c r="F60" s="775"/>
      <c r="G60" s="775"/>
      <c r="H60" s="776"/>
      <c r="I60" s="775"/>
      <c r="J60" s="775"/>
      <c r="K60" s="465"/>
      <c r="L60" s="465"/>
      <c r="M60" s="465"/>
      <c r="N60" s="465"/>
    </row>
    <row r="61" spans="2:14" ht="13.2">
      <c r="B61" s="773"/>
      <c r="C61" s="774"/>
      <c r="D61" s="688"/>
      <c r="E61" s="775"/>
      <c r="F61" s="775"/>
      <c r="G61" s="775"/>
      <c r="H61" s="689"/>
      <c r="I61" s="775"/>
      <c r="J61" s="775"/>
      <c r="K61" s="465"/>
      <c r="L61" s="465"/>
      <c r="M61" s="465"/>
      <c r="N61" s="465"/>
    </row>
    <row r="62" spans="2:14" ht="13.2">
      <c r="B62" s="773"/>
      <c r="C62" s="774"/>
      <c r="D62" s="688"/>
      <c r="E62" s="775"/>
      <c r="F62" s="775"/>
      <c r="G62" s="775"/>
      <c r="H62" s="689"/>
      <c r="I62" s="776"/>
      <c r="J62" s="775"/>
      <c r="K62" s="465"/>
      <c r="L62" s="465"/>
      <c r="M62" s="465"/>
      <c r="N62" s="465"/>
    </row>
    <row r="63" spans="2:14" ht="13.2">
      <c r="B63" s="773"/>
      <c r="C63" s="690"/>
      <c r="D63" s="688"/>
      <c r="E63" s="691"/>
      <c r="F63" s="691"/>
      <c r="G63" s="778"/>
      <c r="H63" s="779"/>
      <c r="I63" s="692"/>
      <c r="J63" s="691"/>
      <c r="K63" s="465"/>
      <c r="L63" s="465"/>
      <c r="M63" s="465"/>
      <c r="N63" s="465"/>
    </row>
    <row r="64" spans="2:14" ht="13.2">
      <c r="B64" s="773"/>
      <c r="C64" s="690"/>
      <c r="D64" s="688"/>
      <c r="E64" s="691"/>
      <c r="F64" s="691"/>
      <c r="G64" s="778"/>
      <c r="H64" s="779"/>
      <c r="I64" s="689"/>
      <c r="J64" s="691"/>
      <c r="K64" s="465"/>
      <c r="L64" s="465"/>
      <c r="M64" s="465"/>
      <c r="N64" s="465"/>
    </row>
    <row r="65" spans="2:14" ht="13.2">
      <c r="B65" s="773"/>
      <c r="C65" s="690"/>
      <c r="D65" s="688"/>
      <c r="E65" s="691"/>
      <c r="F65" s="691"/>
      <c r="G65" s="778"/>
      <c r="H65" s="779"/>
      <c r="I65" s="689"/>
      <c r="J65" s="691"/>
      <c r="K65" s="465"/>
      <c r="L65" s="465"/>
      <c r="M65" s="465"/>
      <c r="N65" s="465"/>
    </row>
    <row r="66" spans="2:14" ht="13.2">
      <c r="B66" s="773"/>
      <c r="C66" s="690"/>
      <c r="D66" s="688"/>
      <c r="E66" s="691"/>
      <c r="F66" s="691"/>
      <c r="G66" s="778"/>
      <c r="H66" s="779"/>
      <c r="I66" s="689"/>
      <c r="J66" s="691"/>
      <c r="K66" s="465"/>
      <c r="L66" s="465"/>
      <c r="M66" s="465"/>
      <c r="N66" s="465"/>
    </row>
    <row r="67" spans="2:14" ht="13.2">
      <c r="B67" s="698"/>
      <c r="C67" s="690"/>
      <c r="D67" s="688"/>
      <c r="E67" s="691"/>
      <c r="F67" s="691"/>
      <c r="G67" s="691"/>
      <c r="H67" s="689"/>
      <c r="I67" s="689"/>
      <c r="J67" s="691"/>
      <c r="K67" s="465"/>
      <c r="L67" s="465"/>
      <c r="M67" s="465"/>
      <c r="N67" s="465"/>
    </row>
    <row r="68" spans="2:14" ht="13.2">
      <c r="B68" s="773"/>
      <c r="C68" s="690"/>
      <c r="D68" s="688"/>
      <c r="E68" s="691"/>
      <c r="F68" s="691"/>
      <c r="G68" s="691"/>
      <c r="H68" s="689"/>
      <c r="I68" s="689"/>
      <c r="J68" s="691"/>
      <c r="K68" s="465"/>
      <c r="L68" s="465"/>
      <c r="M68" s="465"/>
      <c r="N68" s="465"/>
    </row>
    <row r="69" spans="2:14" ht="13.2">
      <c r="B69" s="698"/>
      <c r="C69" s="690"/>
      <c r="D69" s="688"/>
      <c r="E69" s="691"/>
      <c r="F69" s="691"/>
      <c r="G69" s="691"/>
      <c r="H69" s="689"/>
      <c r="I69" s="689"/>
      <c r="J69" s="691"/>
      <c r="K69" s="465"/>
      <c r="L69" s="465"/>
      <c r="M69" s="465"/>
      <c r="N69" s="465"/>
    </row>
    <row r="70" spans="2:14" ht="13.2">
      <c r="B70" s="773"/>
      <c r="C70" s="690"/>
      <c r="D70" s="688"/>
      <c r="E70" s="691"/>
      <c r="F70" s="691"/>
      <c r="G70" s="691"/>
      <c r="H70" s="689"/>
      <c r="I70" s="689"/>
      <c r="J70" s="691"/>
      <c r="K70" s="465"/>
      <c r="L70" s="465"/>
      <c r="M70" s="465"/>
      <c r="N70" s="465"/>
    </row>
    <row r="71" spans="2:14" ht="13.2">
      <c r="B71" s="773"/>
      <c r="C71" s="690"/>
      <c r="D71" s="688"/>
      <c r="E71" s="691"/>
      <c r="F71" s="691"/>
      <c r="G71" s="691"/>
      <c r="H71" s="689"/>
      <c r="I71" s="689"/>
      <c r="J71" s="691"/>
      <c r="K71" s="465"/>
      <c r="L71" s="465"/>
      <c r="M71" s="465"/>
      <c r="N71" s="465"/>
    </row>
    <row r="72" spans="2:14" ht="13.2">
      <c r="B72" s="780"/>
      <c r="C72" s="781"/>
      <c r="D72" s="782"/>
      <c r="E72" s="679"/>
      <c r="F72" s="679"/>
      <c r="G72" s="679"/>
      <c r="H72" s="693"/>
      <c r="I72" s="679"/>
      <c r="J72" s="679"/>
      <c r="K72" s="465"/>
      <c r="L72" s="465"/>
      <c r="M72" s="465"/>
      <c r="N72" s="465"/>
    </row>
    <row r="73" spans="2:14" ht="13.2">
      <c r="B73" s="780"/>
      <c r="C73" s="781"/>
      <c r="D73" s="782"/>
      <c r="E73" s="679"/>
      <c r="F73" s="679"/>
      <c r="G73" s="679"/>
      <c r="H73" s="693"/>
      <c r="I73" s="679"/>
      <c r="J73" s="679"/>
      <c r="K73" s="465"/>
      <c r="L73" s="465"/>
      <c r="M73" s="465"/>
      <c r="N73" s="465"/>
    </row>
    <row r="74" spans="2:10" ht="13.2">
      <c r="B74" s="694"/>
      <c r="C74" s="694"/>
      <c r="D74" s="694"/>
      <c r="E74" s="694"/>
      <c r="F74" s="694"/>
      <c r="G74" s="694"/>
      <c r="H74" s="694"/>
      <c r="I74" s="694"/>
      <c r="J74" s="694"/>
    </row>
    <row r="75" spans="2:10" ht="13.8" thickBot="1">
      <c r="B75" s="694"/>
      <c r="C75" s="694"/>
      <c r="D75" s="694"/>
      <c r="E75" s="694"/>
      <c r="F75" s="694"/>
      <c r="G75" s="694"/>
      <c r="H75" s="694"/>
      <c r="I75" s="694"/>
      <c r="J75" s="694"/>
    </row>
    <row r="76" spans="2:14" ht="13.2">
      <c r="B76" s="783" t="s">
        <v>355</v>
      </c>
      <c r="C76" s="784" t="s">
        <v>356</v>
      </c>
      <c r="D76" s="784" t="s">
        <v>464</v>
      </c>
      <c r="E76" s="784" t="s">
        <v>358</v>
      </c>
      <c r="F76" s="784" t="s">
        <v>633</v>
      </c>
      <c r="G76" s="784"/>
      <c r="H76" s="784" t="s">
        <v>639</v>
      </c>
      <c r="I76" s="784" t="s">
        <v>465</v>
      </c>
      <c r="J76" s="784" t="s">
        <v>466</v>
      </c>
      <c r="K76" s="736" t="s">
        <v>291</v>
      </c>
      <c r="L76" s="736"/>
      <c r="M76" s="736"/>
      <c r="N76" s="556"/>
    </row>
    <row r="77" spans="2:14" ht="39.6">
      <c r="B77" s="785"/>
      <c r="C77" s="786"/>
      <c r="D77" s="787"/>
      <c r="E77" s="787"/>
      <c r="F77" s="787"/>
      <c r="G77" s="787"/>
      <c r="H77" s="787"/>
      <c r="I77" s="787"/>
      <c r="J77" s="787"/>
      <c r="K77" s="737" t="s">
        <v>264</v>
      </c>
      <c r="L77" s="737" t="s">
        <v>147</v>
      </c>
      <c r="M77" s="737" t="s">
        <v>148</v>
      </c>
      <c r="N77" s="583"/>
    </row>
    <row r="78" spans="2:14" ht="13.8" thickBot="1">
      <c r="B78" s="788"/>
      <c r="C78" s="789"/>
      <c r="D78" s="790"/>
      <c r="E78" s="790"/>
      <c r="F78" s="790"/>
      <c r="G78" s="790"/>
      <c r="H78" s="790"/>
      <c r="I78" s="790"/>
      <c r="J78" s="790"/>
      <c r="K78" s="738" t="s">
        <v>292</v>
      </c>
      <c r="L78" s="738"/>
      <c r="M78" s="738"/>
      <c r="N78" s="583"/>
    </row>
    <row r="79" spans="2:13" ht="13.8" thickBot="1">
      <c r="B79" s="783"/>
      <c r="C79" s="784"/>
      <c r="D79" s="791"/>
      <c r="E79" s="791"/>
      <c r="F79" s="791"/>
      <c r="G79" s="791"/>
      <c r="H79" s="791"/>
      <c r="I79" s="791"/>
      <c r="J79" s="791"/>
      <c r="K79" s="739"/>
      <c r="L79" s="739"/>
      <c r="M79" s="739"/>
    </row>
    <row r="80" spans="2:14" ht="15">
      <c r="B80" s="640"/>
      <c r="C80" s="641"/>
      <c r="D80" s="642"/>
      <c r="E80" s="643"/>
      <c r="F80" s="643"/>
      <c r="G80" s="643"/>
      <c r="H80" s="792"/>
      <c r="I80" s="792"/>
      <c r="J80" s="792"/>
      <c r="K80" s="680"/>
      <c r="L80" s="680"/>
      <c r="M80" s="681"/>
      <c r="N80" s="594"/>
    </row>
    <row r="81" spans="2:15" ht="15">
      <c r="B81" s="644"/>
      <c r="C81" s="645"/>
      <c r="D81" s="646"/>
      <c r="E81" s="647"/>
      <c r="F81" s="647"/>
      <c r="G81" s="649"/>
      <c r="H81" s="793"/>
      <c r="I81" s="699"/>
      <c r="J81" s="794"/>
      <c r="K81" s="682">
        <f>E81-H81-I81-J81</f>
        <v>0</v>
      </c>
      <c r="L81" s="682">
        <v>0</v>
      </c>
      <c r="M81" s="683">
        <f t="shared" si="0" ref="M81:M144">+L81-H81</f>
        <v>0</v>
      </c>
      <c r="N81" s="586"/>
      <c r="O81" s="648"/>
    </row>
    <row r="82" spans="2:15" ht="15">
      <c r="B82" s="644"/>
      <c r="C82" s="645"/>
      <c r="D82" s="646"/>
      <c r="E82" s="647"/>
      <c r="F82" s="649"/>
      <c r="G82" s="649"/>
      <c r="H82" s="793"/>
      <c r="I82" s="699"/>
      <c r="J82" s="794"/>
      <c r="K82" s="682">
        <f t="shared" si="1" ref="K82:K145">E82-H82-I82-J82</f>
        <v>0</v>
      </c>
      <c r="L82" s="682">
        <f>G82*(POWER(1+$F$16,(B82-B81)/365)-1)</f>
        <v>0</v>
      </c>
      <c r="M82" s="683">
        <f t="shared" si="0"/>
        <v>0</v>
      </c>
      <c r="N82" s="586"/>
      <c r="O82" s="648"/>
    </row>
    <row r="83" spans="2:15" ht="15">
      <c r="B83" s="644"/>
      <c r="C83" s="645"/>
      <c r="D83" s="646"/>
      <c r="E83" s="647"/>
      <c r="F83" s="649"/>
      <c r="G83" s="649"/>
      <c r="H83" s="793"/>
      <c r="I83" s="699"/>
      <c r="J83" s="794"/>
      <c r="K83" s="682">
        <f t="shared" si="1"/>
        <v>0</v>
      </c>
      <c r="L83" s="682">
        <f t="shared" si="2" ref="L83:L146">G83*(POWER(1+$F$16,(B83-B82)/365)-1)</f>
        <v>0</v>
      </c>
      <c r="M83" s="683">
        <f t="shared" si="0"/>
        <v>0</v>
      </c>
      <c r="N83" s="586"/>
      <c r="O83" s="648"/>
    </row>
    <row r="84" spans="2:15" ht="15">
      <c r="B84" s="644"/>
      <c r="C84" s="645"/>
      <c r="D84" s="646"/>
      <c r="E84" s="647"/>
      <c r="F84" s="649"/>
      <c r="G84" s="649"/>
      <c r="H84" s="793"/>
      <c r="I84" s="699"/>
      <c r="J84" s="794"/>
      <c r="K84" s="682">
        <f t="shared" si="1"/>
        <v>0</v>
      </c>
      <c r="L84" s="682">
        <f t="shared" si="2"/>
        <v>0</v>
      </c>
      <c r="M84" s="683">
        <f t="shared" si="0"/>
        <v>0</v>
      </c>
      <c r="N84" s="586"/>
      <c r="O84" s="648"/>
    </row>
    <row r="85" spans="2:15" ht="15">
      <c r="B85" s="644"/>
      <c r="C85" s="645"/>
      <c r="D85" s="646"/>
      <c r="E85" s="647"/>
      <c r="F85" s="649"/>
      <c r="G85" s="649"/>
      <c r="H85" s="793"/>
      <c r="I85" s="699"/>
      <c r="J85" s="794"/>
      <c r="K85" s="682">
        <f t="shared" si="1"/>
        <v>0</v>
      </c>
      <c r="L85" s="682">
        <f t="shared" si="2"/>
        <v>0</v>
      </c>
      <c r="M85" s="683">
        <f t="shared" si="0"/>
        <v>0</v>
      </c>
      <c r="N85" s="586"/>
      <c r="O85" s="648"/>
    </row>
    <row r="86" spans="2:15" ht="15">
      <c r="B86" s="644"/>
      <c r="C86" s="645"/>
      <c r="D86" s="646"/>
      <c r="E86" s="647"/>
      <c r="F86" s="649"/>
      <c r="G86" s="649"/>
      <c r="H86" s="793"/>
      <c r="I86" s="699"/>
      <c r="J86" s="794"/>
      <c r="K86" s="682">
        <f t="shared" si="1"/>
        <v>0</v>
      </c>
      <c r="L86" s="682">
        <f t="shared" si="2"/>
        <v>0</v>
      </c>
      <c r="M86" s="683">
        <f t="shared" si="0"/>
        <v>0</v>
      </c>
      <c r="N86" s="586"/>
      <c r="O86" s="648"/>
    </row>
    <row r="87" spans="2:15" ht="15">
      <c r="B87" s="644"/>
      <c r="C87" s="645"/>
      <c r="D87" s="646"/>
      <c r="E87" s="650"/>
      <c r="F87" s="649"/>
      <c r="G87" s="649"/>
      <c r="H87" s="699"/>
      <c r="I87" s="699"/>
      <c r="J87" s="793"/>
      <c r="K87" s="682">
        <f t="shared" si="1"/>
        <v>0</v>
      </c>
      <c r="L87" s="682">
        <f t="shared" si="2"/>
        <v>0</v>
      </c>
      <c r="M87" s="683">
        <f t="shared" si="0"/>
        <v>0</v>
      </c>
      <c r="N87" s="586"/>
      <c r="O87" s="648"/>
    </row>
    <row r="88" spans="2:15" ht="15">
      <c r="B88" s="644"/>
      <c r="C88" s="645"/>
      <c r="D88" s="646"/>
      <c r="E88" s="650"/>
      <c r="F88" s="649"/>
      <c r="G88" s="649"/>
      <c r="H88" s="699"/>
      <c r="I88" s="699"/>
      <c r="J88" s="793"/>
      <c r="K88" s="682">
        <f t="shared" si="1"/>
        <v>0</v>
      </c>
      <c r="L88" s="682">
        <f t="shared" si="2"/>
        <v>0</v>
      </c>
      <c r="M88" s="683">
        <f t="shared" si="0"/>
        <v>0</v>
      </c>
      <c r="N88" s="586"/>
      <c r="O88" s="648"/>
    </row>
    <row r="89" spans="2:15" ht="15">
      <c r="B89" s="644"/>
      <c r="C89" s="645"/>
      <c r="D89" s="646"/>
      <c r="E89" s="650"/>
      <c r="F89" s="649"/>
      <c r="G89" s="649"/>
      <c r="H89" s="699"/>
      <c r="I89" s="699"/>
      <c r="J89" s="793"/>
      <c r="K89" s="682">
        <f t="shared" si="1"/>
        <v>0</v>
      </c>
      <c r="L89" s="682">
        <f t="shared" si="2"/>
        <v>0</v>
      </c>
      <c r="M89" s="683">
        <f t="shared" si="0"/>
        <v>0</v>
      </c>
      <c r="N89" s="586"/>
      <c r="O89" s="648"/>
    </row>
    <row r="90" spans="2:15" ht="15">
      <c r="B90" s="644"/>
      <c r="C90" s="645"/>
      <c r="D90" s="646"/>
      <c r="E90" s="650"/>
      <c r="F90" s="649"/>
      <c r="G90" s="649"/>
      <c r="H90" s="699"/>
      <c r="I90" s="699"/>
      <c r="J90" s="793"/>
      <c r="K90" s="682">
        <f t="shared" si="1"/>
        <v>0</v>
      </c>
      <c r="L90" s="682">
        <f t="shared" si="2"/>
        <v>0</v>
      </c>
      <c r="M90" s="683">
        <f t="shared" si="0"/>
        <v>0</v>
      </c>
      <c r="N90" s="586"/>
      <c r="O90" s="648"/>
    </row>
    <row r="91" spans="2:15" ht="15">
      <c r="B91" s="644"/>
      <c r="C91" s="645"/>
      <c r="D91" s="646"/>
      <c r="E91" s="650"/>
      <c r="F91" s="649"/>
      <c r="G91" s="649"/>
      <c r="H91" s="699"/>
      <c r="I91" s="699"/>
      <c r="J91" s="793"/>
      <c r="K91" s="682">
        <f t="shared" si="1"/>
        <v>0</v>
      </c>
      <c r="L91" s="682">
        <f t="shared" si="2"/>
        <v>0</v>
      </c>
      <c r="M91" s="683">
        <f t="shared" si="0"/>
        <v>0</v>
      </c>
      <c r="N91" s="586"/>
      <c r="O91" s="648"/>
    </row>
    <row r="92" spans="2:15" ht="15">
      <c r="B92" s="644"/>
      <c r="C92" s="645"/>
      <c r="D92" s="646"/>
      <c r="E92" s="650"/>
      <c r="F92" s="649"/>
      <c r="G92" s="649"/>
      <c r="H92" s="699"/>
      <c r="I92" s="699"/>
      <c r="J92" s="793"/>
      <c r="K92" s="682">
        <f t="shared" si="1"/>
        <v>0</v>
      </c>
      <c r="L92" s="682">
        <f t="shared" si="2"/>
        <v>0</v>
      </c>
      <c r="M92" s="683">
        <f t="shared" si="0"/>
        <v>0</v>
      </c>
      <c r="N92" s="586"/>
      <c r="O92" s="648"/>
    </row>
    <row r="93" spans="2:15" ht="15">
      <c r="B93" s="644"/>
      <c r="C93" s="645"/>
      <c r="D93" s="646"/>
      <c r="E93" s="650"/>
      <c r="F93" s="649"/>
      <c r="G93" s="649"/>
      <c r="H93" s="699"/>
      <c r="I93" s="699"/>
      <c r="J93" s="793"/>
      <c r="K93" s="682">
        <f t="shared" si="1"/>
        <v>0</v>
      </c>
      <c r="L93" s="682">
        <f t="shared" si="2"/>
        <v>0</v>
      </c>
      <c r="M93" s="683">
        <f t="shared" si="0"/>
        <v>0</v>
      </c>
      <c r="N93" s="586"/>
      <c r="O93" s="648"/>
    </row>
    <row r="94" spans="2:15" ht="15">
      <c r="B94" s="644"/>
      <c r="C94" s="645"/>
      <c r="D94" s="646"/>
      <c r="E94" s="650"/>
      <c r="F94" s="649"/>
      <c r="G94" s="649"/>
      <c r="H94" s="699"/>
      <c r="I94" s="699"/>
      <c r="J94" s="793"/>
      <c r="K94" s="682">
        <f t="shared" si="1"/>
        <v>0</v>
      </c>
      <c r="L94" s="682">
        <f t="shared" si="2"/>
        <v>0</v>
      </c>
      <c r="M94" s="683">
        <f t="shared" si="0"/>
        <v>0</v>
      </c>
      <c r="N94" s="586"/>
      <c r="O94" s="648"/>
    </row>
    <row r="95" spans="2:15" ht="15">
      <c r="B95" s="644"/>
      <c r="C95" s="645"/>
      <c r="D95" s="646"/>
      <c r="E95" s="650"/>
      <c r="F95" s="649"/>
      <c r="G95" s="649"/>
      <c r="H95" s="699"/>
      <c r="I95" s="699"/>
      <c r="J95" s="793"/>
      <c r="K95" s="682">
        <f t="shared" si="1"/>
        <v>0</v>
      </c>
      <c r="L95" s="682">
        <f t="shared" si="2"/>
        <v>0</v>
      </c>
      <c r="M95" s="683">
        <f t="shared" si="0"/>
        <v>0</v>
      </c>
      <c r="N95" s="586"/>
      <c r="O95" s="648"/>
    </row>
    <row r="96" spans="2:16" ht="15">
      <c r="B96" s="651"/>
      <c r="C96" s="645"/>
      <c r="D96" s="646"/>
      <c r="E96" s="646"/>
      <c r="F96" s="649"/>
      <c r="G96" s="649"/>
      <c r="H96" s="695"/>
      <c r="I96" s="795"/>
      <c r="J96" s="796"/>
      <c r="K96" s="682">
        <f t="shared" si="1"/>
        <v>0</v>
      </c>
      <c r="L96" s="682">
        <f t="shared" si="2"/>
        <v>0</v>
      </c>
      <c r="M96" s="683">
        <f t="shared" si="0"/>
        <v>0</v>
      </c>
      <c r="N96" s="586"/>
      <c r="O96" s="648"/>
      <c r="P96" s="584"/>
    </row>
    <row r="97" spans="2:17" ht="15">
      <c r="B97" s="651"/>
      <c r="C97" s="645"/>
      <c r="D97" s="646"/>
      <c r="E97" s="646"/>
      <c r="F97" s="649"/>
      <c r="G97" s="649"/>
      <c r="H97" s="695">
        <v>13847278</v>
      </c>
      <c r="I97" s="795"/>
      <c r="J97" s="796"/>
      <c r="K97" s="682">
        <f t="shared" si="1"/>
        <v>-13847278</v>
      </c>
      <c r="L97" s="682">
        <f t="shared" si="2"/>
        <v>0</v>
      </c>
      <c r="M97" s="683">
        <f t="shared" si="0"/>
        <v>-13847278</v>
      </c>
      <c r="N97" s="586"/>
      <c r="O97" s="648"/>
      <c r="P97" s="584"/>
      <c r="Q97" s="584"/>
    </row>
    <row r="98" spans="2:17" ht="15">
      <c r="B98" s="651"/>
      <c r="C98" s="645"/>
      <c r="D98" s="646"/>
      <c r="E98" s="646"/>
      <c r="F98" s="649"/>
      <c r="G98" s="649"/>
      <c r="H98" s="695"/>
      <c r="I98" s="795"/>
      <c r="J98" s="796"/>
      <c r="K98" s="682">
        <f t="shared" si="1"/>
        <v>0</v>
      </c>
      <c r="L98" s="682">
        <f t="shared" si="2"/>
        <v>0</v>
      </c>
      <c r="M98" s="683">
        <f t="shared" si="0"/>
        <v>0</v>
      </c>
      <c r="N98" s="586"/>
      <c r="O98" s="648"/>
      <c r="P98" s="584"/>
      <c r="Q98" s="584"/>
    </row>
    <row r="99" spans="2:17" ht="15">
      <c r="B99" s="651"/>
      <c r="C99" s="645"/>
      <c r="D99" s="646"/>
      <c r="E99" s="646"/>
      <c r="F99" s="649"/>
      <c r="G99" s="649"/>
      <c r="H99" s="695"/>
      <c r="I99" s="795"/>
      <c r="J99" s="796"/>
      <c r="K99" s="682">
        <f t="shared" si="1"/>
        <v>0</v>
      </c>
      <c r="L99" s="682">
        <f t="shared" si="2"/>
        <v>0</v>
      </c>
      <c r="M99" s="683">
        <f t="shared" si="0"/>
        <v>0</v>
      </c>
      <c r="N99" s="586"/>
      <c r="O99" s="648"/>
      <c r="P99" s="584"/>
      <c r="Q99" s="584"/>
    </row>
    <row r="100" spans="2:16" ht="15">
      <c r="B100" s="651"/>
      <c r="C100" s="645"/>
      <c r="D100" s="646"/>
      <c r="E100" s="646"/>
      <c r="F100" s="649"/>
      <c r="G100" s="649"/>
      <c r="H100" s="695"/>
      <c r="I100" s="795"/>
      <c r="J100" s="796"/>
      <c r="K100" s="682">
        <f t="shared" si="1"/>
        <v>0</v>
      </c>
      <c r="L100" s="682">
        <f t="shared" si="2"/>
        <v>0</v>
      </c>
      <c r="M100" s="683">
        <f t="shared" si="0"/>
        <v>0</v>
      </c>
      <c r="N100" s="586"/>
      <c r="O100" s="648"/>
      <c r="P100" s="584"/>
    </row>
    <row r="101" spans="2:16" ht="15">
      <c r="B101" s="651"/>
      <c r="C101" s="645"/>
      <c r="D101" s="646"/>
      <c r="E101" s="646"/>
      <c r="F101" s="649"/>
      <c r="G101" s="649"/>
      <c r="H101" s="695"/>
      <c r="I101" s="795"/>
      <c r="J101" s="796"/>
      <c r="K101" s="682">
        <f t="shared" si="1"/>
        <v>0</v>
      </c>
      <c r="L101" s="682">
        <f t="shared" si="2"/>
        <v>0</v>
      </c>
      <c r="M101" s="683">
        <f t="shared" si="0"/>
        <v>0</v>
      </c>
      <c r="N101" s="586"/>
      <c r="O101" s="648"/>
      <c r="P101" s="584"/>
    </row>
    <row r="102" spans="2:16" ht="15">
      <c r="B102" s="651"/>
      <c r="C102" s="645"/>
      <c r="D102" s="646"/>
      <c r="E102" s="646"/>
      <c r="F102" s="649"/>
      <c r="G102" s="649"/>
      <c r="H102" s="695"/>
      <c r="I102" s="795"/>
      <c r="J102" s="796"/>
      <c r="K102" s="682">
        <f t="shared" si="1"/>
        <v>0</v>
      </c>
      <c r="L102" s="682">
        <f t="shared" si="2"/>
        <v>0</v>
      </c>
      <c r="M102" s="683">
        <f t="shared" si="0"/>
        <v>0</v>
      </c>
      <c r="N102" s="586"/>
      <c r="O102" s="648"/>
      <c r="P102" s="584"/>
    </row>
    <row r="103" spans="2:16" ht="15">
      <c r="B103" s="651"/>
      <c r="C103" s="645"/>
      <c r="D103" s="646"/>
      <c r="E103" s="646"/>
      <c r="F103" s="649"/>
      <c r="G103" s="649"/>
      <c r="H103" s="695"/>
      <c r="I103" s="795"/>
      <c r="J103" s="796"/>
      <c r="K103" s="682">
        <f t="shared" si="1"/>
        <v>0</v>
      </c>
      <c r="L103" s="682">
        <f t="shared" si="2"/>
        <v>0</v>
      </c>
      <c r="M103" s="683">
        <f t="shared" si="0"/>
        <v>0</v>
      </c>
      <c r="N103" s="586"/>
      <c r="O103" s="648"/>
      <c r="P103" s="584"/>
    </row>
    <row r="104" spans="2:16" ht="15">
      <c r="B104" s="651"/>
      <c r="C104" s="645"/>
      <c r="D104" s="646"/>
      <c r="E104" s="646"/>
      <c r="F104" s="649"/>
      <c r="G104" s="649"/>
      <c r="H104" s="695"/>
      <c r="I104" s="795"/>
      <c r="J104" s="796"/>
      <c r="K104" s="682">
        <f t="shared" si="1"/>
        <v>0</v>
      </c>
      <c r="L104" s="682">
        <f t="shared" si="2"/>
        <v>0</v>
      </c>
      <c r="M104" s="683">
        <f t="shared" si="0"/>
        <v>0</v>
      </c>
      <c r="N104" s="586"/>
      <c r="O104" s="648"/>
      <c r="P104" s="584"/>
    </row>
    <row r="105" spans="2:18" ht="15">
      <c r="B105" s="651"/>
      <c r="C105" s="645"/>
      <c r="D105" s="646"/>
      <c r="E105" s="646"/>
      <c r="F105" s="649"/>
      <c r="G105" s="649"/>
      <c r="H105" s="695"/>
      <c r="I105" s="795"/>
      <c r="J105" s="796"/>
      <c r="K105" s="682">
        <f t="shared" si="1"/>
        <v>0</v>
      </c>
      <c r="L105" s="682">
        <f t="shared" si="2"/>
        <v>0</v>
      </c>
      <c r="M105" s="683">
        <f t="shared" si="0"/>
        <v>0</v>
      </c>
      <c r="N105" s="586"/>
      <c r="O105" s="648"/>
      <c r="P105" s="584"/>
      <c r="Q105" s="584"/>
      <c r="R105" s="584"/>
    </row>
    <row r="106" spans="2:18" ht="15">
      <c r="B106" s="651"/>
      <c r="C106" s="645"/>
      <c r="D106" s="646"/>
      <c r="E106" s="646"/>
      <c r="F106" s="649"/>
      <c r="G106" s="649"/>
      <c r="H106" s="695"/>
      <c r="I106" s="795"/>
      <c r="J106" s="796"/>
      <c r="K106" s="682">
        <f t="shared" si="1"/>
        <v>0</v>
      </c>
      <c r="L106" s="682">
        <f t="shared" si="2"/>
        <v>0</v>
      </c>
      <c r="M106" s="683">
        <f t="shared" si="0"/>
        <v>0</v>
      </c>
      <c r="N106" s="586"/>
      <c r="O106" s="648"/>
      <c r="P106" s="584"/>
      <c r="Q106" s="584"/>
      <c r="R106" s="584"/>
    </row>
    <row r="107" spans="2:18" ht="15">
      <c r="B107" s="651"/>
      <c r="C107" s="645"/>
      <c r="D107" s="646"/>
      <c r="E107" s="646"/>
      <c r="F107" s="649"/>
      <c r="G107" s="649"/>
      <c r="H107" s="695"/>
      <c r="I107" s="795"/>
      <c r="J107" s="797"/>
      <c r="K107" s="682">
        <f t="shared" si="1"/>
        <v>0</v>
      </c>
      <c r="L107" s="682">
        <f t="shared" si="2"/>
        <v>0</v>
      </c>
      <c r="M107" s="683">
        <f t="shared" si="0"/>
        <v>0</v>
      </c>
      <c r="N107" s="586"/>
      <c r="O107" s="648"/>
      <c r="P107" s="584"/>
      <c r="Q107" s="584"/>
      <c r="R107" s="584"/>
    </row>
    <row r="108" spans="2:16" ht="15">
      <c r="B108" s="651"/>
      <c r="C108" s="645"/>
      <c r="D108" s="646"/>
      <c r="E108" s="646"/>
      <c r="F108" s="649"/>
      <c r="G108" s="649"/>
      <c r="H108" s="695"/>
      <c r="I108" s="795"/>
      <c r="J108" s="797"/>
      <c r="K108" s="682">
        <f t="shared" si="1"/>
        <v>0</v>
      </c>
      <c r="L108" s="682">
        <f t="shared" si="2"/>
        <v>0</v>
      </c>
      <c r="M108" s="683">
        <f t="shared" si="0"/>
        <v>0</v>
      </c>
      <c r="N108" s="586"/>
      <c r="O108" s="648"/>
      <c r="P108" s="584"/>
    </row>
    <row r="109" spans="2:16" ht="15">
      <c r="B109" s="651"/>
      <c r="C109" s="645"/>
      <c r="D109" s="646"/>
      <c r="E109" s="646"/>
      <c r="F109" s="649"/>
      <c r="G109" s="649"/>
      <c r="H109" s="695"/>
      <c r="I109" s="795"/>
      <c r="J109" s="797"/>
      <c r="K109" s="682">
        <f t="shared" si="1"/>
        <v>0</v>
      </c>
      <c r="L109" s="682">
        <f t="shared" si="2"/>
        <v>0</v>
      </c>
      <c r="M109" s="683">
        <f t="shared" si="0"/>
        <v>0</v>
      </c>
      <c r="N109" s="586"/>
      <c r="O109" s="648"/>
      <c r="P109" s="584"/>
    </row>
    <row r="110" spans="2:16" ht="15">
      <c r="B110" s="651"/>
      <c r="C110" s="645"/>
      <c r="D110" s="646"/>
      <c r="E110" s="646"/>
      <c r="F110" s="649"/>
      <c r="G110" s="649"/>
      <c r="H110" s="695"/>
      <c r="I110" s="795"/>
      <c r="J110" s="797"/>
      <c r="K110" s="682">
        <f t="shared" si="1"/>
        <v>0</v>
      </c>
      <c r="L110" s="682">
        <f t="shared" si="2"/>
        <v>0</v>
      </c>
      <c r="M110" s="683">
        <f t="shared" si="0"/>
        <v>0</v>
      </c>
      <c r="N110" s="586"/>
      <c r="O110" s="648"/>
      <c r="P110" s="584"/>
    </row>
    <row r="111" spans="2:18" ht="15">
      <c r="B111" s="651"/>
      <c r="C111" s="645"/>
      <c r="D111" s="646"/>
      <c r="E111" s="646"/>
      <c r="F111" s="649"/>
      <c r="G111" s="649"/>
      <c r="H111" s="695"/>
      <c r="I111" s="798"/>
      <c r="J111" s="796"/>
      <c r="K111" s="682">
        <f t="shared" si="1"/>
        <v>0</v>
      </c>
      <c r="L111" s="682">
        <f t="shared" si="2"/>
        <v>0</v>
      </c>
      <c r="M111" s="683">
        <f t="shared" si="0"/>
        <v>0</v>
      </c>
      <c r="N111" s="586"/>
      <c r="O111" s="648"/>
      <c r="P111" s="584"/>
      <c r="Q111" s="648"/>
      <c r="R111" s="584"/>
    </row>
    <row r="112" spans="1:18" ht="15">
      <c r="A112" s="696" t="s">
        <v>79</v>
      </c>
      <c r="B112" s="651"/>
      <c r="C112" s="645"/>
      <c r="D112" s="646"/>
      <c r="E112" s="646"/>
      <c r="F112" s="649"/>
      <c r="G112" s="649"/>
      <c r="H112" s="695"/>
      <c r="I112" s="695"/>
      <c r="J112" s="695"/>
      <c r="K112" s="682">
        <f t="shared" si="1"/>
        <v>0</v>
      </c>
      <c r="L112" s="682">
        <f t="shared" si="2"/>
        <v>0</v>
      </c>
      <c r="M112" s="683">
        <f t="shared" si="0"/>
        <v>0</v>
      </c>
      <c r="N112" s="586"/>
      <c r="O112" s="648"/>
      <c r="P112" s="584"/>
      <c r="R112" s="584"/>
    </row>
    <row r="113" spans="1:18" ht="15">
      <c r="A113" s="585"/>
      <c r="B113" s="651"/>
      <c r="C113" s="645"/>
      <c r="D113" s="646"/>
      <c r="E113" s="646"/>
      <c r="F113" s="649"/>
      <c r="G113" s="649"/>
      <c r="H113" s="695"/>
      <c r="I113" s="695"/>
      <c r="J113" s="796"/>
      <c r="K113" s="682">
        <f t="shared" si="1"/>
        <v>0</v>
      </c>
      <c r="L113" s="682">
        <f t="shared" si="2"/>
        <v>0</v>
      </c>
      <c r="M113" s="683">
        <f t="shared" si="0"/>
        <v>0</v>
      </c>
      <c r="N113" s="586"/>
      <c r="O113" s="648"/>
      <c r="P113" s="584"/>
      <c r="Q113" s="740"/>
      <c r="R113" s="584"/>
    </row>
    <row r="114" spans="2:16" ht="15">
      <c r="B114" s="651"/>
      <c r="C114" s="645"/>
      <c r="D114" s="646"/>
      <c r="E114" s="646"/>
      <c r="F114" s="649"/>
      <c r="G114" s="649"/>
      <c r="H114" s="695"/>
      <c r="I114" s="695"/>
      <c r="J114" s="699"/>
      <c r="K114" s="682">
        <f t="shared" si="1"/>
        <v>0</v>
      </c>
      <c r="L114" s="682">
        <f>G114*(POWER(1+$F$16,(B114-B113)/365)-1)</f>
        <v>0</v>
      </c>
      <c r="M114" s="683">
        <f t="shared" si="0"/>
        <v>0</v>
      </c>
      <c r="N114" s="586"/>
      <c r="O114" s="489"/>
      <c r="P114" s="584"/>
    </row>
    <row r="115" spans="2:16" ht="15">
      <c r="B115" s="651"/>
      <c r="C115" s="645"/>
      <c r="D115" s="646"/>
      <c r="E115" s="646"/>
      <c r="F115" s="649"/>
      <c r="G115" s="649"/>
      <c r="H115" s="695"/>
      <c r="I115" s="695"/>
      <c r="J115" s="699"/>
      <c r="K115" s="682">
        <f t="shared" si="1"/>
        <v>0</v>
      </c>
      <c r="L115" s="682">
        <f t="shared" si="2"/>
        <v>0</v>
      </c>
      <c r="M115" s="683">
        <f t="shared" si="0"/>
        <v>0</v>
      </c>
      <c r="N115" s="586"/>
      <c r="O115" s="489"/>
      <c r="P115" s="584"/>
    </row>
    <row r="116" spans="2:16" ht="15">
      <c r="B116" s="651"/>
      <c r="C116" s="645"/>
      <c r="D116" s="646"/>
      <c r="E116" s="646"/>
      <c r="F116" s="649"/>
      <c r="G116" s="649"/>
      <c r="H116" s="695"/>
      <c r="I116" s="695"/>
      <c r="J116" s="796"/>
      <c r="K116" s="682">
        <f t="shared" si="1"/>
        <v>0</v>
      </c>
      <c r="L116" s="682">
        <f t="shared" si="2"/>
        <v>0</v>
      </c>
      <c r="M116" s="683">
        <f t="shared" si="0"/>
        <v>0</v>
      </c>
      <c r="N116" s="586"/>
      <c r="O116" s="489"/>
      <c r="P116" s="584"/>
    </row>
    <row r="117" spans="2:17" ht="15">
      <c r="B117" s="651"/>
      <c r="C117" s="645"/>
      <c r="D117" s="646"/>
      <c r="E117" s="646"/>
      <c r="F117" s="649"/>
      <c r="G117" s="649"/>
      <c r="H117" s="695"/>
      <c r="I117" s="695"/>
      <c r="J117" s="695"/>
      <c r="K117" s="682">
        <f t="shared" si="1"/>
        <v>0</v>
      </c>
      <c r="L117" s="682">
        <f t="shared" si="2"/>
        <v>0</v>
      </c>
      <c r="M117" s="683">
        <f t="shared" si="0"/>
        <v>0</v>
      </c>
      <c r="N117" s="586"/>
      <c r="O117" s="489"/>
      <c r="P117" s="584"/>
      <c r="Q117" s="648"/>
    </row>
    <row r="118" spans="2:15" ht="15">
      <c r="B118" s="651"/>
      <c r="C118" s="645"/>
      <c r="D118" s="646"/>
      <c r="E118" s="646"/>
      <c r="F118" s="649"/>
      <c r="G118" s="649"/>
      <c r="H118" s="695"/>
      <c r="I118" s="695"/>
      <c r="J118" s="796"/>
      <c r="K118" s="682">
        <f t="shared" si="1"/>
        <v>0</v>
      </c>
      <c r="L118" s="682">
        <f t="shared" si="2"/>
        <v>0</v>
      </c>
      <c r="M118" s="683">
        <f t="shared" si="0"/>
        <v>0</v>
      </c>
      <c r="N118" s="586"/>
      <c r="O118" s="489"/>
    </row>
    <row r="119" spans="2:15" ht="15">
      <c r="B119" s="651"/>
      <c r="C119" s="645"/>
      <c r="D119" s="646"/>
      <c r="E119" s="646"/>
      <c r="F119" s="649"/>
      <c r="G119" s="649"/>
      <c r="H119" s="695"/>
      <c r="I119" s="695"/>
      <c r="J119" s="796"/>
      <c r="K119" s="682">
        <f t="shared" si="1"/>
        <v>0</v>
      </c>
      <c r="L119" s="682">
        <f t="shared" si="2"/>
        <v>0</v>
      </c>
      <c r="M119" s="683">
        <f t="shared" si="0"/>
        <v>0</v>
      </c>
      <c r="N119" s="586"/>
      <c r="O119" s="489"/>
    </row>
    <row r="120" spans="2:15" ht="15">
      <c r="B120" s="651"/>
      <c r="C120" s="645"/>
      <c r="D120" s="646"/>
      <c r="E120" s="646"/>
      <c r="F120" s="649"/>
      <c r="G120" s="649"/>
      <c r="H120" s="695"/>
      <c r="I120" s="695"/>
      <c r="J120" s="796"/>
      <c r="K120" s="682">
        <f t="shared" si="1"/>
        <v>0</v>
      </c>
      <c r="L120" s="682">
        <f t="shared" si="2"/>
        <v>0</v>
      </c>
      <c r="M120" s="683">
        <f t="shared" si="0"/>
        <v>0</v>
      </c>
      <c r="N120" s="586"/>
      <c r="O120" s="489"/>
    </row>
    <row r="121" spans="2:15" ht="15">
      <c r="B121" s="651"/>
      <c r="C121" s="645"/>
      <c r="D121" s="646"/>
      <c r="E121" s="646"/>
      <c r="F121" s="649"/>
      <c r="G121" s="649"/>
      <c r="H121" s="695"/>
      <c r="I121" s="695"/>
      <c r="J121" s="796"/>
      <c r="K121" s="682">
        <f t="shared" si="1"/>
        <v>0</v>
      </c>
      <c r="L121" s="682">
        <f t="shared" si="2"/>
        <v>0</v>
      </c>
      <c r="M121" s="683">
        <f t="shared" si="0"/>
        <v>0</v>
      </c>
      <c r="N121" s="586"/>
      <c r="O121" s="489"/>
    </row>
    <row r="122" spans="2:15" ht="15">
      <c r="B122" s="651"/>
      <c r="C122" s="645"/>
      <c r="D122" s="646"/>
      <c r="E122" s="646"/>
      <c r="F122" s="649"/>
      <c r="G122" s="649"/>
      <c r="H122" s="695"/>
      <c r="I122" s="695"/>
      <c r="J122" s="796"/>
      <c r="K122" s="682">
        <f t="shared" si="1"/>
        <v>0</v>
      </c>
      <c r="L122" s="682">
        <f t="shared" si="2"/>
        <v>0</v>
      </c>
      <c r="M122" s="683">
        <f t="shared" si="0"/>
        <v>0</v>
      </c>
      <c r="N122" s="586"/>
      <c r="O122" s="489"/>
    </row>
    <row r="123" spans="2:15" ht="15">
      <c r="B123" s="651"/>
      <c r="C123" s="645"/>
      <c r="D123" s="646"/>
      <c r="E123" s="646"/>
      <c r="F123" s="649"/>
      <c r="G123" s="649"/>
      <c r="H123" s="695"/>
      <c r="I123" s="695"/>
      <c r="J123" s="796"/>
      <c r="K123" s="682">
        <f t="shared" si="1"/>
        <v>0</v>
      </c>
      <c r="L123" s="682">
        <f>G123*(POWER(1+$F$16,(B123-B122)/365)-1)</f>
        <v>0</v>
      </c>
      <c r="M123" s="683">
        <f t="shared" si="0"/>
        <v>0</v>
      </c>
      <c r="N123" s="586"/>
      <c r="O123" s="489"/>
    </row>
    <row r="124" spans="2:15" ht="15">
      <c r="B124" s="651"/>
      <c r="C124" s="645"/>
      <c r="D124" s="646"/>
      <c r="E124" s="646"/>
      <c r="F124" s="649"/>
      <c r="G124" s="649"/>
      <c r="H124" s="695"/>
      <c r="I124" s="695"/>
      <c r="J124" s="796"/>
      <c r="K124" s="682">
        <f t="shared" si="1"/>
        <v>0</v>
      </c>
      <c r="L124" s="682">
        <f t="shared" si="2"/>
        <v>0</v>
      </c>
      <c r="M124" s="683">
        <f t="shared" si="0"/>
        <v>0</v>
      </c>
      <c r="N124" s="586"/>
      <c r="O124" s="741"/>
    </row>
    <row r="125" spans="2:15" ht="15">
      <c r="B125" s="651"/>
      <c r="C125" s="645"/>
      <c r="D125" s="646"/>
      <c r="E125" s="646"/>
      <c r="F125" s="649"/>
      <c r="G125" s="649"/>
      <c r="H125" s="695"/>
      <c r="I125" s="695"/>
      <c r="J125" s="796"/>
      <c r="K125" s="682">
        <f t="shared" si="1"/>
        <v>0</v>
      </c>
      <c r="L125" s="682">
        <f t="shared" si="2"/>
        <v>0</v>
      </c>
      <c r="M125" s="683">
        <f t="shared" si="0"/>
        <v>0</v>
      </c>
      <c r="N125" s="586"/>
      <c r="O125" s="741"/>
    </row>
    <row r="126" spans="2:15" ht="15">
      <c r="B126" s="651"/>
      <c r="C126" s="645"/>
      <c r="D126" s="646"/>
      <c r="E126" s="646"/>
      <c r="F126" s="649"/>
      <c r="G126" s="649"/>
      <c r="H126" s="695"/>
      <c r="I126" s="695"/>
      <c r="J126" s="796"/>
      <c r="K126" s="682">
        <f t="shared" si="1"/>
        <v>0</v>
      </c>
      <c r="L126" s="682">
        <f t="shared" si="2"/>
        <v>0</v>
      </c>
      <c r="M126" s="683">
        <f t="shared" si="0"/>
        <v>0</v>
      </c>
      <c r="N126" s="586"/>
      <c r="O126" s="741"/>
    </row>
    <row r="127" spans="2:15" ht="15">
      <c r="B127" s="651"/>
      <c r="C127" s="645"/>
      <c r="D127" s="646"/>
      <c r="E127" s="646"/>
      <c r="F127" s="649"/>
      <c r="G127" s="649"/>
      <c r="H127" s="695"/>
      <c r="I127" s="695"/>
      <c r="J127" s="796"/>
      <c r="K127" s="682">
        <f t="shared" si="1"/>
        <v>0</v>
      </c>
      <c r="L127" s="682">
        <f t="shared" si="2"/>
        <v>0</v>
      </c>
      <c r="M127" s="683">
        <f t="shared" si="0"/>
        <v>0</v>
      </c>
      <c r="N127" s="586"/>
      <c r="O127" s="741"/>
    </row>
    <row r="128" spans="2:17" ht="15">
      <c r="B128" s="651"/>
      <c r="C128" s="645"/>
      <c r="D128" s="646"/>
      <c r="E128" s="646"/>
      <c r="F128" s="649"/>
      <c r="G128" s="649"/>
      <c r="H128" s="695"/>
      <c r="I128" s="695"/>
      <c r="J128" s="796"/>
      <c r="K128" s="682">
        <f t="shared" si="1"/>
        <v>0</v>
      </c>
      <c r="L128" s="682">
        <f t="shared" si="2"/>
        <v>0</v>
      </c>
      <c r="M128" s="683">
        <f t="shared" si="0"/>
        <v>0</v>
      </c>
      <c r="N128" s="586"/>
      <c r="O128" s="375"/>
      <c r="P128" s="742"/>
      <c r="Q128" s="742"/>
    </row>
    <row r="129" spans="2:20" ht="15">
      <c r="B129" s="651"/>
      <c r="C129" s="645"/>
      <c r="D129" s="646"/>
      <c r="E129" s="646"/>
      <c r="F129" s="649"/>
      <c r="G129" s="649"/>
      <c r="H129" s="695"/>
      <c r="I129" s="695"/>
      <c r="J129" s="796"/>
      <c r="K129" s="682">
        <f t="shared" si="1"/>
        <v>0</v>
      </c>
      <c r="L129" s="682">
        <f t="shared" si="2"/>
        <v>0</v>
      </c>
      <c r="M129" s="683">
        <f t="shared" si="0"/>
        <v>0</v>
      </c>
      <c r="N129" s="586"/>
      <c r="O129" s="741"/>
      <c r="P129" s="678"/>
      <c r="R129" s="740"/>
      <c r="T129" s="556"/>
    </row>
    <row r="130" spans="2:20" ht="15">
      <c r="B130" s="651"/>
      <c r="C130" s="645"/>
      <c r="D130" s="646"/>
      <c r="E130" s="646"/>
      <c r="F130" s="649"/>
      <c r="G130" s="649"/>
      <c r="H130" s="695"/>
      <c r="I130" s="695"/>
      <c r="J130" s="796"/>
      <c r="K130" s="682">
        <f t="shared" si="1"/>
        <v>0</v>
      </c>
      <c r="L130" s="682">
        <f t="shared" si="2"/>
        <v>0</v>
      </c>
      <c r="M130" s="683">
        <f t="shared" si="0"/>
        <v>0</v>
      </c>
      <c r="N130" s="586"/>
      <c r="O130" s="743"/>
      <c r="P130" s="653"/>
      <c r="R130" s="556"/>
      <c r="T130" s="556"/>
    </row>
    <row r="131" spans="2:44" ht="15">
      <c r="B131" s="651"/>
      <c r="C131" s="645"/>
      <c r="D131" s="646"/>
      <c r="E131" s="646"/>
      <c r="F131" s="649"/>
      <c r="G131" s="649"/>
      <c r="H131" s="695"/>
      <c r="I131" s="695"/>
      <c r="J131" s="796"/>
      <c r="K131" s="682">
        <f t="shared" si="1"/>
        <v>0</v>
      </c>
      <c r="L131" s="682">
        <f t="shared" si="2"/>
        <v>0</v>
      </c>
      <c r="M131" s="683">
        <f t="shared" si="0"/>
        <v>0</v>
      </c>
      <c r="N131" s="586"/>
      <c r="O131" s="744"/>
      <c r="P131" s="489"/>
      <c r="Q131" s="648"/>
      <c r="R131" s="745"/>
      <c r="T131" s="556"/>
      <c r="Y131" s="613"/>
      <c r="AB131" s="613"/>
      <c r="AE131" s="613"/>
      <c r="AF131" s="648"/>
      <c r="AH131" s="613"/>
      <c r="AI131" s="648"/>
      <c r="AK131" s="613"/>
      <c r="AL131" s="648"/>
      <c r="AN131" s="613"/>
      <c r="AO131" s="648"/>
      <c r="AQ131" s="613"/>
      <c r="AR131" s="613"/>
    </row>
    <row r="132" spans="2:20" ht="15">
      <c r="B132" s="651"/>
      <c r="C132" s="645"/>
      <c r="D132" s="646"/>
      <c r="E132" s="646"/>
      <c r="F132" s="649"/>
      <c r="G132" s="649"/>
      <c r="H132" s="695"/>
      <c r="I132" s="695"/>
      <c r="J132" s="796"/>
      <c r="K132" s="682">
        <f>E132-H132-I132-J132</f>
        <v>0</v>
      </c>
      <c r="L132" s="682">
        <f t="shared" si="2"/>
        <v>0</v>
      </c>
      <c r="M132" s="683">
        <f t="shared" si="0"/>
        <v>0</v>
      </c>
      <c r="N132" s="586"/>
      <c r="O132" s="746"/>
      <c r="P132" s="648"/>
      <c r="Q132" s="648"/>
      <c r="R132" s="745"/>
      <c r="T132" s="556"/>
    </row>
    <row r="133" spans="2:20" ht="15">
      <c r="B133" s="651"/>
      <c r="C133" s="645"/>
      <c r="D133" s="646"/>
      <c r="E133" s="646"/>
      <c r="F133" s="649"/>
      <c r="G133" s="649"/>
      <c r="H133" s="695"/>
      <c r="I133" s="695"/>
      <c r="J133" s="796"/>
      <c r="K133" s="682">
        <f t="shared" si="1"/>
        <v>0</v>
      </c>
      <c r="L133" s="682">
        <f t="shared" si="2"/>
        <v>0</v>
      </c>
      <c r="M133" s="683">
        <f t="shared" si="0"/>
        <v>0</v>
      </c>
      <c r="N133" s="586"/>
      <c r="O133" s="746"/>
      <c r="P133" s="648"/>
      <c r="Q133" s="648"/>
      <c r="R133" s="745"/>
      <c r="T133" s="556"/>
    </row>
    <row r="134" spans="2:20" ht="15">
      <c r="B134" s="651"/>
      <c r="C134" s="645"/>
      <c r="D134" s="646"/>
      <c r="E134" s="646"/>
      <c r="F134" s="649"/>
      <c r="G134" s="649"/>
      <c r="H134" s="695"/>
      <c r="I134" s="695"/>
      <c r="J134" s="796"/>
      <c r="K134" s="682">
        <f t="shared" si="1"/>
        <v>0</v>
      </c>
      <c r="L134" s="682">
        <f t="shared" si="2"/>
        <v>0</v>
      </c>
      <c r="M134" s="683">
        <f t="shared" si="0"/>
        <v>0</v>
      </c>
      <c r="N134" s="586"/>
      <c r="O134" s="746"/>
      <c r="P134" s="648"/>
      <c r="Q134" s="648"/>
      <c r="R134" s="745"/>
      <c r="T134" s="556"/>
    </row>
    <row r="135" spans="2:20" ht="15">
      <c r="B135" s="651"/>
      <c r="C135" s="645"/>
      <c r="D135" s="646"/>
      <c r="E135" s="646"/>
      <c r="F135" s="649"/>
      <c r="G135" s="649"/>
      <c r="H135" s="695"/>
      <c r="I135" s="695"/>
      <c r="J135" s="796"/>
      <c r="K135" s="682">
        <f t="shared" si="1"/>
        <v>0</v>
      </c>
      <c r="L135" s="682">
        <f t="shared" si="2"/>
        <v>0</v>
      </c>
      <c r="M135" s="683">
        <f t="shared" si="0"/>
        <v>0</v>
      </c>
      <c r="N135" s="586"/>
      <c r="O135" s="746"/>
      <c r="P135" s="648"/>
      <c r="Q135" s="648"/>
      <c r="R135" s="745"/>
      <c r="T135" s="556"/>
    </row>
    <row r="136" spans="2:20" ht="12.75" customHeight="1">
      <c r="B136" s="651"/>
      <c r="C136" s="645"/>
      <c r="D136" s="646"/>
      <c r="E136" s="646"/>
      <c r="F136" s="649"/>
      <c r="G136" s="649"/>
      <c r="H136" s="695"/>
      <c r="I136" s="695"/>
      <c r="J136" s="796"/>
      <c r="K136" s="682">
        <f t="shared" si="1"/>
        <v>0</v>
      </c>
      <c r="L136" s="682">
        <f t="shared" si="2"/>
        <v>0</v>
      </c>
      <c r="M136" s="683">
        <f t="shared" si="0"/>
        <v>0</v>
      </c>
      <c r="N136" s="586"/>
      <c r="O136" s="746"/>
      <c r="P136" s="648"/>
      <c r="Q136" s="648"/>
      <c r="R136" s="745"/>
      <c r="S136" s="556"/>
      <c r="T136" s="556"/>
    </row>
    <row r="137" spans="2:41" ht="15">
      <c r="B137" s="651"/>
      <c r="C137" s="645"/>
      <c r="D137" s="646"/>
      <c r="E137" s="646"/>
      <c r="F137" s="649"/>
      <c r="G137" s="649"/>
      <c r="H137" s="695"/>
      <c r="I137" s="695"/>
      <c r="J137" s="796"/>
      <c r="K137" s="682">
        <f t="shared" si="1"/>
        <v>0</v>
      </c>
      <c r="L137" s="682">
        <f t="shared" si="2"/>
        <v>0</v>
      </c>
      <c r="M137" s="683">
        <f t="shared" si="0"/>
        <v>0</v>
      </c>
      <c r="N137" s="586"/>
      <c r="O137" s="746"/>
      <c r="P137" s="648"/>
      <c r="Q137" s="648"/>
      <c r="R137" s="745"/>
      <c r="T137" s="652"/>
      <c r="W137" s="648"/>
      <c r="Z137" s="648"/>
      <c r="AC137" s="648"/>
      <c r="AF137" s="648"/>
      <c r="AI137" s="648"/>
      <c r="AL137" s="648"/>
      <c r="AO137" s="648"/>
    </row>
    <row r="138" spans="2:42" ht="15">
      <c r="B138" s="651"/>
      <c r="C138" s="645"/>
      <c r="D138" s="646"/>
      <c r="E138" s="646"/>
      <c r="F138" s="649"/>
      <c r="G138" s="649"/>
      <c r="H138" s="695"/>
      <c r="I138" s="695"/>
      <c r="J138" s="796"/>
      <c r="K138" s="682">
        <f t="shared" si="1"/>
        <v>0</v>
      </c>
      <c r="L138" s="682">
        <f t="shared" si="2"/>
        <v>0</v>
      </c>
      <c r="M138" s="683">
        <f t="shared" si="0"/>
        <v>0</v>
      </c>
      <c r="N138" s="586"/>
      <c r="O138" s="746"/>
      <c r="P138" s="648"/>
      <c r="Q138" s="648"/>
      <c r="R138" s="745"/>
      <c r="T138" s="652"/>
      <c r="U138" s="653"/>
      <c r="W138" s="653"/>
      <c r="X138" s="653"/>
      <c r="Z138" s="653"/>
      <c r="AA138" s="653"/>
      <c r="AC138" s="653"/>
      <c r="AD138" s="653"/>
      <c r="AF138" s="653"/>
      <c r="AG138" s="653"/>
      <c r="AI138" s="653"/>
      <c r="AJ138" s="653"/>
      <c r="AL138" s="653"/>
      <c r="AM138" s="653"/>
      <c r="AO138" s="653"/>
      <c r="AP138" s="653"/>
    </row>
    <row r="139" spans="2:20" ht="15">
      <c r="B139" s="651"/>
      <c r="C139" s="645"/>
      <c r="D139" s="646"/>
      <c r="E139" s="646"/>
      <c r="F139" s="649"/>
      <c r="G139" s="649"/>
      <c r="H139" s="695"/>
      <c r="I139" s="695"/>
      <c r="J139" s="796"/>
      <c r="K139" s="682">
        <f>E139-H139-I139-J139</f>
        <v>0</v>
      </c>
      <c r="L139" s="682">
        <f t="shared" si="2"/>
        <v>0</v>
      </c>
      <c r="M139" s="683">
        <f t="shared" si="0"/>
        <v>0</v>
      </c>
      <c r="N139" s="586"/>
      <c r="O139" s="746"/>
      <c r="P139" s="648"/>
      <c r="Q139" s="648"/>
      <c r="T139" s="652"/>
    </row>
    <row r="140" spans="2:20" ht="15">
      <c r="B140" s="651"/>
      <c r="C140" s="645"/>
      <c r="D140" s="646"/>
      <c r="E140" s="646"/>
      <c r="F140" s="649"/>
      <c r="G140" s="649"/>
      <c r="H140" s="695"/>
      <c r="I140" s="695"/>
      <c r="J140" s="796"/>
      <c r="K140" s="682">
        <f>E140-H140-I140-J140</f>
        <v>0</v>
      </c>
      <c r="L140" s="682">
        <f t="shared" si="2"/>
        <v>0</v>
      </c>
      <c r="M140" s="683">
        <f t="shared" si="0"/>
        <v>0</v>
      </c>
      <c r="N140" s="586"/>
      <c r="O140" s="746"/>
      <c r="P140" s="648"/>
      <c r="Q140" s="648"/>
      <c r="R140" s="745"/>
      <c r="T140" s="652"/>
    </row>
    <row r="141" spans="2:20" ht="15">
      <c r="B141" s="651"/>
      <c r="C141" s="645"/>
      <c r="D141" s="646"/>
      <c r="E141" s="646"/>
      <c r="F141" s="649"/>
      <c r="G141" s="649"/>
      <c r="H141" s="695"/>
      <c r="I141" s="796"/>
      <c r="J141" s="796"/>
      <c r="K141" s="682">
        <f>E141-H141-I141-J141</f>
        <v>0</v>
      </c>
      <c r="L141" s="682">
        <f t="shared" si="2"/>
        <v>0</v>
      </c>
      <c r="M141" s="683">
        <f t="shared" si="0"/>
        <v>0</v>
      </c>
      <c r="N141" s="586"/>
      <c r="O141" s="746"/>
      <c r="P141" s="648"/>
      <c r="Q141" s="648"/>
      <c r="R141" s="745"/>
      <c r="T141" s="652"/>
    </row>
    <row r="142" spans="2:20" ht="15">
      <c r="B142" s="651"/>
      <c r="C142" s="645"/>
      <c r="D142" s="646"/>
      <c r="E142" s="646"/>
      <c r="F142" s="649"/>
      <c r="G142" s="649"/>
      <c r="H142" s="695"/>
      <c r="I142" s="796"/>
      <c r="J142" s="796"/>
      <c r="K142" s="682">
        <f>E142-H142-I142-J142</f>
        <v>0</v>
      </c>
      <c r="L142" s="682">
        <f t="shared" si="2"/>
        <v>0</v>
      </c>
      <c r="M142" s="683">
        <f t="shared" si="0"/>
        <v>0</v>
      </c>
      <c r="N142" s="586"/>
      <c r="O142" s="746"/>
      <c r="P142" s="489"/>
      <c r="Q142" s="648"/>
      <c r="R142" s="745"/>
      <c r="T142" s="652"/>
    </row>
    <row r="143" spans="2:20" ht="15">
      <c r="B143" s="651"/>
      <c r="C143" s="645"/>
      <c r="D143" s="646"/>
      <c r="E143" s="646"/>
      <c r="F143" s="649"/>
      <c r="G143" s="649"/>
      <c r="H143" s="695"/>
      <c r="I143" s="695"/>
      <c r="J143" s="796"/>
      <c r="K143" s="682">
        <f t="shared" si="1"/>
        <v>0</v>
      </c>
      <c r="L143" s="682">
        <f t="shared" si="2"/>
        <v>0</v>
      </c>
      <c r="M143" s="683">
        <f t="shared" si="0"/>
        <v>0</v>
      </c>
      <c r="N143" s="586"/>
      <c r="O143" s="746"/>
      <c r="P143" s="489"/>
      <c r="Q143" s="648"/>
      <c r="R143" s="745"/>
      <c r="T143" s="652"/>
    </row>
    <row r="144" spans="2:18" ht="15">
      <c r="B144" s="651"/>
      <c r="C144" s="645"/>
      <c r="D144" s="646"/>
      <c r="E144" s="646"/>
      <c r="F144" s="649"/>
      <c r="G144" s="649"/>
      <c r="H144" s="695"/>
      <c r="I144" s="695"/>
      <c r="J144" s="796"/>
      <c r="K144" s="682">
        <f t="shared" si="1"/>
        <v>0</v>
      </c>
      <c r="L144" s="682">
        <f t="shared" si="2"/>
        <v>0</v>
      </c>
      <c r="M144" s="683">
        <f t="shared" si="0"/>
        <v>0</v>
      </c>
      <c r="N144" s="586"/>
      <c r="O144" s="746"/>
      <c r="P144" s="489"/>
      <c r="Q144" s="648"/>
      <c r="R144" s="745"/>
    </row>
    <row r="145" spans="2:18" ht="15">
      <c r="B145" s="651"/>
      <c r="C145" s="645"/>
      <c r="D145" s="646"/>
      <c r="E145" s="646"/>
      <c r="F145" s="649"/>
      <c r="G145" s="649"/>
      <c r="H145" s="695"/>
      <c r="I145" s="695"/>
      <c r="J145" s="646"/>
      <c r="K145" s="682">
        <f t="shared" si="1"/>
        <v>0</v>
      </c>
      <c r="L145" s="682">
        <f t="shared" si="2"/>
        <v>0</v>
      </c>
      <c r="M145" s="683">
        <f t="shared" si="3" ref="M145:M208">+L145-H145</f>
        <v>0</v>
      </c>
      <c r="N145" s="586"/>
      <c r="O145" s="746"/>
      <c r="P145" s="489"/>
      <c r="Q145" s="648"/>
      <c r="R145" s="745"/>
    </row>
    <row r="146" spans="2:18" ht="15">
      <c r="B146" s="651"/>
      <c r="C146" s="645"/>
      <c r="D146" s="646"/>
      <c r="E146" s="646"/>
      <c r="F146" s="649"/>
      <c r="G146" s="649"/>
      <c r="H146" s="695"/>
      <c r="I146" s="695"/>
      <c r="J146" s="646"/>
      <c r="K146" s="682">
        <f t="shared" si="4" ref="K146:K206">E146-H146-I146-J146</f>
        <v>0</v>
      </c>
      <c r="L146" s="682">
        <f t="shared" si="2"/>
        <v>0</v>
      </c>
      <c r="M146" s="683">
        <f t="shared" si="3"/>
        <v>0</v>
      </c>
      <c r="N146" s="586"/>
      <c r="O146" s="746"/>
      <c r="P146" s="489"/>
      <c r="Q146" s="648"/>
      <c r="R146" s="745"/>
    </row>
    <row r="147" spans="2:18" ht="15">
      <c r="B147" s="651"/>
      <c r="C147" s="645"/>
      <c r="D147" s="646"/>
      <c r="E147" s="646"/>
      <c r="F147" s="649"/>
      <c r="G147" s="649"/>
      <c r="H147" s="695"/>
      <c r="I147" s="695"/>
      <c r="J147" s="646"/>
      <c r="K147" s="682">
        <f t="shared" si="4"/>
        <v>0</v>
      </c>
      <c r="L147" s="682">
        <f t="shared" si="5" ref="L147:L210">G147*(POWER(1+$F$16,(B147-B146)/365)-1)</f>
        <v>0</v>
      </c>
      <c r="M147" s="683">
        <f t="shared" si="3"/>
        <v>0</v>
      </c>
      <c r="N147" s="586"/>
      <c r="O147" s="746"/>
      <c r="P147" s="489"/>
      <c r="Q147" s="648"/>
      <c r="R147" s="747"/>
    </row>
    <row r="148" spans="2:18" ht="15">
      <c r="B148" s="651"/>
      <c r="C148" s="645"/>
      <c r="D148" s="646"/>
      <c r="E148" s="646"/>
      <c r="F148" s="649"/>
      <c r="G148" s="649"/>
      <c r="H148" s="695"/>
      <c r="I148" s="695"/>
      <c r="J148" s="646"/>
      <c r="K148" s="682">
        <f t="shared" si="4"/>
        <v>0</v>
      </c>
      <c r="L148" s="682">
        <f t="shared" si="5"/>
        <v>0</v>
      </c>
      <c r="M148" s="683">
        <f t="shared" si="3"/>
        <v>0</v>
      </c>
      <c r="N148" s="586"/>
      <c r="O148" s="746"/>
      <c r="P148" s="489"/>
      <c r="Q148" s="648"/>
      <c r="R148" s="745"/>
    </row>
    <row r="149" spans="2:18" ht="15">
      <c r="B149" s="651"/>
      <c r="C149" s="645"/>
      <c r="D149" s="646"/>
      <c r="E149" s="646"/>
      <c r="F149" s="649"/>
      <c r="G149" s="649"/>
      <c r="H149" s="695"/>
      <c r="I149" s="695"/>
      <c r="J149" s="646"/>
      <c r="K149" s="682">
        <f t="shared" si="4"/>
        <v>0</v>
      </c>
      <c r="L149" s="682">
        <f t="shared" si="5"/>
        <v>0</v>
      </c>
      <c r="M149" s="683">
        <f t="shared" si="3"/>
        <v>0</v>
      </c>
      <c r="N149" s="586"/>
      <c r="O149" s="746"/>
      <c r="P149" s="489"/>
      <c r="Q149" s="648"/>
      <c r="R149" s="745"/>
    </row>
    <row r="150" spans="2:18" ht="15">
      <c r="B150" s="651"/>
      <c r="C150" s="645"/>
      <c r="D150" s="646"/>
      <c r="E150" s="646"/>
      <c r="F150" s="649"/>
      <c r="G150" s="649"/>
      <c r="H150" s="695"/>
      <c r="I150" s="695"/>
      <c r="J150" s="646"/>
      <c r="K150" s="682">
        <f t="shared" si="4"/>
        <v>0</v>
      </c>
      <c r="L150" s="682">
        <f t="shared" si="5"/>
        <v>0</v>
      </c>
      <c r="M150" s="683">
        <f t="shared" si="3"/>
        <v>0</v>
      </c>
      <c r="N150" s="586"/>
      <c r="O150" s="746"/>
      <c r="P150" s="489"/>
      <c r="Q150" s="648"/>
      <c r="R150" s="747"/>
    </row>
    <row r="151" spans="2:20" ht="15">
      <c r="B151" s="651"/>
      <c r="C151" s="645"/>
      <c r="D151" s="646"/>
      <c r="E151" s="646"/>
      <c r="F151" s="649"/>
      <c r="G151" s="649"/>
      <c r="H151" s="695"/>
      <c r="I151" s="695"/>
      <c r="J151" s="646"/>
      <c r="K151" s="682">
        <f t="shared" si="4"/>
        <v>0</v>
      </c>
      <c r="L151" s="682">
        <f t="shared" si="5"/>
        <v>0</v>
      </c>
      <c r="M151" s="683">
        <f t="shared" si="3"/>
        <v>0</v>
      </c>
      <c r="N151" s="586"/>
      <c r="O151" s="744"/>
      <c r="P151" s="748"/>
      <c r="Q151" s="648"/>
      <c r="R151" s="747"/>
      <c r="T151" s="684"/>
    </row>
    <row r="152" spans="2:20" ht="15">
      <c r="B152" s="651"/>
      <c r="C152" s="645"/>
      <c r="D152" s="646"/>
      <c r="E152" s="646"/>
      <c r="F152" s="649"/>
      <c r="G152" s="649"/>
      <c r="H152" s="695"/>
      <c r="I152" s="695"/>
      <c r="J152" s="646"/>
      <c r="K152" s="682">
        <f t="shared" si="4"/>
        <v>0</v>
      </c>
      <c r="L152" s="682">
        <f t="shared" si="5"/>
        <v>0</v>
      </c>
      <c r="M152" s="683">
        <f t="shared" si="3"/>
        <v>0</v>
      </c>
      <c r="N152" s="586"/>
      <c r="O152" s="744"/>
      <c r="P152" s="748"/>
      <c r="Q152" s="648"/>
      <c r="R152" s="747"/>
      <c r="T152" s="684"/>
    </row>
    <row r="153" spans="2:20" ht="15">
      <c r="B153" s="651"/>
      <c r="C153" s="645"/>
      <c r="D153" s="646"/>
      <c r="E153" s="646"/>
      <c r="F153" s="649"/>
      <c r="G153" s="649"/>
      <c r="H153" s="695"/>
      <c r="I153" s="695"/>
      <c r="J153" s="646"/>
      <c r="K153" s="682">
        <f>E153-H153-I153-J153</f>
        <v>0</v>
      </c>
      <c r="L153" s="682">
        <f t="shared" si="5"/>
        <v>0</v>
      </c>
      <c r="M153" s="683">
        <f t="shared" si="3"/>
        <v>0</v>
      </c>
      <c r="N153" s="586"/>
      <c r="O153" s="744"/>
      <c r="P153" s="748"/>
      <c r="Q153" s="648"/>
      <c r="R153" s="747"/>
      <c r="T153" s="684"/>
    </row>
    <row r="154" spans="2:20" ht="15">
      <c r="B154" s="651"/>
      <c r="C154" s="645"/>
      <c r="D154" s="646"/>
      <c r="E154" s="646"/>
      <c r="F154" s="649"/>
      <c r="G154" s="649"/>
      <c r="H154" s="695"/>
      <c r="I154" s="695"/>
      <c r="J154" s="646"/>
      <c r="K154" s="682">
        <f t="shared" si="4"/>
        <v>0</v>
      </c>
      <c r="L154" s="682">
        <f t="shared" si="5"/>
        <v>0</v>
      </c>
      <c r="M154" s="683">
        <f t="shared" si="3"/>
        <v>0</v>
      </c>
      <c r="N154" s="586"/>
      <c r="O154" s="744"/>
      <c r="P154" s="748"/>
      <c r="Q154" s="648"/>
      <c r="R154" s="747"/>
      <c r="T154" s="684"/>
    </row>
    <row r="155" spans="2:20" ht="15">
      <c r="B155" s="651"/>
      <c r="C155" s="645"/>
      <c r="D155" s="646"/>
      <c r="E155" s="647"/>
      <c r="F155" s="649"/>
      <c r="G155" s="649"/>
      <c r="H155" s="695"/>
      <c r="I155" s="695"/>
      <c r="J155" s="646"/>
      <c r="K155" s="682">
        <f t="shared" si="4"/>
        <v>0</v>
      </c>
      <c r="L155" s="682">
        <f t="shared" si="5"/>
        <v>0</v>
      </c>
      <c r="M155" s="683">
        <f t="shared" si="3"/>
        <v>0</v>
      </c>
      <c r="N155" s="586"/>
      <c r="O155" s="744"/>
      <c r="P155" s="748"/>
      <c r="Q155" s="648"/>
      <c r="R155" s="747"/>
      <c r="T155" s="684"/>
    </row>
    <row r="156" spans="2:20" ht="15">
      <c r="B156" s="651"/>
      <c r="C156" s="645"/>
      <c r="D156" s="646"/>
      <c r="E156" s="646"/>
      <c r="F156" s="649"/>
      <c r="G156" s="649"/>
      <c r="H156" s="695"/>
      <c r="I156" s="695"/>
      <c r="J156" s="646"/>
      <c r="K156" s="682">
        <f t="shared" si="4"/>
        <v>0</v>
      </c>
      <c r="L156" s="682">
        <f t="shared" si="5"/>
        <v>0</v>
      </c>
      <c r="M156" s="683">
        <f t="shared" si="3"/>
        <v>0</v>
      </c>
      <c r="N156" s="586"/>
      <c r="O156" s="744"/>
      <c r="P156" s="748"/>
      <c r="Q156" s="648"/>
      <c r="R156" s="747"/>
      <c r="T156" s="684"/>
    </row>
    <row r="157" spans="2:20" ht="15">
      <c r="B157" s="651"/>
      <c r="C157" s="645"/>
      <c r="D157" s="646"/>
      <c r="E157" s="647"/>
      <c r="F157" s="649"/>
      <c r="G157" s="649"/>
      <c r="H157" s="695"/>
      <c r="I157" s="695"/>
      <c r="J157" s="646"/>
      <c r="K157" s="682">
        <f t="shared" si="4"/>
        <v>0</v>
      </c>
      <c r="L157" s="682">
        <f t="shared" si="5"/>
        <v>0</v>
      </c>
      <c r="M157" s="683">
        <f t="shared" si="3"/>
        <v>0</v>
      </c>
      <c r="N157" s="586"/>
      <c r="O157" s="744"/>
      <c r="P157" s="748"/>
      <c r="Q157" s="648"/>
      <c r="R157" s="747"/>
      <c r="T157" s="684"/>
    </row>
    <row r="158" spans="2:20" ht="15">
      <c r="B158" s="651"/>
      <c r="C158" s="645"/>
      <c r="D158" s="646"/>
      <c r="E158" s="646"/>
      <c r="F158" s="649"/>
      <c r="G158" s="649"/>
      <c r="H158" s="695"/>
      <c r="I158" s="695"/>
      <c r="J158" s="646"/>
      <c r="K158" s="682">
        <f t="shared" si="4"/>
        <v>0</v>
      </c>
      <c r="L158" s="682">
        <f t="shared" si="5"/>
        <v>0</v>
      </c>
      <c r="M158" s="683">
        <f t="shared" si="3"/>
        <v>0</v>
      </c>
      <c r="N158" s="586"/>
      <c r="O158" s="744"/>
      <c r="P158" s="748"/>
      <c r="Q158" s="648"/>
      <c r="R158" s="747"/>
      <c r="T158" s="684"/>
    </row>
    <row r="159" spans="2:20" ht="15">
      <c r="B159" s="651"/>
      <c r="C159" s="645"/>
      <c r="D159" s="646"/>
      <c r="E159" s="646"/>
      <c r="F159" s="649"/>
      <c r="G159" s="649"/>
      <c r="H159" s="695"/>
      <c r="I159" s="695"/>
      <c r="J159" s="646"/>
      <c r="K159" s="682">
        <f t="shared" si="4"/>
        <v>0</v>
      </c>
      <c r="L159" s="682">
        <f t="shared" si="5"/>
        <v>0</v>
      </c>
      <c r="M159" s="683">
        <f t="shared" si="3"/>
        <v>0</v>
      </c>
      <c r="N159" s="586"/>
      <c r="O159" s="744"/>
      <c r="P159" s="748"/>
      <c r="Q159" s="648"/>
      <c r="R159" s="747"/>
      <c r="T159" s="684"/>
    </row>
    <row r="160" spans="2:20" ht="15">
      <c r="B160" s="651"/>
      <c r="C160" s="645"/>
      <c r="D160" s="646"/>
      <c r="E160" s="646"/>
      <c r="F160" s="649"/>
      <c r="G160" s="649"/>
      <c r="H160" s="695"/>
      <c r="I160" s="695"/>
      <c r="J160" s="646"/>
      <c r="K160" s="682">
        <f t="shared" si="4"/>
        <v>0</v>
      </c>
      <c r="L160" s="682">
        <f t="shared" si="5"/>
        <v>0</v>
      </c>
      <c r="M160" s="683">
        <f t="shared" si="3"/>
        <v>0</v>
      </c>
      <c r="N160" s="586"/>
      <c r="O160" s="744"/>
      <c r="P160" s="748"/>
      <c r="Q160" s="648"/>
      <c r="R160" s="747"/>
      <c r="T160" s="684"/>
    </row>
    <row r="161" spans="2:20" ht="15">
      <c r="B161" s="651"/>
      <c r="C161" s="645"/>
      <c r="D161" s="646"/>
      <c r="E161" s="646"/>
      <c r="F161" s="649"/>
      <c r="G161" s="649"/>
      <c r="H161" s="695"/>
      <c r="I161" s="695"/>
      <c r="J161" s="646"/>
      <c r="K161" s="682">
        <f t="shared" si="4"/>
        <v>0</v>
      </c>
      <c r="L161" s="682">
        <f t="shared" si="5"/>
        <v>0</v>
      </c>
      <c r="M161" s="683">
        <f t="shared" si="3"/>
        <v>0</v>
      </c>
      <c r="N161" s="586"/>
      <c r="O161" s="744"/>
      <c r="P161" s="748"/>
      <c r="Q161" s="648"/>
      <c r="R161" s="747"/>
      <c r="T161" s="684"/>
    </row>
    <row r="162" spans="2:20" ht="15">
      <c r="B162" s="651"/>
      <c r="C162" s="645"/>
      <c r="D162" s="646"/>
      <c r="E162" s="646"/>
      <c r="F162" s="649"/>
      <c r="G162" s="649"/>
      <c r="H162" s="695"/>
      <c r="I162" s="695"/>
      <c r="J162" s="646"/>
      <c r="K162" s="682">
        <f t="shared" si="4"/>
        <v>0</v>
      </c>
      <c r="L162" s="682">
        <f t="shared" si="5"/>
        <v>0</v>
      </c>
      <c r="M162" s="683">
        <f t="shared" si="3"/>
        <v>0</v>
      </c>
      <c r="N162" s="586"/>
      <c r="O162" s="744"/>
      <c r="P162" s="748"/>
      <c r="Q162" s="648"/>
      <c r="R162" s="747"/>
      <c r="T162" s="684"/>
    </row>
    <row r="163" spans="2:20" ht="15">
      <c r="B163" s="651"/>
      <c r="C163" s="645"/>
      <c r="D163" s="646"/>
      <c r="E163" s="646"/>
      <c r="F163" s="649"/>
      <c r="G163" s="649"/>
      <c r="H163" s="695"/>
      <c r="I163" s="695"/>
      <c r="J163" s="646"/>
      <c r="K163" s="682">
        <f t="shared" si="4"/>
        <v>0</v>
      </c>
      <c r="L163" s="682">
        <f t="shared" si="5"/>
        <v>0</v>
      </c>
      <c r="M163" s="683">
        <f t="shared" si="3"/>
        <v>0</v>
      </c>
      <c r="N163" s="586"/>
      <c r="O163" s="744"/>
      <c r="P163" s="748"/>
      <c r="Q163" s="648"/>
      <c r="R163" s="747"/>
      <c r="T163" s="684"/>
    </row>
    <row r="164" spans="2:20" ht="15">
      <c r="B164" s="651"/>
      <c r="C164" s="645"/>
      <c r="D164" s="646"/>
      <c r="E164" s="646"/>
      <c r="F164" s="649"/>
      <c r="G164" s="649"/>
      <c r="H164" s="695"/>
      <c r="I164" s="695"/>
      <c r="J164" s="646"/>
      <c r="K164" s="682">
        <f t="shared" si="4"/>
        <v>0</v>
      </c>
      <c r="L164" s="682">
        <f t="shared" si="5"/>
        <v>0</v>
      </c>
      <c r="M164" s="683">
        <f t="shared" si="3"/>
        <v>0</v>
      </c>
      <c r="N164" s="586"/>
      <c r="O164" s="746"/>
      <c r="P164" s="748"/>
      <c r="Q164" s="648"/>
      <c r="R164" s="749"/>
      <c r="T164" s="684"/>
    </row>
    <row r="165" spans="2:18" ht="15">
      <c r="B165" s="651"/>
      <c r="C165" s="645"/>
      <c r="D165" s="646"/>
      <c r="E165" s="647"/>
      <c r="F165" s="649"/>
      <c r="G165" s="649"/>
      <c r="H165" s="695"/>
      <c r="I165" s="695"/>
      <c r="J165" s="799"/>
      <c r="K165" s="682">
        <f t="shared" si="4"/>
        <v>0</v>
      </c>
      <c r="L165" s="682">
        <f t="shared" si="5"/>
        <v>0</v>
      </c>
      <c r="M165" s="683">
        <f t="shared" si="3"/>
        <v>0</v>
      </c>
      <c r="N165" s="586"/>
      <c r="O165" s="744"/>
      <c r="P165" s="748"/>
      <c r="Q165" s="648"/>
      <c r="R165" s="747"/>
    </row>
    <row r="166" spans="2:18" ht="15">
      <c r="B166" s="651"/>
      <c r="C166" s="645"/>
      <c r="D166" s="646"/>
      <c r="E166" s="646"/>
      <c r="F166" s="649"/>
      <c r="G166" s="649"/>
      <c r="H166" s="695"/>
      <c r="I166" s="695"/>
      <c r="J166" s="646"/>
      <c r="K166" s="682">
        <f t="shared" si="4"/>
        <v>0</v>
      </c>
      <c r="L166" s="682">
        <f t="shared" si="5"/>
        <v>0</v>
      </c>
      <c r="M166" s="683">
        <f t="shared" si="3"/>
        <v>0</v>
      </c>
      <c r="N166" s="586"/>
      <c r="O166" s="744"/>
      <c r="P166" s="748"/>
      <c r="Q166" s="648"/>
      <c r="R166" s="747"/>
    </row>
    <row r="167" spans="2:18" ht="15">
      <c r="B167" s="651"/>
      <c r="C167" s="645"/>
      <c r="D167" s="646"/>
      <c r="E167" s="646"/>
      <c r="F167" s="649"/>
      <c r="G167" s="649"/>
      <c r="H167" s="695"/>
      <c r="I167" s="695"/>
      <c r="J167" s="799"/>
      <c r="K167" s="682">
        <f t="shared" si="4"/>
        <v>0</v>
      </c>
      <c r="L167" s="682">
        <f t="shared" si="5"/>
        <v>0</v>
      </c>
      <c r="M167" s="683">
        <f t="shared" si="3"/>
        <v>0</v>
      </c>
      <c r="N167" s="586"/>
      <c r="O167" s="744"/>
      <c r="P167" s="750"/>
      <c r="Q167" s="648"/>
      <c r="R167" s="749"/>
    </row>
    <row r="168" spans="2:18" ht="15">
      <c r="B168" s="651"/>
      <c r="C168" s="645"/>
      <c r="D168" s="646"/>
      <c r="E168" s="646"/>
      <c r="F168" s="649"/>
      <c r="G168" s="649"/>
      <c r="H168" s="695"/>
      <c r="I168" s="695"/>
      <c r="J168" s="799"/>
      <c r="K168" s="682">
        <f t="shared" si="4"/>
        <v>0</v>
      </c>
      <c r="L168" s="682">
        <f t="shared" si="5"/>
        <v>0</v>
      </c>
      <c r="M168" s="683">
        <f t="shared" si="3"/>
        <v>0</v>
      </c>
      <c r="N168" s="586"/>
      <c r="O168" s="744"/>
      <c r="P168" s="750"/>
      <c r="Q168" s="648"/>
      <c r="R168" s="747"/>
    </row>
    <row r="169" spans="2:18" ht="15">
      <c r="B169" s="651"/>
      <c r="C169" s="645"/>
      <c r="D169" s="646"/>
      <c r="E169" s="647"/>
      <c r="F169" s="649"/>
      <c r="G169" s="649"/>
      <c r="H169" s="695"/>
      <c r="I169" s="695"/>
      <c r="J169" s="799"/>
      <c r="K169" s="682">
        <f t="shared" si="4"/>
        <v>0</v>
      </c>
      <c r="L169" s="682">
        <f t="shared" si="5"/>
        <v>0</v>
      </c>
      <c r="M169" s="683">
        <f t="shared" si="3"/>
        <v>0</v>
      </c>
      <c r="N169" s="586"/>
      <c r="O169" s="744"/>
      <c r="P169" s="750"/>
      <c r="Q169" s="648"/>
      <c r="R169" s="747"/>
    </row>
    <row r="170" spans="2:18" ht="15">
      <c r="B170" s="651"/>
      <c r="C170" s="645"/>
      <c r="D170" s="646"/>
      <c r="E170" s="646"/>
      <c r="F170" s="649"/>
      <c r="G170" s="649"/>
      <c r="H170" s="695"/>
      <c r="I170" s="695"/>
      <c r="J170" s="799"/>
      <c r="K170" s="682">
        <f t="shared" si="4"/>
        <v>0</v>
      </c>
      <c r="L170" s="682">
        <f t="shared" si="5"/>
        <v>0</v>
      </c>
      <c r="M170" s="683">
        <f t="shared" si="3"/>
        <v>0</v>
      </c>
      <c r="N170" s="586"/>
      <c r="O170" s="744"/>
      <c r="P170" s="750"/>
      <c r="Q170" s="648"/>
      <c r="R170" s="747"/>
    </row>
    <row r="171" spans="2:18" ht="15">
      <c r="B171" s="651"/>
      <c r="C171" s="645"/>
      <c r="D171" s="646"/>
      <c r="E171" s="646"/>
      <c r="F171" s="649"/>
      <c r="G171" s="649"/>
      <c r="H171" s="695"/>
      <c r="I171" s="695"/>
      <c r="J171" s="646"/>
      <c r="K171" s="682">
        <f t="shared" si="4"/>
        <v>0</v>
      </c>
      <c r="L171" s="682">
        <f t="shared" si="5"/>
        <v>0</v>
      </c>
      <c r="M171" s="683">
        <f t="shared" si="3"/>
        <v>0</v>
      </c>
      <c r="N171" s="586"/>
      <c r="O171" s="744"/>
      <c r="P171" s="750"/>
      <c r="Q171" s="648"/>
      <c r="R171" s="747"/>
    </row>
    <row r="172" spans="2:18" ht="15">
      <c r="B172" s="651"/>
      <c r="C172" s="645"/>
      <c r="D172" s="646"/>
      <c r="E172" s="646"/>
      <c r="F172" s="649"/>
      <c r="G172" s="649"/>
      <c r="H172" s="695"/>
      <c r="I172" s="695"/>
      <c r="J172" s="799"/>
      <c r="K172" s="682">
        <f>E172-H172-I172-J172</f>
        <v>0</v>
      </c>
      <c r="L172" s="682">
        <f t="shared" si="5"/>
        <v>0</v>
      </c>
      <c r="M172" s="683">
        <f t="shared" si="3"/>
        <v>0</v>
      </c>
      <c r="N172" s="586"/>
      <c r="O172" s="744"/>
      <c r="P172" s="750"/>
      <c r="Q172" s="648"/>
      <c r="R172" s="747"/>
    </row>
    <row r="173" spans="2:18" ht="15">
      <c r="B173" s="651"/>
      <c r="C173" s="645"/>
      <c r="D173" s="646"/>
      <c r="E173" s="647"/>
      <c r="F173" s="649"/>
      <c r="G173" s="649"/>
      <c r="H173" s="695"/>
      <c r="I173" s="695"/>
      <c r="J173" s="799"/>
      <c r="K173" s="682">
        <f>E173-H173-I173-J173</f>
        <v>0</v>
      </c>
      <c r="L173" s="682">
        <f t="shared" si="5"/>
        <v>0</v>
      </c>
      <c r="M173" s="683">
        <f t="shared" si="3"/>
        <v>0</v>
      </c>
      <c r="N173" s="586"/>
      <c r="O173" s="746"/>
      <c r="P173" s="751"/>
      <c r="Q173" s="648"/>
      <c r="R173" s="747"/>
    </row>
    <row r="174" spans="2:18" ht="15">
      <c r="B174" s="651"/>
      <c r="C174" s="645"/>
      <c r="D174" s="646"/>
      <c r="E174" s="646"/>
      <c r="F174" s="649"/>
      <c r="G174" s="649"/>
      <c r="H174" s="695"/>
      <c r="I174" s="695"/>
      <c r="J174" s="799"/>
      <c r="K174" s="682">
        <f t="shared" si="4"/>
        <v>0</v>
      </c>
      <c r="L174" s="682">
        <f t="shared" si="5"/>
        <v>0</v>
      </c>
      <c r="M174" s="683">
        <f t="shared" si="3"/>
        <v>0</v>
      </c>
      <c r="N174" s="586"/>
      <c r="O174" s="746"/>
      <c r="P174" s="751"/>
      <c r="Q174" s="648"/>
      <c r="R174" s="747"/>
    </row>
    <row r="175" spans="2:18" ht="15">
      <c r="B175" s="651"/>
      <c r="C175" s="645"/>
      <c r="D175" s="646"/>
      <c r="E175" s="646"/>
      <c r="F175" s="649"/>
      <c r="G175" s="649"/>
      <c r="H175" s="695"/>
      <c r="I175" s="695"/>
      <c r="J175" s="799"/>
      <c r="K175" s="682">
        <f t="shared" si="4"/>
        <v>0</v>
      </c>
      <c r="L175" s="682">
        <f t="shared" si="5"/>
        <v>0</v>
      </c>
      <c r="M175" s="683">
        <f t="shared" si="3"/>
        <v>0</v>
      </c>
      <c r="N175" s="586"/>
      <c r="O175" s="744"/>
      <c r="P175" s="489"/>
      <c r="Q175" s="648"/>
      <c r="R175" s="745"/>
    </row>
    <row r="176" spans="2:17" ht="15">
      <c r="B176" s="651"/>
      <c r="C176" s="645"/>
      <c r="D176" s="646"/>
      <c r="E176" s="647"/>
      <c r="F176" s="649"/>
      <c r="G176" s="649"/>
      <c r="H176" s="800"/>
      <c r="I176" s="695"/>
      <c r="J176" s="799"/>
      <c r="K176" s="682">
        <f>E176-H176-I176-J176</f>
        <v>0</v>
      </c>
      <c r="L176" s="682">
        <f t="shared" si="5"/>
        <v>0</v>
      </c>
      <c r="M176" s="683">
        <f t="shared" si="3"/>
        <v>0</v>
      </c>
      <c r="N176" s="586"/>
      <c r="O176" s="741"/>
      <c r="P176" s="489"/>
      <c r="Q176" s="648"/>
    </row>
    <row r="177" spans="2:17" ht="15">
      <c r="B177" s="651"/>
      <c r="C177" s="645"/>
      <c r="D177" s="646"/>
      <c r="E177" s="646"/>
      <c r="F177" s="649"/>
      <c r="G177" s="649"/>
      <c r="H177" s="800"/>
      <c r="I177" s="695"/>
      <c r="J177" s="646"/>
      <c r="K177" s="682">
        <f>E177-H177-I177-J177</f>
        <v>0</v>
      </c>
      <c r="L177" s="682">
        <f t="shared" si="5"/>
        <v>0</v>
      </c>
      <c r="M177" s="683">
        <f t="shared" si="3"/>
        <v>0</v>
      </c>
      <c r="N177" s="586"/>
      <c r="O177" s="741"/>
      <c r="P177" s="489"/>
      <c r="Q177" s="648"/>
    </row>
    <row r="178" spans="2:17" ht="15">
      <c r="B178" s="651"/>
      <c r="C178" s="645"/>
      <c r="D178" s="646"/>
      <c r="E178" s="647"/>
      <c r="F178" s="649"/>
      <c r="G178" s="649"/>
      <c r="H178" s="800"/>
      <c r="I178" s="695"/>
      <c r="J178" s="646"/>
      <c r="K178" s="682">
        <f>E178-H178-I178-J178</f>
        <v>0</v>
      </c>
      <c r="L178" s="682">
        <f t="shared" si="5"/>
        <v>0</v>
      </c>
      <c r="M178" s="683">
        <f t="shared" si="3"/>
        <v>0</v>
      </c>
      <c r="N178" s="586"/>
      <c r="O178" s="741"/>
      <c r="Q178" s="648"/>
    </row>
    <row r="179" spans="2:18" ht="15">
      <c r="B179" s="651"/>
      <c r="C179" s="645"/>
      <c r="D179" s="646"/>
      <c r="E179" s="646"/>
      <c r="F179" s="649"/>
      <c r="G179" s="649"/>
      <c r="H179" s="695"/>
      <c r="I179" s="695"/>
      <c r="J179" s="646"/>
      <c r="K179" s="682">
        <f t="shared" si="4"/>
        <v>0</v>
      </c>
      <c r="L179" s="682">
        <f t="shared" si="5"/>
        <v>0</v>
      </c>
      <c r="M179" s="683">
        <f t="shared" si="3"/>
        <v>0</v>
      </c>
      <c r="N179" s="586"/>
      <c r="O179" s="741"/>
      <c r="Q179" s="648"/>
      <c r="R179" s="752"/>
    </row>
    <row r="180" spans="2:19" ht="15.6">
      <c r="B180" s="651"/>
      <c r="C180" s="645"/>
      <c r="D180" s="646"/>
      <c r="E180" s="646"/>
      <c r="F180" s="649"/>
      <c r="G180" s="649"/>
      <c r="H180" s="695"/>
      <c r="I180" s="695"/>
      <c r="J180" s="801"/>
      <c r="K180" s="682">
        <f t="shared" si="4"/>
        <v>0</v>
      </c>
      <c r="L180" s="682">
        <f t="shared" si="5"/>
        <v>0</v>
      </c>
      <c r="M180" s="683">
        <f t="shared" si="3"/>
        <v>0</v>
      </c>
      <c r="N180" s="586"/>
      <c r="O180" s="741"/>
      <c r="P180" s="753"/>
      <c r="Q180" s="648"/>
      <c r="R180" s="678"/>
      <c r="S180" s="678"/>
    </row>
    <row r="181" spans="2:18" ht="15">
      <c r="B181" s="651"/>
      <c r="C181" s="645"/>
      <c r="D181" s="646"/>
      <c r="E181" s="647"/>
      <c r="F181" s="649"/>
      <c r="G181" s="649"/>
      <c r="H181" s="695"/>
      <c r="I181" s="695"/>
      <c r="J181" s="646"/>
      <c r="K181" s="682">
        <f t="shared" si="4"/>
        <v>0</v>
      </c>
      <c r="L181" s="682">
        <f t="shared" si="5"/>
        <v>0</v>
      </c>
      <c r="M181" s="683">
        <f t="shared" si="3"/>
        <v>0</v>
      </c>
      <c r="N181" s="586"/>
      <c r="O181" s="741"/>
      <c r="P181" s="754"/>
      <c r="Q181" s="648"/>
      <c r="R181" s="755"/>
    </row>
    <row r="182" spans="2:18" ht="15">
      <c r="B182" s="651"/>
      <c r="C182" s="645"/>
      <c r="D182" s="646"/>
      <c r="E182" s="646"/>
      <c r="F182" s="649"/>
      <c r="G182" s="649"/>
      <c r="H182" s="695"/>
      <c r="I182" s="695"/>
      <c r="J182" s="646"/>
      <c r="K182" s="682">
        <f t="shared" si="4"/>
        <v>0</v>
      </c>
      <c r="L182" s="682">
        <f t="shared" si="5"/>
        <v>0</v>
      </c>
      <c r="M182" s="683">
        <f t="shared" si="3"/>
        <v>0</v>
      </c>
      <c r="N182" s="586"/>
      <c r="O182" s="741"/>
      <c r="P182" s="375"/>
      <c r="Q182" s="648"/>
      <c r="R182" s="678"/>
    </row>
    <row r="183" spans="2:19" ht="15.6">
      <c r="B183" s="651"/>
      <c r="C183" s="645"/>
      <c r="D183" s="646"/>
      <c r="E183" s="647"/>
      <c r="F183" s="649"/>
      <c r="G183" s="649"/>
      <c r="H183" s="649"/>
      <c r="I183" s="649"/>
      <c r="J183" s="646"/>
      <c r="K183" s="682">
        <f t="shared" si="4"/>
        <v>0</v>
      </c>
      <c r="L183" s="682">
        <f t="shared" si="5"/>
        <v>0</v>
      </c>
      <c r="M183" s="683">
        <f t="shared" si="3"/>
        <v>0</v>
      </c>
      <c r="N183" s="586"/>
      <c r="O183" s="741"/>
      <c r="P183" s="756"/>
      <c r="Q183" s="648"/>
      <c r="R183" s="756"/>
      <c r="S183" s="648"/>
    </row>
    <row r="184" spans="2:18" ht="15.6">
      <c r="B184" s="651"/>
      <c r="C184" s="645"/>
      <c r="D184" s="646"/>
      <c r="E184" s="647"/>
      <c r="F184" s="649"/>
      <c r="G184" s="649"/>
      <c r="H184" s="649"/>
      <c r="I184" s="649"/>
      <c r="J184" s="799"/>
      <c r="K184" s="682">
        <f t="shared" si="4"/>
        <v>0</v>
      </c>
      <c r="L184" s="682">
        <f t="shared" si="5"/>
        <v>0</v>
      </c>
      <c r="M184" s="683">
        <f t="shared" si="3"/>
        <v>0</v>
      </c>
      <c r="N184" s="586"/>
      <c r="O184" s="741"/>
      <c r="P184" s="756"/>
      <c r="Q184" s="648"/>
      <c r="R184" s="756"/>
    </row>
    <row r="185" spans="1:21" ht="15.6">
      <c r="A185" s="697"/>
      <c r="B185" s="651"/>
      <c r="C185" s="645"/>
      <c r="D185" s="799"/>
      <c r="E185" s="647"/>
      <c r="F185" s="649"/>
      <c r="G185" s="649"/>
      <c r="H185" s="695"/>
      <c r="I185" s="802"/>
      <c r="J185" s="799"/>
      <c r="K185" s="682">
        <f t="shared" si="4"/>
        <v>0</v>
      </c>
      <c r="L185" s="682">
        <f t="shared" si="5"/>
        <v>0</v>
      </c>
      <c r="M185" s="683">
        <f t="shared" si="3"/>
        <v>0</v>
      </c>
      <c r="N185" s="586"/>
      <c r="O185" s="741"/>
      <c r="P185" s="756"/>
      <c r="Q185" s="648"/>
      <c r="R185" s="756"/>
      <c r="S185" s="648"/>
      <c r="U185" s="584"/>
    </row>
    <row r="186" spans="1:18" ht="15.6">
      <c r="A186" s="697"/>
      <c r="B186" s="651"/>
      <c r="C186" s="645"/>
      <c r="D186" s="799"/>
      <c r="E186" s="647"/>
      <c r="F186" s="649"/>
      <c r="G186" s="649"/>
      <c r="H186" s="695"/>
      <c r="I186" s="802"/>
      <c r="J186" s="799"/>
      <c r="K186" s="682">
        <f t="shared" si="4"/>
        <v>0</v>
      </c>
      <c r="L186" s="682">
        <f t="shared" si="5"/>
        <v>0</v>
      </c>
      <c r="M186" s="683">
        <f t="shared" si="3"/>
        <v>0</v>
      </c>
      <c r="N186" s="586"/>
      <c r="O186" s="741"/>
      <c r="P186" s="756"/>
      <c r="Q186" s="648"/>
      <c r="R186" s="756"/>
    </row>
    <row r="187" spans="1:18" ht="15.6">
      <c r="A187" s="697"/>
      <c r="B187" s="651"/>
      <c r="C187" s="645"/>
      <c r="D187" s="799"/>
      <c r="E187" s="647"/>
      <c r="F187" s="649"/>
      <c r="G187" s="649"/>
      <c r="H187" s="695"/>
      <c r="I187" s="802"/>
      <c r="J187" s="799"/>
      <c r="K187" s="682">
        <f t="shared" si="4"/>
        <v>0</v>
      </c>
      <c r="L187" s="682">
        <f t="shared" si="5"/>
        <v>0</v>
      </c>
      <c r="M187" s="683">
        <f t="shared" si="3"/>
        <v>0</v>
      </c>
      <c r="N187" s="586"/>
      <c r="O187" s="741"/>
      <c r="P187" s="756"/>
      <c r="Q187" s="648"/>
      <c r="R187" s="756"/>
    </row>
    <row r="188" spans="1:21" ht="15.6">
      <c r="A188" s="697"/>
      <c r="B188" s="651"/>
      <c r="C188" s="645"/>
      <c r="D188" s="799"/>
      <c r="E188" s="647"/>
      <c r="F188" s="649"/>
      <c r="G188" s="649"/>
      <c r="H188" s="695"/>
      <c r="I188" s="802"/>
      <c r="J188" s="799"/>
      <c r="K188" s="682">
        <f>E188-H188-I188-J188</f>
        <v>0</v>
      </c>
      <c r="L188" s="682">
        <f t="shared" si="5"/>
        <v>0</v>
      </c>
      <c r="M188" s="683">
        <f t="shared" si="3"/>
        <v>0</v>
      </c>
      <c r="N188" s="586"/>
      <c r="O188" s="741"/>
      <c r="P188" s="756"/>
      <c r="Q188" s="648"/>
      <c r="R188" s="756"/>
      <c r="S188" s="648"/>
      <c r="U188" s="584"/>
    </row>
    <row r="189" spans="2:18" ht="15.6">
      <c r="B189" s="651"/>
      <c r="C189" s="645"/>
      <c r="D189" s="646"/>
      <c r="E189" s="803"/>
      <c r="F189" s="649"/>
      <c r="G189" s="649"/>
      <c r="H189" s="804"/>
      <c r="I189" s="649"/>
      <c r="J189" s="799"/>
      <c r="K189" s="682">
        <f t="shared" si="4"/>
        <v>0</v>
      </c>
      <c r="L189" s="682">
        <f t="shared" si="5"/>
        <v>0</v>
      </c>
      <c r="M189" s="683">
        <f t="shared" si="3"/>
        <v>0</v>
      </c>
      <c r="N189" s="586"/>
      <c r="O189" s="741"/>
      <c r="P189" s="756"/>
      <c r="Q189" s="648"/>
      <c r="R189" s="756"/>
    </row>
    <row r="190" spans="2:21" ht="15.6">
      <c r="B190" s="651"/>
      <c r="C190" s="645"/>
      <c r="D190" s="646"/>
      <c r="E190" s="803"/>
      <c r="F190" s="649"/>
      <c r="G190" s="649"/>
      <c r="H190" s="804"/>
      <c r="I190" s="649"/>
      <c r="J190" s="799"/>
      <c r="K190" s="682">
        <f t="shared" si="4"/>
        <v>0</v>
      </c>
      <c r="L190" s="682">
        <f t="shared" si="5"/>
        <v>0</v>
      </c>
      <c r="M190" s="683">
        <f t="shared" si="3"/>
        <v>0</v>
      </c>
      <c r="N190" s="586"/>
      <c r="O190" s="741"/>
      <c r="P190" s="756"/>
      <c r="Q190" s="648"/>
      <c r="R190" s="757"/>
      <c r="S190" s="648"/>
      <c r="U190" s="584"/>
    </row>
    <row r="191" spans="2:21" ht="15.6">
      <c r="B191" s="651"/>
      <c r="C191" s="645"/>
      <c r="D191" s="646"/>
      <c r="E191" s="805"/>
      <c r="F191" s="649"/>
      <c r="G191" s="649"/>
      <c r="H191" s="804"/>
      <c r="I191" s="649"/>
      <c r="J191" s="799"/>
      <c r="K191" s="682">
        <f>E191-H191-I191-J191</f>
        <v>0</v>
      </c>
      <c r="L191" s="682">
        <f t="shared" si="5"/>
        <v>0</v>
      </c>
      <c r="M191" s="683">
        <f t="shared" si="3"/>
        <v>0</v>
      </c>
      <c r="N191" s="586"/>
      <c r="O191" s="741"/>
      <c r="P191" s="756"/>
      <c r="Q191" s="648"/>
      <c r="R191" s="757"/>
      <c r="S191" s="648"/>
      <c r="U191" s="584"/>
    </row>
    <row r="192" spans="2:18" ht="15.6">
      <c r="B192" s="651"/>
      <c r="C192" s="645"/>
      <c r="D192" s="646"/>
      <c r="E192" s="805"/>
      <c r="F192" s="649"/>
      <c r="G192" s="649"/>
      <c r="H192" s="695"/>
      <c r="I192" s="649"/>
      <c r="J192" s="799"/>
      <c r="K192" s="682">
        <f>E192-H192-I192-J192</f>
        <v>0</v>
      </c>
      <c r="L192" s="682">
        <f t="shared" si="5"/>
        <v>0</v>
      </c>
      <c r="M192" s="683">
        <f t="shared" si="3"/>
        <v>0</v>
      </c>
      <c r="N192" s="586"/>
      <c r="O192" s="741"/>
      <c r="P192" s="756"/>
      <c r="Q192" s="648"/>
      <c r="R192" s="756"/>
    </row>
    <row r="193" spans="2:17" ht="15.6">
      <c r="B193" s="651"/>
      <c r="C193" s="645"/>
      <c r="D193" s="646"/>
      <c r="E193" s="806"/>
      <c r="F193" s="649"/>
      <c r="G193" s="649"/>
      <c r="H193" s="695"/>
      <c r="I193" s="695"/>
      <c r="J193" s="799"/>
      <c r="K193" s="682">
        <f>E193-H193-I193-J193</f>
        <v>0</v>
      </c>
      <c r="L193" s="682">
        <f t="shared" si="5"/>
        <v>0</v>
      </c>
      <c r="M193" s="683">
        <f t="shared" si="3"/>
        <v>0</v>
      </c>
      <c r="N193" s="586"/>
      <c r="O193" s="741"/>
      <c r="P193" s="756"/>
      <c r="Q193" s="648"/>
    </row>
    <row r="194" spans="2:17" ht="15.6">
      <c r="B194" s="651"/>
      <c r="C194" s="645"/>
      <c r="D194" s="646"/>
      <c r="E194" s="646"/>
      <c r="F194" s="649"/>
      <c r="G194" s="649"/>
      <c r="H194" s="649"/>
      <c r="I194" s="695"/>
      <c r="J194" s="699"/>
      <c r="K194" s="682">
        <f t="shared" si="4"/>
        <v>0</v>
      </c>
      <c r="L194" s="682">
        <f t="shared" si="5"/>
        <v>0</v>
      </c>
      <c r="M194" s="683">
        <f t="shared" si="3"/>
        <v>0</v>
      </c>
      <c r="N194" s="586"/>
      <c r="O194" s="648"/>
      <c r="P194" s="756"/>
      <c r="Q194" s="648"/>
    </row>
    <row r="195" spans="2:17" ht="15.6">
      <c r="B195" s="651"/>
      <c r="C195" s="645"/>
      <c r="D195" s="646"/>
      <c r="E195" s="646"/>
      <c r="F195" s="649"/>
      <c r="G195" s="649"/>
      <c r="H195" s="649"/>
      <c r="I195" s="695"/>
      <c r="J195" s="646"/>
      <c r="K195" s="682">
        <f t="shared" si="4"/>
        <v>0</v>
      </c>
      <c r="L195" s="682">
        <f t="shared" si="5"/>
        <v>0</v>
      </c>
      <c r="M195" s="683">
        <f t="shared" si="3"/>
        <v>0</v>
      </c>
      <c r="N195" s="586"/>
      <c r="O195" s="648"/>
      <c r="P195" s="756"/>
      <c r="Q195" s="648"/>
    </row>
    <row r="196" spans="2:17" ht="15.6">
      <c r="B196" s="651"/>
      <c r="C196" s="645"/>
      <c r="D196" s="646"/>
      <c r="E196" s="647"/>
      <c r="F196" s="649"/>
      <c r="G196" s="649"/>
      <c r="H196" s="695"/>
      <c r="I196" s="695"/>
      <c r="J196" s="646"/>
      <c r="K196" s="682">
        <f t="shared" si="4"/>
        <v>0</v>
      </c>
      <c r="L196" s="682">
        <f t="shared" si="5"/>
        <v>0</v>
      </c>
      <c r="M196" s="683">
        <f t="shared" si="3"/>
        <v>0</v>
      </c>
      <c r="N196" s="586"/>
      <c r="O196" s="648"/>
      <c r="P196" s="756"/>
      <c r="Q196" s="648"/>
    </row>
    <row r="197" spans="2:17" ht="15">
      <c r="B197" s="651"/>
      <c r="C197" s="645"/>
      <c r="D197" s="646"/>
      <c r="E197" s="647"/>
      <c r="F197" s="649"/>
      <c r="G197" s="649"/>
      <c r="H197" s="649"/>
      <c r="I197" s="695"/>
      <c r="J197" s="799"/>
      <c r="K197" s="682">
        <f t="shared" si="4"/>
        <v>0</v>
      </c>
      <c r="L197" s="682">
        <f t="shared" si="5"/>
        <v>0</v>
      </c>
      <c r="M197" s="683">
        <f t="shared" si="3"/>
        <v>0</v>
      </c>
      <c r="N197" s="586"/>
      <c r="O197" s="648"/>
      <c r="Q197" s="648"/>
    </row>
    <row r="198" spans="2:17" ht="15">
      <c r="B198" s="651"/>
      <c r="C198" s="645"/>
      <c r="D198" s="646"/>
      <c r="E198" s="647"/>
      <c r="F198" s="649"/>
      <c r="G198" s="649"/>
      <c r="H198" s="695"/>
      <c r="I198" s="695"/>
      <c r="J198" s="646"/>
      <c r="K198" s="682">
        <f t="shared" si="4"/>
        <v>0</v>
      </c>
      <c r="L198" s="682">
        <f t="shared" si="5"/>
        <v>0</v>
      </c>
      <c r="M198" s="683">
        <f t="shared" si="3"/>
        <v>0</v>
      </c>
      <c r="N198" s="586"/>
      <c r="O198" s="648"/>
      <c r="Q198" s="648"/>
    </row>
    <row r="199" spans="2:17" ht="15.6">
      <c r="B199" s="651"/>
      <c r="C199" s="645"/>
      <c r="D199" s="646"/>
      <c r="E199" s="647"/>
      <c r="F199" s="649"/>
      <c r="G199" s="649"/>
      <c r="H199" s="695"/>
      <c r="I199" s="695"/>
      <c r="J199" s="646"/>
      <c r="K199" s="682">
        <f t="shared" si="4"/>
        <v>0</v>
      </c>
      <c r="L199" s="682">
        <f t="shared" si="5"/>
        <v>0</v>
      </c>
      <c r="M199" s="683">
        <f t="shared" si="3"/>
        <v>0</v>
      </c>
      <c r="N199" s="586"/>
      <c r="O199" s="648"/>
      <c r="P199" s="756"/>
      <c r="Q199" s="648"/>
    </row>
    <row r="200" spans="2:17" ht="15.6">
      <c r="B200" s="651"/>
      <c r="C200" s="645"/>
      <c r="D200" s="646"/>
      <c r="E200" s="647"/>
      <c r="F200" s="649"/>
      <c r="G200" s="649"/>
      <c r="H200" s="807"/>
      <c r="I200" s="695"/>
      <c r="J200" s="646"/>
      <c r="K200" s="682">
        <f t="shared" si="4"/>
        <v>0</v>
      </c>
      <c r="L200" s="682">
        <f t="shared" si="5"/>
        <v>0</v>
      </c>
      <c r="M200" s="683">
        <f t="shared" si="3"/>
        <v>0</v>
      </c>
      <c r="N200" s="586"/>
      <c r="O200" s="648"/>
      <c r="Q200" s="648"/>
    </row>
    <row r="201" spans="2:17" ht="15">
      <c r="B201" s="651"/>
      <c r="C201" s="645"/>
      <c r="D201" s="646"/>
      <c r="E201" s="647"/>
      <c r="F201" s="649"/>
      <c r="G201" s="649"/>
      <c r="H201" s="695"/>
      <c r="I201" s="695"/>
      <c r="J201" s="646"/>
      <c r="K201" s="682">
        <f t="shared" si="4"/>
        <v>0</v>
      </c>
      <c r="L201" s="682">
        <f t="shared" si="5"/>
        <v>0</v>
      </c>
      <c r="M201" s="683">
        <f t="shared" si="3"/>
        <v>0</v>
      </c>
      <c r="N201" s="586"/>
      <c r="O201" s="648"/>
      <c r="Q201" s="648"/>
    </row>
    <row r="202" spans="2:17" ht="15">
      <c r="B202" s="651"/>
      <c r="C202" s="645"/>
      <c r="D202" s="646"/>
      <c r="E202" s="647"/>
      <c r="F202" s="649"/>
      <c r="G202" s="649"/>
      <c r="H202" s="649"/>
      <c r="I202" s="695"/>
      <c r="J202" s="646"/>
      <c r="K202" s="682">
        <f t="shared" si="4"/>
        <v>0</v>
      </c>
      <c r="L202" s="682">
        <f t="shared" si="5"/>
        <v>0</v>
      </c>
      <c r="M202" s="683">
        <f t="shared" si="3"/>
        <v>0</v>
      </c>
      <c r="N202" s="586"/>
      <c r="O202" s="648"/>
      <c r="Q202" s="648"/>
    </row>
    <row r="203" spans="2:17" ht="15">
      <c r="B203" s="651"/>
      <c r="C203" s="645"/>
      <c r="D203" s="646"/>
      <c r="E203" s="808"/>
      <c r="F203" s="649"/>
      <c r="G203" s="649"/>
      <c r="H203" s="649"/>
      <c r="I203" s="695"/>
      <c r="J203" s="646"/>
      <c r="K203" s="682">
        <f>E203-H203-I203-J203</f>
        <v>0</v>
      </c>
      <c r="L203" s="682">
        <f t="shared" si="5"/>
        <v>0</v>
      </c>
      <c r="M203" s="683">
        <f t="shared" si="3"/>
        <v>0</v>
      </c>
      <c r="N203" s="586"/>
      <c r="O203" s="648"/>
      <c r="Q203" s="648"/>
    </row>
    <row r="204" spans="2:17" ht="15">
      <c r="B204" s="651"/>
      <c r="C204" s="645"/>
      <c r="D204" s="646"/>
      <c r="E204" s="647"/>
      <c r="F204" s="649"/>
      <c r="G204" s="649"/>
      <c r="H204" s="649"/>
      <c r="I204" s="649"/>
      <c r="J204" s="699"/>
      <c r="K204" s="682">
        <f t="shared" si="4"/>
        <v>0</v>
      </c>
      <c r="L204" s="682">
        <f t="shared" si="5"/>
        <v>0</v>
      </c>
      <c r="M204" s="683">
        <f t="shared" si="3"/>
        <v>0</v>
      </c>
      <c r="N204" s="586"/>
      <c r="O204" s="741"/>
      <c r="Q204" s="648"/>
    </row>
    <row r="205" spans="2:17" ht="15">
      <c r="B205" s="651"/>
      <c r="C205" s="645"/>
      <c r="D205" s="646"/>
      <c r="E205" s="647"/>
      <c r="F205" s="649"/>
      <c r="G205" s="649"/>
      <c r="H205" s="649"/>
      <c r="I205" s="649"/>
      <c r="J205" s="647"/>
      <c r="K205" s="682">
        <f t="shared" si="4"/>
        <v>0</v>
      </c>
      <c r="L205" s="682">
        <f t="shared" si="5"/>
        <v>0</v>
      </c>
      <c r="M205" s="683">
        <f t="shared" si="3"/>
        <v>0</v>
      </c>
      <c r="N205" s="586"/>
      <c r="O205" s="741"/>
      <c r="Q205" s="648"/>
    </row>
    <row r="206" spans="2:17" ht="15">
      <c r="B206" s="651"/>
      <c r="C206" s="645"/>
      <c r="D206" s="646"/>
      <c r="E206" s="647"/>
      <c r="F206" s="649"/>
      <c r="G206" s="649"/>
      <c r="H206" s="695"/>
      <c r="I206" s="649"/>
      <c r="J206" s="647"/>
      <c r="K206" s="682">
        <f t="shared" si="4"/>
        <v>0</v>
      </c>
      <c r="L206" s="682">
        <f t="shared" si="5"/>
        <v>0</v>
      </c>
      <c r="M206" s="683">
        <f t="shared" si="3"/>
        <v>0</v>
      </c>
      <c r="N206" s="586"/>
      <c r="O206" s="741"/>
      <c r="Q206" s="648"/>
    </row>
    <row r="207" spans="2:17" ht="15">
      <c r="B207" s="651"/>
      <c r="C207" s="645"/>
      <c r="D207" s="646"/>
      <c r="E207" s="647"/>
      <c r="F207" s="649"/>
      <c r="G207" s="649"/>
      <c r="H207" s="695"/>
      <c r="I207" s="649"/>
      <c r="J207" s="647"/>
      <c r="K207" s="682">
        <f>E207-H207-I207-J207</f>
        <v>0</v>
      </c>
      <c r="L207" s="682">
        <f t="shared" si="5"/>
        <v>0</v>
      </c>
      <c r="M207" s="683">
        <f t="shared" si="3"/>
        <v>0</v>
      </c>
      <c r="N207" s="586"/>
      <c r="O207" s="741"/>
      <c r="Q207" s="648"/>
    </row>
    <row r="208" spans="2:17" ht="15">
      <c r="B208" s="651"/>
      <c r="C208" s="645"/>
      <c r="D208" s="646"/>
      <c r="E208" s="646"/>
      <c r="F208" s="649"/>
      <c r="G208" s="649"/>
      <c r="H208" s="695"/>
      <c r="I208" s="649"/>
      <c r="J208" s="647"/>
      <c r="K208" s="682">
        <f>E208-H208-I208-J208</f>
        <v>0</v>
      </c>
      <c r="L208" s="682">
        <f t="shared" si="5"/>
        <v>0</v>
      </c>
      <c r="M208" s="683">
        <f t="shared" si="3"/>
        <v>0</v>
      </c>
      <c r="N208" s="586"/>
      <c r="O208" s="741"/>
      <c r="Q208" s="648"/>
    </row>
    <row r="209" spans="2:17" ht="15">
      <c r="B209" s="651"/>
      <c r="C209" s="645"/>
      <c r="D209" s="646"/>
      <c r="E209" s="646"/>
      <c r="F209" s="649"/>
      <c r="G209" s="649"/>
      <c r="H209" s="695"/>
      <c r="I209" s="649"/>
      <c r="J209" s="647"/>
      <c r="K209" s="682">
        <f t="shared" si="6" ref="K209:K230">E209-H209-I209-J209</f>
        <v>0</v>
      </c>
      <c r="L209" s="682">
        <f t="shared" si="5"/>
        <v>0</v>
      </c>
      <c r="M209" s="683">
        <f t="shared" si="7" ref="M209:M217">+L209-H209</f>
        <v>0</v>
      </c>
      <c r="N209" s="586"/>
      <c r="O209" s="741"/>
      <c r="Q209" s="648"/>
    </row>
    <row r="210" spans="2:17" ht="15">
      <c r="B210" s="651"/>
      <c r="C210" s="645"/>
      <c r="D210" s="646"/>
      <c r="E210" s="646"/>
      <c r="F210" s="649"/>
      <c r="G210" s="649"/>
      <c r="H210" s="695"/>
      <c r="I210" s="649"/>
      <c r="J210" s="647"/>
      <c r="K210" s="682">
        <f t="shared" si="6"/>
        <v>0</v>
      </c>
      <c r="L210" s="682">
        <f t="shared" si="5"/>
        <v>0</v>
      </c>
      <c r="M210" s="683">
        <f t="shared" si="7"/>
        <v>0</v>
      </c>
      <c r="N210" s="586"/>
      <c r="O210" s="741"/>
      <c r="Q210" s="648"/>
    </row>
    <row r="211" spans="2:17" ht="15">
      <c r="B211" s="651"/>
      <c r="C211" s="645"/>
      <c r="D211" s="646"/>
      <c r="E211" s="646"/>
      <c r="F211" s="649"/>
      <c r="G211" s="649"/>
      <c r="H211" s="695"/>
      <c r="I211" s="649"/>
      <c r="J211" s="647"/>
      <c r="K211" s="682">
        <f t="shared" si="6"/>
        <v>0</v>
      </c>
      <c r="L211" s="682">
        <f t="shared" si="8" ref="L211:L217">G211*(POWER(1+$F$16,(B211-B210)/365)-1)</f>
        <v>0</v>
      </c>
      <c r="M211" s="683">
        <f t="shared" si="7"/>
        <v>0</v>
      </c>
      <c r="N211" s="586"/>
      <c r="O211" s="741"/>
      <c r="Q211" s="648"/>
    </row>
    <row r="212" spans="2:17" ht="15">
      <c r="B212" s="651"/>
      <c r="C212" s="645"/>
      <c r="D212" s="646"/>
      <c r="E212" s="646"/>
      <c r="F212" s="649"/>
      <c r="G212" s="649"/>
      <c r="H212" s="695"/>
      <c r="I212" s="649"/>
      <c r="J212" s="647"/>
      <c r="K212" s="682">
        <f t="shared" si="6"/>
        <v>0</v>
      </c>
      <c r="L212" s="682">
        <f t="shared" si="8"/>
        <v>0</v>
      </c>
      <c r="M212" s="683">
        <f t="shared" si="7"/>
        <v>0</v>
      </c>
      <c r="N212" s="586"/>
      <c r="O212" s="741"/>
      <c r="Q212" s="648"/>
    </row>
    <row r="213" spans="2:17" ht="15">
      <c r="B213" s="651"/>
      <c r="C213" s="645"/>
      <c r="D213" s="646"/>
      <c r="E213" s="646"/>
      <c r="F213" s="649"/>
      <c r="G213" s="649"/>
      <c r="H213" s="695"/>
      <c r="I213" s="649"/>
      <c r="J213" s="647"/>
      <c r="K213" s="682">
        <f t="shared" si="6"/>
        <v>0</v>
      </c>
      <c r="L213" s="682">
        <f t="shared" si="8"/>
        <v>0</v>
      </c>
      <c r="M213" s="683">
        <f t="shared" si="7"/>
        <v>0</v>
      </c>
      <c r="N213" s="586"/>
      <c r="O213" s="741"/>
      <c r="Q213" s="648"/>
    </row>
    <row r="214" spans="2:17" ht="15">
      <c r="B214" s="651"/>
      <c r="C214" s="645"/>
      <c r="D214" s="646"/>
      <c r="E214" s="646"/>
      <c r="F214" s="649"/>
      <c r="G214" s="649"/>
      <c r="H214" s="695"/>
      <c r="I214" s="649"/>
      <c r="J214" s="647"/>
      <c r="K214" s="682">
        <f>E214-H214-I214-J214</f>
        <v>0</v>
      </c>
      <c r="L214" s="682">
        <f>G214*(POWER(1+$F$16,(B214-B213)/365)-1)</f>
        <v>0</v>
      </c>
      <c r="M214" s="683">
        <f t="shared" si="7"/>
        <v>0</v>
      </c>
      <c r="N214" s="586"/>
      <c r="O214" s="741"/>
      <c r="Q214" s="648"/>
    </row>
    <row r="215" spans="2:17" ht="15">
      <c r="B215" s="651"/>
      <c r="C215" s="645"/>
      <c r="D215" s="646"/>
      <c r="E215" s="646"/>
      <c r="F215" s="649"/>
      <c r="G215" s="649"/>
      <c r="H215" s="695"/>
      <c r="I215" s="649"/>
      <c r="J215" s="647"/>
      <c r="K215" s="682">
        <f>E215-H215-I215-J215</f>
        <v>0</v>
      </c>
      <c r="L215" s="682">
        <f t="shared" si="8"/>
        <v>0</v>
      </c>
      <c r="M215" s="683">
        <f t="shared" si="7"/>
        <v>0</v>
      </c>
      <c r="N215" s="586"/>
      <c r="O215" s="741"/>
      <c r="Q215" s="648"/>
    </row>
    <row r="216" spans="2:17" ht="15">
      <c r="B216" s="651"/>
      <c r="C216" s="645"/>
      <c r="D216" s="646"/>
      <c r="E216" s="646"/>
      <c r="F216" s="649"/>
      <c r="G216" s="649"/>
      <c r="H216" s="695"/>
      <c r="I216" s="649"/>
      <c r="J216" s="647"/>
      <c r="K216" s="682">
        <f t="shared" si="6"/>
        <v>0</v>
      </c>
      <c r="L216" s="682">
        <f t="shared" si="8"/>
        <v>0</v>
      </c>
      <c r="M216" s="683">
        <f t="shared" si="7"/>
        <v>0</v>
      </c>
      <c r="N216" s="586"/>
      <c r="O216" s="741"/>
      <c r="Q216" s="648"/>
    </row>
    <row r="217" spans="2:17" ht="15">
      <c r="B217" s="651"/>
      <c r="C217" s="645"/>
      <c r="D217" s="646"/>
      <c r="E217" s="646"/>
      <c r="F217" s="649"/>
      <c r="G217" s="649"/>
      <c r="H217" s="695"/>
      <c r="I217" s="649"/>
      <c r="J217" s="647"/>
      <c r="K217" s="682">
        <f t="shared" si="6"/>
        <v>0</v>
      </c>
      <c r="L217" s="682">
        <f t="shared" si="8"/>
        <v>0</v>
      </c>
      <c r="M217" s="683">
        <f t="shared" si="7"/>
        <v>0</v>
      </c>
      <c r="N217" s="685"/>
      <c r="O217" s="648"/>
      <c r="P217" s="608"/>
      <c r="Q217" s="648"/>
    </row>
    <row r="218" spans="2:17" ht="15.6">
      <c r="B218" s="651"/>
      <c r="C218" s="645"/>
      <c r="D218" s="646"/>
      <c r="E218" s="646"/>
      <c r="F218" s="649"/>
      <c r="G218" s="649"/>
      <c r="H218" s="809"/>
      <c r="I218" s="649"/>
      <c r="J218" s="647"/>
      <c r="K218" s="682">
        <f>E218-H218-I218-J218</f>
        <v>0</v>
      </c>
      <c r="L218" s="682">
        <f>G218*(POWER(1+$F$16,(B218-B217)/365)-1)</f>
        <v>0</v>
      </c>
      <c r="M218" s="683">
        <f>+L218-H218</f>
        <v>0</v>
      </c>
      <c r="N218" s="685"/>
      <c r="O218" s="648"/>
      <c r="P218" s="608"/>
      <c r="Q218" s="648"/>
    </row>
    <row r="219" spans="2:17" ht="15.6">
      <c r="B219" s="651"/>
      <c r="C219" s="645"/>
      <c r="D219" s="646"/>
      <c r="E219" s="646"/>
      <c r="F219" s="649"/>
      <c r="G219" s="649"/>
      <c r="H219" s="809"/>
      <c r="I219" s="649"/>
      <c r="J219" s="699"/>
      <c r="K219" s="682">
        <f>E219-H219-I219-J219</f>
        <v>0</v>
      </c>
      <c r="L219" s="682">
        <f>G219*(POWER(1+$F$16,(B219-B218)/365)-1)</f>
        <v>0</v>
      </c>
      <c r="M219" s="683">
        <f>+L219-H219</f>
        <v>0</v>
      </c>
      <c r="N219" s="685"/>
      <c r="O219" s="648"/>
      <c r="P219" s="608"/>
      <c r="Q219" s="648"/>
    </row>
    <row r="220" spans="2:21" ht="15">
      <c r="B220" s="651"/>
      <c r="C220" s="645"/>
      <c r="D220" s="646"/>
      <c r="E220" s="646"/>
      <c r="F220" s="649"/>
      <c r="G220" s="649"/>
      <c r="H220" s="649"/>
      <c r="I220" s="649"/>
      <c r="J220" s="699"/>
      <c r="K220" s="682">
        <f t="shared" si="6"/>
        <v>0</v>
      </c>
      <c r="L220" s="682">
        <f>G220*(POWER(1+$F$16,(B220-B219)/365)-1)</f>
        <v>0</v>
      </c>
      <c r="M220" s="683">
        <f>+L220-H220</f>
        <v>0</v>
      </c>
      <c r="N220" s="685"/>
      <c r="O220" s="556"/>
      <c r="P220" s="375"/>
      <c r="Q220" s="652"/>
      <c r="R220" s="648"/>
      <c r="S220" s="758"/>
      <c r="U220" s="586"/>
    </row>
    <row r="221" spans="2:21" ht="15">
      <c r="B221" s="651"/>
      <c r="C221" s="645"/>
      <c r="D221" s="646"/>
      <c r="E221" s="646"/>
      <c r="F221" s="649"/>
      <c r="G221" s="649"/>
      <c r="H221" s="695"/>
      <c r="I221" s="649"/>
      <c r="J221" s="699"/>
      <c r="K221" s="682">
        <f t="shared" si="6"/>
        <v>0</v>
      </c>
      <c r="L221" s="682">
        <f>G221*(POWER(1+$F$16,(B221-B220)/365)-1)</f>
        <v>0</v>
      </c>
      <c r="M221" s="683">
        <f>+L221-H221</f>
        <v>0</v>
      </c>
      <c r="N221" s="685"/>
      <c r="O221" s="556"/>
      <c r="P221" s="375"/>
      <c r="Q221" s="652"/>
      <c r="R221" s="648"/>
      <c r="S221" s="758"/>
      <c r="U221" s="586"/>
    </row>
    <row r="222" spans="2:21" ht="15">
      <c r="B222" s="651"/>
      <c r="C222" s="645"/>
      <c r="D222" s="646"/>
      <c r="E222" s="646"/>
      <c r="F222" s="649"/>
      <c r="G222" s="649"/>
      <c r="H222" s="649"/>
      <c r="I222" s="649"/>
      <c r="J222" s="699"/>
      <c r="K222" s="682">
        <f t="shared" si="6"/>
        <v>0</v>
      </c>
      <c r="L222" s="682">
        <f t="shared" si="9" ref="L222:L231">G222*(POWER(1+$F$16,(B222-B221)/365)-1)</f>
        <v>0</v>
      </c>
      <c r="M222" s="683">
        <f t="shared" si="10" ref="M222:M231">+L222-H222</f>
        <v>0</v>
      </c>
      <c r="N222" s="685"/>
      <c r="O222" s="556"/>
      <c r="P222" s="375"/>
      <c r="Q222" s="652"/>
      <c r="R222" s="648"/>
      <c r="S222" s="758"/>
      <c r="U222" s="586"/>
    </row>
    <row r="223" spans="2:18" ht="15">
      <c r="B223" s="651"/>
      <c r="C223" s="645"/>
      <c r="D223" s="646"/>
      <c r="E223" s="646"/>
      <c r="F223" s="649"/>
      <c r="G223" s="649"/>
      <c r="H223" s="649"/>
      <c r="I223" s="649"/>
      <c r="J223" s="646"/>
      <c r="K223" s="682">
        <f>E223-H223-I223-J223</f>
        <v>0</v>
      </c>
      <c r="L223" s="682">
        <f t="shared" si="9"/>
        <v>0</v>
      </c>
      <c r="M223" s="683">
        <f t="shared" si="10"/>
        <v>0</v>
      </c>
      <c r="N223" s="685"/>
      <c r="O223" s="556"/>
      <c r="P223" s="375"/>
      <c r="Q223" s="652"/>
      <c r="R223" s="648"/>
    </row>
    <row r="224" spans="2:18" ht="15.6">
      <c r="B224" s="651"/>
      <c r="C224" s="645"/>
      <c r="D224" s="646"/>
      <c r="E224" s="806"/>
      <c r="F224" s="649"/>
      <c r="G224" s="649"/>
      <c r="H224" s="649"/>
      <c r="I224" s="695"/>
      <c r="J224" s="646"/>
      <c r="K224" s="682">
        <f>E224-H224-I224-J224</f>
        <v>0</v>
      </c>
      <c r="L224" s="682">
        <f t="shared" si="9"/>
        <v>0</v>
      </c>
      <c r="M224" s="683">
        <f t="shared" si="10"/>
        <v>0</v>
      </c>
      <c r="N224" s="685"/>
      <c r="O224" s="556"/>
      <c r="P224" s="375"/>
      <c r="Q224" s="652"/>
      <c r="R224" s="648"/>
    </row>
    <row r="225" spans="2:18" ht="15">
      <c r="B225" s="651"/>
      <c r="C225" s="645"/>
      <c r="D225" s="646"/>
      <c r="E225" s="646"/>
      <c r="F225" s="649"/>
      <c r="G225" s="649"/>
      <c r="H225" s="649"/>
      <c r="I225" s="649"/>
      <c r="J225" s="646"/>
      <c r="K225" s="682">
        <f t="shared" si="6"/>
        <v>0</v>
      </c>
      <c r="L225" s="682">
        <f t="shared" si="9"/>
        <v>0</v>
      </c>
      <c r="M225" s="683">
        <f t="shared" si="10"/>
        <v>0</v>
      </c>
      <c r="N225" s="685"/>
      <c r="O225" s="652"/>
      <c r="P225" s="375"/>
      <c r="Q225" s="759"/>
      <c r="R225" s="648"/>
    </row>
    <row r="226" spans="2:18" ht="15">
      <c r="B226" s="651"/>
      <c r="C226" s="645"/>
      <c r="D226" s="646"/>
      <c r="E226" s="646"/>
      <c r="F226" s="649"/>
      <c r="G226" s="649"/>
      <c r="H226" s="649"/>
      <c r="I226" s="649"/>
      <c r="J226" s="646"/>
      <c r="K226" s="682">
        <f t="shared" si="6"/>
        <v>0</v>
      </c>
      <c r="L226" s="682">
        <f t="shared" si="9"/>
        <v>0</v>
      </c>
      <c r="M226" s="683">
        <f t="shared" si="10"/>
        <v>0</v>
      </c>
      <c r="N226" s="685"/>
      <c r="O226" s="556"/>
      <c r="P226" s="375"/>
      <c r="Q226" s="759"/>
      <c r="R226" s="648"/>
    </row>
    <row r="227" spans="2:18" ht="15">
      <c r="B227" s="651"/>
      <c r="C227" s="645"/>
      <c r="D227" s="646"/>
      <c r="E227" s="646"/>
      <c r="F227" s="649"/>
      <c r="G227" s="649"/>
      <c r="H227" s="649"/>
      <c r="I227" s="649"/>
      <c r="J227" s="646"/>
      <c r="K227" s="682">
        <f t="shared" si="6"/>
        <v>0</v>
      </c>
      <c r="L227" s="682">
        <f t="shared" si="9"/>
        <v>0</v>
      </c>
      <c r="M227" s="683">
        <f t="shared" si="10"/>
        <v>0</v>
      </c>
      <c r="N227" s="685"/>
      <c r="O227" s="375"/>
      <c r="P227" s="375"/>
      <c r="R227" s="760"/>
    </row>
    <row r="228" spans="2:16" ht="15">
      <c r="B228" s="651"/>
      <c r="C228" s="645"/>
      <c r="D228" s="646"/>
      <c r="E228" s="646"/>
      <c r="F228" s="649"/>
      <c r="G228" s="649"/>
      <c r="H228" s="649"/>
      <c r="I228" s="649"/>
      <c r="J228" s="646"/>
      <c r="K228" s="682">
        <f t="shared" si="6"/>
        <v>0</v>
      </c>
      <c r="L228" s="682">
        <f t="shared" si="9"/>
        <v>0</v>
      </c>
      <c r="M228" s="683">
        <f t="shared" si="10"/>
        <v>0</v>
      </c>
      <c r="N228" s="685"/>
      <c r="O228" s="375"/>
      <c r="P228" s="761"/>
    </row>
    <row r="229" spans="2:18" ht="15">
      <c r="B229" s="651"/>
      <c r="C229" s="645"/>
      <c r="D229" s="646"/>
      <c r="E229" s="646"/>
      <c r="F229" s="649"/>
      <c r="G229" s="649"/>
      <c r="H229" s="649"/>
      <c r="I229" s="649"/>
      <c r="J229" s="646"/>
      <c r="K229" s="682">
        <f t="shared" si="6"/>
        <v>0</v>
      </c>
      <c r="L229" s="682">
        <f t="shared" si="9"/>
        <v>0</v>
      </c>
      <c r="M229" s="683">
        <f t="shared" si="10"/>
        <v>0</v>
      </c>
      <c r="N229" s="586"/>
      <c r="O229" s="375"/>
      <c r="P229" s="762"/>
      <c r="R229" s="763"/>
    </row>
    <row r="230" spans="2:17" ht="15">
      <c r="B230" s="651"/>
      <c r="C230" s="645"/>
      <c r="D230" s="646"/>
      <c r="E230" s="646"/>
      <c r="F230" s="649"/>
      <c r="G230" s="649"/>
      <c r="H230" s="649"/>
      <c r="I230" s="649"/>
      <c r="J230" s="646"/>
      <c r="K230" s="682">
        <f t="shared" si="6"/>
        <v>0</v>
      </c>
      <c r="L230" s="682">
        <f t="shared" si="9"/>
        <v>0</v>
      </c>
      <c r="M230" s="683">
        <f t="shared" si="10"/>
        <v>0</v>
      </c>
      <c r="N230" s="586"/>
      <c r="O230" s="489"/>
      <c r="Q230" s="584"/>
    </row>
    <row r="231" spans="2:17" ht="15">
      <c r="B231" s="651"/>
      <c r="C231" s="645"/>
      <c r="D231" s="646"/>
      <c r="E231" s="646"/>
      <c r="F231" s="649"/>
      <c r="G231" s="649"/>
      <c r="H231" s="649"/>
      <c r="I231" s="649"/>
      <c r="J231" s="646"/>
      <c r="K231" s="682"/>
      <c r="L231" s="682">
        <f t="shared" si="9"/>
        <v>0</v>
      </c>
      <c r="M231" s="683">
        <f t="shared" si="10"/>
        <v>0</v>
      </c>
      <c r="N231" s="586"/>
      <c r="O231" s="489"/>
      <c r="Q231" s="584"/>
    </row>
    <row r="232" spans="2:15" ht="15">
      <c r="B232" s="764"/>
      <c r="C232" s="447"/>
      <c r="D232" s="765"/>
      <c r="E232" s="765"/>
      <c r="F232" s="586"/>
      <c r="G232" s="586"/>
      <c r="H232" s="586"/>
      <c r="I232" s="586"/>
      <c r="J232" s="766"/>
      <c r="K232" s="682"/>
      <c r="L232" s="682" t="s">
        <v>447</v>
      </c>
      <c r="M232" s="683" t="s">
        <v>447</v>
      </c>
      <c r="N232" s="586"/>
      <c r="O232" s="489"/>
    </row>
    <row r="233" spans="2:15" ht="15">
      <c r="B233" s="764"/>
      <c r="C233" s="447"/>
      <c r="D233" s="765"/>
      <c r="E233" s="765"/>
      <c r="F233" s="586"/>
      <c r="G233" s="586"/>
      <c r="H233" s="586"/>
      <c r="I233" s="654"/>
      <c r="J233" s="654"/>
      <c r="K233" s="682"/>
      <c r="L233" s="682" t="s">
        <v>447</v>
      </c>
      <c r="M233" s="683" t="s">
        <v>447</v>
      </c>
      <c r="N233" s="586"/>
      <c r="O233" s="489"/>
    </row>
    <row r="234" spans="2:15" ht="15">
      <c r="B234" s="764"/>
      <c r="C234" s="447"/>
      <c r="D234" s="765"/>
      <c r="E234" s="765"/>
      <c r="F234" s="586"/>
      <c r="G234" s="586" t="s">
        <v>447</v>
      </c>
      <c r="H234" s="586"/>
      <c r="I234" s="654"/>
      <c r="J234" s="654"/>
      <c r="K234" s="682"/>
      <c r="L234" s="682"/>
      <c r="M234" s="683"/>
      <c r="N234" s="586"/>
      <c r="O234" s="489"/>
    </row>
    <row r="235" spans="2:15" ht="15.6" thickBot="1">
      <c r="B235" s="767"/>
      <c r="C235" s="768"/>
      <c r="D235" s="769"/>
      <c r="E235" s="770"/>
      <c r="F235" s="770"/>
      <c r="G235" s="771"/>
      <c r="H235" s="771"/>
      <c r="I235" s="771"/>
      <c r="J235" s="771"/>
      <c r="K235" s="686"/>
      <c r="L235" s="686"/>
      <c r="M235" s="687"/>
      <c r="N235" s="654"/>
      <c r="O235" s="648"/>
    </row>
    <row r="236" spans="7:15" ht="15">
      <c r="G236" s="648"/>
      <c r="H236" s="586"/>
      <c r="I236" s="586"/>
      <c r="J236" s="586"/>
      <c r="K236" s="586"/>
      <c r="L236" s="586"/>
      <c r="M236" s="586"/>
      <c r="N236" s="586"/>
      <c r="O236" s="489"/>
    </row>
    <row r="237" spans="1:15" ht="15">
      <c r="A237" s="585"/>
      <c r="B237" s="539" t="s">
        <v>265</v>
      </c>
      <c r="G237" s="648"/>
      <c r="H237" s="648"/>
      <c r="I237" s="586"/>
      <c r="J237" s="586"/>
      <c r="K237" s="586"/>
      <c r="L237" s="586"/>
      <c r="M237" s="586"/>
      <c r="N237" s="586"/>
      <c r="O237" s="741"/>
    </row>
    <row r="238" spans="7:15" ht="13.2">
      <c r="G238" s="648"/>
      <c r="H238" s="648"/>
      <c r="I238" s="648"/>
      <c r="J238" s="648"/>
      <c r="K238" s="648"/>
      <c r="L238" s="648"/>
      <c r="M238" s="648"/>
      <c r="N238" s="648"/>
      <c r="O238" s="648"/>
    </row>
    <row r="239" spans="7:15" ht="13.2">
      <c r="G239" s="648"/>
      <c r="H239" s="648"/>
      <c r="I239" s="648"/>
      <c r="J239" s="648" t="s">
        <v>447</v>
      </c>
      <c r="K239" s="648"/>
      <c r="L239" s="648"/>
      <c r="M239" s="648"/>
      <c r="N239" s="648"/>
      <c r="O239" s="648"/>
    </row>
    <row r="240" spans="7:15" ht="15">
      <c r="G240" s="648"/>
      <c r="H240" s="586" t="s">
        <v>447</v>
      </c>
      <c r="I240" s="648"/>
      <c r="J240" s="648"/>
      <c r="K240" s="648"/>
      <c r="L240" s="648"/>
      <c r="M240" s="648"/>
      <c r="N240" s="648"/>
      <c r="O240" s="648"/>
    </row>
    <row r="241" spans="7:15" ht="13.2">
      <c r="G241" s="648"/>
      <c r="H241" s="648"/>
      <c r="I241" s="648"/>
      <c r="J241" s="489"/>
      <c r="K241" s="648"/>
      <c r="L241" s="648"/>
      <c r="M241" s="648"/>
      <c r="N241" s="648"/>
      <c r="O241" s="648"/>
    </row>
    <row r="242" spans="7:15" ht="13.2">
      <c r="G242" s="648"/>
      <c r="H242" s="648"/>
      <c r="I242" s="648"/>
      <c r="J242" s="489"/>
      <c r="K242" s="648"/>
      <c r="L242" s="648"/>
      <c r="M242" s="648"/>
      <c r="N242" s="648"/>
      <c r="O242" s="648"/>
    </row>
    <row r="243" spans="3:15" ht="13.2">
      <c r="C243" s="648"/>
      <c r="D243" s="584"/>
      <c r="F243" s="584"/>
      <c r="G243" s="648"/>
      <c r="H243" s="648"/>
      <c r="I243" s="648"/>
      <c r="J243" s="648"/>
      <c r="K243" s="648"/>
      <c r="L243" s="648"/>
      <c r="M243" s="648"/>
      <c r="N243" s="648"/>
      <c r="O243" s="648"/>
    </row>
    <row r="244" spans="3:15" ht="13.2">
      <c r="C244" s="648"/>
      <c r="D244" s="584"/>
      <c r="G244" s="648"/>
      <c r="H244" s="648"/>
      <c r="I244" s="648"/>
      <c r="J244" s="648"/>
      <c r="K244" s="648"/>
      <c r="L244" s="648"/>
      <c r="M244" s="648"/>
      <c r="N244" s="648"/>
      <c r="O244" s="648"/>
    </row>
    <row r="245" spans="3:15" ht="13.2">
      <c r="C245" s="648"/>
      <c r="D245" s="584"/>
      <c r="G245" s="648"/>
      <c r="H245" s="648"/>
      <c r="I245" s="648"/>
      <c r="J245" s="648"/>
      <c r="K245" s="648"/>
      <c r="L245" s="648"/>
      <c r="M245" s="648"/>
      <c r="N245" s="648"/>
      <c r="O245" s="648"/>
    </row>
    <row r="246" spans="3:15" ht="13.2">
      <c r="C246" s="648"/>
      <c r="D246" s="584"/>
      <c r="G246" s="648"/>
      <c r="H246" s="648"/>
      <c r="I246" s="648"/>
      <c r="J246" s="648"/>
      <c r="K246" s="648"/>
      <c r="L246" s="648"/>
      <c r="M246" s="648"/>
      <c r="N246" s="648"/>
      <c r="O246" s="648"/>
    </row>
    <row r="247" spans="3:15" ht="13.2">
      <c r="C247" s="648"/>
      <c r="D247" s="584"/>
      <c r="G247" s="648"/>
      <c r="H247" s="648"/>
      <c r="I247" s="648"/>
      <c r="J247" s="648"/>
      <c r="K247" s="648"/>
      <c r="L247" s="648"/>
      <c r="M247" s="648"/>
      <c r="N247" s="648"/>
      <c r="O247" s="648"/>
    </row>
    <row r="248" spans="4:15" ht="13.2">
      <c r="D248" s="584"/>
      <c r="G248" s="648"/>
      <c r="H248" s="772"/>
      <c r="I248" s="648"/>
      <c r="J248" s="648"/>
      <c r="K248" s="648"/>
      <c r="L248" s="648"/>
      <c r="M248" s="648"/>
      <c r="N248" s="648"/>
      <c r="O248" s="648"/>
    </row>
    <row r="249" spans="7:15" ht="13.2">
      <c r="G249" s="648"/>
      <c r="H249" s="772"/>
      <c r="I249" s="648"/>
      <c r="J249" s="648"/>
      <c r="K249" s="648"/>
      <c r="L249" s="648"/>
      <c r="M249" s="648"/>
      <c r="N249" s="648"/>
      <c r="O249" s="648"/>
    </row>
    <row r="250" spans="3:15" ht="13.2">
      <c r="C250" s="648"/>
      <c r="D250" s="584"/>
      <c r="G250" s="648"/>
      <c r="H250" s="648"/>
      <c r="I250" s="648"/>
      <c r="J250" s="648"/>
      <c r="K250" s="648"/>
      <c r="L250" s="648"/>
      <c r="M250" s="648"/>
      <c r="N250" s="648"/>
      <c r="O250" s="648"/>
    </row>
    <row r="251" spans="7:15" ht="13.2">
      <c r="G251" s="648"/>
      <c r="H251" s="648"/>
      <c r="I251" s="648"/>
      <c r="J251" s="648"/>
      <c r="K251" s="648"/>
      <c r="L251" s="648"/>
      <c r="M251" s="648"/>
      <c r="N251" s="648"/>
      <c r="O251" s="648"/>
    </row>
    <row r="252" spans="3:15" ht="13.2">
      <c r="C252" s="648"/>
      <c r="D252" s="584"/>
      <c r="G252" s="648"/>
      <c r="H252" s="648"/>
      <c r="I252" s="648"/>
      <c r="J252" s="648"/>
      <c r="K252" s="648"/>
      <c r="L252" s="648"/>
      <c r="M252" s="648"/>
      <c r="N252" s="648"/>
      <c r="O252" s="648"/>
    </row>
    <row r="253" spans="3:15" ht="13.2">
      <c r="C253" s="648"/>
      <c r="D253" s="584"/>
      <c r="G253" s="648"/>
      <c r="H253" s="648"/>
      <c r="I253" s="648"/>
      <c r="J253" s="648"/>
      <c r="K253" s="648"/>
      <c r="L253" s="648"/>
      <c r="M253" s="648"/>
      <c r="N253" s="648"/>
      <c r="O253" s="648"/>
    </row>
    <row r="254" spans="4:15" ht="13.2">
      <c r="D254" s="584"/>
      <c r="G254" s="648"/>
      <c r="H254" s="648"/>
      <c r="I254" s="648"/>
      <c r="J254" s="648"/>
      <c r="K254" s="648"/>
      <c r="L254" s="648"/>
      <c r="M254" s="648"/>
      <c r="N254" s="648"/>
      <c r="O254" s="648"/>
    </row>
    <row r="255" spans="7:15" ht="13.2">
      <c r="G255" s="648"/>
      <c r="H255" s="648"/>
      <c r="I255" s="648"/>
      <c r="J255" s="648"/>
      <c r="K255" s="648"/>
      <c r="L255" s="648"/>
      <c r="M255" s="648"/>
      <c r="N255" s="648"/>
      <c r="O255" s="648"/>
    </row>
    <row r="256" spans="3:15" ht="13.2">
      <c r="C256" s="648"/>
      <c r="D256" s="584"/>
      <c r="G256" s="648"/>
      <c r="H256" s="648"/>
      <c r="I256" s="648"/>
      <c r="J256" s="648"/>
      <c r="K256" s="648"/>
      <c r="L256" s="648"/>
      <c r="M256" s="648"/>
      <c r="N256" s="648"/>
      <c r="O256" s="648"/>
    </row>
    <row r="257" spans="3:15" ht="13.2">
      <c r="C257" s="648"/>
      <c r="D257" s="584"/>
      <c r="G257" s="648"/>
      <c r="H257" s="648"/>
      <c r="I257" s="648"/>
      <c r="J257" s="648"/>
      <c r="K257" s="648"/>
      <c r="L257" s="648"/>
      <c r="M257" s="648"/>
      <c r="N257" s="648"/>
      <c r="O257" s="648"/>
    </row>
    <row r="258" spans="3:15" ht="13.2">
      <c r="C258" s="648"/>
      <c r="D258" s="584"/>
      <c r="G258" s="648"/>
      <c r="H258" s="648"/>
      <c r="I258" s="648"/>
      <c r="J258" s="648"/>
      <c r="K258" s="648"/>
      <c r="L258" s="648"/>
      <c r="M258" s="648"/>
      <c r="N258" s="648"/>
      <c r="O258" s="648"/>
    </row>
    <row r="259" spans="3:15" ht="13.2">
      <c r="C259" s="648"/>
      <c r="D259" s="584"/>
      <c r="G259" s="648"/>
      <c r="H259" s="648"/>
      <c r="I259" s="648"/>
      <c r="J259" s="648"/>
      <c r="K259" s="648"/>
      <c r="L259" s="648"/>
      <c r="M259" s="648"/>
      <c r="N259" s="648"/>
      <c r="O259" s="648"/>
    </row>
    <row r="260" spans="3:15" ht="13.2">
      <c r="C260" s="648"/>
      <c r="D260" s="584"/>
      <c r="G260" s="648"/>
      <c r="H260" s="648"/>
      <c r="I260" s="648"/>
      <c r="J260" s="648"/>
      <c r="K260" s="648"/>
      <c r="L260" s="648"/>
      <c r="M260" s="648"/>
      <c r="N260" s="648"/>
      <c r="O260" s="648"/>
    </row>
    <row r="261" spans="7:15" ht="13.2">
      <c r="G261" s="648"/>
      <c r="H261" s="648"/>
      <c r="I261" s="648"/>
      <c r="J261" s="648"/>
      <c r="K261" s="648"/>
      <c r="L261" s="648"/>
      <c r="M261" s="648"/>
      <c r="N261" s="648"/>
      <c r="O261" s="648"/>
    </row>
    <row r="262" spans="7:15" ht="13.2">
      <c r="G262" s="648"/>
      <c r="H262" s="648"/>
      <c r="I262" s="648"/>
      <c r="J262" s="648"/>
      <c r="K262" s="648"/>
      <c r="L262" s="648"/>
      <c r="M262" s="648"/>
      <c r="N262" s="648"/>
      <c r="O262" s="648"/>
    </row>
    <row r="263" spans="7:15" ht="13.2">
      <c r="G263" s="648"/>
      <c r="H263" s="648"/>
      <c r="I263" s="648"/>
      <c r="J263" s="648"/>
      <c r="K263" s="648"/>
      <c r="L263" s="648"/>
      <c r="M263" s="648"/>
      <c r="N263" s="648"/>
      <c r="O263" s="648"/>
    </row>
    <row r="264" spans="7:15" ht="13.2">
      <c r="G264" s="648"/>
      <c r="H264" s="648"/>
      <c r="I264" s="648"/>
      <c r="J264" s="648"/>
      <c r="K264" s="648"/>
      <c r="L264" s="648"/>
      <c r="M264" s="648"/>
      <c r="N264" s="648"/>
      <c r="O264" s="648"/>
    </row>
    <row r="265" spans="7:15" ht="13.2">
      <c r="G265" s="648"/>
      <c r="H265" s="648"/>
      <c r="I265" s="648"/>
      <c r="J265" s="648"/>
      <c r="K265" s="648"/>
      <c r="L265" s="648"/>
      <c r="M265" s="648"/>
      <c r="N265" s="648"/>
      <c r="O265" s="648"/>
    </row>
    <row r="266" spans="7:15" ht="13.2">
      <c r="G266" s="648"/>
      <c r="H266" s="648"/>
      <c r="I266" s="648"/>
      <c r="J266" s="648"/>
      <c r="K266" s="648"/>
      <c r="L266" s="648"/>
      <c r="M266" s="648"/>
      <c r="N266" s="648"/>
      <c r="O266" s="648"/>
    </row>
    <row r="267" spans="7:15" ht="13.2">
      <c r="G267" s="648"/>
      <c r="H267" s="648"/>
      <c r="I267" s="648"/>
      <c r="J267" s="648"/>
      <c r="K267" s="648"/>
      <c r="L267" s="648"/>
      <c r="M267" s="648"/>
      <c r="N267" s="648"/>
      <c r="O267" s="648"/>
    </row>
    <row r="268" spans="7:15" ht="13.2">
      <c r="G268" s="648"/>
      <c r="H268" s="648"/>
      <c r="I268" s="648"/>
      <c r="J268" s="648"/>
      <c r="K268" s="648"/>
      <c r="L268" s="648"/>
      <c r="M268" s="648"/>
      <c r="N268" s="648"/>
      <c r="O268" s="648"/>
    </row>
    <row r="269" spans="7:15" ht="13.2">
      <c r="G269" s="648"/>
      <c r="H269" s="648"/>
      <c r="I269" s="648"/>
      <c r="J269" s="648"/>
      <c r="K269" s="648"/>
      <c r="L269" s="648"/>
      <c r="M269" s="648"/>
      <c r="N269" s="648"/>
      <c r="O269" s="648"/>
    </row>
    <row r="270" spans="7:15" ht="13.2">
      <c r="G270" s="648"/>
      <c r="H270" s="648"/>
      <c r="I270" s="648"/>
      <c r="J270" s="648"/>
      <c r="K270" s="648"/>
      <c r="L270" s="648"/>
      <c r="M270" s="648"/>
      <c r="N270" s="648"/>
      <c r="O270" s="648"/>
    </row>
    <row r="271" spans="7:15" ht="13.2">
      <c r="G271" s="648"/>
      <c r="H271" s="648"/>
      <c r="I271" s="648"/>
      <c r="J271" s="648"/>
      <c r="K271" s="648"/>
      <c r="L271" s="648"/>
      <c r="M271" s="648"/>
      <c r="N271" s="648"/>
      <c r="O271" s="648"/>
    </row>
    <row r="272" spans="7:15" ht="13.2">
      <c r="G272" s="648"/>
      <c r="H272" s="648"/>
      <c r="I272" s="648"/>
      <c r="J272" s="648"/>
      <c r="K272" s="648"/>
      <c r="L272" s="648"/>
      <c r="M272" s="648"/>
      <c r="N272" s="648"/>
      <c r="O272" s="648"/>
    </row>
    <row r="273" spans="7:15" ht="13.2">
      <c r="G273" s="648"/>
      <c r="H273" s="648"/>
      <c r="I273" s="648"/>
      <c r="J273" s="648"/>
      <c r="K273" s="648"/>
      <c r="L273" s="648"/>
      <c r="M273" s="648"/>
      <c r="N273" s="648"/>
      <c r="O273" s="648"/>
    </row>
    <row r="274" spans="7:15" ht="13.2">
      <c r="G274" s="648"/>
      <c r="H274" s="648"/>
      <c r="I274" s="648"/>
      <c r="J274" s="648"/>
      <c r="K274" s="648"/>
      <c r="L274" s="648"/>
      <c r="M274" s="648"/>
      <c r="N274" s="648"/>
      <c r="O274" s="648"/>
    </row>
    <row r="275" spans="7:15" ht="13.2">
      <c r="G275" s="648"/>
      <c r="H275" s="648"/>
      <c r="I275" s="648"/>
      <c r="J275" s="648"/>
      <c r="K275" s="648"/>
      <c r="L275" s="648"/>
      <c r="M275" s="648"/>
      <c r="N275" s="648"/>
      <c r="O275" s="648"/>
    </row>
    <row r="276" spans="7:15" ht="13.2">
      <c r="G276" s="648"/>
      <c r="H276" s="648"/>
      <c r="I276" s="648"/>
      <c r="J276" s="648"/>
      <c r="K276" s="648"/>
      <c r="L276" s="648"/>
      <c r="M276" s="648"/>
      <c r="N276" s="648"/>
      <c r="O276" s="648"/>
    </row>
    <row r="277" spans="7:15" ht="13.2">
      <c r="G277" s="648"/>
      <c r="H277" s="648"/>
      <c r="I277" s="648"/>
      <c r="J277" s="648"/>
      <c r="K277" s="648"/>
      <c r="L277" s="648"/>
      <c r="M277" s="648"/>
      <c r="N277" s="648"/>
      <c r="O277" s="648"/>
    </row>
    <row r="278" spans="7:15" ht="13.2">
      <c r="G278" s="648"/>
      <c r="H278" s="648"/>
      <c r="I278" s="648"/>
      <c r="J278" s="648"/>
      <c r="K278" s="648"/>
      <c r="L278" s="648"/>
      <c r="M278" s="648"/>
      <c r="N278" s="648"/>
      <c r="O278" s="648"/>
    </row>
    <row r="279" spans="7:15" ht="13.2">
      <c r="G279" s="648"/>
      <c r="H279" s="648"/>
      <c r="I279" s="648"/>
      <c r="J279" s="648"/>
      <c r="K279" s="648"/>
      <c r="L279" s="648"/>
      <c r="M279" s="648"/>
      <c r="N279" s="648"/>
      <c r="O279" s="648"/>
    </row>
    <row r="280" spans="7:15" ht="13.2">
      <c r="G280" s="648"/>
      <c r="H280" s="648"/>
      <c r="I280" s="648"/>
      <c r="J280" s="648"/>
      <c r="K280" s="648"/>
      <c r="L280" s="648"/>
      <c r="M280" s="648"/>
      <c r="N280" s="648"/>
      <c r="O280" s="648"/>
    </row>
    <row r="281" spans="7:15" ht="13.2">
      <c r="G281" s="648"/>
      <c r="H281" s="648"/>
      <c r="I281" s="648"/>
      <c r="J281" s="648"/>
      <c r="K281" s="648"/>
      <c r="L281" s="648"/>
      <c r="M281" s="648"/>
      <c r="N281" s="648"/>
      <c r="O281" s="648"/>
    </row>
    <row r="282" spans="7:15" ht="13.2">
      <c r="G282" s="648"/>
      <c r="H282" s="648"/>
      <c r="I282" s="648"/>
      <c r="J282" s="648"/>
      <c r="K282" s="648"/>
      <c r="L282" s="648"/>
      <c r="M282" s="648"/>
      <c r="N282" s="648"/>
      <c r="O282" s="648"/>
    </row>
    <row r="283" spans="7:15" ht="13.2">
      <c r="G283" s="648"/>
      <c r="H283" s="648"/>
      <c r="I283" s="648"/>
      <c r="J283" s="648"/>
      <c r="K283" s="648"/>
      <c r="L283" s="648"/>
      <c r="M283" s="648"/>
      <c r="N283" s="648"/>
      <c r="O283" s="648"/>
    </row>
    <row r="284" spans="7:15" ht="13.2">
      <c r="G284" s="648"/>
      <c r="H284" s="648"/>
      <c r="I284" s="648"/>
      <c r="J284" s="648"/>
      <c r="K284" s="648"/>
      <c r="L284" s="648"/>
      <c r="M284" s="648"/>
      <c r="N284" s="648"/>
      <c r="O284" s="648"/>
    </row>
    <row r="285" spans="7:15" ht="13.2">
      <c r="G285" s="648"/>
      <c r="H285" s="648"/>
      <c r="I285" s="648"/>
      <c r="J285" s="648"/>
      <c r="K285" s="648"/>
      <c r="L285" s="648"/>
      <c r="M285" s="648"/>
      <c r="N285" s="648"/>
      <c r="O285" s="648"/>
    </row>
    <row r="286" spans="7:15" ht="13.2">
      <c r="G286" s="648"/>
      <c r="H286" s="648"/>
      <c r="I286" s="648"/>
      <c r="J286" s="648"/>
      <c r="K286" s="648"/>
      <c r="L286" s="648"/>
      <c r="M286" s="648"/>
      <c r="N286" s="648"/>
      <c r="O286" s="648"/>
    </row>
    <row r="287" spans="7:15" ht="13.2">
      <c r="G287" s="648"/>
      <c r="H287" s="648"/>
      <c r="I287" s="648"/>
      <c r="J287" s="648"/>
      <c r="K287" s="648"/>
      <c r="L287" s="648"/>
      <c r="M287" s="648"/>
      <c r="N287" s="648"/>
      <c r="O287" s="648"/>
    </row>
    <row r="288" spans="7:15" ht="13.2">
      <c r="G288" s="648"/>
      <c r="H288" s="648"/>
      <c r="I288" s="648"/>
      <c r="J288" s="648"/>
      <c r="K288" s="648"/>
      <c r="L288" s="648"/>
      <c r="M288" s="648"/>
      <c r="N288" s="648"/>
      <c r="O288" s="648"/>
    </row>
    <row r="289" spans="7:15" ht="13.2">
      <c r="G289" s="648"/>
      <c r="H289" s="648"/>
      <c r="I289" s="648"/>
      <c r="J289" s="648"/>
      <c r="K289" s="648"/>
      <c r="L289" s="648"/>
      <c r="M289" s="648"/>
      <c r="N289" s="648"/>
      <c r="O289" s="648"/>
    </row>
    <row r="290" spans="7:15" ht="13.2">
      <c r="G290" s="648"/>
      <c r="H290" s="648"/>
      <c r="I290" s="648"/>
      <c r="J290" s="648"/>
      <c r="K290" s="648"/>
      <c r="L290" s="648"/>
      <c r="M290" s="648"/>
      <c r="N290" s="648"/>
      <c r="O290" s="648"/>
    </row>
    <row r="291" spans="7:15" ht="13.2">
      <c r="G291" s="648"/>
      <c r="H291" s="648"/>
      <c r="I291" s="648"/>
      <c r="J291" s="648"/>
      <c r="K291" s="648"/>
      <c r="L291" s="648"/>
      <c r="M291" s="648"/>
      <c r="N291" s="648"/>
      <c r="O291" s="648"/>
    </row>
    <row r="292" spans="7:15" ht="13.2">
      <c r="G292" s="648"/>
      <c r="H292" s="648"/>
      <c r="I292" s="648"/>
      <c r="J292" s="648"/>
      <c r="K292" s="648"/>
      <c r="L292" s="648"/>
      <c r="M292" s="648"/>
      <c r="N292" s="648"/>
      <c r="O292" s="648"/>
    </row>
    <row r="293" spans="7:15" ht="13.2">
      <c r="G293" s="648"/>
      <c r="H293" s="648"/>
      <c r="I293" s="648"/>
      <c r="J293" s="648"/>
      <c r="K293" s="648"/>
      <c r="L293" s="648"/>
      <c r="M293" s="648"/>
      <c r="N293" s="648"/>
      <c r="O293" s="648"/>
    </row>
    <row r="294" spans="7:15" ht="13.2">
      <c r="G294" s="648"/>
      <c r="H294" s="648"/>
      <c r="I294" s="648"/>
      <c r="J294" s="648"/>
      <c r="K294" s="648"/>
      <c r="L294" s="648"/>
      <c r="M294" s="648"/>
      <c r="N294" s="648"/>
      <c r="O294" s="648"/>
    </row>
    <row r="295" spans="7:15" ht="13.2">
      <c r="G295" s="648"/>
      <c r="H295" s="648"/>
      <c r="I295" s="648"/>
      <c r="J295" s="648"/>
      <c r="K295" s="648"/>
      <c r="L295" s="648"/>
      <c r="M295" s="648"/>
      <c r="N295" s="648"/>
      <c r="O295" s="648"/>
    </row>
    <row r="296" spans="7:15" ht="13.2">
      <c r="G296" s="648"/>
      <c r="H296" s="648"/>
      <c r="I296" s="648"/>
      <c r="J296" s="648"/>
      <c r="K296" s="648"/>
      <c r="L296" s="648"/>
      <c r="M296" s="648"/>
      <c r="N296" s="648"/>
      <c r="O296" s="648"/>
    </row>
    <row r="297" spans="7:15" ht="13.2">
      <c r="G297" s="648"/>
      <c r="H297" s="648"/>
      <c r="I297" s="648"/>
      <c r="J297" s="648"/>
      <c r="K297" s="648"/>
      <c r="L297" s="648"/>
      <c r="M297" s="648"/>
      <c r="N297" s="648"/>
      <c r="O297" s="648"/>
    </row>
    <row r="298" spans="7:15" ht="13.2">
      <c r="G298" s="648"/>
      <c r="H298" s="648"/>
      <c r="I298" s="648"/>
      <c r="J298" s="648"/>
      <c r="K298" s="648"/>
      <c r="L298" s="648"/>
      <c r="M298" s="648"/>
      <c r="N298" s="648"/>
      <c r="O298" s="648"/>
    </row>
    <row r="299" spans="7:15" ht="13.2">
      <c r="G299" s="648"/>
      <c r="H299" s="648"/>
      <c r="I299" s="648"/>
      <c r="J299" s="648"/>
      <c r="K299" s="648"/>
      <c r="L299" s="648"/>
      <c r="M299" s="648"/>
      <c r="N299" s="648"/>
      <c r="O299" s="648"/>
    </row>
    <row r="300" spans="7:15" ht="13.2">
      <c r="G300" s="648"/>
      <c r="H300" s="648"/>
      <c r="I300" s="648"/>
      <c r="J300" s="648"/>
      <c r="K300" s="648"/>
      <c r="L300" s="648"/>
      <c r="M300" s="648"/>
      <c r="N300" s="648"/>
      <c r="O300" s="648"/>
    </row>
    <row r="301" spans="7:15" ht="13.2">
      <c r="G301" s="648"/>
      <c r="H301" s="648"/>
      <c r="I301" s="648"/>
      <c r="J301" s="648"/>
      <c r="K301" s="648"/>
      <c r="L301" s="648"/>
      <c r="M301" s="648"/>
      <c r="N301" s="648"/>
      <c r="O301" s="648"/>
    </row>
    <row r="302" spans="7:15" ht="13.2">
      <c r="G302" s="648"/>
      <c r="H302" s="648"/>
      <c r="I302" s="648"/>
      <c r="J302" s="648"/>
      <c r="K302" s="648"/>
      <c r="L302" s="648"/>
      <c r="M302" s="648"/>
      <c r="N302" s="648"/>
      <c r="O302" s="648"/>
    </row>
    <row r="303" spans="7:15" ht="13.2">
      <c r="G303" s="648"/>
      <c r="H303" s="648"/>
      <c r="I303" s="648"/>
      <c r="J303" s="648"/>
      <c r="K303" s="648"/>
      <c r="L303" s="648"/>
      <c r="M303" s="648"/>
      <c r="N303" s="648"/>
      <c r="O303" s="648"/>
    </row>
    <row r="304" spans="7:15" ht="13.2">
      <c r="G304" s="648"/>
      <c r="H304" s="648"/>
      <c r="I304" s="648"/>
      <c r="J304" s="648"/>
      <c r="K304" s="648"/>
      <c r="L304" s="648"/>
      <c r="M304" s="648"/>
      <c r="N304" s="648"/>
      <c r="O304" s="648"/>
    </row>
    <row r="305" spans="7:15" ht="13.2">
      <c r="G305" s="648"/>
      <c r="H305" s="648"/>
      <c r="I305" s="648"/>
      <c r="J305" s="648"/>
      <c r="K305" s="648"/>
      <c r="L305" s="648"/>
      <c r="M305" s="648"/>
      <c r="N305" s="648"/>
      <c r="O305" s="648"/>
    </row>
    <row r="306" spans="7:15" ht="13.2">
      <c r="G306" s="648"/>
      <c r="H306" s="648"/>
      <c r="I306" s="648"/>
      <c r="J306" s="648"/>
      <c r="K306" s="648"/>
      <c r="L306" s="648"/>
      <c r="M306" s="648"/>
      <c r="N306" s="648"/>
      <c r="O306" s="648"/>
    </row>
    <row r="307" spans="7:15" ht="13.2">
      <c r="G307" s="648"/>
      <c r="H307" s="648"/>
      <c r="I307" s="648"/>
      <c r="J307" s="648"/>
      <c r="K307" s="648"/>
      <c r="L307" s="648"/>
      <c r="M307" s="648"/>
      <c r="N307" s="648"/>
      <c r="O307" s="648"/>
    </row>
    <row r="308" spans="7:15" ht="13.2">
      <c r="G308" s="648"/>
      <c r="H308" s="648"/>
      <c r="I308" s="648"/>
      <c r="J308" s="648"/>
      <c r="K308" s="648"/>
      <c r="L308" s="648"/>
      <c r="M308" s="648"/>
      <c r="N308" s="648"/>
      <c r="O308" s="648"/>
    </row>
    <row r="309" spans="7:15" ht="13.2">
      <c r="G309" s="648"/>
      <c r="H309" s="648"/>
      <c r="I309" s="648"/>
      <c r="J309" s="648"/>
      <c r="K309" s="648"/>
      <c r="L309" s="648"/>
      <c r="M309" s="648"/>
      <c r="N309" s="648"/>
      <c r="O309" s="648"/>
    </row>
    <row r="310" spans="7:15" ht="13.2">
      <c r="G310" s="648"/>
      <c r="H310" s="648"/>
      <c r="I310" s="648"/>
      <c r="J310" s="648"/>
      <c r="K310" s="648"/>
      <c r="L310" s="648"/>
      <c r="M310" s="648"/>
      <c r="N310" s="648"/>
      <c r="O310" s="648"/>
    </row>
    <row r="311" spans="7:15" ht="13.2">
      <c r="G311" s="648"/>
      <c r="H311" s="648"/>
      <c r="I311" s="648"/>
      <c r="J311" s="648"/>
      <c r="K311" s="648"/>
      <c r="L311" s="648"/>
      <c r="M311" s="648"/>
      <c r="N311" s="648"/>
      <c r="O311" s="648"/>
    </row>
    <row r="312" spans="7:15" ht="13.2">
      <c r="G312" s="648"/>
      <c r="H312" s="648"/>
      <c r="I312" s="648"/>
      <c r="J312" s="648"/>
      <c r="K312" s="648"/>
      <c r="L312" s="648"/>
      <c r="M312" s="648"/>
      <c r="N312" s="648"/>
      <c r="O312" s="648"/>
    </row>
    <row r="313" spans="7:15" ht="13.2">
      <c r="G313" s="648"/>
      <c r="H313" s="648"/>
      <c r="I313" s="648"/>
      <c r="J313" s="648"/>
      <c r="K313" s="648"/>
      <c r="L313" s="648"/>
      <c r="M313" s="648"/>
      <c r="N313" s="648"/>
      <c r="O313" s="648"/>
    </row>
    <row r="314" spans="7:15" ht="13.2">
      <c r="G314" s="648"/>
      <c r="H314" s="648"/>
      <c r="I314" s="648"/>
      <c r="J314" s="648"/>
      <c r="K314" s="648"/>
      <c r="L314" s="648"/>
      <c r="M314" s="648"/>
      <c r="N314" s="648"/>
      <c r="O314" s="648"/>
    </row>
    <row r="315" spans="7:15" ht="13.2">
      <c r="G315" s="648"/>
      <c r="H315" s="648"/>
      <c r="I315" s="648"/>
      <c r="J315" s="648"/>
      <c r="K315" s="648"/>
      <c r="L315" s="648"/>
      <c r="M315" s="648"/>
      <c r="N315" s="648"/>
      <c r="O315" s="648"/>
    </row>
    <row r="316" spans="7:15" ht="13.2">
      <c r="G316" s="648"/>
      <c r="H316" s="648"/>
      <c r="I316" s="648"/>
      <c r="J316" s="648"/>
      <c r="K316" s="648"/>
      <c r="L316" s="648"/>
      <c r="M316" s="648"/>
      <c r="N316" s="648"/>
      <c r="O316" s="648"/>
    </row>
    <row r="317" spans="7:15" ht="13.2">
      <c r="G317" s="648"/>
      <c r="H317" s="648"/>
      <c r="I317" s="648"/>
      <c r="J317" s="648"/>
      <c r="K317" s="648"/>
      <c r="L317" s="648"/>
      <c r="M317" s="648"/>
      <c r="N317" s="648"/>
      <c r="O317" s="648"/>
    </row>
    <row r="318" spans="7:15" ht="13.2">
      <c r="G318" s="648"/>
      <c r="H318" s="648"/>
      <c r="I318" s="648"/>
      <c r="J318" s="648"/>
      <c r="K318" s="648"/>
      <c r="L318" s="648"/>
      <c r="M318" s="648"/>
      <c r="N318" s="648"/>
      <c r="O318" s="648"/>
    </row>
    <row r="319" spans="7:15" ht="13.2">
      <c r="G319" s="648"/>
      <c r="H319" s="648"/>
      <c r="I319" s="648"/>
      <c r="J319" s="648"/>
      <c r="K319" s="648"/>
      <c r="L319" s="648"/>
      <c r="M319" s="648"/>
      <c r="N319" s="648"/>
      <c r="O319" s="648"/>
    </row>
    <row r="320" spans="7:15" ht="13.2">
      <c r="G320" s="648"/>
      <c r="H320" s="648"/>
      <c r="I320" s="648"/>
      <c r="J320" s="648"/>
      <c r="K320" s="648"/>
      <c r="L320" s="648"/>
      <c r="M320" s="648"/>
      <c r="N320" s="648"/>
      <c r="O320" s="648"/>
    </row>
    <row r="321" spans="7:15" ht="13.2">
      <c r="G321" s="648"/>
      <c r="H321" s="648"/>
      <c r="I321" s="648"/>
      <c r="J321" s="648"/>
      <c r="K321" s="648"/>
      <c r="L321" s="648"/>
      <c r="M321" s="648"/>
      <c r="N321" s="648"/>
      <c r="O321" s="648"/>
    </row>
    <row r="322" spans="7:15" ht="13.2">
      <c r="G322" s="648"/>
      <c r="H322" s="648"/>
      <c r="I322" s="648"/>
      <c r="J322" s="648"/>
      <c r="K322" s="648"/>
      <c r="L322" s="648"/>
      <c r="M322" s="648"/>
      <c r="N322" s="648"/>
      <c r="O322" s="648"/>
    </row>
  </sheetData>
  <mergeCells count="1">
    <mergeCell ref="A1:K1"/>
  </mergeCells>
  <pageMargins left="0.5" right="0" top="0.53" bottom="0.82" header="0.34" footer="0.5"/>
  <pageSetup orientation="portrait" paperSize="1" scale="38" r:id="rId6"/>
  <headerFooter alignWithMargins="0">
    <oddHeader>&amp;REXHIBIT NO. TRC-203
ATTACHMENT H-18A
&amp;P of &amp;N</oddHeader>
  </headerFooter>
  <drawing r:id="rId2"/>
  <legacyDrawing r:id="rId5"/>
  <oleObjects>
    <mc:AlternateContent xmlns:mc="http://schemas.openxmlformats.org/markup-compatibility/2006">
      <mc:Choice Requires="x14">
        <oleObject progId="Equation.3" shapeId="21983" r:id="rId3">
          <objectPr defaultSize="0" autoPict="0" r:id="rId4">
            <anchor moveWithCells="1" sizeWithCells="1">
              <from>
                <xdr:col>2</xdr:col>
                <xdr:colOff>121920</xdr:colOff>
                <xdr:row>17</xdr:row>
                <xdr:rowOff>83820</xdr:rowOff>
              </from>
              <to>
                <xdr:col>5</xdr:col>
                <xdr:colOff>906780</xdr:colOff>
                <xdr:row>21</xdr:row>
                <xdr:rowOff>144780</xdr:rowOff>
              </to>
            </anchor>
          </objectPr>
        </oleObject>
      </mc:Choice>
      <mc:Fallback>
        <oleObject progId="Equation.3" shapeId="21983"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13</vt:i4>
      </vt:variant>
    </vt:vector>
  </HeadingPairs>
  <TitlesOfParts>
    <vt:vector size="13" baseType="lpstr">
      <vt:lpstr>Appendix A</vt:lpstr>
      <vt:lpstr>ATT 1-ADIT</vt:lpstr>
      <vt:lpstr>ATT 1.1- Excess_Def ADIT</vt:lpstr>
      <vt:lpstr>Att 1.2 - Exc_Def WP</vt:lpstr>
      <vt:lpstr>ATT 2 - Other Taxes</vt:lpstr>
      <vt:lpstr>3 - Revenue Credits</vt:lpstr>
      <vt:lpstr>4 - Incentive ROE Adj</vt:lpstr>
      <vt:lpstr>5 - Cost Support</vt:lpstr>
      <vt:lpstr>5a- Precommercial Costs</vt:lpstr>
      <vt:lpstr>6- Est &amp; Reconcile WS</vt:lpstr>
      <vt:lpstr>7 - Cap Add WS</vt:lpstr>
      <vt:lpstr>Attachment 8, Page 1</vt:lpstr>
      <vt:lpstr>Attachment 8, page 2</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2025-05-15T13:04:48Z</cp:lastPrinted>
  <dcterms:created xsi:type="dcterms:W3CDTF">2025-05-15T20:41:39Z</dcterms:created>
  <dcterms:modified xsi:type="dcterms:W3CDTF">2025-05-15T20:41:38Z</dcterms:modified>
  <cp:category/>
</cp:coreProperties>
</file>