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portal.ma.corp/Docs/PJM/Committees/EGCSTF/20231017/"/>
    </mc:Choice>
  </mc:AlternateContent>
  <bookViews>
    <workbookView xWindow="0" yWindow="0" windowWidth="24000" windowHeight="9600"/>
  </bookViews>
  <sheets>
    <sheet name="Exampl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F29" i="2" l="1"/>
  <c r="F27" i="2"/>
  <c r="D9" i="2"/>
  <c r="C15" i="2"/>
  <c r="C14" i="2"/>
  <c r="D8" i="2"/>
  <c r="D7" i="2"/>
  <c r="D6" i="2"/>
  <c r="D5" i="2"/>
  <c r="F28" i="2" s="1"/>
  <c r="D4" i="2"/>
  <c r="D3" i="2"/>
  <c r="D2" i="2"/>
  <c r="D14" i="2" l="1"/>
  <c r="D10" i="2"/>
  <c r="D16" i="2" s="1"/>
  <c r="C23" i="2"/>
  <c r="D15" i="2"/>
  <c r="F30" i="2"/>
  <c r="C16" i="2"/>
  <c r="C17" i="2" s="1"/>
  <c r="C11" i="2"/>
  <c r="C18" i="2" s="1"/>
  <c r="D11" i="2" l="1"/>
  <c r="D18" i="2" s="1"/>
  <c r="D23" i="2"/>
  <c r="D17" i="2"/>
  <c r="D21" i="2" s="1"/>
  <c r="D22" i="2" s="1"/>
  <c r="C21" i="2"/>
  <c r="C22" i="2" s="1"/>
  <c r="C27" i="2" l="1"/>
  <c r="C30" i="2" s="1"/>
  <c r="E21" i="2"/>
  <c r="E22" i="2"/>
</calcChain>
</file>

<file path=xl/sharedStrings.xml><?xml version="1.0" encoding="utf-8"?>
<sst xmlns="http://schemas.openxmlformats.org/spreadsheetml/2006/main" count="52" uniqueCount="50">
  <si>
    <t>Period Hours</t>
  </si>
  <si>
    <t>Number of forced outages</t>
  </si>
  <si>
    <t>Number of attempted starts</t>
  </si>
  <si>
    <t>Number of succesful starts</t>
  </si>
  <si>
    <t>Ff</t>
  </si>
  <si>
    <t>Fp</t>
  </si>
  <si>
    <t>EFDH</t>
  </si>
  <si>
    <t>EFORd</t>
  </si>
  <si>
    <t>Available Hours</t>
  </si>
  <si>
    <t>Reserve Shutdown Hours</t>
  </si>
  <si>
    <t>Service Hours</t>
  </si>
  <si>
    <t>Forced Outage Hours</t>
  </si>
  <si>
    <t>Check Hours</t>
  </si>
  <si>
    <t>UCAP Impact</t>
  </si>
  <si>
    <t>Days</t>
  </si>
  <si>
    <t>New Approach</t>
  </si>
  <si>
    <t>Line</t>
  </si>
  <si>
    <t>PH</t>
  </si>
  <si>
    <t>FOH</t>
  </si>
  <si>
    <t>RSH</t>
  </si>
  <si>
    <t>AH = (RSH + SH)</t>
  </si>
  <si>
    <t>SH = (PH - RSH - FOH)</t>
  </si>
  <si>
    <t>Factors</t>
  </si>
  <si>
    <t>Average Forced Outage Duration</t>
  </si>
  <si>
    <t>r = FOH / NFO</t>
  </si>
  <si>
    <t>NFO</t>
  </si>
  <si>
    <t>NAS</t>
  </si>
  <si>
    <t>NSS</t>
  </si>
  <si>
    <t>Average Time Between Calls</t>
  </si>
  <si>
    <t>T = RSH / NAS</t>
  </si>
  <si>
    <t>D = SH / NSS</t>
  </si>
  <si>
    <t>Average Run Time</t>
  </si>
  <si>
    <t>Equivalent Forced Derate Hours</t>
  </si>
  <si>
    <t>EFORd = (Ff x FOH + Fp x EFDH) / (SH + Ff x FOH)</t>
  </si>
  <si>
    <t>ICAP</t>
  </si>
  <si>
    <t>Installed Capacity</t>
  </si>
  <si>
    <t>Unforced Capacity</t>
  </si>
  <si>
    <t>Adding 24h Forced Outage</t>
  </si>
  <si>
    <t>Impact</t>
  </si>
  <si>
    <t>MCP ($/MW-day)</t>
  </si>
  <si>
    <t>UCAP Reduction (MW)</t>
  </si>
  <si>
    <t>ICAP (MW)</t>
  </si>
  <si>
    <t>Days Unavailable</t>
  </si>
  <si>
    <t>UCAP = ICAP x (1 - EFORd)</t>
  </si>
  <si>
    <t>Ff = (1/r + 1/T) / (1/r + 1/T + 1/D)</t>
  </si>
  <si>
    <t>Fp = SH / AH</t>
  </si>
  <si>
    <t>Penalty ($)</t>
  </si>
  <si>
    <t>Input</t>
  </si>
  <si>
    <t>Base Case</t>
  </si>
  <si>
    <t>Forced Outage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</si>
</sst>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#,##0.0"/>
    <numFmt numFmtId="167" formatCode="0&quot;:00&quot;"/>
    <numFmt numFmtId="168" formatCode="#,##0.0_);\(#,##0.0\)"/>
    <numFmt numFmtId="169" formatCode="#,##0.0000_);\(#,##0.0000\)"/>
    <numFmt numFmtId="170" formatCode="_(* #,##0.00000_);_(* \(#,##0.0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3E5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right"/>
    </xf>
    <xf numFmtId="10" fontId="0" fillId="0" borderId="0" xfId="2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164" fontId="0" fillId="2" borderId="0" xfId="1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37" fontId="3" fillId="5" borderId="0" xfId="1" applyNumberFormat="1" applyFont="1" applyFill="1" applyAlignment="1">
      <alignment horizontal="right"/>
    </xf>
    <xf numFmtId="0" fontId="3" fillId="5" borderId="0" xfId="0" applyFont="1" applyFill="1" applyAlignment="1"/>
    <xf numFmtId="37" fontId="3" fillId="5" borderId="0" xfId="1" applyNumberFormat="1" applyFont="1" applyFill="1" applyAlignment="1"/>
    <xf numFmtId="0" fontId="3" fillId="3" borderId="0" xfId="0" applyFont="1" applyFill="1" applyAlignment="1"/>
    <xf numFmtId="167" fontId="3" fillId="3" borderId="0" xfId="1" applyNumberFormat="1" applyFont="1" applyFill="1" applyAlignment="1"/>
    <xf numFmtId="0" fontId="2" fillId="4" borderId="0" xfId="0" applyFont="1" applyFill="1" applyAlignment="1">
      <alignment horizontal="right" wrapText="1"/>
    </xf>
    <xf numFmtId="37" fontId="4" fillId="5" borderId="0" xfId="1" applyNumberFormat="1" applyFont="1" applyFill="1" applyAlignment="1">
      <alignment horizontal="right"/>
    </xf>
    <xf numFmtId="37" fontId="4" fillId="3" borderId="0" xfId="1" applyNumberFormat="1" applyFont="1" applyFill="1" applyAlignment="1">
      <alignment horizontal="right"/>
    </xf>
    <xf numFmtId="37" fontId="3" fillId="3" borderId="0" xfId="1" applyNumberFormat="1" applyFont="1" applyFill="1" applyAlignment="1">
      <alignment horizontal="right"/>
    </xf>
    <xf numFmtId="0" fontId="5" fillId="3" borderId="0" xfId="0" applyFont="1" applyFill="1" applyAlignment="1"/>
    <xf numFmtId="0" fontId="5" fillId="5" borderId="0" xfId="0" applyFont="1" applyFill="1" applyAlignment="1"/>
    <xf numFmtId="10" fontId="3" fillId="3" borderId="0" xfId="2" applyNumberFormat="1" applyFont="1" applyFill="1" applyAlignment="1">
      <alignment horizontal="right"/>
    </xf>
    <xf numFmtId="168" fontId="3" fillId="5" borderId="0" xfId="1" applyNumberFormat="1" applyFont="1" applyFill="1" applyAlignment="1">
      <alignment horizontal="right"/>
    </xf>
    <xf numFmtId="169" fontId="3" fillId="3" borderId="0" xfId="1" applyNumberFormat="1" applyFont="1" applyFill="1" applyAlignment="1">
      <alignment horizontal="right"/>
    </xf>
    <xf numFmtId="169" fontId="3" fillId="5" borderId="0" xfId="1" applyNumberFormat="1" applyFont="1" applyFill="1" applyAlignment="1">
      <alignment horizontal="right"/>
    </xf>
    <xf numFmtId="170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5" zoomScaleNormal="85" workbookViewId="0"/>
  </sheetViews>
  <sheetFormatPr defaultRowHeight="15" x14ac:dyDescent="0.25"/>
  <cols>
    <col min="1" max="1" width="23.7109375" style="5" customWidth="1"/>
    <col min="2" max="2" width="30.42578125" style="2" bestFit="1" customWidth="1"/>
    <col min="3" max="4" width="22.85546875" style="1" customWidth="1"/>
    <col min="5" max="5" width="31.85546875" bestFit="1" customWidth="1"/>
    <col min="11" max="11" width="12.28515625" bestFit="1" customWidth="1"/>
    <col min="12" max="12" width="11.28515625" bestFit="1" customWidth="1"/>
  </cols>
  <sheetData>
    <row r="1" spans="1:6" s="5" customFormat="1" ht="31.5" x14ac:dyDescent="0.25">
      <c r="A1" s="15" t="s">
        <v>16</v>
      </c>
      <c r="B1" s="15" t="s">
        <v>47</v>
      </c>
      <c r="C1" s="16" t="s">
        <v>48</v>
      </c>
      <c r="D1" s="22" t="s">
        <v>37</v>
      </c>
      <c r="E1" s="12" t="s">
        <v>38</v>
      </c>
      <c r="F1" s="6"/>
    </row>
    <row r="2" spans="1:6" ht="15.75" x14ac:dyDescent="0.25">
      <c r="A2" s="18" t="s">
        <v>34</v>
      </c>
      <c r="B2" s="19" t="s">
        <v>35</v>
      </c>
      <c r="C2" s="23">
        <v>100</v>
      </c>
      <c r="D2" s="17">
        <f>+C2</f>
        <v>100</v>
      </c>
      <c r="F2" s="2"/>
    </row>
    <row r="3" spans="1:6" ht="15.75" x14ac:dyDescent="0.25">
      <c r="A3" s="20" t="s">
        <v>17</v>
      </c>
      <c r="B3" s="21" t="s">
        <v>0</v>
      </c>
      <c r="C3" s="24">
        <v>8760</v>
      </c>
      <c r="D3" s="25">
        <f>+C3</f>
        <v>8760</v>
      </c>
    </row>
    <row r="4" spans="1:6" ht="15.75" x14ac:dyDescent="0.25">
      <c r="A4" s="18" t="s">
        <v>19</v>
      </c>
      <c r="B4" s="19" t="s">
        <v>9</v>
      </c>
      <c r="C4" s="23">
        <v>1000</v>
      </c>
      <c r="D4" s="17">
        <f>+C4</f>
        <v>1000</v>
      </c>
    </row>
    <row r="5" spans="1:6" ht="15.75" x14ac:dyDescent="0.25">
      <c r="A5" s="20" t="s">
        <v>18</v>
      </c>
      <c r="B5" s="21" t="s">
        <v>11</v>
      </c>
      <c r="C5" s="24">
        <v>500</v>
      </c>
      <c r="D5" s="24">
        <f>+C5+24</f>
        <v>524</v>
      </c>
    </row>
    <row r="6" spans="1:6" ht="15.75" x14ac:dyDescent="0.25">
      <c r="A6" s="18" t="s">
        <v>25</v>
      </c>
      <c r="B6" s="19" t="s">
        <v>1</v>
      </c>
      <c r="C6" s="23">
        <v>1</v>
      </c>
      <c r="D6" s="17">
        <f>+C6</f>
        <v>1</v>
      </c>
    </row>
    <row r="7" spans="1:6" ht="15.75" x14ac:dyDescent="0.25">
      <c r="A7" s="20" t="s">
        <v>26</v>
      </c>
      <c r="B7" s="21" t="s">
        <v>2</v>
      </c>
      <c r="C7" s="24">
        <v>10</v>
      </c>
      <c r="D7" s="25">
        <f>+C7</f>
        <v>10</v>
      </c>
    </row>
    <row r="8" spans="1:6" ht="15.75" x14ac:dyDescent="0.25">
      <c r="A8" s="18" t="s">
        <v>27</v>
      </c>
      <c r="B8" s="19" t="s">
        <v>3</v>
      </c>
      <c r="C8" s="23">
        <v>10</v>
      </c>
      <c r="D8" s="17">
        <f>+C8</f>
        <v>10</v>
      </c>
    </row>
    <row r="9" spans="1:6" ht="15.75" x14ac:dyDescent="0.25">
      <c r="A9" s="20" t="s">
        <v>6</v>
      </c>
      <c r="B9" s="21" t="s">
        <v>32</v>
      </c>
      <c r="C9" s="24">
        <v>0</v>
      </c>
      <c r="D9" s="25">
        <f>+C9</f>
        <v>0</v>
      </c>
      <c r="E9" s="2"/>
    </row>
    <row r="10" spans="1:6" ht="15.75" x14ac:dyDescent="0.25">
      <c r="A10" s="18" t="s">
        <v>21</v>
      </c>
      <c r="B10" s="19" t="s">
        <v>10</v>
      </c>
      <c r="C10" s="17">
        <f>MAX(C3-C4-C5,0)</f>
        <v>7260</v>
      </c>
      <c r="D10" s="17">
        <f>MAX(D3-D4-D5,0)</f>
        <v>7236</v>
      </c>
    </row>
    <row r="11" spans="1:6" ht="15.75" x14ac:dyDescent="0.25">
      <c r="A11" s="20" t="s">
        <v>20</v>
      </c>
      <c r="B11" s="21" t="s">
        <v>8</v>
      </c>
      <c r="C11" s="25">
        <f>+C4+C10</f>
        <v>8260</v>
      </c>
      <c r="D11" s="25">
        <f>+D4+D10</f>
        <v>8236</v>
      </c>
    </row>
    <row r="12" spans="1:6" ht="15.75" x14ac:dyDescent="0.25">
      <c r="A12" s="18"/>
      <c r="B12" s="19"/>
      <c r="C12" s="17"/>
      <c r="D12" s="17"/>
    </row>
    <row r="13" spans="1:6" ht="15.75" x14ac:dyDescent="0.25">
      <c r="A13" s="26" t="s">
        <v>22</v>
      </c>
      <c r="B13" s="21"/>
      <c r="C13" s="25"/>
      <c r="D13" s="25"/>
      <c r="E13" s="2"/>
    </row>
    <row r="14" spans="1:6" ht="15.75" x14ac:dyDescent="0.25">
      <c r="A14" s="18" t="s">
        <v>24</v>
      </c>
      <c r="B14" s="19" t="s">
        <v>23</v>
      </c>
      <c r="C14" s="17">
        <f>C5/C6</f>
        <v>500</v>
      </c>
      <c r="D14" s="17">
        <f>D5/D6</f>
        <v>524</v>
      </c>
    </row>
    <row r="15" spans="1:6" ht="15.75" x14ac:dyDescent="0.25">
      <c r="A15" s="20" t="s">
        <v>29</v>
      </c>
      <c r="B15" s="21" t="s">
        <v>28</v>
      </c>
      <c r="C15" s="25">
        <f>IF(C4=0,1,C4/C7)</f>
        <v>100</v>
      </c>
      <c r="D15" s="25">
        <f>IF(D4=0,1,D4/D7)</f>
        <v>100</v>
      </c>
    </row>
    <row r="16" spans="1:6" ht="15.75" x14ac:dyDescent="0.25">
      <c r="A16" s="18" t="s">
        <v>30</v>
      </c>
      <c r="B16" s="19" t="s">
        <v>31</v>
      </c>
      <c r="C16" s="17">
        <f>C10/C8</f>
        <v>726</v>
      </c>
      <c r="D16" s="17">
        <f>D10/D8</f>
        <v>723.6</v>
      </c>
    </row>
    <row r="17" spans="1:8" ht="15.75" x14ac:dyDescent="0.25">
      <c r="A17" s="20" t="s">
        <v>44</v>
      </c>
      <c r="B17" s="21" t="s">
        <v>4</v>
      </c>
      <c r="C17" s="30">
        <f>IFERROR((1/C14+1/C15)/(1/C14+1/C15+1/C16),0)</f>
        <v>0.89703459637561778</v>
      </c>
      <c r="D17" s="30">
        <f>IFERROR((1/D14+1/D15)/(1/D14+1/D15+1/D16),0)</f>
        <v>0.89601656114861217</v>
      </c>
    </row>
    <row r="18" spans="1:8" ht="15.75" x14ac:dyDescent="0.25">
      <c r="A18" s="18" t="s">
        <v>45</v>
      </c>
      <c r="B18" s="19" t="s">
        <v>5</v>
      </c>
      <c r="C18" s="31">
        <f>C10/C11</f>
        <v>0.87893462469733652</v>
      </c>
      <c r="D18" s="31">
        <f>D10/D11</f>
        <v>0.87858183584264204</v>
      </c>
    </row>
    <row r="19" spans="1:8" ht="15.75" x14ac:dyDescent="0.25">
      <c r="A19" s="20"/>
      <c r="B19" s="21"/>
      <c r="C19" s="25"/>
      <c r="D19" s="25"/>
    </row>
    <row r="20" spans="1:8" ht="15.75" x14ac:dyDescent="0.25">
      <c r="A20" s="27" t="s">
        <v>49</v>
      </c>
      <c r="B20" s="19"/>
      <c r="C20" s="17"/>
      <c r="D20" s="17"/>
    </row>
    <row r="21" spans="1:8" ht="15.75" x14ac:dyDescent="0.25">
      <c r="A21" s="20" t="s">
        <v>33</v>
      </c>
      <c r="B21" s="21" t="s">
        <v>7</v>
      </c>
      <c r="C21" s="28">
        <f>(C17*C5+C18*C9)/(C10+C17*C5)</f>
        <v>5.818463925523662E-2</v>
      </c>
      <c r="D21" s="28">
        <f>(D17*D5+D18*D9)/(D10+D17*D5)</f>
        <v>6.0932049256089922E-2</v>
      </c>
      <c r="E21" s="8">
        <f>+D21-C21</f>
        <v>2.7474100008533023E-3</v>
      </c>
    </row>
    <row r="22" spans="1:8" ht="15.75" x14ac:dyDescent="0.25">
      <c r="A22" s="18" t="s">
        <v>43</v>
      </c>
      <c r="B22" s="19" t="s">
        <v>36</v>
      </c>
      <c r="C22" s="29">
        <f>C2*(1-C21)</f>
        <v>94.181536074476341</v>
      </c>
      <c r="D22" s="29">
        <f>D2*(1-D21)</f>
        <v>93.906795074390999</v>
      </c>
      <c r="E22" s="13">
        <f>+D22-C22</f>
        <v>-0.27474100008534208</v>
      </c>
      <c r="F22" s="2"/>
    </row>
    <row r="23" spans="1:8" x14ac:dyDescent="0.25">
      <c r="B23" s="2" t="s">
        <v>12</v>
      </c>
      <c r="C23" s="14">
        <f>+C4+C10+C5-C3</f>
        <v>0</v>
      </c>
      <c r="D23" s="14">
        <f>+D4+D10+D5-D3</f>
        <v>0</v>
      </c>
    </row>
    <row r="26" spans="1:8" x14ac:dyDescent="0.25">
      <c r="B26" t="s">
        <v>13</v>
      </c>
      <c r="E26" t="s">
        <v>15</v>
      </c>
    </row>
    <row r="27" spans="1:8" x14ac:dyDescent="0.25">
      <c r="B27" t="s">
        <v>40</v>
      </c>
      <c r="C27" s="9">
        <f>C22-D22</f>
        <v>0.27474100008534208</v>
      </c>
      <c r="E27" t="s">
        <v>41</v>
      </c>
      <c r="F27">
        <f>+C2</f>
        <v>100</v>
      </c>
    </row>
    <row r="28" spans="1:8" x14ac:dyDescent="0.25">
      <c r="B28" t="s">
        <v>39</v>
      </c>
      <c r="C28" s="10">
        <v>50</v>
      </c>
      <c r="E28" t="s">
        <v>42</v>
      </c>
      <c r="F28" s="3">
        <f>+(D5-C5)/24</f>
        <v>1</v>
      </c>
    </row>
    <row r="29" spans="1:8" x14ac:dyDescent="0.25">
      <c r="B29" t="s">
        <v>14</v>
      </c>
      <c r="C29" s="7">
        <v>365</v>
      </c>
      <c r="E29" t="s">
        <v>39</v>
      </c>
      <c r="F29" s="4">
        <f>+C28</f>
        <v>50</v>
      </c>
    </row>
    <row r="30" spans="1:8" x14ac:dyDescent="0.25">
      <c r="B30" t="s">
        <v>46</v>
      </c>
      <c r="C30" s="11">
        <f>C27*C28*C29</f>
        <v>5014.0232515574926</v>
      </c>
      <c r="E30" t="s">
        <v>46</v>
      </c>
      <c r="F30" s="4">
        <f>+F27*F28*F29</f>
        <v>5000</v>
      </c>
      <c r="H30" s="3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DEF1FE2251C4D88A91A2B40398D99" ma:contentTypeVersion="40" ma:contentTypeDescription="Create a new document." ma:contentTypeScope="" ma:versionID="9b7cea461ba7dde5087c17b88b262032">
  <xsd:schema xmlns:xsd="http://www.w3.org/2001/XMLSchema" xmlns:xs="http://www.w3.org/2001/XMLSchema" xmlns:p="http://schemas.microsoft.com/office/2006/metadata/properties" xmlns:ns2="6afa1ab1-c51d-411d-a97a-ff65c9e22441" targetNamespace="http://schemas.microsoft.com/office/2006/metadata/properties" ma:root="true" ma:fieldsID="5896b7d520348192023daf0bc572a353" ns2:_="">
    <xsd:import namespace="6afa1ab1-c51d-411d-a97a-ff65c9e22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a1ab1-c51d-411d-a97a-ff65c9e22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D35D2-5DCA-467E-A12C-108E3CE17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856670-C119-4DF6-B004-04E667ECA18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DCFAE9B-815F-4833-8773-8A233DEB8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a1ab1-c51d-411d-a97a-ff65c9e22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C24C61-F859-4CD8-BE27-1544E82FC9A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afa1ab1-c51d-411d-a97a-ff65c9e224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Monitoring Analytics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Luna</dc:creator>
  <cp:lastModifiedBy>Joel Luna</cp:lastModifiedBy>
  <dcterms:created xsi:type="dcterms:W3CDTF">2022-06-09T13:33:42Z</dcterms:created>
  <dcterms:modified xsi:type="dcterms:W3CDTF">2023-10-17T20:20:58Z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0x010100360DEF1FE2251C4D88A91A2B40398D99</vt:lpwstr>
  </property>
  <property fmtid="{D5CDD505-2E9C-101B-9397-08002B2CF9AE}" pid="3" name="_dlc_DocId">
    <vt:lpwstr>MUPMUYPVAE2Q-900932003-172779</vt:lpwstr>
  </property>
  <property fmtid="{D5CDD505-2E9C-101B-9397-08002B2CF9AE}" pid="4" name="_dlc_DocIdUrl">
    <vt:lpwstr>http://portal.ma.corp/Docs/_layouts/15/DocIdRedir.aspx?ID=MUPMUYPVAE2Q-900932003-172779, MUPMUYPVAE2Q-900932003-172779</vt:lpwstr>
  </property>
  <property fmtid="{D5CDD505-2E9C-101B-9397-08002B2CF9AE}" pid="5" name="_dlc_DocIdItemGuid">
    <vt:lpwstr>168c89cc-4b71-4272-b40b-d55c78a1515c</vt:lpwstr>
  </property>
</Properties>
</file>