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135" windowWidth="14940" windowHeight="8970"/>
  </bookViews>
  <sheets>
    <sheet name="PJM Buy Bids-Sell Offers" sheetId="25" r:id="rId1"/>
    <sheet name="3rd IA Configuration" sheetId="16" r:id="rId2"/>
    <sheet name="3rd IA Parameters" sheetId="24" r:id="rId3"/>
    <sheet name="2nd IA Parameters" sheetId="21" r:id="rId4"/>
    <sheet name="1st IA Parameters" sheetId="15" r:id="rId5"/>
    <sheet name="BRA Parameters" sheetId="1" r:id="rId6"/>
    <sheet name="Updated DR Rel Targets" sheetId="4" r:id="rId7"/>
    <sheet name="Credit Rate" sheetId="20" r:id="rId8"/>
    <sheet name="Cap Import Limits" sheetId="5" r:id="rId9"/>
  </sheets>
  <definedNames>
    <definedName name="_xlnm.Print_Area" localSheetId="4">'1st IA Parameters'!$A$1:$N$30</definedName>
    <definedName name="_xlnm.Print_Area" localSheetId="3">'2nd IA Parameters'!$A$1:$N$32</definedName>
    <definedName name="_xlnm.Print_Area" localSheetId="1">'3rd IA Configuration'!$A$1:$N$17</definedName>
    <definedName name="_xlnm.Print_Area" localSheetId="2">'3rd IA Parameters'!$A$1:$N$39</definedName>
    <definedName name="_xlnm.Print_Area" localSheetId="5">'BRA Parameters'!$A$1:$N$81</definedName>
    <definedName name="_xlnm.Print_Area" localSheetId="8">'Cap Import Limits'!$A$1:$G$14</definedName>
    <definedName name="_xlnm.Print_Area" localSheetId="7">'Credit Rate'!$A$1:$N$14</definedName>
    <definedName name="_xlnm.Print_Area" localSheetId="0">'PJM Buy Bids-Sell Offers'!$A$1:$M$25</definedName>
    <definedName name="_xlnm.Print_Area" localSheetId="6">'Updated DR Rel Targets'!$A$1:$N$29</definedName>
  </definedNames>
  <calcPr calcId="145621"/>
</workbook>
</file>

<file path=xl/calcChain.xml><?xml version="1.0" encoding="utf-8"?>
<calcChain xmlns="http://schemas.openxmlformats.org/spreadsheetml/2006/main">
  <c r="N28" i="20" l="1"/>
  <c r="N31" i="20" l="1"/>
  <c r="M31" i="20"/>
  <c r="L31" i="20"/>
  <c r="K31" i="20"/>
  <c r="J31" i="20"/>
  <c r="I31" i="20"/>
  <c r="H31" i="20"/>
  <c r="G31" i="20"/>
  <c r="F31" i="20"/>
  <c r="E31" i="20"/>
  <c r="D31" i="20"/>
  <c r="C31" i="20"/>
  <c r="B31" i="20"/>
  <c r="M28" i="20"/>
  <c r="L28" i="20"/>
  <c r="K28" i="20"/>
  <c r="J28" i="20"/>
  <c r="I28" i="20"/>
  <c r="H28" i="20"/>
  <c r="G28" i="20"/>
  <c r="F28" i="20"/>
  <c r="E28" i="20"/>
  <c r="D28" i="20"/>
  <c r="C28" i="20"/>
  <c r="B28" i="20"/>
  <c r="N25" i="20"/>
  <c r="M25" i="20"/>
  <c r="L25" i="20"/>
  <c r="K25" i="20"/>
  <c r="J25" i="20"/>
  <c r="I25" i="20"/>
  <c r="H25" i="20"/>
  <c r="G25" i="20"/>
  <c r="F25" i="20"/>
  <c r="E25" i="20"/>
  <c r="D25" i="20"/>
  <c r="C25" i="20"/>
  <c r="B25" i="20"/>
  <c r="B12" i="4" l="1"/>
  <c r="K24" i="25" l="1"/>
  <c r="J24" i="25"/>
  <c r="I24" i="25"/>
  <c r="G24" i="25"/>
  <c r="E24" i="25"/>
  <c r="B23" i="24" l="1"/>
  <c r="L35" i="24" l="1"/>
  <c r="N23" i="24" l="1"/>
  <c r="N24" i="24" s="1"/>
  <c r="M23" i="24"/>
  <c r="M24" i="24" s="1"/>
  <c r="L23" i="24"/>
  <c r="L24" i="24" s="1"/>
  <c r="K23" i="24"/>
  <c r="K24" i="24" s="1"/>
  <c r="J23" i="24"/>
  <c r="J24" i="24" s="1"/>
  <c r="I23" i="24"/>
  <c r="I24" i="24" s="1"/>
  <c r="H23" i="24"/>
  <c r="H24" i="24" s="1"/>
  <c r="G23" i="24"/>
  <c r="G24" i="24" s="1"/>
  <c r="F23" i="24"/>
  <c r="F24" i="24" s="1"/>
  <c r="E23" i="24"/>
  <c r="E24" i="24" s="1"/>
  <c r="D23" i="24"/>
  <c r="D24" i="24" s="1"/>
  <c r="C23" i="24"/>
  <c r="C24" i="24" s="1"/>
  <c r="B12" i="25" l="1"/>
  <c r="B29" i="24" l="1"/>
  <c r="B28" i="24"/>
  <c r="B27" i="24"/>
  <c r="N32" i="24" l="1"/>
  <c r="M32" i="24"/>
  <c r="L32" i="24"/>
  <c r="K32" i="24"/>
  <c r="J32" i="24"/>
  <c r="I32" i="24"/>
  <c r="H32" i="24"/>
  <c r="G32" i="24"/>
  <c r="F32" i="24"/>
  <c r="E32" i="24"/>
  <c r="D32" i="24"/>
  <c r="C32" i="24"/>
  <c r="N31" i="24"/>
  <c r="M31" i="24"/>
  <c r="L31" i="24"/>
  <c r="K31" i="24"/>
  <c r="J31" i="24"/>
  <c r="I31" i="24"/>
  <c r="H31" i="24"/>
  <c r="G31" i="24"/>
  <c r="F31" i="24"/>
  <c r="E31" i="24"/>
  <c r="D31" i="24"/>
  <c r="C31" i="24"/>
  <c r="N30" i="24"/>
  <c r="M30" i="24"/>
  <c r="L30" i="24"/>
  <c r="K30" i="24"/>
  <c r="J30" i="24"/>
  <c r="I30" i="24"/>
  <c r="H30" i="24"/>
  <c r="G30" i="24"/>
  <c r="F30" i="24"/>
  <c r="E30" i="24"/>
  <c r="D30" i="24"/>
  <c r="C30" i="24"/>
  <c r="N6" i="16"/>
  <c r="M6" i="16"/>
  <c r="L6" i="16"/>
  <c r="K6" i="16"/>
  <c r="J6" i="16"/>
  <c r="I6" i="16"/>
  <c r="H6" i="16"/>
  <c r="G6" i="16"/>
  <c r="F6" i="16"/>
  <c r="E6" i="16"/>
  <c r="D6" i="16"/>
  <c r="C6" i="16"/>
  <c r="B27" i="4" l="1"/>
  <c r="B28" i="4" s="1"/>
  <c r="B3" i="4" l="1"/>
  <c r="B2" i="4"/>
  <c r="B25" i="24"/>
  <c r="B5" i="20" s="1"/>
  <c r="B8" i="20" l="1"/>
  <c r="B22" i="20"/>
  <c r="L18" i="21"/>
  <c r="L18" i="24"/>
  <c r="B17" i="24"/>
  <c r="B15" i="24"/>
  <c r="B18" i="24" l="1"/>
  <c r="B24" i="24" s="1"/>
  <c r="B5" i="4"/>
  <c r="B6" i="4"/>
  <c r="B6" i="16" l="1"/>
  <c r="B32" i="24"/>
  <c r="B30" i="24"/>
  <c r="B31" i="24"/>
  <c r="N13" i="16" l="1"/>
  <c r="M13" i="16"/>
  <c r="L13" i="16"/>
  <c r="K13" i="16"/>
  <c r="J13" i="16"/>
  <c r="I13" i="16"/>
  <c r="H13" i="16"/>
  <c r="G13" i="16"/>
  <c r="F13" i="16"/>
  <c r="E13" i="16"/>
  <c r="D13" i="16"/>
  <c r="C13" i="16"/>
  <c r="C25" i="24" l="1"/>
  <c r="N8" i="16" l="1"/>
  <c r="M8" i="16"/>
  <c r="L8" i="16"/>
  <c r="K8" i="16"/>
  <c r="J8" i="16"/>
  <c r="I8" i="16"/>
  <c r="H8" i="16"/>
  <c r="G8" i="16"/>
  <c r="F8" i="16"/>
  <c r="E8" i="16"/>
  <c r="D8" i="16"/>
  <c r="C8" i="16"/>
  <c r="B8" i="16"/>
  <c r="N5" i="16"/>
  <c r="M5" i="16"/>
  <c r="L5" i="16"/>
  <c r="K5" i="16"/>
  <c r="J5" i="16"/>
  <c r="I5" i="16"/>
  <c r="H5" i="16"/>
  <c r="G5" i="16"/>
  <c r="F5" i="16"/>
  <c r="E5" i="16"/>
  <c r="D5" i="16"/>
  <c r="C5" i="16"/>
  <c r="B5" i="16"/>
  <c r="B7" i="16" s="1"/>
  <c r="B11" i="16" s="1"/>
  <c r="B12" i="16" s="1"/>
  <c r="N25" i="24"/>
  <c r="N28" i="24" s="1"/>
  <c r="M25" i="24"/>
  <c r="M29" i="24" s="1"/>
  <c r="L25" i="24"/>
  <c r="L27" i="24" s="1"/>
  <c r="K25" i="24"/>
  <c r="K29" i="24" s="1"/>
  <c r="J25" i="24"/>
  <c r="J28" i="24" s="1"/>
  <c r="I25" i="24"/>
  <c r="I29" i="24" s="1"/>
  <c r="H25" i="24"/>
  <c r="H29" i="24" s="1"/>
  <c r="G25" i="24"/>
  <c r="G27" i="24" s="1"/>
  <c r="F25" i="24"/>
  <c r="F29" i="24" s="1"/>
  <c r="E25" i="24"/>
  <c r="E29" i="24" s="1"/>
  <c r="D25" i="24"/>
  <c r="D10" i="24" s="1"/>
  <c r="C29" i="24"/>
  <c r="N19" i="24"/>
  <c r="N9" i="4" s="1"/>
  <c r="M19" i="24"/>
  <c r="M9" i="4" s="1"/>
  <c r="L19" i="24"/>
  <c r="K19" i="24"/>
  <c r="K9" i="4" s="1"/>
  <c r="J19" i="24"/>
  <c r="J9" i="4" s="1"/>
  <c r="I19" i="24"/>
  <c r="I9" i="4" s="1"/>
  <c r="H19" i="24"/>
  <c r="G19" i="24"/>
  <c r="F19" i="24"/>
  <c r="E19" i="24"/>
  <c r="D19" i="24"/>
  <c r="C19" i="24"/>
  <c r="C9" i="4" s="1"/>
  <c r="B19" i="24"/>
  <c r="H33" i="24"/>
  <c r="N29" i="24"/>
  <c r="N17" i="24"/>
  <c r="N18" i="24" s="1"/>
  <c r="M17" i="24"/>
  <c r="M18" i="24" s="1"/>
  <c r="L17" i="24"/>
  <c r="K17" i="24"/>
  <c r="K18" i="24" s="1"/>
  <c r="J17" i="24"/>
  <c r="J18" i="24" s="1"/>
  <c r="I17" i="24"/>
  <c r="I18" i="24" s="1"/>
  <c r="H17" i="24"/>
  <c r="H18" i="24" s="1"/>
  <c r="G17" i="24"/>
  <c r="G18" i="24" s="1"/>
  <c r="F17" i="24"/>
  <c r="F18" i="24" s="1"/>
  <c r="E17" i="24"/>
  <c r="E18" i="24" s="1"/>
  <c r="D17" i="24"/>
  <c r="D18" i="24" s="1"/>
  <c r="C17" i="24"/>
  <c r="C18" i="24" s="1"/>
  <c r="B8" i="5"/>
  <c r="B7" i="5"/>
  <c r="B6" i="5"/>
  <c r="N29" i="21"/>
  <c r="C29" i="21"/>
  <c r="B29" i="21"/>
  <c r="N21" i="21"/>
  <c r="L32" i="21"/>
  <c r="B24" i="21"/>
  <c r="G27" i="4"/>
  <c r="C27" i="4"/>
  <c r="E27" i="4"/>
  <c r="E28" i="4" s="1"/>
  <c r="B22" i="21"/>
  <c r="B11" i="20"/>
  <c r="L21" i="21"/>
  <c r="L17" i="21"/>
  <c r="N22" i="21"/>
  <c r="N26" i="21"/>
  <c r="M22" i="21"/>
  <c r="M26" i="21"/>
  <c r="L22" i="21"/>
  <c r="K22" i="21"/>
  <c r="K24" i="21"/>
  <c r="J22" i="21"/>
  <c r="J24" i="21"/>
  <c r="I22" i="21"/>
  <c r="I24" i="21"/>
  <c r="H22" i="21"/>
  <c r="H24" i="21"/>
  <c r="G22" i="21"/>
  <c r="F22" i="21"/>
  <c r="E22" i="21"/>
  <c r="E10" i="21"/>
  <c r="D22" i="21"/>
  <c r="D25" i="21"/>
  <c r="C22" i="21"/>
  <c r="C24" i="21"/>
  <c r="N19" i="21"/>
  <c r="M19" i="21"/>
  <c r="L19" i="21"/>
  <c r="L29" i="21"/>
  <c r="K19" i="21"/>
  <c r="J19" i="21"/>
  <c r="I19" i="21"/>
  <c r="H19" i="21"/>
  <c r="G19" i="21"/>
  <c r="F19" i="21"/>
  <c r="F9" i="21"/>
  <c r="E19" i="21"/>
  <c r="E9" i="21"/>
  <c r="D19" i="21"/>
  <c r="D9" i="21"/>
  <c r="C19" i="21"/>
  <c r="B19" i="21"/>
  <c r="H30" i="21"/>
  <c r="N17" i="21"/>
  <c r="N18" i="21"/>
  <c r="M17" i="21"/>
  <c r="M18" i="21"/>
  <c r="K17" i="21"/>
  <c r="K18" i="21"/>
  <c r="J17" i="21"/>
  <c r="J18" i="21"/>
  <c r="I17" i="21"/>
  <c r="I18" i="21"/>
  <c r="H17" i="21"/>
  <c r="H18" i="21"/>
  <c r="H21" i="21"/>
  <c r="G17" i="21"/>
  <c r="G18" i="21"/>
  <c r="F17" i="21"/>
  <c r="F18" i="21"/>
  <c r="F21" i="21"/>
  <c r="E17" i="21"/>
  <c r="E18" i="21"/>
  <c r="D17" i="21"/>
  <c r="D18" i="21"/>
  <c r="C17" i="21"/>
  <c r="C18" i="21"/>
  <c r="B17" i="21"/>
  <c r="B15" i="21"/>
  <c r="N20" i="15"/>
  <c r="M20" i="15"/>
  <c r="M23" i="15"/>
  <c r="L20" i="15"/>
  <c r="L22" i="15"/>
  <c r="K20" i="15"/>
  <c r="J20" i="15"/>
  <c r="I20" i="15"/>
  <c r="I22" i="15"/>
  <c r="H20" i="15"/>
  <c r="H22" i="15"/>
  <c r="G20" i="15"/>
  <c r="F20" i="15"/>
  <c r="E20" i="15"/>
  <c r="E22" i="15"/>
  <c r="D20" i="15"/>
  <c r="D24" i="15"/>
  <c r="C20" i="15"/>
  <c r="B20" i="15"/>
  <c r="N27" i="4"/>
  <c r="M27" i="4"/>
  <c r="J27" i="4"/>
  <c r="F27" i="4"/>
  <c r="L7" i="4"/>
  <c r="L12" i="4" s="1"/>
  <c r="L30" i="15"/>
  <c r="B27" i="15"/>
  <c r="B26" i="15"/>
  <c r="B25" i="15"/>
  <c r="L18" i="15"/>
  <c r="E5" i="5"/>
  <c r="E9" i="5" s="1"/>
  <c r="F5" i="5"/>
  <c r="F9" i="5" s="1"/>
  <c r="G5" i="5"/>
  <c r="G9" i="5" s="1"/>
  <c r="D5" i="5"/>
  <c r="D9" i="5" s="1"/>
  <c r="C5" i="5"/>
  <c r="C9" i="5" s="1"/>
  <c r="L33" i="1"/>
  <c r="L26" i="15"/>
  <c r="M18" i="15"/>
  <c r="M26" i="15"/>
  <c r="L17" i="15"/>
  <c r="K22" i="15"/>
  <c r="B19" i="15"/>
  <c r="B18" i="15"/>
  <c r="B17" i="15"/>
  <c r="B15" i="15"/>
  <c r="I17" i="15"/>
  <c r="I18" i="15"/>
  <c r="I27" i="15"/>
  <c r="E17" i="15"/>
  <c r="E18" i="15"/>
  <c r="C17" i="15"/>
  <c r="C18" i="15"/>
  <c r="N24" i="15"/>
  <c r="N22" i="15"/>
  <c r="K23" i="15"/>
  <c r="J24" i="15"/>
  <c r="I23" i="15"/>
  <c r="H23" i="15"/>
  <c r="G22" i="15"/>
  <c r="G24" i="15"/>
  <c r="F22" i="15"/>
  <c r="E23" i="15"/>
  <c r="C24" i="15"/>
  <c r="D24" i="1"/>
  <c r="E23" i="1"/>
  <c r="H23" i="1"/>
  <c r="I23" i="1"/>
  <c r="L24" i="1"/>
  <c r="M23" i="1"/>
  <c r="H24" i="1"/>
  <c r="N19" i="15"/>
  <c r="M19" i="15"/>
  <c r="L19" i="15"/>
  <c r="L27" i="15"/>
  <c r="K19" i="15"/>
  <c r="J19" i="15"/>
  <c r="I19" i="15"/>
  <c r="H19" i="15"/>
  <c r="H9" i="15"/>
  <c r="G19" i="15"/>
  <c r="F19" i="15"/>
  <c r="F9" i="15"/>
  <c r="E19" i="15"/>
  <c r="D19" i="15"/>
  <c r="D9" i="15"/>
  <c r="C19" i="15"/>
  <c r="H28" i="15"/>
  <c r="N17" i="15"/>
  <c r="N18" i="15"/>
  <c r="M17" i="15"/>
  <c r="K17" i="15"/>
  <c r="K18" i="15"/>
  <c r="K26" i="15"/>
  <c r="J17" i="15"/>
  <c r="J18" i="15"/>
  <c r="J25" i="15"/>
  <c r="H17" i="15"/>
  <c r="H18" i="15"/>
  <c r="H26" i="15"/>
  <c r="G17" i="15"/>
  <c r="G18" i="15"/>
  <c r="G25" i="15"/>
  <c r="F17" i="15"/>
  <c r="F18" i="15"/>
  <c r="F25" i="15"/>
  <c r="D17" i="15"/>
  <c r="D18" i="15"/>
  <c r="D27" i="15"/>
  <c r="D26" i="15"/>
  <c r="H14" i="1"/>
  <c r="H28" i="1"/>
  <c r="L18" i="1"/>
  <c r="N33" i="1"/>
  <c r="M33" i="1"/>
  <c r="K33" i="1"/>
  <c r="J33" i="1"/>
  <c r="I33" i="1"/>
  <c r="H33" i="1"/>
  <c r="G33" i="1"/>
  <c r="F33" i="1"/>
  <c r="E33" i="1"/>
  <c r="D33" i="1"/>
  <c r="C33" i="1"/>
  <c r="H10" i="1"/>
  <c r="G10" i="1"/>
  <c r="F10" i="1"/>
  <c r="D10" i="1"/>
  <c r="H9" i="1"/>
  <c r="G9" i="1"/>
  <c r="F9" i="1"/>
  <c r="E9" i="1"/>
  <c r="D9" i="1"/>
  <c r="H38" i="1"/>
  <c r="H51" i="1"/>
  <c r="H50" i="1"/>
  <c r="B18" i="1"/>
  <c r="B16" i="1"/>
  <c r="N16" i="1"/>
  <c r="M16" i="1"/>
  <c r="M6" i="4"/>
  <c r="M7" i="4" s="1"/>
  <c r="M12" i="4" s="1"/>
  <c r="M13" i="4" s="1"/>
  <c r="L16" i="1"/>
  <c r="L17" i="1"/>
  <c r="K16" i="1"/>
  <c r="K6" i="4"/>
  <c r="K7" i="4" s="1"/>
  <c r="K12" i="4" s="1"/>
  <c r="J16" i="1"/>
  <c r="J6" i="4"/>
  <c r="J7" i="4"/>
  <c r="J12" i="4" s="1"/>
  <c r="J13" i="4" s="1"/>
  <c r="I16" i="1"/>
  <c r="D16" i="1"/>
  <c r="C16" i="1"/>
  <c r="B15" i="1"/>
  <c r="I65" i="1"/>
  <c r="I37" i="1"/>
  <c r="B10" i="1"/>
  <c r="F20" i="4"/>
  <c r="F19" i="4"/>
  <c r="F65" i="1"/>
  <c r="F62" i="1"/>
  <c r="F61" i="1"/>
  <c r="D57" i="1"/>
  <c r="N20" i="4"/>
  <c r="N19" i="4"/>
  <c r="N6" i="4"/>
  <c r="N7" i="4" s="1"/>
  <c r="N14" i="1"/>
  <c r="N13" i="1"/>
  <c r="N17" i="1"/>
  <c r="N18" i="1"/>
  <c r="F59" i="1"/>
  <c r="F50" i="1"/>
  <c r="J50" i="1"/>
  <c r="M20" i="4"/>
  <c r="L20" i="4"/>
  <c r="M19" i="4"/>
  <c r="L19" i="4"/>
  <c r="G51" i="1"/>
  <c r="D44" i="1"/>
  <c r="D43" i="1"/>
  <c r="D41" i="1"/>
  <c r="M14" i="1"/>
  <c r="L14" i="1"/>
  <c r="M13" i="1"/>
  <c r="L13" i="1"/>
  <c r="M17" i="1"/>
  <c r="M18" i="1"/>
  <c r="K20" i="4"/>
  <c r="J20" i="4"/>
  <c r="I20" i="4"/>
  <c r="H20" i="4"/>
  <c r="G20" i="4"/>
  <c r="E20" i="4"/>
  <c r="D20" i="4"/>
  <c r="C20" i="4"/>
  <c r="B20" i="4"/>
  <c r="K19" i="4"/>
  <c r="J19" i="4"/>
  <c r="I19" i="4"/>
  <c r="H19" i="4"/>
  <c r="G19" i="4"/>
  <c r="E19" i="4"/>
  <c r="D19" i="4"/>
  <c r="C19" i="4"/>
  <c r="B19" i="4"/>
  <c r="F57" i="1"/>
  <c r="E57" i="1"/>
  <c r="G57" i="1"/>
  <c r="E37" i="1"/>
  <c r="G46" i="1"/>
  <c r="K14" i="1"/>
  <c r="D42" i="1"/>
  <c r="K13" i="1"/>
  <c r="J51" i="1"/>
  <c r="F42" i="1"/>
  <c r="J39" i="1"/>
  <c r="D64" i="1"/>
  <c r="D62" i="1"/>
  <c r="D50" i="1"/>
  <c r="J14" i="1"/>
  <c r="J13" i="1"/>
  <c r="I63" i="1"/>
  <c r="I62" i="1"/>
  <c r="E16" i="1"/>
  <c r="E6" i="4"/>
  <c r="E7" i="4" s="1"/>
  <c r="I61" i="1"/>
  <c r="I64" i="1"/>
  <c r="J38" i="1"/>
  <c r="G60" i="1"/>
  <c r="G58" i="1"/>
  <c r="G56" i="1"/>
  <c r="G55" i="1"/>
  <c r="G54" i="1"/>
  <c r="G53" i="1"/>
  <c r="G52" i="1"/>
  <c r="G49" i="1"/>
  <c r="G48" i="1"/>
  <c r="G47" i="1"/>
  <c r="G45" i="1"/>
  <c r="G44" i="1"/>
  <c r="G43" i="1"/>
  <c r="G41" i="1"/>
  <c r="G40" i="1"/>
  <c r="G39" i="1"/>
  <c r="G38" i="1"/>
  <c r="I17" i="1"/>
  <c r="I18" i="1"/>
  <c r="H16" i="1"/>
  <c r="H6" i="4"/>
  <c r="H7" i="4" s="1"/>
  <c r="H12" i="4" s="1"/>
  <c r="G16" i="1"/>
  <c r="G17" i="1"/>
  <c r="G18" i="1"/>
  <c r="G6" i="4"/>
  <c r="G7" i="4" s="1"/>
  <c r="G12" i="4" s="1"/>
  <c r="F16" i="1"/>
  <c r="F17" i="1"/>
  <c r="F18" i="1"/>
  <c r="D17" i="1"/>
  <c r="D18" i="1"/>
  <c r="J60" i="1"/>
  <c r="J58" i="1"/>
  <c r="J56" i="1"/>
  <c r="J55" i="1"/>
  <c r="J54" i="1"/>
  <c r="J53" i="1"/>
  <c r="J52" i="1"/>
  <c r="J49" i="1"/>
  <c r="J48" i="1"/>
  <c r="J47" i="1"/>
  <c r="J45" i="1"/>
  <c r="J44" i="1"/>
  <c r="J43" i="1"/>
  <c r="J41" i="1"/>
  <c r="J40" i="1"/>
  <c r="D61" i="1"/>
  <c r="D59" i="1"/>
  <c r="D58" i="1"/>
  <c r="D56" i="1"/>
  <c r="I14" i="1"/>
  <c r="G13" i="1"/>
  <c r="H13" i="1"/>
  <c r="I13" i="1"/>
  <c r="G14" i="1"/>
  <c r="F14" i="1"/>
  <c r="F13" i="1"/>
  <c r="E14" i="1"/>
  <c r="E13" i="1"/>
  <c r="D14" i="1"/>
  <c r="D13" i="1"/>
  <c r="C13" i="1"/>
  <c r="C14" i="1"/>
  <c r="J46" i="1"/>
  <c r="F37" i="1"/>
  <c r="B8" i="1"/>
  <c r="I6" i="4"/>
  <c r="I7" i="4" s="1"/>
  <c r="I12" i="4" s="1"/>
  <c r="J59" i="1"/>
  <c r="J57" i="1"/>
  <c r="F6" i="4"/>
  <c r="F7" i="4" s="1"/>
  <c r="F12" i="4" s="1"/>
  <c r="H17" i="1"/>
  <c r="H18" i="1"/>
  <c r="N24" i="1"/>
  <c r="K24" i="1"/>
  <c r="C6" i="4"/>
  <c r="C7" i="4" s="1"/>
  <c r="C12" i="4" s="1"/>
  <c r="C17" i="1"/>
  <c r="C18" i="1"/>
  <c r="E17" i="1"/>
  <c r="E18" i="1"/>
  <c r="J42" i="1"/>
  <c r="F63" i="1"/>
  <c r="F64" i="1"/>
  <c r="D6" i="4"/>
  <c r="D7" i="4" s="1"/>
  <c r="D12" i="4" s="1"/>
  <c r="K23" i="1"/>
  <c r="J24" i="1"/>
  <c r="J23" i="1"/>
  <c r="C24" i="1"/>
  <c r="C23" i="1"/>
  <c r="N23" i="1"/>
  <c r="B23" i="1"/>
  <c r="B24" i="1"/>
  <c r="D23" i="1"/>
  <c r="F24" i="1"/>
  <c r="F23" i="1"/>
  <c r="G24" i="1"/>
  <c r="G23" i="1"/>
  <c r="B17" i="1"/>
  <c r="K17" i="1"/>
  <c r="K18" i="1"/>
  <c r="J17" i="1"/>
  <c r="J18" i="1"/>
  <c r="J37" i="1"/>
  <c r="B19" i="1"/>
  <c r="H37" i="1"/>
  <c r="B27" i="1"/>
  <c r="B25" i="1"/>
  <c r="B26" i="1"/>
  <c r="H40" i="1"/>
  <c r="H59" i="1"/>
  <c r="G19" i="1"/>
  <c r="H57" i="1"/>
  <c r="N19" i="1"/>
  <c r="H46" i="1"/>
  <c r="H60" i="1"/>
  <c r="H54" i="1"/>
  <c r="H55" i="1"/>
  <c r="H39" i="1"/>
  <c r="H45" i="1"/>
  <c r="H43" i="1"/>
  <c r="H42" i="1"/>
  <c r="K19" i="1"/>
  <c r="H56" i="1"/>
  <c r="I19" i="1"/>
  <c r="H44" i="1"/>
  <c r="L19" i="1"/>
  <c r="H52" i="1"/>
  <c r="H49" i="1"/>
  <c r="H41" i="1"/>
  <c r="J19" i="1"/>
  <c r="H19" i="1"/>
  <c r="H53" i="1"/>
  <c r="H63" i="1"/>
  <c r="H47" i="1"/>
  <c r="H48" i="1"/>
  <c r="H58" i="1"/>
  <c r="F19" i="1"/>
  <c r="J27" i="1"/>
  <c r="J25" i="1"/>
  <c r="J26" i="1"/>
  <c r="H65" i="1"/>
  <c r="F27" i="1"/>
  <c r="F25" i="1"/>
  <c r="F26" i="1"/>
  <c r="K25" i="1"/>
  <c r="K26" i="1"/>
  <c r="K27" i="1"/>
  <c r="N25" i="1"/>
  <c r="N26" i="1"/>
  <c r="N27" i="1"/>
  <c r="H61" i="1"/>
  <c r="H25" i="1"/>
  <c r="H27" i="1"/>
  <c r="H26" i="1"/>
  <c r="L26" i="1"/>
  <c r="L25" i="1"/>
  <c r="L27" i="1"/>
  <c r="H62" i="1"/>
  <c r="E19" i="1"/>
  <c r="M19" i="1"/>
  <c r="G27" i="1"/>
  <c r="G26" i="1"/>
  <c r="G25" i="1"/>
  <c r="I25" i="1"/>
  <c r="I27" i="1"/>
  <c r="I26" i="1"/>
  <c r="M25" i="1"/>
  <c r="M27" i="1"/>
  <c r="M26" i="1"/>
  <c r="E25" i="1"/>
  <c r="E27" i="1"/>
  <c r="E26" i="1"/>
  <c r="H64" i="1"/>
  <c r="C19" i="1"/>
  <c r="D19" i="1"/>
  <c r="C27" i="1"/>
  <c r="C26" i="1"/>
  <c r="C25" i="1"/>
  <c r="D25" i="1"/>
  <c r="D27" i="1"/>
  <c r="D26" i="1"/>
  <c r="M24" i="1"/>
  <c r="E24" i="1"/>
  <c r="E10" i="1"/>
  <c r="L23" i="1"/>
  <c r="I24" i="1"/>
  <c r="J27" i="15"/>
  <c r="G9" i="15"/>
  <c r="G26" i="15"/>
  <c r="I26" i="15"/>
  <c r="L25" i="15"/>
  <c r="F27" i="15"/>
  <c r="E9" i="15"/>
  <c r="K25" i="15"/>
  <c r="K27" i="15"/>
  <c r="D25" i="15"/>
  <c r="F26" i="15"/>
  <c r="G27" i="15"/>
  <c r="F23" i="15"/>
  <c r="N26" i="15"/>
  <c r="N25" i="15"/>
  <c r="N27" i="15"/>
  <c r="E27" i="15"/>
  <c r="E26" i="15"/>
  <c r="E25" i="15"/>
  <c r="M25" i="15"/>
  <c r="M27" i="15"/>
  <c r="C25" i="15"/>
  <c r="C26" i="15"/>
  <c r="C27" i="15"/>
  <c r="H10" i="15"/>
  <c r="K24" i="15"/>
  <c r="E10" i="15"/>
  <c r="E24" i="15"/>
  <c r="N23" i="15"/>
  <c r="F24" i="15"/>
  <c r="D22" i="15"/>
  <c r="F10" i="15"/>
  <c r="B24" i="15"/>
  <c r="J22" i="15"/>
  <c r="C22" i="15"/>
  <c r="G10" i="15"/>
  <c r="G23" i="15"/>
  <c r="C23" i="15"/>
  <c r="J23" i="15"/>
  <c r="J26" i="15"/>
  <c r="I25" i="15"/>
  <c r="H25" i="15"/>
  <c r="H27" i="15"/>
  <c r="D23" i="15"/>
  <c r="L24" i="15"/>
  <c r="L23" i="15"/>
  <c r="H24" i="15"/>
  <c r="I24" i="15"/>
  <c r="M24" i="15"/>
  <c r="M22" i="15"/>
  <c r="D10" i="15"/>
  <c r="B22" i="15"/>
  <c r="B23" i="15"/>
  <c r="J25" i="21"/>
  <c r="N24" i="21"/>
  <c r="H27" i="4"/>
  <c r="H28" i="4" s="1"/>
  <c r="K27" i="4"/>
  <c r="K28" i="4" s="1"/>
  <c r="L27" i="4"/>
  <c r="D27" i="4"/>
  <c r="D28" i="4" s="1"/>
  <c r="I27" i="4"/>
  <c r="I28" i="4"/>
  <c r="C8" i="20"/>
  <c r="K8" i="20"/>
  <c r="H14" i="20"/>
  <c r="M14" i="20"/>
  <c r="J26" i="21"/>
  <c r="G10" i="21"/>
  <c r="G25" i="21"/>
  <c r="G24" i="21"/>
  <c r="G26" i="21"/>
  <c r="E24" i="21"/>
  <c r="C25" i="21"/>
  <c r="E26" i="21"/>
  <c r="N14" i="20"/>
  <c r="K14" i="20"/>
  <c r="F8" i="20"/>
  <c r="H11" i="20"/>
  <c r="C11" i="20"/>
  <c r="G14" i="20"/>
  <c r="I11" i="20"/>
  <c r="C14" i="20"/>
  <c r="K11" i="20"/>
  <c r="F14" i="20"/>
  <c r="F11" i="20"/>
  <c r="L8" i="20"/>
  <c r="M8" i="20"/>
  <c r="M25" i="21"/>
  <c r="E8" i="20"/>
  <c r="I8" i="20"/>
  <c r="I25" i="21"/>
  <c r="H9" i="21"/>
  <c r="L27" i="21"/>
  <c r="H28" i="21"/>
  <c r="L28" i="21"/>
  <c r="F27" i="21"/>
  <c r="F28" i="21"/>
  <c r="F29" i="21"/>
  <c r="E25" i="21"/>
  <c r="B7" i="4"/>
  <c r="H27" i="21"/>
  <c r="N27" i="21"/>
  <c r="N28" i="21"/>
  <c r="H29" i="21"/>
  <c r="G9" i="21"/>
  <c r="K25" i="21"/>
  <c r="H26" i="21"/>
  <c r="N25" i="21"/>
  <c r="H25" i="21"/>
  <c r="H10" i="21"/>
  <c r="N8" i="20"/>
  <c r="G8" i="20"/>
  <c r="H8" i="20"/>
  <c r="J8" i="20"/>
  <c r="J14" i="20"/>
  <c r="E14" i="20"/>
  <c r="E11" i="20"/>
  <c r="B18" i="21"/>
  <c r="B21" i="21"/>
  <c r="M24" i="21"/>
  <c r="D14" i="20"/>
  <c r="B25" i="21"/>
  <c r="B26" i="21"/>
  <c r="D21" i="21"/>
  <c r="B27" i="21"/>
  <c r="F24" i="21"/>
  <c r="F26" i="21"/>
  <c r="C26" i="21"/>
  <c r="M21" i="21"/>
  <c r="D24" i="21"/>
  <c r="D26" i="21"/>
  <c r="D10" i="21"/>
  <c r="I26" i="21"/>
  <c r="F25" i="21"/>
  <c r="K26" i="21"/>
  <c r="I21" i="21"/>
  <c r="E21" i="21"/>
  <c r="G11" i="20"/>
  <c r="L11" i="20"/>
  <c r="J11" i="20"/>
  <c r="M11" i="20"/>
  <c r="N11" i="20"/>
  <c r="D8" i="20"/>
  <c r="I14" i="20"/>
  <c r="L14" i="20"/>
  <c r="B14" i="20"/>
  <c r="D11" i="20"/>
  <c r="J21" i="21"/>
  <c r="C21" i="21"/>
  <c r="L26" i="21"/>
  <c r="L24" i="21"/>
  <c r="F10" i="21"/>
  <c r="L25" i="21"/>
  <c r="G21" i="21"/>
  <c r="K21" i="21"/>
  <c r="B28" i="21"/>
  <c r="G28" i="21"/>
  <c r="G29" i="21"/>
  <c r="G27" i="21"/>
  <c r="K28" i="21"/>
  <c r="K29" i="21"/>
  <c r="K27" i="21"/>
  <c r="E27" i="21"/>
  <c r="E28" i="21"/>
  <c r="E29" i="21"/>
  <c r="I29" i="21"/>
  <c r="I27" i="21"/>
  <c r="I28" i="21"/>
  <c r="C28" i="21"/>
  <c r="C27" i="21"/>
  <c r="J27" i="21"/>
  <c r="J29" i="21"/>
  <c r="J28" i="21"/>
  <c r="M27" i="21"/>
  <c r="M28" i="21"/>
  <c r="M29" i="21"/>
  <c r="D29" i="21"/>
  <c r="D27" i="21"/>
  <c r="D28" i="21"/>
  <c r="B9" i="5" l="1"/>
  <c r="E12" i="4"/>
  <c r="E16" i="4"/>
  <c r="C13" i="4"/>
  <c r="I13" i="4"/>
  <c r="N28" i="4"/>
  <c r="L16" i="4"/>
  <c r="M28" i="4"/>
  <c r="G28" i="4"/>
  <c r="F28" i="4"/>
  <c r="J28" i="4"/>
  <c r="L28" i="4"/>
  <c r="N12" i="4"/>
  <c r="N13" i="4" s="1"/>
  <c r="N16" i="4"/>
  <c r="N17" i="4" s="1"/>
  <c r="D9" i="24"/>
  <c r="D9" i="4"/>
  <c r="D13" i="4" s="1"/>
  <c r="H9" i="24"/>
  <c r="H9" i="4"/>
  <c r="H13" i="4" s="1"/>
  <c r="L9" i="4"/>
  <c r="L13" i="4" s="1"/>
  <c r="M16" i="4"/>
  <c r="M17" i="4" s="1"/>
  <c r="E9" i="24"/>
  <c r="E9" i="4"/>
  <c r="E13" i="4" s="1"/>
  <c r="J16" i="4"/>
  <c r="J17" i="4" s="1"/>
  <c r="I16" i="4"/>
  <c r="I17" i="4" s="1"/>
  <c r="B9" i="4"/>
  <c r="B13" i="4" s="1"/>
  <c r="F9" i="24"/>
  <c r="F9" i="4"/>
  <c r="F13" i="4" s="1"/>
  <c r="H16" i="4"/>
  <c r="F16" i="4"/>
  <c r="G9" i="24"/>
  <c r="G9" i="4"/>
  <c r="G13" i="4" s="1"/>
  <c r="K13" i="4"/>
  <c r="G16" i="4"/>
  <c r="C16" i="4"/>
  <c r="C17" i="4" s="1"/>
  <c r="K16" i="4"/>
  <c r="K17" i="4" s="1"/>
  <c r="D16" i="4"/>
  <c r="K28" i="24"/>
  <c r="B16" i="4"/>
  <c r="L28" i="24"/>
  <c r="F28" i="24"/>
  <c r="J29" i="24"/>
  <c r="L7" i="16"/>
  <c r="L11" i="16" s="1"/>
  <c r="D27" i="24"/>
  <c r="C28" i="4"/>
  <c r="C7" i="16"/>
  <c r="C11" i="16" s="1"/>
  <c r="K7" i="16"/>
  <c r="K11" i="16" s="1"/>
  <c r="K12" i="16" s="1"/>
  <c r="B15" i="25" s="1"/>
  <c r="G7" i="16"/>
  <c r="G11" i="16" s="1"/>
  <c r="H7" i="16"/>
  <c r="H11" i="16" s="1"/>
  <c r="C27" i="24"/>
  <c r="C28" i="24"/>
  <c r="D28" i="24"/>
  <c r="E10" i="24"/>
  <c r="D7" i="16"/>
  <c r="D11" i="16" s="1"/>
  <c r="F10" i="24"/>
  <c r="D29" i="24"/>
  <c r="E7" i="16"/>
  <c r="E11" i="16" s="1"/>
  <c r="I7" i="16"/>
  <c r="I11" i="16" s="1"/>
  <c r="M7" i="16"/>
  <c r="M11" i="16" s="1"/>
  <c r="F7" i="16"/>
  <c r="F11" i="16" s="1"/>
  <c r="J7" i="16"/>
  <c r="J11" i="16" s="1"/>
  <c r="N7" i="16"/>
  <c r="N11" i="16" s="1"/>
  <c r="G10" i="24"/>
  <c r="K27" i="24"/>
  <c r="H27" i="24"/>
  <c r="G28" i="24"/>
  <c r="G29" i="24"/>
  <c r="L29" i="24"/>
  <c r="H10" i="24"/>
  <c r="H28" i="24"/>
  <c r="E27" i="24"/>
  <c r="I27" i="24"/>
  <c r="M27" i="24"/>
  <c r="F27" i="24"/>
  <c r="J27" i="24"/>
  <c r="N27" i="24"/>
  <c r="E28" i="24"/>
  <c r="I28" i="24"/>
  <c r="M28" i="24"/>
  <c r="F12" i="16" l="1"/>
  <c r="G12" i="16"/>
  <c r="D24" i="25"/>
  <c r="C24" i="25"/>
  <c r="F24" i="25"/>
  <c r="C12" i="16"/>
  <c r="F15" i="25"/>
  <c r="M12" i="16"/>
  <c r="B17" i="25" s="1"/>
  <c r="J12" i="16"/>
  <c r="L12" i="16"/>
  <c r="I12" i="16"/>
  <c r="D17" i="4"/>
  <c r="G17" i="4"/>
  <c r="F17" i="4"/>
  <c r="E17" i="4"/>
  <c r="H17" i="4"/>
  <c r="B17" i="4"/>
  <c r="L17" i="4"/>
  <c r="B13" i="25" l="1"/>
  <c r="B9" i="25"/>
  <c r="F17" i="25"/>
  <c r="B16" i="25"/>
  <c r="B14" i="25"/>
  <c r="B11" i="25"/>
  <c r="F13" i="25" l="1"/>
  <c r="B8" i="25"/>
  <c r="F11" i="25"/>
  <c r="F9" i="25"/>
  <c r="F14" i="25"/>
  <c r="F16" i="25"/>
  <c r="B6" i="25"/>
  <c r="B10" i="25"/>
  <c r="B18" i="25"/>
  <c r="F6" i="25" l="1"/>
  <c r="B7" i="25"/>
  <c r="F18" i="25"/>
  <c r="F8" i="25"/>
  <c r="B19" i="25" l="1"/>
</calcChain>
</file>

<file path=xl/sharedStrings.xml><?xml version="1.0" encoding="utf-8"?>
<sst xmlns="http://schemas.openxmlformats.org/spreadsheetml/2006/main" count="848" uniqueCount="212">
  <si>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</si>
  <si>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</si>
  <si>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</si>
  <si>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</si>
  <si>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</si>
  <si>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</si>
  <si>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</si>
  <si>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</si>
  <si>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</si>
  <si>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</si>
  <si>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</si>
  <si>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</si>
  <si>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</si>
  <si>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</si>
  <si>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</si>
  <si>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</si>
  <si>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</si>
  <si>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</si>
  <si>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</si>
  <si>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</si>
  <si>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</si>
  <si>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</si>
  <si>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</si>
  <si>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</si>
  <si>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</si>
  <si>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</si>
  <si>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</si>
  <si>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</si>
  <si>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</si>
  <si>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</si>
  <si>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</si>
  <si>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</si>
  <si>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</si>
  <si>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</si>
  <si>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</si>
  <si>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</si>
  <si>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</si>
  <si>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</si>
  <si>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</si>
  <si>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</si>
  <si>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</si>
  <si>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Pre-Clearing BRA Credit Rate, $/MW</t>
  </si>
  <si>
    <t>Demand Resource (DR) Factor</t>
  </si>
  <si>
    <t>Short-Term Resource Procurement Target</t>
  </si>
  <si>
    <t>PS NORTH</t>
  </si>
  <si>
    <t>DPL SOUTH</t>
  </si>
  <si>
    <t>Preliminary FRR Obligation</t>
  </si>
  <si>
    <t>Total Peak Load of FRR Entities</t>
  </si>
  <si>
    <t>Reliability Requirement adjusted for FRR</t>
  </si>
  <si>
    <t>Net CONE, $/MW-Day (UCAP Price)</t>
  </si>
  <si>
    <t>Variable Resource Requirement Curve:</t>
  </si>
  <si>
    <t>&gt; 115%</t>
  </si>
  <si>
    <t>Participant-Funded ICTRs Awarded</t>
  </si>
  <si>
    <t>ATSI</t>
  </si>
  <si>
    <t>LOCATIONAL DELIVERABILITY AREA (LDA)</t>
  </si>
  <si>
    <t xml:space="preserve">FRR Portion of the Preliminary Peak Load Forecast       </t>
  </si>
  <si>
    <t>AEP</t>
  </si>
  <si>
    <t>Forecast Pool Requirement</t>
  </si>
  <si>
    <t>Demand Resource Factor</t>
  </si>
  <si>
    <t>PJM Region</t>
  </si>
  <si>
    <t>FRR Peak Load</t>
  </si>
  <si>
    <t>Peak Load Forecast adjusted for FRR</t>
  </si>
  <si>
    <t>Percent of Preliminary Forecast Peak Load</t>
  </si>
  <si>
    <t>Unforced Capacity, MW</t>
  </si>
  <si>
    <t>** Used to allocate Short-Term Resource Procurement Target to Zones.</t>
  </si>
  <si>
    <t>Post-Clearing BRA Credit Rate (LMT), $/MW</t>
  </si>
  <si>
    <t>Post-Clearing BRA Credit Rate (ES), $/MW</t>
  </si>
  <si>
    <t>Post-Clearing BRA Credit Rate (ANL), $/MW</t>
  </si>
  <si>
    <t>DEOK</t>
  </si>
  <si>
    <t>Limiting conditions at the CETL for modeled LDAs:</t>
  </si>
  <si>
    <t>Preliminary Zonal Peak Load Forecast less FRR load**</t>
  </si>
  <si>
    <t>PSNORTH</t>
  </si>
  <si>
    <t>ATSI-CLEVELAND</t>
  </si>
  <si>
    <t>EKPC</t>
  </si>
  <si>
    <t>Violation/Limiting Facility</t>
  </si>
  <si>
    <t>ATSI-Cleveland</t>
  </si>
  <si>
    <t>*</t>
  </si>
  <si>
    <t>Limited Demand Resource Reliability Target</t>
  </si>
  <si>
    <t>Quantities are in Unforced Capacity Megawatts</t>
  </si>
  <si>
    <t>North</t>
  </si>
  <si>
    <t>West 1</t>
  </si>
  <si>
    <t>West 2</t>
  </si>
  <si>
    <t>South 1</t>
  </si>
  <si>
    <t>South 2</t>
  </si>
  <si>
    <t>Simultaneous</t>
  </si>
  <si>
    <t>&gt; 1449</t>
  </si>
  <si>
    <t>&gt; 4301</t>
  </si>
  <si>
    <t>&gt; 1116</t>
  </si>
  <si>
    <t>&gt; 1748</t>
  </si>
  <si>
    <t>&gt; 1127</t>
  </si>
  <si>
    <t>&gt; 288</t>
  </si>
  <si>
    <t>&gt; 3876</t>
  </si>
  <si>
    <t>&gt; 3749</t>
  </si>
  <si>
    <t>&gt; 690</t>
  </si>
  <si>
    <t>&gt; 9442</t>
  </si>
  <si>
    <t>2013 Zonal W/N Coincident Peak Loads</t>
  </si>
  <si>
    <t xml:space="preserve">  Voltage / Voltage collapse for the loss of the Keeney - Rock Springs 500 kV circuit.</t>
  </si>
  <si>
    <t xml:space="preserve">  Voltage / Voltage collapse for the loss of Burches Hill - Possum Point 500 kV circuit.</t>
  </si>
  <si>
    <t xml:space="preserve">  Thermal/Easton - Trappe Tap 69 kV circuit.</t>
  </si>
  <si>
    <t xml:space="preserve">  Thermal / South Canton - Harmon 345 kV circuit.</t>
  </si>
  <si>
    <t>CETL to CETO Ratio %</t>
  </si>
  <si>
    <t xml:space="preserve">  Thermal / Brister - Ox 500 kV circuit</t>
  </si>
  <si>
    <t>PL</t>
  </si>
  <si>
    <t>&gt; 4324</t>
  </si>
  <si>
    <t xml:space="preserve">  Thermal / Roseland - Wilpipe 230 kV circuit.</t>
  </si>
  <si>
    <t xml:space="preserve">  Thermal / University Park - East Frankfort 345 kV circuit.</t>
  </si>
  <si>
    <t xml:space="preserve">  Thermal / Wescosville 500/138 kV transformer.</t>
  </si>
  <si>
    <t>Minimum Internal Resource Requirement</t>
  </si>
  <si>
    <t>FRR Load Requirement (% Obligation):</t>
  </si>
  <si>
    <t>&gt; 1300.0</t>
  </si>
  <si>
    <t>&gt; 1484.0</t>
  </si>
  <si>
    <t xml:space="preserve">LDA      </t>
  </si>
  <si>
    <t>2017-2018 RPM Base Residual Auction Planning Parameters</t>
  </si>
  <si>
    <t>Sub-Annual Resource Reliability Target</t>
  </si>
  <si>
    <t>* LDA has adequate internal resources to meet the reliability criterion.</t>
  </si>
  <si>
    <t>LDA CETO/CETL Data; Zonal Peak Loads, Base Zonal FRR Scaling Factors, and Zonal Short-Term Resource Procurement Targets.</t>
  </si>
  <si>
    <t xml:space="preserve">DR Constraints for FRR Load (ICAP as % of peak load) </t>
  </si>
  <si>
    <t>Limited Resource Constraint</t>
  </si>
  <si>
    <t>Sub-Annual Resource Constraint</t>
  </si>
  <si>
    <t xml:space="preserve">  Thermal / Pumphrey 230/115 kV transformer.</t>
  </si>
  <si>
    <t>External Source Zone</t>
  </si>
  <si>
    <t>Capacity Benefit Margin (CBM)</t>
  </si>
  <si>
    <t>0.8*BRA STRPT</t>
  </si>
  <si>
    <t>2017-2018 RPM First Incremental Auction Planning Parameters</t>
  </si>
  <si>
    <t>ATSI-C</t>
  </si>
  <si>
    <t>First Contingency Total Transfer Capability (FCTTC)</t>
  </si>
  <si>
    <t>Notes:</t>
  </si>
  <si>
    <t>Approved CIL Exception Requests *</t>
  </si>
  <si>
    <t xml:space="preserve">Load forecast from 2015 Load Report adjusted for Non-Zone Load.. </t>
  </si>
  <si>
    <t>Updated Peak Load Forecast</t>
  </si>
  <si>
    <t>Limited Resources</t>
  </si>
  <si>
    <t>Extended Summer Resources</t>
  </si>
  <si>
    <t>Annual Resources</t>
  </si>
  <si>
    <t>Total Resources</t>
  </si>
  <si>
    <t>Change in CETL</t>
  </si>
  <si>
    <t>Capacity Import Limit Margin **</t>
  </si>
  <si>
    <t>** Capacity Import Limit Margin indicates the capacity import capability remaining into the LDA.</t>
  </si>
  <si>
    <t>Location</t>
  </si>
  <si>
    <t>Capacity Type</t>
  </si>
  <si>
    <t>Point 1 x-axis (MW)</t>
  </si>
  <si>
    <t>Point 1 y-axis ($/MW-Day)</t>
  </si>
  <si>
    <t>Point 2 x-axis (MW)</t>
  </si>
  <si>
    <t>Point 2 y-axis ($/MW-Day)</t>
  </si>
  <si>
    <t>RTO (Rest of)</t>
  </si>
  <si>
    <t>Annual</t>
  </si>
  <si>
    <t>MAAC (Rest of)</t>
  </si>
  <si>
    <t>EMAAC (Rest of)</t>
  </si>
  <si>
    <t>SWMAAC (Rest of)</t>
  </si>
  <si>
    <t>PS (Rest of)</t>
  </si>
  <si>
    <t>ATSI (Rest of)</t>
  </si>
  <si>
    <t>TOTAL</t>
  </si>
  <si>
    <t>Annual Resources *</t>
  </si>
  <si>
    <t>BRA Limited Resource Clearing Price, $/MW-Day</t>
  </si>
  <si>
    <t>BRA Ext Summer Resource Clearing Price, $/MW-Day</t>
  </si>
  <si>
    <t>BRA Annual Resource Clearing Price, $/MW-Day</t>
  </si>
  <si>
    <t>Sub-Annual (Limited + Extended Summer) Resources</t>
  </si>
  <si>
    <t>Confirmed Network External Designated Transmission Service (NEDTS) *</t>
  </si>
  <si>
    <t xml:space="preserve">  ** In addition to ensuring that the CIL used in the auction plus the granted exceptions to not exceed the granted NEDTS less the CBM, PJM is also ensuring that the CIL used in the auction plus the granted exceptions does not exceed the FCTTC less the CBM.</t>
  </si>
  <si>
    <t>** The simultaneous limit is greater than the sum of the individual External Source Zone limits and will therefore not constrain imports by itself since the individual Source Zone limits would be reached before the simultaneous limit.</t>
  </si>
  <si>
    <t>2017-2018 RPM 2nd Incremental Auction Planning Parameters</t>
  </si>
  <si>
    <t>0.6*BRA STRPT</t>
  </si>
  <si>
    <t xml:space="preserve">Load forecast from 2016 Load Report adjusted for Non-Zone Load.. </t>
  </si>
  <si>
    <t>EE Addback to Peak Load Forecast</t>
  </si>
  <si>
    <t>Reliability Requirement with EE Addback</t>
  </si>
  <si>
    <t>EE Cleared in Prior Auctions (UCAP)</t>
  </si>
  <si>
    <t>2017-2018 RPM 3rd Incremental Auction Planning Parameters</t>
  </si>
  <si>
    <t>0*BRA STRPT</t>
  </si>
  <si>
    <t>2017-2018 3rd Incremental Auction Configuration</t>
  </si>
  <si>
    <t xml:space="preserve">Configuration of 3rd Incremental Auction for 2017/2018 Delivery Year </t>
  </si>
  <si>
    <t xml:space="preserve">Load forecast from 2017 Load Report adjusted for Non-Zone Load.. </t>
  </si>
  <si>
    <t>* Annual Resources include CP resources cleared in the Transition Auction and generation cleared in External Source Zones.</t>
  </si>
  <si>
    <t xml:space="preserve">2017/2018 3rd IA Demand Resource Constraints </t>
  </si>
  <si>
    <t>2017-2018 Pre-Clearing 3rd IA Credit Rates</t>
  </si>
  <si>
    <t>Pre-Clearing 3rd IA Credit Rate (LMT), $/MW</t>
  </si>
  <si>
    <t>Pre-Clearing 3rd IA Credit Rate (ES), $/MW</t>
  </si>
  <si>
    <t>Pre-Clearing 3rd IA Credit Rate (ANL), $/MW</t>
  </si>
  <si>
    <t>Capacity Cleared in BRA, 1st IA, &amp; 2nd IA</t>
  </si>
  <si>
    <t>Capacity Import Limit (CIL) for use in 3rd IA **</t>
  </si>
  <si>
    <t>2017/2018 3rd IA Capacity Import Limits in Megawatts</t>
  </si>
  <si>
    <t>Previously Committed Capacity (BRA+1st IA+2nd IA)</t>
  </si>
  <si>
    <t>EE Adjustments to Reliability Requirement</t>
  </si>
  <si>
    <t>(a) Add EE Cleared in Prior Auctions</t>
  </si>
  <si>
    <t>Reliability Requirement with Addback (c )</t>
  </si>
  <si>
    <t>--</t>
  </si>
  <si>
    <t>PJM Buy Bid (MW)</t>
  </si>
  <si>
    <t>Price Points for PJM Buy Bids and PJM Sell Offers *</t>
  </si>
  <si>
    <t>(c ) Add 7.7% of (a)+(b) to account for Replacement Capacity</t>
  </si>
  <si>
    <t>2nd IA Reliability Requirement</t>
  </si>
  <si>
    <t>3rd IA Reliability Requirement</t>
  </si>
  <si>
    <t>Net of (1), (2), (3), and (4)</t>
  </si>
  <si>
    <t>PJM Buy Bid Quantity *</t>
  </si>
  <si>
    <t>Change in Reliability Requirement (1)</t>
  </si>
  <si>
    <t>Short-Term Resource Procurement Target Applicable Share (2)</t>
  </si>
  <si>
    <t>Uncleared PJM Buy Bids from Prior Incremental Auction (3)</t>
  </si>
  <si>
    <t>Release of New Capacity Procured in Transition Auction (4)</t>
  </si>
  <si>
    <t xml:space="preserve">Lowest Price Point of Updated VRR Curve Decrement
(Applicable only for LDAs where capacity is being released)  </t>
  </si>
  <si>
    <t>Total Net UCAP Committed in prior Auctions (LDA total includes cleared capacity imports)</t>
  </si>
  <si>
    <t xml:space="preserve">* The PJM Sell Offer prices are determined in accordance with FERC Order, Docket ER17-335-000, dated 1/6/2017. The Point 1 price is set equal to lowest price point of the Updated VRR Curve Decrement which is $0/MW-day because the vertical line at the level of net UCAP Committed in all prior auctions lies beyond point (c) of Updated VRR Curve; and, Point 2 price is set equal to the Resource Clearing Price of the 2017/2018 BRA. </t>
  </si>
  <si>
    <t>** Capacity Import Limit Margin indicates the capacity import capability remaining into the LDA for the 3rd Incmremental Auction.</t>
  </si>
  <si>
    <t xml:space="preserve">PJM Buy Bids &amp; Sell Offers </t>
  </si>
  <si>
    <t xml:space="preserve">* In determining the PJM sell offer quantity by location, the quantity determined in the row above has been adjusted in some cases for LDAs wholly located within a larger LDA to take into account impacts on the larger LDA. </t>
  </si>
  <si>
    <t>(b) UCAP Approved in 3rd IA EE Plans</t>
  </si>
  <si>
    <t>#46059492</t>
  </si>
  <si>
    <r>
      <t xml:space="preserve">   *  The quantities of Confirmed NEDTS and Approved CIL Exception Requests are as of </t>
    </r>
    <r>
      <rPr>
        <b/>
        <sz val="11"/>
        <color rgb="FFFF0000"/>
        <rFont val="Arial"/>
        <family val="2"/>
      </rPr>
      <t>2/23/17</t>
    </r>
    <r>
      <rPr>
        <sz val="11"/>
        <rFont val="Arial"/>
        <family val="2"/>
      </rPr>
      <t>.</t>
    </r>
  </si>
  <si>
    <t>3rd IA Limited Resource Clearing Price, $/MW-Day</t>
  </si>
  <si>
    <t>Post-Clearing 3rd IA Credit Rate (LMT), $/MW</t>
  </si>
  <si>
    <t>3rd IA Ext Summer Resource Clearing Price, $/MW-Day</t>
  </si>
  <si>
    <t>Post-Clearing 3rd IA Credit Rate (ES), $/MW</t>
  </si>
  <si>
    <t>3rd IA Annual Resource Clearing Price, $/MW-Day</t>
  </si>
  <si>
    <t>Post-Clearing 3rd IA Credit Rate (ANL), $/MW</t>
  </si>
  <si>
    <t>2017-2018 Post-Clearing 3rd IA Credit Rates</t>
  </si>
  <si>
    <t>NOTE: Planning Parameters initially posted on 1/27/2017.                                                                                                                                                                                                                                                                                                      Updated on 2/23/2017: updated to reflect approved MW quantity of EE Plans submitted for the auction and a correction in FRR peak load from 12,822.9 MW to 12,837.5 MW.                                                                                                                 Updated on 8/16/2017: Added Post-Clearing 3rd IA Credit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</si>
</sst>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
    <numFmt numFmtId="167" formatCode="0.0"/>
    <numFmt numFmtId="168" formatCode="&quot;$&quot;#,##0.00"/>
    <numFmt numFmtId="169" formatCode="#,##0.0"/>
    <numFmt numFmtId="170" formatCode="0.00000"/>
    <numFmt numFmtId="171" formatCode="&quot;$&quot;#,##0"/>
    <numFmt numFmtId="172" formatCode="_(* #,##0.0_);_(* \(#,##0.0\);_(* &quot;-&quot;?_);_(@_)"/>
    <numFmt numFmtId="173" formatCode="_(* #,##0.0_);_(* \(#,##0.0\);_(* &quot;-&quot;??_);_(@_)"/>
  </numFmts>
  <fonts count="21" x14ac:knownFonts="1">
    <font>
      <sz val="10"/>
      <name val="Arial"/>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1"/>
      <name val="Arial"/>
      <family val="2"/>
    </font>
    <font>
      <sz val="10"/>
      <name val="Arial"/>
      <family val="2"/>
    </font>
    <font>
      <sz val="11"/>
      <color theme="1"/>
      <name val="Calibri"/>
      <family val="2"/>
      <scheme val="minor"/>
    </font>
    <font>
      <sz val="10"/>
      <color rgb="FFFF0000"/>
      <name val="Arial"/>
      <family val="2"/>
    </font>
    <font>
      <b/>
      <sz val="10"/>
      <color rgb="FFFF0000"/>
      <name val="Arial"/>
      <family val="2"/>
    </font>
    <font>
      <sz val="12"/>
      <color rgb="FFFF0000"/>
      <name val="Arial"/>
      <family val="2"/>
    </font>
    <font>
      <b/>
      <sz val="12"/>
      <color rgb="FFFF0000"/>
      <name val="Arial"/>
      <family val="2"/>
    </font>
    <font>
      <sz val="12"/>
      <color rgb="FF002060"/>
      <name val="Arial"/>
      <family val="2"/>
    </font>
    <font>
      <sz val="12"/>
      <color theme="1"/>
      <name val="Arial"/>
      <family val="2"/>
    </font>
    <font>
      <sz val="14"/>
      <color rgb="FFFF0000"/>
      <name val="Arial"/>
      <family val="2"/>
    </font>
    <font>
      <b/>
      <sz val="11"/>
      <color rgb="FFFF0000"/>
      <name val="Arial"/>
      <family val="2"/>
    </font>
    <font>
      <b/>
      <sz val="14"/>
      <color rgb="FFFF0000"/>
      <name val="Arial"/>
      <family val="2"/>
    </font>
    <font>
      <sz val="11"/>
      <color rgb="FF1F497D"/>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s>
  <cellStyleXfs count="12">
    <xf numFmtId="0" fontId="0" fillId="0" borderId="0"/>
    <xf numFmtId="43" fontId="1"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0" fontId="7" fillId="0" borderId="0">
      <alignment wrapText="1"/>
    </xf>
    <xf numFmtId="0" fontId="7" fillId="0" borderId="0"/>
    <xf numFmtId="0" fontId="10" fillId="0" borderId="0"/>
    <xf numFmtId="9" fontId="1" fillId="0" borderId="0" applyFont="0" applyFill="0" applyBorder="0" applyAlignment="0" applyProtection="0"/>
    <xf numFmtId="9" fontId="7" fillId="0" borderId="0" applyFont="0" applyFill="0" applyBorder="0" applyAlignment="0" applyProtection="0"/>
  </cellStyleXfs>
  <cellXfs count="278">
    <xf numFmtId="0" fontId="0" fillId="0" borderId="0" xfId="0"/>
    <xf numFmtId="0" fontId="0" fillId="0" borderId="0" xfId="0" applyAlignment="1">
      <alignment horizontal="center"/>
    </xf>
    <xf numFmtId="0" fontId="6" fillId="0" borderId="0" xfId="0" applyFont="1" applyBorder="1"/>
    <xf numFmtId="0" fontId="3" fillId="0" borderId="0" xfId="0" applyFont="1" applyAlignment="1">
      <alignment wrapText="1"/>
    </xf>
    <xf numFmtId="0" fontId="7" fillId="0" borderId="0" xfId="0" applyFont="1"/>
    <xf numFmtId="0" fontId="3" fillId="0" borderId="0" xfId="0" applyFont="1" applyBorder="1"/>
    <xf numFmtId="0" fontId="7" fillId="0" borderId="0" xfId="0" applyFont="1" applyBorder="1"/>
    <xf numFmtId="0" fontId="12" fillId="0" borderId="0" xfId="0" applyFont="1"/>
    <xf numFmtId="173" fontId="3" fillId="0" borderId="0" xfId="0" applyNumberFormat="1" applyFont="1" applyFill="1" applyBorder="1" applyAlignment="1">
      <alignment horizontal="right"/>
    </xf>
    <xf numFmtId="168" fontId="6" fillId="0" borderId="1" xfId="0" applyNumberFormat="1" applyFont="1" applyBorder="1" applyAlignment="1">
      <alignment horizontal="right" vertical="center" wrapText="1"/>
    </xf>
    <xf numFmtId="169" fontId="6" fillId="0" borderId="1" xfId="0" applyNumberFormat="1" applyFont="1" applyBorder="1" applyAlignment="1">
      <alignment horizontal="right" vertical="center" wrapText="1"/>
    </xf>
    <xf numFmtId="167" fontId="6" fillId="0" borderId="1" xfId="0" applyNumberFormat="1" applyFont="1" applyBorder="1" applyAlignment="1">
      <alignment horizontal="right" vertical="center"/>
    </xf>
    <xf numFmtId="168" fontId="5" fillId="0" borderId="1" xfId="0" applyNumberFormat="1" applyFont="1" applyBorder="1" applyAlignment="1">
      <alignment horizontal="right" vertical="center" wrapText="1"/>
    </xf>
    <xf numFmtId="0" fontId="5" fillId="0" borderId="0" xfId="0" applyFont="1" applyBorder="1" applyAlignment="1">
      <alignment horizontal="center"/>
    </xf>
    <xf numFmtId="0" fontId="4" fillId="0" borderId="1" xfId="0" applyFont="1" applyBorder="1" applyAlignment="1">
      <alignment horizontal="left"/>
    </xf>
    <xf numFmtId="0" fontId="4" fillId="0" borderId="1" xfId="0" applyFont="1" applyBorder="1" applyAlignment="1">
      <alignment horizontal="center"/>
    </xf>
    <xf numFmtId="0" fontId="6" fillId="0" borderId="1" xfId="0" applyFont="1" applyBorder="1" applyAlignment="1">
      <alignment horizontal="left" vertical="center"/>
    </xf>
    <xf numFmtId="166" fontId="6"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0" fontId="5" fillId="0" borderId="1" xfId="0" applyFont="1" applyBorder="1" applyAlignment="1">
      <alignment horizontal="center" vertical="center"/>
    </xf>
    <xf numFmtId="166" fontId="6" fillId="0" borderId="1" xfId="0" applyNumberFormat="1" applyFont="1" applyBorder="1" applyAlignment="1">
      <alignment horizontal="right" vertical="center" wrapText="1"/>
    </xf>
    <xf numFmtId="0" fontId="6" fillId="0" borderId="2" xfId="0" applyFont="1" applyBorder="1" applyAlignment="1">
      <alignment horizontal="left" vertical="center" wrapText="1"/>
    </xf>
    <xf numFmtId="1" fontId="6" fillId="0" borderId="2" xfId="0" applyNumberFormat="1" applyFont="1" applyBorder="1" applyAlignment="1">
      <alignment horizontal="left" vertical="center" wrapText="1"/>
    </xf>
    <xf numFmtId="0" fontId="3"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right" vertical="center"/>
    </xf>
    <xf numFmtId="0" fontId="5" fillId="0" borderId="1" xfId="0" applyFont="1" applyBorder="1" applyAlignment="1">
      <alignment horizontal="left" vertical="center"/>
    </xf>
    <xf numFmtId="0" fontId="6" fillId="0" borderId="1" xfId="0" applyFont="1" applyFill="1" applyBorder="1" applyAlignment="1">
      <alignment vertical="center"/>
    </xf>
    <xf numFmtId="0" fontId="5" fillId="0" borderId="1" xfId="0" applyFont="1" applyFill="1" applyBorder="1" applyAlignment="1">
      <alignment horizontal="left" vertical="center"/>
    </xf>
    <xf numFmtId="0" fontId="6" fillId="0" borderId="4" xfId="0" applyFont="1" applyBorder="1" applyAlignment="1">
      <alignment horizontal="left" vertical="center" wrapText="1"/>
    </xf>
    <xf numFmtId="168" fontId="6" fillId="0" borderId="1" xfId="4" applyNumberFormat="1" applyFont="1" applyBorder="1" applyAlignment="1">
      <alignment horizontal="center" vertical="center" wrapText="1"/>
    </xf>
    <xf numFmtId="0" fontId="13" fillId="0" borderId="5" xfId="0" applyFont="1" applyFill="1" applyBorder="1"/>
    <xf numFmtId="0" fontId="11" fillId="0" borderId="0" xfId="0" applyFont="1"/>
    <xf numFmtId="0" fontId="0" fillId="0" borderId="0" xfId="0" applyFill="1"/>
    <xf numFmtId="0" fontId="6" fillId="0" borderId="0" xfId="0" applyFont="1" applyFill="1" applyBorder="1" applyAlignment="1">
      <alignment vertical="center"/>
    </xf>
    <xf numFmtId="0" fontId="4" fillId="0" borderId="1" xfId="0" applyFont="1" applyBorder="1" applyAlignment="1">
      <alignment horizontal="center" vertical="center"/>
    </xf>
    <xf numFmtId="169" fontId="6" fillId="0" borderId="1" xfId="10" applyNumberFormat="1" applyFont="1" applyFill="1" applyBorder="1" applyAlignment="1">
      <alignment horizontal="right" vertical="center"/>
    </xf>
    <xf numFmtId="9" fontId="6" fillId="0" borderId="1" xfId="10" applyFont="1" applyFill="1" applyBorder="1" applyAlignment="1">
      <alignment horizontal="right" vertical="center"/>
    </xf>
    <xf numFmtId="9" fontId="6" fillId="0" borderId="1" xfId="10" applyNumberFormat="1" applyFont="1" applyFill="1" applyBorder="1" applyAlignment="1">
      <alignment horizontal="right" vertical="center"/>
    </xf>
    <xf numFmtId="0" fontId="5" fillId="0" borderId="0" xfId="0" applyFont="1" applyBorder="1" applyAlignment="1">
      <alignment horizontal="left"/>
    </xf>
    <xf numFmtId="0" fontId="6" fillId="0" borderId="0" xfId="0" applyFont="1" applyBorder="1" applyAlignment="1">
      <alignment vertical="center"/>
    </xf>
    <xf numFmtId="0" fontId="6" fillId="0" borderId="0" xfId="0" applyFont="1" applyBorder="1" applyAlignment="1">
      <alignment horizontal="left" vertical="center"/>
    </xf>
    <xf numFmtId="0" fontId="11" fillId="0" borderId="0" xfId="0" applyFont="1" applyBorder="1" applyAlignment="1">
      <alignment horizontal="center" vertical="center"/>
    </xf>
    <xf numFmtId="0" fontId="3" fillId="0" borderId="0" xfId="0" applyFont="1" applyAlignment="1">
      <alignment horizontal="right" wrapText="1"/>
    </xf>
    <xf numFmtId="0" fontId="13" fillId="0" borderId="0" xfId="0" applyFont="1" applyBorder="1"/>
    <xf numFmtId="0" fontId="4" fillId="0" borderId="0" xfId="0" applyFont="1" applyBorder="1" applyAlignment="1">
      <alignment horizontal="left" vertical="center"/>
    </xf>
    <xf numFmtId="169" fontId="6"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169" fontId="6" fillId="0" borderId="1" xfId="1" applyNumberFormat="1" applyFont="1" applyFill="1" applyBorder="1" applyAlignment="1">
      <alignment horizontal="right" vertical="center"/>
    </xf>
    <xf numFmtId="166" fontId="5" fillId="0" borderId="1" xfId="10" applyNumberFormat="1" applyFont="1" applyFill="1" applyBorder="1" applyAlignment="1">
      <alignment horizontal="right" vertical="center"/>
    </xf>
    <xf numFmtId="169" fontId="15" fillId="0" borderId="1" xfId="0" applyNumberFormat="1" applyFont="1" applyFill="1" applyBorder="1" applyAlignment="1">
      <alignment horizontal="right" vertical="center"/>
    </xf>
    <xf numFmtId="0" fontId="5" fillId="0" borderId="0" xfId="0" applyFont="1" applyFill="1" applyBorder="1" applyAlignment="1">
      <alignment horizontal="left" vertical="center"/>
    </xf>
    <xf numFmtId="166" fontId="6" fillId="0" borderId="0" xfId="10" applyNumberFormat="1" applyFont="1" applyBorder="1"/>
    <xf numFmtId="0" fontId="6" fillId="0" borderId="12" xfId="0" applyFont="1" applyFill="1" applyBorder="1" applyAlignment="1">
      <alignment horizontal="right" vertical="center"/>
    </xf>
    <xf numFmtId="166" fontId="13" fillId="0" borderId="0" xfId="10" applyNumberFormat="1" applyFont="1" applyBorder="1" applyAlignment="1">
      <alignment horizontal="right"/>
    </xf>
    <xf numFmtId="0" fontId="14" fillId="0" borderId="0" xfId="0" applyFont="1" applyBorder="1" applyAlignment="1">
      <alignment vertical="center"/>
    </xf>
    <xf numFmtId="0" fontId="14" fillId="0" borderId="0" xfId="0" applyFont="1" applyBorder="1" applyAlignment="1">
      <alignment horizontal="left" vertical="center"/>
    </xf>
    <xf numFmtId="1" fontId="5" fillId="0" borderId="2" xfId="0" applyNumberFormat="1"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2" borderId="1" xfId="0" applyFont="1" applyFill="1" applyBorder="1" applyAlignment="1">
      <alignment vertical="center"/>
    </xf>
    <xf numFmtId="169" fontId="6" fillId="2" borderId="1" xfId="1" applyNumberFormat="1" applyFont="1" applyFill="1" applyBorder="1" applyAlignment="1">
      <alignment horizontal="right" vertical="center"/>
    </xf>
    <xf numFmtId="169" fontId="6" fillId="2" borderId="1" xfId="0" applyNumberFormat="1" applyFont="1" applyFill="1" applyBorder="1" applyAlignment="1">
      <alignment horizontal="right" vertical="center"/>
    </xf>
    <xf numFmtId="0" fontId="6" fillId="3" borderId="1" xfId="0" applyFont="1" applyFill="1" applyBorder="1" applyAlignment="1">
      <alignment vertical="center"/>
    </xf>
    <xf numFmtId="166" fontId="5" fillId="3" borderId="1" xfId="10" applyNumberFormat="1" applyFont="1" applyFill="1" applyBorder="1" applyAlignment="1">
      <alignment horizontal="right" vertical="center"/>
    </xf>
    <xf numFmtId="0" fontId="6" fillId="4" borderId="1" xfId="0" applyFont="1" applyFill="1" applyBorder="1" applyAlignment="1">
      <alignment horizontal="left" vertical="center"/>
    </xf>
    <xf numFmtId="0" fontId="6" fillId="4" borderId="1" xfId="0" applyFont="1" applyFill="1" applyBorder="1" applyAlignment="1">
      <alignment horizontal="right" vertical="center"/>
    </xf>
    <xf numFmtId="0" fontId="6" fillId="4" borderId="7" xfId="0" applyFont="1" applyFill="1" applyBorder="1" applyAlignment="1">
      <alignment horizontal="left" vertical="center"/>
    </xf>
    <xf numFmtId="0" fontId="6" fillId="4" borderId="7" xfId="0" applyFont="1" applyFill="1" applyBorder="1" applyAlignment="1">
      <alignment horizontal="righ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0" fillId="0" borderId="14" xfId="0" applyBorder="1" applyAlignment="1">
      <alignment horizontal="left"/>
    </xf>
    <xf numFmtId="0" fontId="0" fillId="0" borderId="15" xfId="0" applyBorder="1" applyAlignment="1">
      <alignment horizontal="left"/>
    </xf>
    <xf numFmtId="0" fontId="5" fillId="0" borderId="2" xfId="0" applyFont="1" applyBorder="1" applyAlignment="1">
      <alignment horizontal="right" vertical="center" wrapText="1"/>
    </xf>
    <xf numFmtId="0" fontId="6" fillId="0" borderId="2" xfId="0" applyFont="1" applyBorder="1" applyAlignment="1">
      <alignment horizontal="right" vertical="center"/>
    </xf>
    <xf numFmtId="0" fontId="6" fillId="0" borderId="2" xfId="0" applyFont="1" applyFill="1" applyBorder="1" applyAlignment="1">
      <alignment horizontal="right" vertical="center"/>
    </xf>
    <xf numFmtId="0" fontId="6" fillId="0" borderId="11" xfId="0" applyFont="1" applyFill="1" applyBorder="1" applyAlignment="1">
      <alignment horizontal="right" vertical="center"/>
    </xf>
    <xf numFmtId="169" fontId="6" fillId="0" borderId="1" xfId="0" applyNumberFormat="1" applyFont="1" applyFill="1" applyBorder="1" applyAlignment="1">
      <alignment horizontal="right" vertical="center" wrapText="1"/>
    </xf>
    <xf numFmtId="169" fontId="0" fillId="0" borderId="0" xfId="0" applyNumberFormat="1"/>
    <xf numFmtId="169" fontId="6" fillId="0" borderId="1" xfId="0" applyNumberFormat="1" applyFont="1" applyFill="1" applyBorder="1" applyAlignment="1">
      <alignment horizontal="center" vertical="center"/>
    </xf>
    <xf numFmtId="0" fontId="6" fillId="0" borderId="0" xfId="0" applyFont="1" applyFill="1" applyBorder="1" applyAlignment="1">
      <alignment horizontal="left" vertical="center"/>
    </xf>
    <xf numFmtId="4" fontId="6" fillId="0" borderId="0" xfId="0" applyNumberFormat="1" applyFont="1" applyFill="1" applyBorder="1" applyAlignment="1">
      <alignment horizontal="left" vertical="center"/>
    </xf>
    <xf numFmtId="166" fontId="6" fillId="0" borderId="1" xfId="10" applyNumberFormat="1" applyFont="1" applyFill="1" applyBorder="1" applyAlignment="1">
      <alignment horizontal="center" vertical="center"/>
    </xf>
    <xf numFmtId="168" fontId="5" fillId="0" borderId="1" xfId="0" applyNumberFormat="1" applyFont="1" applyFill="1" applyBorder="1" applyAlignment="1">
      <alignment horizontal="center" vertical="center"/>
    </xf>
    <xf numFmtId="171" fontId="1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6" xfId="0" applyFont="1" applyFill="1" applyBorder="1" applyAlignment="1">
      <alignment horizontal="center" vertical="center"/>
    </xf>
    <xf numFmtId="169" fontId="5" fillId="0" borderId="1" xfId="0" applyNumberFormat="1" applyFont="1" applyFill="1" applyBorder="1" applyAlignment="1">
      <alignment horizontal="right" vertical="center" wrapText="1"/>
    </xf>
    <xf numFmtId="0" fontId="5" fillId="0" borderId="1"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6" fillId="0" borderId="1" xfId="0" applyFont="1" applyFill="1" applyBorder="1" applyAlignment="1">
      <alignment horizontal="center" vertical="center" wrapText="1"/>
    </xf>
    <xf numFmtId="169" fontId="6" fillId="0" borderId="1" xfId="0" applyNumberFormat="1" applyFont="1" applyFill="1" applyBorder="1" applyAlignment="1">
      <alignment horizontal="center" vertical="center" wrapText="1"/>
    </xf>
    <xf numFmtId="167" fontId="6" fillId="0" borderId="1" xfId="0" applyNumberFormat="1" applyFont="1" applyFill="1" applyBorder="1" applyAlignment="1">
      <alignment horizontal="right" vertical="center" wrapText="1"/>
    </xf>
    <xf numFmtId="170" fontId="6" fillId="0" borderId="1" xfId="10" applyNumberFormat="1" applyFont="1" applyFill="1" applyBorder="1" applyAlignment="1">
      <alignment horizontal="right" vertical="center"/>
    </xf>
    <xf numFmtId="169" fontId="5" fillId="0" borderId="1" xfId="1" applyNumberFormat="1" applyFont="1" applyFill="1" applyBorder="1" applyAlignment="1">
      <alignment horizontal="right" vertical="center"/>
    </xf>
    <xf numFmtId="169" fontId="5" fillId="0" borderId="1" xfId="0" applyNumberFormat="1" applyFont="1" applyFill="1" applyBorder="1" applyAlignment="1">
      <alignment horizontal="right" vertical="center"/>
    </xf>
    <xf numFmtId="167" fontId="6" fillId="0" borderId="1" xfId="10" applyNumberFormat="1" applyFont="1" applyFill="1" applyBorder="1" applyAlignment="1">
      <alignment horizontal="right" vertical="center"/>
    </xf>
    <xf numFmtId="166" fontId="5" fillId="5" borderId="1" xfId="10" applyNumberFormat="1" applyFont="1" applyFill="1" applyBorder="1" applyAlignment="1">
      <alignment horizontal="right" vertical="center"/>
    </xf>
    <xf numFmtId="168" fontId="14" fillId="0" borderId="0" xfId="0" applyNumberFormat="1" applyFont="1" applyBorder="1" applyAlignment="1">
      <alignment vertical="center"/>
    </xf>
    <xf numFmtId="167" fontId="6" fillId="0" borderId="1" xfId="0" applyNumberFormat="1" applyFont="1" applyFill="1" applyBorder="1" applyAlignment="1">
      <alignment horizontal="right" vertical="center"/>
    </xf>
    <xf numFmtId="166" fontId="6" fillId="0" borderId="1" xfId="10" applyNumberFormat="1" applyFont="1" applyFill="1" applyBorder="1" applyAlignment="1">
      <alignment horizontal="right" vertical="center"/>
    </xf>
    <xf numFmtId="166" fontId="6" fillId="0" borderId="1" xfId="0" applyNumberFormat="1" applyFont="1" applyFill="1" applyBorder="1" applyAlignment="1">
      <alignment horizontal="right" vertical="center"/>
    </xf>
    <xf numFmtId="0" fontId="6" fillId="0" borderId="0" xfId="0" applyFont="1" applyBorder="1" applyAlignment="1">
      <alignment horizontal="right"/>
    </xf>
    <xf numFmtId="0" fontId="13" fillId="0" borderId="0" xfId="0" applyFont="1" applyFill="1" applyBorder="1" applyAlignment="1">
      <alignment vertical="center"/>
    </xf>
    <xf numFmtId="0" fontId="6" fillId="0" borderId="17" xfId="0" applyFont="1" applyFill="1" applyBorder="1" applyAlignment="1">
      <alignment horizontal="right" vertical="center"/>
    </xf>
    <xf numFmtId="0" fontId="5" fillId="0" borderId="1" xfId="0" applyFont="1" applyFill="1" applyBorder="1" applyAlignment="1">
      <alignment horizontal="right" vertical="center"/>
    </xf>
    <xf numFmtId="0" fontId="5" fillId="0" borderId="1" xfId="0" applyFont="1" applyFill="1" applyBorder="1" applyAlignment="1">
      <alignment horizontal="left"/>
    </xf>
    <xf numFmtId="0" fontId="6" fillId="0" borderId="1" xfId="8" applyFont="1" applyBorder="1" applyAlignment="1">
      <alignment horizontal="right" vertical="center"/>
    </xf>
    <xf numFmtId="0" fontId="5" fillId="0" borderId="1" xfId="8" applyFont="1" applyBorder="1" applyAlignment="1">
      <alignment horizontal="center" vertical="center"/>
    </xf>
    <xf numFmtId="0" fontId="6" fillId="0" borderId="1" xfId="8" applyFont="1" applyBorder="1" applyAlignment="1">
      <alignment horizontal="right" vertical="center" wrapText="1"/>
    </xf>
    <xf numFmtId="0" fontId="6" fillId="0" borderId="1" xfId="8" applyFont="1" applyFill="1" applyBorder="1" applyAlignment="1">
      <alignment horizontal="right" vertical="center"/>
    </xf>
    <xf numFmtId="0" fontId="5" fillId="0" borderId="1" xfId="8" applyFont="1" applyFill="1" applyBorder="1" applyAlignment="1">
      <alignment horizontal="center" vertical="center"/>
    </xf>
    <xf numFmtId="173" fontId="6" fillId="0" borderId="1" xfId="3" applyNumberFormat="1" applyFont="1" applyBorder="1" applyAlignment="1">
      <alignment horizontal="right" vertical="center"/>
    </xf>
    <xf numFmtId="0" fontId="7" fillId="0" borderId="0" xfId="8"/>
    <xf numFmtId="0" fontId="6" fillId="0" borderId="0" xfId="8" applyFont="1" applyBorder="1"/>
    <xf numFmtId="169" fontId="6" fillId="0" borderId="1" xfId="8" applyNumberFormat="1" applyFont="1" applyBorder="1" applyAlignment="1">
      <alignment horizontal="center" vertical="center"/>
    </xf>
    <xf numFmtId="166" fontId="6" fillId="0" borderId="1" xfId="8" applyNumberFormat="1" applyFont="1" applyBorder="1" applyAlignment="1">
      <alignment horizontal="center" vertical="center" wrapText="1"/>
    </xf>
    <xf numFmtId="0" fontId="5" fillId="0" borderId="0" xfId="8" applyFont="1" applyBorder="1" applyAlignment="1">
      <alignment horizontal="center"/>
    </xf>
    <xf numFmtId="0" fontId="5" fillId="0" borderId="1" xfId="8" applyFont="1" applyBorder="1" applyAlignment="1">
      <alignment horizontal="center" vertical="center" wrapText="1"/>
    </xf>
    <xf numFmtId="0" fontId="6" fillId="0" borderId="1" xfId="8" applyFont="1" applyBorder="1" applyAlignment="1">
      <alignment horizontal="left" vertical="center" wrapText="1"/>
    </xf>
    <xf numFmtId="0" fontId="5" fillId="0" borderId="0" xfId="8" applyFont="1" applyBorder="1" applyAlignment="1">
      <alignment horizontal="left"/>
    </xf>
    <xf numFmtId="14" fontId="5" fillId="0" borderId="0" xfId="8" applyNumberFormat="1" applyFont="1" applyBorder="1" applyAlignment="1">
      <alignment horizontal="left"/>
    </xf>
    <xf numFmtId="1" fontId="6" fillId="0" borderId="1" xfId="8" applyNumberFormat="1" applyFont="1" applyBorder="1" applyAlignment="1">
      <alignment horizontal="left" vertical="center" wrapText="1"/>
    </xf>
    <xf numFmtId="1" fontId="6" fillId="0" borderId="1" xfId="8" applyNumberFormat="1" applyFont="1" applyBorder="1" applyAlignment="1">
      <alignment horizontal="left" vertical="center"/>
    </xf>
    <xf numFmtId="0" fontId="7" fillId="0" borderId="0" xfId="8" applyAlignment="1">
      <alignment horizontal="center"/>
    </xf>
    <xf numFmtId="0" fontId="7" fillId="0" borderId="0" xfId="8" applyBorder="1"/>
    <xf numFmtId="173" fontId="6" fillId="0" borderId="1" xfId="3" applyNumberFormat="1" applyFont="1" applyBorder="1"/>
    <xf numFmtId="173" fontId="6" fillId="0" borderId="1" xfId="3" applyNumberFormat="1" applyFont="1" applyBorder="1" applyAlignment="1">
      <alignment vertical="center"/>
    </xf>
    <xf numFmtId="0" fontId="6" fillId="0" borderId="20" xfId="8" applyFont="1" applyFill="1" applyBorder="1" applyAlignment="1">
      <alignment horizontal="left" vertical="center"/>
    </xf>
    <xf numFmtId="0" fontId="3" fillId="0" borderId="1" xfId="0" applyFont="1" applyBorder="1" applyAlignment="1">
      <alignment horizontal="center" vertical="center" wrapText="1"/>
    </xf>
    <xf numFmtId="0" fontId="4" fillId="0" borderId="0" xfId="0" applyFont="1" applyBorder="1" applyAlignment="1">
      <alignment horizontal="left"/>
    </xf>
    <xf numFmtId="168" fontId="5"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168" fontId="16" fillId="0" borderId="1" xfId="5" applyNumberFormat="1" applyFont="1" applyBorder="1" applyAlignment="1">
      <alignment horizontal="center" vertical="center" wrapText="1"/>
    </xf>
    <xf numFmtId="44" fontId="16" fillId="0" borderId="1" xfId="5" applyFont="1" applyBorder="1" applyAlignment="1">
      <alignment horizontal="center" vertical="center" wrapText="1"/>
    </xf>
    <xf numFmtId="0" fontId="6" fillId="0" borderId="0" xfId="8" applyFont="1" applyFill="1" applyBorder="1" applyAlignment="1">
      <alignment horizontal="left"/>
    </xf>
    <xf numFmtId="171" fontId="14" fillId="0" borderId="0" xfId="8" applyNumberFormat="1" applyFont="1" applyFill="1" applyBorder="1" applyAlignment="1">
      <alignment horizontal="center"/>
    </xf>
    <xf numFmtId="0" fontId="6" fillId="0" borderId="0" xfId="8" applyFont="1" applyFill="1" applyBorder="1" applyAlignment="1">
      <alignment vertical="center"/>
    </xf>
    <xf numFmtId="14" fontId="4" fillId="0" borderId="0" xfId="0" applyNumberFormat="1" applyFont="1" applyBorder="1" applyAlignment="1">
      <alignment horizontal="center" vertical="center"/>
    </xf>
    <xf numFmtId="0" fontId="13" fillId="0" borderId="0" xfId="0" applyFont="1" applyAlignment="1">
      <alignment vertical="center"/>
    </xf>
    <xf numFmtId="167" fontId="6" fillId="0" borderId="1" xfId="1" applyNumberFormat="1" applyFont="1" applyFill="1" applyBorder="1" applyAlignment="1">
      <alignment vertical="center"/>
    </xf>
    <xf numFmtId="173" fontId="6" fillId="0" borderId="1" xfId="1" applyNumberFormat="1" applyFont="1" applyFill="1" applyBorder="1" applyAlignment="1">
      <alignment vertical="center"/>
    </xf>
    <xf numFmtId="169" fontId="6" fillId="0" borderId="1" xfId="8" applyNumberFormat="1" applyFont="1" applyFill="1" applyBorder="1" applyAlignment="1">
      <alignment horizontal="right" vertical="center" wrapText="1"/>
    </xf>
    <xf numFmtId="1" fontId="6" fillId="0" borderId="2" xfId="8" applyNumberFormat="1" applyFont="1" applyFill="1" applyBorder="1" applyAlignment="1">
      <alignment horizontal="left" vertical="center" wrapText="1"/>
    </xf>
    <xf numFmtId="169" fontId="5" fillId="0" borderId="1" xfId="8" applyNumberFormat="1" applyFont="1" applyFill="1" applyBorder="1" applyAlignment="1">
      <alignment horizontal="right" vertical="center" wrapText="1"/>
    </xf>
    <xf numFmtId="166" fontId="6" fillId="0" borderId="1" xfId="8" applyNumberFormat="1" applyFont="1" applyFill="1" applyBorder="1" applyAlignment="1">
      <alignment horizontal="center" vertical="center" wrapText="1"/>
    </xf>
    <xf numFmtId="169" fontId="6" fillId="0" borderId="1" xfId="8" applyNumberFormat="1" applyFont="1" applyFill="1" applyBorder="1" applyAlignment="1">
      <alignment horizontal="center" vertical="center"/>
    </xf>
    <xf numFmtId="172" fontId="7" fillId="0" borderId="0" xfId="0" applyNumberFormat="1" applyFont="1" applyFill="1" applyBorder="1"/>
    <xf numFmtId="1" fontId="6" fillId="0" borderId="2" xfId="0" applyNumberFormat="1" applyFont="1" applyBorder="1" applyAlignment="1">
      <alignment horizontal="left" vertical="center"/>
    </xf>
    <xf numFmtId="1" fontId="5" fillId="0" borderId="2" xfId="8" applyNumberFormat="1" applyFont="1" applyFill="1" applyBorder="1" applyAlignment="1">
      <alignment horizontal="left" vertical="center" wrapText="1"/>
    </xf>
    <xf numFmtId="169" fontId="14" fillId="0" borderId="0" xfId="8" applyNumberFormat="1" applyFont="1" applyBorder="1" applyAlignment="1">
      <alignment horizontal="left"/>
    </xf>
    <xf numFmtId="0" fontId="13" fillId="0" borderId="0" xfId="0" applyFont="1" applyFill="1" applyBorder="1" applyAlignment="1">
      <alignment horizontal="left" vertical="center"/>
    </xf>
    <xf numFmtId="165" fontId="14" fillId="0" borderId="1" xfId="0" applyNumberFormat="1" applyFont="1" applyFill="1" applyBorder="1" applyAlignment="1">
      <alignment horizontal="center" vertical="center"/>
    </xf>
    <xf numFmtId="169" fontId="6" fillId="0" borderId="0" xfId="0" applyNumberFormat="1" applyFont="1" applyFill="1" applyBorder="1" applyAlignment="1">
      <alignment horizontal="left" vertical="center"/>
    </xf>
    <xf numFmtId="0" fontId="1" fillId="0" borderId="0" xfId="0" applyFont="1"/>
    <xf numFmtId="172" fontId="12" fillId="0" borderId="0" xfId="0" applyNumberFormat="1" applyFont="1" applyAlignment="1">
      <alignment vertical="center"/>
    </xf>
    <xf numFmtId="169" fontId="6" fillId="0" borderId="1" xfId="8" applyNumberFormat="1" applyFont="1" applyBorder="1" applyAlignment="1">
      <alignment horizontal="center" vertical="center" wrapText="1"/>
    </xf>
    <xf numFmtId="0" fontId="4" fillId="0" borderId="0" xfId="8" applyFont="1" applyFill="1" applyBorder="1" applyAlignment="1">
      <alignment horizontal="left" vertical="center"/>
    </xf>
    <xf numFmtId="1" fontId="5"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right" vertical="center" wrapText="1"/>
    </xf>
    <xf numFmtId="2" fontId="6" fillId="0" borderId="1" xfId="1" applyNumberFormat="1" applyFont="1" applyFill="1" applyBorder="1" applyAlignment="1">
      <alignment vertical="center"/>
    </xf>
    <xf numFmtId="169" fontId="6" fillId="0" borderId="1" xfId="0" applyNumberFormat="1" applyFont="1" applyBorder="1" applyAlignment="1">
      <alignment horizontal="center" vertical="center"/>
    </xf>
    <xf numFmtId="0" fontId="4" fillId="0" borderId="0" xfId="8" applyFont="1" applyFill="1" applyBorder="1" applyAlignment="1">
      <alignment horizontal="left" vertical="center"/>
    </xf>
    <xf numFmtId="14" fontId="14" fillId="0" borderId="0" xfId="8" applyNumberFormat="1" applyFont="1" applyAlignment="1">
      <alignment horizontal="left"/>
    </xf>
    <xf numFmtId="0" fontId="4" fillId="0" borderId="27" xfId="8" applyFont="1" applyBorder="1" applyAlignment="1">
      <alignment horizontal="center"/>
    </xf>
    <xf numFmtId="0" fontId="5" fillId="0" borderId="29" xfId="8" applyFont="1" applyBorder="1" applyAlignment="1">
      <alignment horizontal="center" vertical="center" wrapText="1"/>
    </xf>
    <xf numFmtId="0" fontId="5" fillId="0" borderId="19" xfId="8" applyFont="1" applyBorder="1" applyAlignment="1">
      <alignment horizontal="center" vertical="center" wrapText="1"/>
    </xf>
    <xf numFmtId="4" fontId="6" fillId="0" borderId="32" xfId="8" applyNumberFormat="1" applyFont="1" applyBorder="1" applyAlignment="1">
      <alignment horizontal="right" vertical="center"/>
    </xf>
    <xf numFmtId="169" fontId="6" fillId="0" borderId="33" xfId="8" applyNumberFormat="1" applyFont="1" applyBorder="1" applyAlignment="1">
      <alignment horizontal="center" vertical="center" wrapText="1"/>
    </xf>
    <xf numFmtId="4" fontId="6" fillId="0" borderId="34" xfId="8" applyNumberFormat="1" applyFont="1" applyBorder="1" applyAlignment="1">
      <alignment horizontal="right" vertical="center"/>
    </xf>
    <xf numFmtId="169" fontId="6" fillId="0" borderId="35" xfId="8" applyNumberFormat="1" applyFont="1" applyBorder="1" applyAlignment="1">
      <alignment horizontal="center" vertical="center" wrapText="1"/>
    </xf>
    <xf numFmtId="167" fontId="5" fillId="0" borderId="35" xfId="8" applyNumberFormat="1" applyFont="1" applyBorder="1" applyAlignment="1">
      <alignment horizontal="center" vertical="center"/>
    </xf>
    <xf numFmtId="168" fontId="5" fillId="0" borderId="36" xfId="8" applyNumberFormat="1" applyFont="1" applyBorder="1" applyAlignment="1">
      <alignment horizontal="center" vertical="center"/>
    </xf>
    <xf numFmtId="167" fontId="5" fillId="0" borderId="35" xfId="8" quotePrefix="1" applyNumberFormat="1" applyFont="1" applyBorder="1" applyAlignment="1">
      <alignment horizontal="center" vertical="center"/>
    </xf>
    <xf numFmtId="168" fontId="5" fillId="0" borderId="36" xfId="8" quotePrefix="1" applyNumberFormat="1" applyFont="1" applyBorder="1" applyAlignment="1">
      <alignment horizontal="center" vertical="center"/>
    </xf>
    <xf numFmtId="4" fontId="6" fillId="0" borderId="37" xfId="8" applyNumberFormat="1" applyFont="1" applyBorder="1" applyAlignment="1">
      <alignment horizontal="right" vertical="center"/>
    </xf>
    <xf numFmtId="167" fontId="5" fillId="0" borderId="38" xfId="8" applyNumberFormat="1" applyFont="1" applyBorder="1" applyAlignment="1">
      <alignment horizontal="center" vertical="center"/>
    </xf>
    <xf numFmtId="168" fontId="5" fillId="0" borderId="39" xfId="8" applyNumberFormat="1" applyFont="1" applyBorder="1" applyAlignment="1">
      <alignment horizontal="center" vertical="center"/>
    </xf>
    <xf numFmtId="169" fontId="6" fillId="0" borderId="38" xfId="11" applyNumberFormat="1" applyFont="1" applyBorder="1" applyAlignment="1">
      <alignment horizontal="center" vertical="center"/>
    </xf>
    <xf numFmtId="167" fontId="5" fillId="0" borderId="40" xfId="8" quotePrefix="1" applyNumberFormat="1" applyFont="1" applyBorder="1" applyAlignment="1">
      <alignment horizontal="center" vertical="center"/>
    </xf>
    <xf numFmtId="168" fontId="5" fillId="0" borderId="41" xfId="8" quotePrefix="1" applyNumberFormat="1" applyFont="1" applyBorder="1" applyAlignment="1">
      <alignment horizontal="center" vertical="center"/>
    </xf>
    <xf numFmtId="4" fontId="5" fillId="0" borderId="28" xfId="8" applyNumberFormat="1" applyFont="1" applyBorder="1" applyAlignment="1">
      <alignment horizontal="right"/>
    </xf>
    <xf numFmtId="169" fontId="5" fillId="0" borderId="28" xfId="11" applyNumberFormat="1" applyFont="1" applyBorder="1" applyAlignment="1">
      <alignment horizontal="center"/>
    </xf>
    <xf numFmtId="14" fontId="4" fillId="0" borderId="0" xfId="8" applyNumberFormat="1" applyFont="1" applyFill="1" applyBorder="1" applyAlignment="1">
      <alignment horizontal="left" vertical="center"/>
    </xf>
    <xf numFmtId="1" fontId="6" fillId="3" borderId="1" xfId="8" applyNumberFormat="1" applyFont="1" applyFill="1" applyBorder="1" applyAlignment="1">
      <alignment horizontal="left" vertical="center"/>
    </xf>
    <xf numFmtId="169" fontId="6" fillId="3" borderId="1" xfId="8" applyNumberFormat="1" applyFont="1" applyFill="1" applyBorder="1" applyAlignment="1">
      <alignment horizontal="center" vertical="center" wrapText="1"/>
    </xf>
    <xf numFmtId="169" fontId="5" fillId="0" borderId="34" xfId="8" quotePrefix="1" applyNumberFormat="1" applyFont="1" applyFill="1" applyBorder="1" applyAlignment="1">
      <alignment horizontal="center" vertical="center"/>
    </xf>
    <xf numFmtId="169" fontId="5" fillId="0" borderId="34" xfId="8" applyNumberFormat="1" applyFont="1" applyFill="1" applyBorder="1" applyAlignment="1">
      <alignment horizontal="center" vertical="center"/>
    </xf>
    <xf numFmtId="169" fontId="5" fillId="0" borderId="37" xfId="8" applyNumberFormat="1" applyFont="1" applyFill="1" applyBorder="1" applyAlignment="1">
      <alignment horizontal="center" vertical="center"/>
    </xf>
    <xf numFmtId="169" fontId="5" fillId="0" borderId="42" xfId="8" applyNumberFormat="1" applyFont="1" applyFill="1" applyBorder="1" applyAlignment="1">
      <alignment horizontal="center" vertical="center"/>
    </xf>
    <xf numFmtId="0" fontId="4" fillId="0" borderId="0" xfId="8" applyFont="1" applyBorder="1" applyAlignment="1">
      <alignment horizontal="left" vertical="center"/>
    </xf>
    <xf numFmtId="0" fontId="19" fillId="0" borderId="0" xfId="8" applyFont="1" applyBorder="1" applyAlignment="1">
      <alignment horizontal="left" vertical="center"/>
    </xf>
    <xf numFmtId="0" fontId="11" fillId="0" borderId="0" xfId="0" applyFont="1" applyAlignment="1">
      <alignment vertical="center"/>
    </xf>
    <xf numFmtId="0" fontId="5" fillId="0" borderId="30" xfId="8" applyFont="1" applyBorder="1" applyAlignment="1">
      <alignment horizontal="center" vertical="center" wrapText="1"/>
    </xf>
    <xf numFmtId="0" fontId="5" fillId="0" borderId="31" xfId="8" applyFont="1" applyBorder="1" applyAlignment="1">
      <alignment horizontal="center" vertical="center" wrapText="1"/>
    </xf>
    <xf numFmtId="0" fontId="5" fillId="0" borderId="28" xfId="8" applyFont="1" applyBorder="1" applyAlignment="1">
      <alignment horizontal="right" vertical="center" wrapText="1"/>
    </xf>
    <xf numFmtId="169" fontId="1" fillId="0" borderId="0" xfId="0" applyNumberFormat="1" applyFont="1"/>
    <xf numFmtId="169" fontId="11" fillId="0" borderId="0" xfId="0" applyNumberFormat="1" applyFont="1" applyAlignment="1">
      <alignment horizontal="center" vertical="center"/>
    </xf>
    <xf numFmtId="0" fontId="11" fillId="0" borderId="0" xfId="0" applyFont="1" applyAlignment="1">
      <alignment horizontal="center" vertical="center"/>
    </xf>
    <xf numFmtId="169" fontId="6" fillId="0" borderId="1" xfId="0" applyNumberFormat="1" applyFont="1" applyBorder="1"/>
    <xf numFmtId="6" fontId="6" fillId="0" borderId="1" xfId="0" applyNumberFormat="1" applyFont="1" applyBorder="1"/>
    <xf numFmtId="6" fontId="6" fillId="0" borderId="1" xfId="0" applyNumberFormat="1" applyFont="1" applyBorder="1" applyAlignment="1">
      <alignment horizontal="right"/>
    </xf>
    <xf numFmtId="4" fontId="8" fillId="0" borderId="0" xfId="8" applyNumberFormat="1" applyFont="1" applyFill="1" applyBorder="1" applyAlignment="1">
      <alignment horizontal="left" wrapText="1"/>
    </xf>
    <xf numFmtId="0" fontId="6" fillId="0" borderId="1" xfId="0" applyFont="1" applyBorder="1" applyAlignment="1">
      <alignment horizontal="left" vertical="center"/>
    </xf>
    <xf numFmtId="14" fontId="6" fillId="0" borderId="0" xfId="8" applyNumberFormat="1" applyFont="1" applyFill="1" applyBorder="1" applyAlignment="1">
      <alignment horizontal="left" vertical="center" wrapText="1"/>
    </xf>
    <xf numFmtId="4" fontId="5" fillId="0" borderId="0" xfId="8" applyNumberFormat="1" applyFont="1" applyBorder="1" applyAlignment="1">
      <alignment horizontal="right"/>
    </xf>
    <xf numFmtId="169" fontId="5" fillId="0" borderId="0" xfId="11" applyNumberFormat="1" applyFont="1" applyBorder="1" applyAlignment="1">
      <alignment horizontal="center"/>
    </xf>
    <xf numFmtId="0" fontId="6" fillId="0" borderId="0" xfId="0" applyFont="1" applyAlignment="1">
      <alignment vertical="center"/>
    </xf>
    <xf numFmtId="1" fontId="4" fillId="0" borderId="0" xfId="8" quotePrefix="1" applyNumberFormat="1" applyFont="1" applyBorder="1" applyAlignment="1">
      <alignment horizontal="center"/>
    </xf>
    <xf numFmtId="171" fontId="14" fillId="0" borderId="1" xfId="0" applyNumberFormat="1" applyFont="1" applyBorder="1" applyAlignment="1">
      <alignment horizontal="center" vertical="center"/>
    </xf>
    <xf numFmtId="169" fontId="11" fillId="0" borderId="0" xfId="0" applyNumberFormat="1" applyFont="1" applyAlignment="1">
      <alignment vertical="center"/>
    </xf>
    <xf numFmtId="169" fontId="11" fillId="0" borderId="0" xfId="0" applyNumberFormat="1" applyFont="1"/>
    <xf numFmtId="169" fontId="11" fillId="0" borderId="0" xfId="0" applyNumberFormat="1" applyFont="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Border="1" applyAlignment="1">
      <alignment horizontal="left"/>
    </xf>
    <xf numFmtId="0" fontId="20" fillId="0" borderId="0" xfId="0" applyFont="1" applyAlignment="1">
      <alignment vertical="center"/>
    </xf>
    <xf numFmtId="168" fontId="16" fillId="0" borderId="1" xfId="4" applyNumberFormat="1" applyFont="1" applyBorder="1" applyAlignment="1">
      <alignment horizontal="center" vertical="center" wrapText="1"/>
    </xf>
    <xf numFmtId="0" fontId="5" fillId="0" borderId="19" xfId="8" applyFont="1" applyBorder="1" applyAlignment="1">
      <alignment horizontal="center"/>
    </xf>
    <xf numFmtId="0" fontId="5" fillId="0" borderId="21" xfId="8" applyFont="1" applyBorder="1" applyAlignment="1">
      <alignment horizontal="center"/>
    </xf>
    <xf numFmtId="0" fontId="5" fillId="0" borderId="18" xfId="8" applyFont="1" applyBorder="1" applyAlignment="1">
      <alignment horizontal="center"/>
    </xf>
    <xf numFmtId="4" fontId="6" fillId="0" borderId="12" xfId="8" applyNumberFormat="1" applyFont="1" applyFill="1" applyBorder="1" applyAlignment="1">
      <alignment horizontal="left" vertical="center" wrapText="1"/>
    </xf>
    <xf numFmtId="4" fontId="6" fillId="0" borderId="0" xfId="8" applyNumberFormat="1" applyFont="1" applyFill="1" applyBorder="1" applyAlignment="1">
      <alignment horizontal="left" vertical="center" wrapText="1"/>
    </xf>
    <xf numFmtId="0" fontId="6" fillId="0" borderId="0" xfId="0" applyFont="1" applyAlignment="1">
      <alignment vertical="top" wrapText="1"/>
    </xf>
    <xf numFmtId="0" fontId="5" fillId="0" borderId="1"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13" fillId="0" borderId="17" xfId="0" applyFont="1" applyBorder="1" applyAlignment="1">
      <alignment horizontal="left" vertical="center"/>
    </xf>
    <xf numFmtId="0" fontId="13" fillId="0" borderId="22" xfId="0" applyFont="1" applyBorder="1" applyAlignment="1">
      <alignment horizontal="left" vertical="center"/>
    </xf>
    <xf numFmtId="0" fontId="13" fillId="0" borderId="10" xfId="0" applyFont="1" applyBorder="1" applyAlignment="1">
      <alignment horizontal="left" vertical="center"/>
    </xf>
    <xf numFmtId="0" fontId="6" fillId="0" borderId="17" xfId="0" applyFont="1" applyBorder="1" applyAlignment="1">
      <alignment horizontal="left" vertical="center"/>
    </xf>
    <xf numFmtId="0" fontId="6" fillId="0" borderId="22" xfId="0" applyFont="1" applyBorder="1" applyAlignment="1">
      <alignment horizontal="left" vertical="center"/>
    </xf>
    <xf numFmtId="0" fontId="6" fillId="0" borderId="10" xfId="0" applyFont="1" applyBorder="1" applyAlignment="1">
      <alignment horizontal="left" vertical="center"/>
    </xf>
    <xf numFmtId="0" fontId="14" fillId="0" borderId="7" xfId="0" applyFont="1" applyFill="1" applyBorder="1" applyAlignment="1">
      <alignment vertical="center"/>
    </xf>
    <xf numFmtId="0" fontId="5" fillId="0" borderId="1" xfId="0" applyFont="1" applyBorder="1" applyAlignment="1">
      <alignment horizontal="left" vertical="center" wrapText="1"/>
    </xf>
    <xf numFmtId="0" fontId="4" fillId="0" borderId="17" xfId="0" applyFont="1" applyBorder="1" applyAlignment="1">
      <alignment horizontal="left" vertical="center"/>
    </xf>
    <xf numFmtId="0" fontId="4" fillId="0" borderId="22" xfId="0" applyFont="1" applyBorder="1" applyAlignment="1">
      <alignment horizontal="left" vertical="center"/>
    </xf>
    <xf numFmtId="0" fontId="4" fillId="0" borderId="10" xfId="0" applyFont="1" applyBorder="1" applyAlignment="1">
      <alignment horizontal="left" vertical="center"/>
    </xf>
    <xf numFmtId="0" fontId="17" fillId="0" borderId="1" xfId="0" applyFont="1" applyBorder="1" applyAlignment="1">
      <alignment horizontal="left"/>
    </xf>
    <xf numFmtId="0" fontId="4" fillId="0" borderId="1" xfId="0" applyFont="1" applyBorder="1" applyAlignment="1">
      <alignment horizontal="left" vertical="center"/>
    </xf>
    <xf numFmtId="0" fontId="6" fillId="0" borderId="1" xfId="0" applyFont="1" applyBorder="1" applyAlignment="1">
      <alignment horizontal="left" vertical="center"/>
    </xf>
    <xf numFmtId="0" fontId="13" fillId="0" borderId="1" xfId="0" applyFont="1" applyBorder="1" applyAlignment="1">
      <alignment vertical="center"/>
    </xf>
    <xf numFmtId="169" fontId="6" fillId="0" borderId="9" xfId="0" applyNumberFormat="1" applyFont="1" applyFill="1" applyBorder="1" applyAlignment="1">
      <alignment horizontal="left" vertical="center"/>
    </xf>
    <xf numFmtId="0" fontId="6" fillId="0" borderId="9" xfId="0" applyFont="1" applyFill="1" applyBorder="1" applyAlignment="1">
      <alignment vertical="center"/>
    </xf>
    <xf numFmtId="0" fontId="6" fillId="0" borderId="8" xfId="0" applyFont="1" applyFill="1" applyBorder="1" applyAlignment="1">
      <alignment vertical="center"/>
    </xf>
    <xf numFmtId="0" fontId="6" fillId="0" borderId="4" xfId="8" applyFont="1" applyFill="1" applyBorder="1" applyAlignment="1">
      <alignment vertical="center"/>
    </xf>
    <xf numFmtId="0" fontId="6" fillId="0" borderId="22" xfId="8" applyFont="1" applyFill="1" applyBorder="1" applyAlignment="1">
      <alignment vertical="center"/>
    </xf>
    <xf numFmtId="0" fontId="6" fillId="0" borderId="23" xfId="8" applyFont="1" applyFill="1" applyBorder="1" applyAlignment="1">
      <alignment vertical="center"/>
    </xf>
    <xf numFmtId="169" fontId="6" fillId="0" borderId="1" xfId="0" applyNumberFormat="1" applyFont="1" applyFill="1" applyBorder="1" applyAlignment="1">
      <alignment horizontal="left" vertical="center"/>
    </xf>
    <xf numFmtId="0" fontId="6" fillId="0" borderId="1" xfId="0" applyFont="1" applyFill="1" applyBorder="1" applyAlignment="1">
      <alignment vertical="center"/>
    </xf>
    <xf numFmtId="0" fontId="6" fillId="0" borderId="6" xfId="0" applyFont="1" applyFill="1" applyBorder="1" applyAlignment="1">
      <alignment vertical="center"/>
    </xf>
    <xf numFmtId="0" fontId="5" fillId="0" borderId="1" xfId="0" applyFont="1" applyBorder="1" applyAlignment="1">
      <alignment horizontal="center" vertical="center"/>
    </xf>
    <xf numFmtId="0" fontId="0" fillId="0" borderId="1" xfId="0" applyBorder="1" applyAlignment="1">
      <alignment vertical="center"/>
    </xf>
    <xf numFmtId="0" fontId="0" fillId="0" borderId="6" xfId="0" applyBorder="1" applyAlignment="1">
      <alignment vertical="center"/>
    </xf>
    <xf numFmtId="0" fontId="5" fillId="0" borderId="1" xfId="0" applyFont="1" applyBorder="1" applyAlignment="1">
      <alignment horizontal="left" vertical="center"/>
    </xf>
    <xf numFmtId="0" fontId="0" fillId="0" borderId="1" xfId="0" applyBorder="1" applyAlignment="1">
      <alignment horizontal="left"/>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169" fontId="8" fillId="0" borderId="7" xfId="10" applyNumberFormat="1" applyFont="1" applyFill="1" applyBorder="1" applyAlignment="1">
      <alignment horizontal="center" vertical="center" wrapText="1"/>
    </xf>
    <xf numFmtId="169" fontId="8" fillId="0" borderId="20" xfId="0" applyNumberFormat="1" applyFont="1" applyFill="1" applyBorder="1" applyAlignment="1">
      <alignment horizontal="center" vertical="center" wrapText="1"/>
    </xf>
    <xf numFmtId="169" fontId="8" fillId="0" borderId="16" xfId="0" applyNumberFormat="1" applyFont="1" applyFill="1" applyBorder="1" applyAlignment="1">
      <alignment horizontal="center" vertical="center" wrapText="1"/>
    </xf>
    <xf numFmtId="0" fontId="5" fillId="0" borderId="17" xfId="0" applyFont="1" applyBorder="1" applyAlignment="1">
      <alignment horizontal="left" vertical="center" wrapText="1"/>
    </xf>
    <xf numFmtId="0" fontId="6" fillId="0" borderId="1" xfId="0" applyFont="1" applyFill="1" applyBorder="1" applyAlignment="1">
      <alignment horizontal="left" vertical="center"/>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Border="1" applyAlignment="1">
      <alignment horizontal="left"/>
    </xf>
    <xf numFmtId="0" fontId="8" fillId="0" borderId="1" xfId="0" applyFont="1" applyBorder="1" applyAlignment="1">
      <alignment vertical="top"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Border="1" applyAlignment="1">
      <alignment wrapText="1"/>
    </xf>
  </cellXfs>
  <cellStyles count="12">
    <cellStyle name="Comma" xfId="1" builtinId="3"/>
    <cellStyle name="Comma 2" xfId="2"/>
    <cellStyle name="Comma 3" xfId="3"/>
    <cellStyle name="Currency" xfId="4" builtinId="4"/>
    <cellStyle name="Currency 2" xfId="5"/>
    <cellStyle name="Currency 3" xfId="6"/>
    <cellStyle name="Normal" xfId="0" builtinId="0"/>
    <cellStyle name="Normal 2 2" xfId="7"/>
    <cellStyle name="Normal 4 3" xfId="8"/>
    <cellStyle name="Normal 6" xfId="9"/>
    <cellStyle name="Percent" xfId="10" builtinId="5"/>
    <cellStyle name="Percent 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tabSelected="1" workbookViewId="0"/>
  </sheetViews>
  <sheetFormatPr defaultRowHeight="12.75" x14ac:dyDescent="0.2"/>
  <cols>
    <col min="1" max="1" width="32.42578125" customWidth="1"/>
    <col min="2" max="13" width="16.7109375" customWidth="1"/>
  </cols>
  <sheetData>
    <row r="1" spans="1:7" ht="20.100000000000001" customHeight="1" x14ac:dyDescent="0.25">
      <c r="A1" s="165" t="s">
        <v>168</v>
      </c>
      <c r="B1" s="165"/>
      <c r="C1" s="165"/>
      <c r="D1" s="165"/>
      <c r="F1" s="211" t="s">
        <v>202</v>
      </c>
      <c r="G1" s="140">
        <v>42963</v>
      </c>
    </row>
    <row r="2" spans="1:7" ht="20.100000000000001" customHeight="1" x14ac:dyDescent="0.25">
      <c r="A2" s="159" t="s">
        <v>199</v>
      </c>
      <c r="B2" s="159"/>
      <c r="C2" s="186"/>
      <c r="D2" s="159"/>
      <c r="E2" s="166"/>
      <c r="F2" s="126"/>
      <c r="G2" s="115"/>
    </row>
    <row r="3" spans="1:7" ht="15" customHeight="1" thickBot="1" x14ac:dyDescent="0.25">
      <c r="A3" s="207"/>
      <c r="B3" s="207"/>
      <c r="C3" s="207"/>
      <c r="D3" s="207"/>
      <c r="E3" s="207"/>
      <c r="F3" s="207"/>
      <c r="G3" s="207"/>
    </row>
    <row r="4" spans="1:7" ht="20.100000000000001" customHeight="1" thickBot="1" x14ac:dyDescent="0.3">
      <c r="A4" s="127"/>
      <c r="B4" s="167"/>
      <c r="C4" s="167"/>
      <c r="D4" s="222" t="s">
        <v>185</v>
      </c>
      <c r="E4" s="223"/>
      <c r="F4" s="223"/>
      <c r="G4" s="224"/>
    </row>
    <row r="5" spans="1:7" ht="50.1" customHeight="1" thickBot="1" x14ac:dyDescent="0.25">
      <c r="A5" s="198" t="s">
        <v>137</v>
      </c>
      <c r="B5" s="168" t="s">
        <v>184</v>
      </c>
      <c r="C5" s="169" t="s">
        <v>138</v>
      </c>
      <c r="D5" s="196" t="s">
        <v>139</v>
      </c>
      <c r="E5" s="197" t="s">
        <v>140</v>
      </c>
      <c r="F5" s="196" t="s">
        <v>141</v>
      </c>
      <c r="G5" s="197" t="s">
        <v>142</v>
      </c>
    </row>
    <row r="6" spans="1:7" ht="20.100000000000001" customHeight="1" x14ac:dyDescent="0.2">
      <c r="A6" s="170" t="s">
        <v>143</v>
      </c>
      <c r="B6" s="171">
        <f>ROUND('3rd IA Configuration'!B12-'3rd IA Configuration'!C12-'3rd IA Configuration'!J12-'3rd IA Configuration'!L12,1)</f>
        <v>-28.6</v>
      </c>
      <c r="C6" s="190" t="s">
        <v>144</v>
      </c>
      <c r="D6" s="174">
        <v>0</v>
      </c>
      <c r="E6" s="175">
        <v>0</v>
      </c>
      <c r="F6" s="174">
        <f>-B6</f>
        <v>28.6</v>
      </c>
      <c r="G6" s="175">
        <v>120</v>
      </c>
    </row>
    <row r="7" spans="1:7" ht="20.100000000000001" customHeight="1" x14ac:dyDescent="0.2">
      <c r="A7" s="172" t="s">
        <v>145</v>
      </c>
      <c r="B7" s="173">
        <f>ROUND('3rd IA Configuration'!C12-'3rd IA Configuration'!D12-'3rd IA Configuration'!E12-'3rd IA Configuration'!N12,1)</f>
        <v>0</v>
      </c>
      <c r="C7" s="189" t="s">
        <v>183</v>
      </c>
      <c r="D7" s="176" t="s">
        <v>183</v>
      </c>
      <c r="E7" s="177" t="s">
        <v>183</v>
      </c>
      <c r="F7" s="176" t="s">
        <v>183</v>
      </c>
      <c r="G7" s="177" t="s">
        <v>183</v>
      </c>
    </row>
    <row r="8" spans="1:7" ht="20.100000000000001" customHeight="1" x14ac:dyDescent="0.2">
      <c r="A8" s="172" t="s">
        <v>146</v>
      </c>
      <c r="B8" s="173">
        <f>ROUND('3rd IA Configuration'!D12-'3rd IA Configuration'!F12-'3rd IA Configuration'!H12,1)</f>
        <v>-435.7</v>
      </c>
      <c r="C8" s="190" t="s">
        <v>144</v>
      </c>
      <c r="D8" s="174">
        <v>0</v>
      </c>
      <c r="E8" s="175">
        <v>0</v>
      </c>
      <c r="F8" s="174">
        <f>-B8</f>
        <v>435.7</v>
      </c>
      <c r="G8" s="175">
        <v>120</v>
      </c>
    </row>
    <row r="9" spans="1:7" ht="20.100000000000001" customHeight="1" x14ac:dyDescent="0.2">
      <c r="A9" s="172" t="s">
        <v>147</v>
      </c>
      <c r="B9" s="173">
        <f>ROUND('3rd IA Configuration'!E12-'3rd IA Configuration'!I12-'3rd IA Configuration'!M12,1)</f>
        <v>-32.799999999999997</v>
      </c>
      <c r="C9" s="190" t="s">
        <v>144</v>
      </c>
      <c r="D9" s="174">
        <v>0</v>
      </c>
      <c r="E9" s="175">
        <v>0</v>
      </c>
      <c r="F9" s="176">
        <f>-B9</f>
        <v>32.799999999999997</v>
      </c>
      <c r="G9" s="177">
        <v>120</v>
      </c>
    </row>
    <row r="10" spans="1:7" ht="20.100000000000001" customHeight="1" x14ac:dyDescent="0.2">
      <c r="A10" s="172" t="s">
        <v>148</v>
      </c>
      <c r="B10" s="173">
        <f>ROUND('3rd IA Configuration'!F12-'3rd IA Configuration'!G12,1)</f>
        <v>0</v>
      </c>
      <c r="C10" s="189" t="s">
        <v>183</v>
      </c>
      <c r="D10" s="176" t="s">
        <v>183</v>
      </c>
      <c r="E10" s="177" t="s">
        <v>183</v>
      </c>
      <c r="F10" s="176" t="s">
        <v>183</v>
      </c>
      <c r="G10" s="177" t="s">
        <v>183</v>
      </c>
    </row>
    <row r="11" spans="1:7" ht="20.100000000000001" customHeight="1" x14ac:dyDescent="0.2">
      <c r="A11" s="172" t="s">
        <v>44</v>
      </c>
      <c r="B11" s="173">
        <f>ROUND('3rd IA Configuration'!G12,1)</f>
        <v>-144.5</v>
      </c>
      <c r="C11" s="190" t="s">
        <v>144</v>
      </c>
      <c r="D11" s="174">
        <v>0</v>
      </c>
      <c r="E11" s="175">
        <v>0</v>
      </c>
      <c r="F11" s="174">
        <f>-B11</f>
        <v>144.5</v>
      </c>
      <c r="G11" s="175">
        <v>215</v>
      </c>
    </row>
    <row r="12" spans="1:7" ht="20.100000000000001" customHeight="1" x14ac:dyDescent="0.2">
      <c r="A12" s="172" t="s">
        <v>45</v>
      </c>
      <c r="B12" s="173">
        <f>ROUND('3rd IA Configuration'!H12,1)</f>
        <v>0</v>
      </c>
      <c r="C12" s="189" t="s">
        <v>183</v>
      </c>
      <c r="D12" s="176" t="s">
        <v>183</v>
      </c>
      <c r="E12" s="177" t="s">
        <v>183</v>
      </c>
      <c r="F12" s="176" t="s">
        <v>183</v>
      </c>
      <c r="G12" s="177" t="s">
        <v>183</v>
      </c>
    </row>
    <row r="13" spans="1:7" ht="20.100000000000001" customHeight="1" x14ac:dyDescent="0.2">
      <c r="A13" s="178" t="s">
        <v>7</v>
      </c>
      <c r="B13" s="173">
        <f>ROUND('3rd IA Configuration'!I12,1)</f>
        <v>-147.1</v>
      </c>
      <c r="C13" s="191" t="s">
        <v>144</v>
      </c>
      <c r="D13" s="174">
        <v>0</v>
      </c>
      <c r="E13" s="175">
        <v>0</v>
      </c>
      <c r="F13" s="174">
        <f t="shared" ref="F13:F18" si="0">-B13</f>
        <v>147.1</v>
      </c>
      <c r="G13" s="175">
        <v>120</v>
      </c>
    </row>
    <row r="14" spans="1:7" ht="20.100000000000001" customHeight="1" x14ac:dyDescent="0.2">
      <c r="A14" s="178" t="s">
        <v>149</v>
      </c>
      <c r="B14" s="173">
        <f>ROUND('3rd IA Configuration'!J12-'3rd IA Configuration'!K12,1)</f>
        <v>-2129.8000000000002</v>
      </c>
      <c r="C14" s="190" t="s">
        <v>144</v>
      </c>
      <c r="D14" s="179">
        <v>0</v>
      </c>
      <c r="E14" s="180">
        <v>0</v>
      </c>
      <c r="F14" s="179">
        <f t="shared" si="0"/>
        <v>2129.8000000000002</v>
      </c>
      <c r="G14" s="180">
        <v>120</v>
      </c>
    </row>
    <row r="15" spans="1:7" ht="20.100000000000001" customHeight="1" x14ac:dyDescent="0.2">
      <c r="A15" s="178" t="s">
        <v>72</v>
      </c>
      <c r="B15" s="173">
        <f>ROUND('3rd IA Configuration'!K12,1)</f>
        <v>-2.6</v>
      </c>
      <c r="C15" s="190" t="s">
        <v>144</v>
      </c>
      <c r="D15" s="179">
        <v>0</v>
      </c>
      <c r="E15" s="180">
        <v>0</v>
      </c>
      <c r="F15" s="179">
        <f t="shared" si="0"/>
        <v>2.6</v>
      </c>
      <c r="G15" s="180">
        <v>120</v>
      </c>
    </row>
    <row r="16" spans="1:7" ht="20.100000000000001" customHeight="1" x14ac:dyDescent="0.2">
      <c r="A16" s="178" t="s">
        <v>18</v>
      </c>
      <c r="B16" s="173">
        <f>ROUND('3rd IA Configuration'!L12,1)</f>
        <v>-3786.1</v>
      </c>
      <c r="C16" s="191" t="s">
        <v>144</v>
      </c>
      <c r="D16" s="179">
        <v>0</v>
      </c>
      <c r="E16" s="180">
        <v>0</v>
      </c>
      <c r="F16" s="179">
        <f t="shared" si="0"/>
        <v>3786.1</v>
      </c>
      <c r="G16" s="180">
        <v>120</v>
      </c>
    </row>
    <row r="17" spans="1:13" ht="20.100000000000001" customHeight="1" x14ac:dyDescent="0.2">
      <c r="A17" s="178" t="s">
        <v>3</v>
      </c>
      <c r="B17" s="173">
        <f>ROUND('3rd IA Configuration'!M12,1)</f>
        <v>-548.6</v>
      </c>
      <c r="C17" s="190" t="s">
        <v>144</v>
      </c>
      <c r="D17" s="179">
        <v>0</v>
      </c>
      <c r="E17" s="180">
        <v>0</v>
      </c>
      <c r="F17" s="179">
        <f t="shared" si="0"/>
        <v>548.6</v>
      </c>
      <c r="G17" s="180">
        <v>120</v>
      </c>
    </row>
    <row r="18" spans="1:13" ht="20.100000000000001" customHeight="1" thickBot="1" x14ac:dyDescent="0.25">
      <c r="A18" s="178" t="s">
        <v>102</v>
      </c>
      <c r="B18" s="181">
        <f>ROUND('3rd IA Configuration'!N12,1)</f>
        <v>-1330.8</v>
      </c>
      <c r="C18" s="192" t="s">
        <v>144</v>
      </c>
      <c r="D18" s="182">
        <v>0</v>
      </c>
      <c r="E18" s="183">
        <v>0</v>
      </c>
      <c r="F18" s="182">
        <f t="shared" si="0"/>
        <v>1330.8</v>
      </c>
      <c r="G18" s="183">
        <v>120</v>
      </c>
    </row>
    <row r="19" spans="1:13" ht="20.100000000000001" customHeight="1" thickBot="1" x14ac:dyDescent="0.3">
      <c r="A19" s="184" t="s">
        <v>150</v>
      </c>
      <c r="B19" s="185">
        <f>SUM(B6:B18)</f>
        <v>-8586.6</v>
      </c>
      <c r="C19" s="152" t="s">
        <v>12</v>
      </c>
      <c r="D19" s="126"/>
      <c r="E19" s="126"/>
      <c r="F19" s="126"/>
      <c r="G19" s="115"/>
    </row>
    <row r="20" spans="1:13" ht="9.9499999999999993" customHeight="1" x14ac:dyDescent="0.25">
      <c r="A20" s="208"/>
      <c r="B20" s="209"/>
      <c r="C20" s="152"/>
      <c r="D20" s="126"/>
      <c r="E20" s="126"/>
      <c r="F20" s="126"/>
      <c r="G20" s="115"/>
    </row>
    <row r="21" spans="1:13" ht="65.099999999999994" customHeight="1" x14ac:dyDescent="0.2">
      <c r="A21" s="225" t="s">
        <v>197</v>
      </c>
      <c r="B21" s="226"/>
      <c r="C21" s="226"/>
      <c r="D21" s="226"/>
      <c r="E21" s="226"/>
      <c r="F21" s="226"/>
      <c r="G21" s="226"/>
      <c r="H21" s="205"/>
      <c r="I21" s="205"/>
      <c r="J21" s="205"/>
      <c r="K21" s="205"/>
      <c r="L21" s="205"/>
      <c r="M21" s="205"/>
    </row>
    <row r="22" spans="1:13" ht="15" x14ac:dyDescent="0.2">
      <c r="A22" s="220" t="s">
        <v>12</v>
      </c>
    </row>
    <row r="23" spans="1:13" ht="15.75" x14ac:dyDescent="0.2">
      <c r="B23" s="110" t="s">
        <v>17</v>
      </c>
      <c r="C23" s="110" t="s">
        <v>16</v>
      </c>
      <c r="D23" s="110" t="s">
        <v>14</v>
      </c>
      <c r="E23" s="110" t="s">
        <v>8</v>
      </c>
      <c r="F23" s="110" t="s">
        <v>44</v>
      </c>
      <c r="G23" s="110" t="s">
        <v>45</v>
      </c>
      <c r="H23" s="110" t="s">
        <v>7</v>
      </c>
      <c r="I23" s="110" t="s">
        <v>53</v>
      </c>
      <c r="J23" s="110" t="s">
        <v>124</v>
      </c>
      <c r="K23" s="49" t="s">
        <v>18</v>
      </c>
      <c r="L23" s="49" t="s">
        <v>3</v>
      </c>
      <c r="M23" s="49" t="s">
        <v>102</v>
      </c>
    </row>
    <row r="24" spans="1:13" ht="21" customHeight="1" x14ac:dyDescent="0.2">
      <c r="A24" s="121" t="s">
        <v>135</v>
      </c>
      <c r="B24" s="148">
        <v>2700.8</v>
      </c>
      <c r="C24" s="148">
        <f>'3rd IA Configuration'!D14</f>
        <v>1494.4</v>
      </c>
      <c r="D24" s="148">
        <f>'3rd IA Configuration'!E14</f>
        <v>1869</v>
      </c>
      <c r="E24" s="148">
        <f>'3rd IA Configuration'!F14</f>
        <v>0</v>
      </c>
      <c r="F24" s="148">
        <f>'3rd IA Configuration'!G14</f>
        <v>72.599999999999994</v>
      </c>
      <c r="G24" s="148">
        <f>'3rd IA Configuration'!H14</f>
        <v>382.4</v>
      </c>
      <c r="H24" s="148">
        <v>2545.6</v>
      </c>
      <c r="I24" s="148">
        <f>'3rd IA Configuration'!J14</f>
        <v>670.3</v>
      </c>
      <c r="J24" s="148">
        <f>'3rd IA Configuration'!K14</f>
        <v>937.7</v>
      </c>
      <c r="K24" s="148">
        <f>'3rd IA Configuration'!L14</f>
        <v>1508.4</v>
      </c>
      <c r="L24" s="148">
        <v>784.1</v>
      </c>
      <c r="M24" s="148">
        <v>2478.8000000000002</v>
      </c>
    </row>
    <row r="25" spans="1:13" ht="20.100000000000001" customHeight="1" x14ac:dyDescent="0.2">
      <c r="A25" s="210" t="s">
        <v>198</v>
      </c>
    </row>
    <row r="27" spans="1:13" ht="54.95" customHeight="1" x14ac:dyDescent="0.2">
      <c r="A27" s="227" t="s">
        <v>211</v>
      </c>
      <c r="B27" s="227"/>
      <c r="C27" s="227"/>
      <c r="D27" s="227"/>
      <c r="E27" s="227"/>
      <c r="F27" s="227"/>
      <c r="G27" s="227"/>
      <c r="H27" s="227"/>
      <c r="I27" s="227"/>
      <c r="J27" s="227"/>
      <c r="K27" s="227"/>
      <c r="L27" s="227"/>
      <c r="M27" s="227"/>
    </row>
  </sheetData>
  <mergeCells count="3">
    <mergeCell ref="D4:G4"/>
    <mergeCell ref="A21:G21"/>
    <mergeCell ref="A27:M27"/>
  </mergeCells>
  <pageMargins left="0.5" right="0.5" top="0.5" bottom="0.5" header="0.3" footer="0.3"/>
  <pageSetup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zoomScaleNormal="100" workbookViewId="0"/>
  </sheetViews>
  <sheetFormatPr defaultRowHeight="12.75" x14ac:dyDescent="0.2"/>
  <cols>
    <col min="1" max="1" width="65.7109375" customWidth="1"/>
    <col min="2" max="6" width="12.7109375" customWidth="1"/>
    <col min="7" max="7" width="13.42578125" customWidth="1"/>
    <col min="8" max="8" width="14.85546875" customWidth="1"/>
    <col min="9" max="14" width="12.7109375" customWidth="1"/>
    <col min="15" max="20" width="10.7109375" customWidth="1"/>
  </cols>
  <sheetData>
    <row r="1" spans="1:20" ht="24.95" customHeight="1" x14ac:dyDescent="0.2">
      <c r="A1" s="193" t="s">
        <v>167</v>
      </c>
      <c r="B1" s="193"/>
      <c r="C1" s="193"/>
      <c r="D1" s="193"/>
      <c r="E1" s="194" t="s">
        <v>12</v>
      </c>
      <c r="F1" s="193"/>
      <c r="G1" s="193"/>
      <c r="H1" s="193"/>
      <c r="I1" s="193"/>
      <c r="J1" s="193"/>
      <c r="K1" s="193"/>
      <c r="L1" s="193"/>
      <c r="M1" s="193"/>
      <c r="N1" s="193"/>
    </row>
    <row r="2" spans="1:20" ht="15.75" x14ac:dyDescent="0.25">
      <c r="A2" s="122"/>
      <c r="B2" s="122"/>
      <c r="C2" s="122"/>
      <c r="D2" s="122"/>
      <c r="E2" s="123"/>
      <c r="F2" s="122"/>
      <c r="G2" s="119"/>
      <c r="H2" s="116"/>
      <c r="I2" s="116"/>
      <c r="J2" s="116"/>
      <c r="K2" s="116"/>
      <c r="L2" s="116"/>
      <c r="M2" s="116"/>
      <c r="N2" s="116"/>
    </row>
    <row r="3" spans="1:20" ht="20.100000000000001" customHeight="1" x14ac:dyDescent="0.25">
      <c r="A3" s="137"/>
      <c r="B3" s="138" t="s">
        <v>12</v>
      </c>
      <c r="C3" s="228" t="s">
        <v>54</v>
      </c>
      <c r="D3" s="228"/>
      <c r="E3" s="228"/>
      <c r="F3" s="228"/>
      <c r="G3" s="228"/>
      <c r="H3" s="228"/>
      <c r="I3" s="228"/>
      <c r="J3" s="228"/>
      <c r="K3" s="228"/>
      <c r="L3" s="228"/>
      <c r="M3" s="228"/>
      <c r="N3" s="228"/>
    </row>
    <row r="4" spans="1:20" ht="20.100000000000001" customHeight="1" x14ac:dyDescent="0.2">
      <c r="A4" s="120" t="s">
        <v>12</v>
      </c>
      <c r="B4" s="110" t="s">
        <v>13</v>
      </c>
      <c r="C4" s="110" t="s">
        <v>17</v>
      </c>
      <c r="D4" s="110" t="s">
        <v>16</v>
      </c>
      <c r="E4" s="110" t="s">
        <v>14</v>
      </c>
      <c r="F4" s="110" t="s">
        <v>8</v>
      </c>
      <c r="G4" s="110" t="s">
        <v>44</v>
      </c>
      <c r="H4" s="110" t="s">
        <v>45</v>
      </c>
      <c r="I4" s="110" t="s">
        <v>7</v>
      </c>
      <c r="J4" s="110" t="s">
        <v>53</v>
      </c>
      <c r="K4" s="110" t="s">
        <v>124</v>
      </c>
      <c r="L4" s="49" t="s">
        <v>18</v>
      </c>
      <c r="M4" s="49" t="s">
        <v>3</v>
      </c>
      <c r="N4" s="49" t="s">
        <v>102</v>
      </c>
    </row>
    <row r="5" spans="1:20" ht="20.100000000000001" customHeight="1" x14ac:dyDescent="0.2">
      <c r="A5" s="121" t="s">
        <v>187</v>
      </c>
      <c r="B5" s="158">
        <f>'2nd IA Parameters'!B18</f>
        <v>154899.70000000001</v>
      </c>
      <c r="C5" s="158">
        <f>'2nd IA Parameters'!C18</f>
        <v>67198</v>
      </c>
      <c r="D5" s="158">
        <f>'2nd IA Parameters'!D18</f>
        <v>37478</v>
      </c>
      <c r="E5" s="158">
        <f>'2nd IA Parameters'!E18</f>
        <v>15914</v>
      </c>
      <c r="F5" s="158">
        <f>'2nd IA Parameters'!F18</f>
        <v>12302</v>
      </c>
      <c r="G5" s="158">
        <f>'2nd IA Parameters'!G18</f>
        <v>6381</v>
      </c>
      <c r="H5" s="158">
        <f>'2nd IA Parameters'!H18</f>
        <v>3020</v>
      </c>
      <c r="I5" s="158">
        <f>'2nd IA Parameters'!I18</f>
        <v>8254</v>
      </c>
      <c r="J5" s="158">
        <f>'2nd IA Parameters'!J18</f>
        <v>15541</v>
      </c>
      <c r="K5" s="158">
        <f>'2nd IA Parameters'!K18</f>
        <v>5906</v>
      </c>
      <c r="L5" s="158">
        <f>'2nd IA Parameters'!L18</f>
        <v>26082</v>
      </c>
      <c r="M5" s="158">
        <f>'2nd IA Parameters'!M18</f>
        <v>8262</v>
      </c>
      <c r="N5" s="158">
        <f>'2nd IA Parameters'!N18</f>
        <v>10471</v>
      </c>
    </row>
    <row r="6" spans="1:20" ht="20.100000000000001" customHeight="1" x14ac:dyDescent="0.2">
      <c r="A6" s="121" t="s">
        <v>188</v>
      </c>
      <c r="B6" s="158">
        <f>'3rd IA Parameters'!B24</f>
        <v>154125.834</v>
      </c>
      <c r="C6" s="158">
        <f>'3rd IA Parameters'!C24</f>
        <v>66636.0671</v>
      </c>
      <c r="D6" s="158">
        <f>'3rd IA Parameters'!D24</f>
        <v>37246.353799999997</v>
      </c>
      <c r="E6" s="158">
        <f>'3rd IA Parameters'!E24</f>
        <v>15745.6919</v>
      </c>
      <c r="F6" s="158">
        <f>'3rd IA Parameters'!F24</f>
        <v>12080.612300000001</v>
      </c>
      <c r="G6" s="158">
        <f>'3rd IA Parameters'!G24</f>
        <v>6106.6940000000004</v>
      </c>
      <c r="H6" s="158">
        <f>'3rd IA Parameters'!H24</f>
        <v>3023.5852</v>
      </c>
      <c r="I6" s="158">
        <f>'3rd IA Parameters'!I24</f>
        <v>8215.1429000000007</v>
      </c>
      <c r="J6" s="158">
        <f>'3rd IA Parameters'!J24</f>
        <v>15578.3933</v>
      </c>
      <c r="K6" s="158">
        <f>'3rd IA Parameters'!K24</f>
        <v>5847.4573</v>
      </c>
      <c r="L6" s="158">
        <f>'3rd IA Parameters'!L24</f>
        <v>26148.927100000001</v>
      </c>
      <c r="M6" s="158">
        <f>'3rd IA Parameters'!M24</f>
        <v>8176.549</v>
      </c>
      <c r="N6" s="158">
        <f>'3rd IA Parameters'!N24</f>
        <v>10283.395699999999</v>
      </c>
    </row>
    <row r="7" spans="1:20" ht="20.100000000000001" customHeight="1" x14ac:dyDescent="0.2">
      <c r="A7" s="124" t="s">
        <v>191</v>
      </c>
      <c r="B7" s="158">
        <f>B6-B5</f>
        <v>-773.86600000000908</v>
      </c>
      <c r="C7" s="158">
        <f>C6-C5</f>
        <v>-561.93289999999979</v>
      </c>
      <c r="D7" s="158">
        <f t="shared" ref="D7:N7" si="0">D6-D5</f>
        <v>-231.64620000000286</v>
      </c>
      <c r="E7" s="158">
        <f t="shared" si="0"/>
        <v>-168.30810000000019</v>
      </c>
      <c r="F7" s="158">
        <f t="shared" si="0"/>
        <v>-221.38769999999931</v>
      </c>
      <c r="G7" s="158">
        <f t="shared" si="0"/>
        <v>-274.30599999999959</v>
      </c>
      <c r="H7" s="158">
        <f t="shared" si="0"/>
        <v>3.5851999999999862</v>
      </c>
      <c r="I7" s="158">
        <f t="shared" si="0"/>
        <v>-38.857099999999264</v>
      </c>
      <c r="J7" s="158">
        <f>J6-J5</f>
        <v>37.393299999999726</v>
      </c>
      <c r="K7" s="158">
        <f t="shared" si="0"/>
        <v>-58.542699999999968</v>
      </c>
      <c r="L7" s="158">
        <f t="shared" si="0"/>
        <v>66.927100000000792</v>
      </c>
      <c r="M7" s="158">
        <f t="shared" si="0"/>
        <v>-85.451000000000022</v>
      </c>
      <c r="N7" s="158">
        <f t="shared" si="0"/>
        <v>-187.60430000000088</v>
      </c>
    </row>
    <row r="8" spans="1:20" ht="20.100000000000001" customHeight="1" x14ac:dyDescent="0.2">
      <c r="A8" s="125" t="s">
        <v>192</v>
      </c>
      <c r="B8" s="158">
        <f>'BRA Parameters'!B19*0.6</f>
        <v>2475.12</v>
      </c>
      <c r="C8" s="158">
        <f>'BRA Parameters'!C19*0.6</f>
        <v>993.1053714358294</v>
      </c>
      <c r="D8" s="158">
        <f>'BRA Parameters'!D19*0.6</f>
        <v>541.44227328928741</v>
      </c>
      <c r="E8" s="158">
        <f>'BRA Parameters'!E19*0.6</f>
        <v>228.9262534507977</v>
      </c>
      <c r="F8" s="158">
        <f>'BRA Parameters'!F19*0.6</f>
        <v>171.43679805663771</v>
      </c>
      <c r="G8" s="158">
        <f>'BRA Parameters'!G19*0.6</f>
        <v>83.146847057469287</v>
      </c>
      <c r="H8" s="158">
        <f>'BRA Parameters'!H19*0.6</f>
        <v>39.666840020719654</v>
      </c>
      <c r="I8" s="158">
        <f>'BRA Parameters'!I19*0.6</f>
        <v>110.1813002982918</v>
      </c>
      <c r="J8" s="158">
        <f>'BRA Parameters'!J19*0.6</f>
        <v>214.22231413323695</v>
      </c>
      <c r="K8" s="158">
        <f>'BRA Parameters'!K19*0.6</f>
        <v>73.513146948909338</v>
      </c>
      <c r="L8" s="158">
        <f>'BRA Parameters'!L19*0.6</f>
        <v>377.72586207923086</v>
      </c>
      <c r="M8" s="158">
        <f>'BRA Parameters'!M19*0.6</f>
        <v>118.74495315250589</v>
      </c>
      <c r="N8" s="158">
        <f>'BRA Parameters'!N19*0.6</f>
        <v>123.0840889199375</v>
      </c>
    </row>
    <row r="9" spans="1:20" ht="20.100000000000001" customHeight="1" x14ac:dyDescent="0.2">
      <c r="A9" s="125" t="s">
        <v>193</v>
      </c>
      <c r="B9" s="164">
        <v>-270.79999999999995</v>
      </c>
      <c r="C9" s="164">
        <v>-203.7</v>
      </c>
      <c r="D9" s="164">
        <v>-99.3</v>
      </c>
      <c r="E9" s="164">
        <v>-104.4</v>
      </c>
      <c r="F9" s="164">
        <v>-90.7</v>
      </c>
      <c r="G9" s="164">
        <v>-24.2</v>
      </c>
      <c r="H9" s="164">
        <v>-8.6</v>
      </c>
      <c r="I9" s="164">
        <v>-51.5</v>
      </c>
      <c r="J9" s="164">
        <v>-17.600000000000001</v>
      </c>
      <c r="K9" s="164">
        <v>-17.600000000000001</v>
      </c>
      <c r="L9" s="164">
        <v>-49.5</v>
      </c>
      <c r="M9" s="164">
        <v>-52.9</v>
      </c>
      <c r="N9" s="164">
        <v>0</v>
      </c>
    </row>
    <row r="10" spans="1:20" ht="20.100000000000001" customHeight="1" x14ac:dyDescent="0.2">
      <c r="A10" s="125" t="s">
        <v>194</v>
      </c>
      <c r="B10" s="164">
        <v>-10017</v>
      </c>
      <c r="C10" s="164">
        <v>-2866.9</v>
      </c>
      <c r="D10" s="164">
        <v>-799.6</v>
      </c>
      <c r="E10" s="164">
        <v>-695.9</v>
      </c>
      <c r="F10" s="164">
        <v>-3.8</v>
      </c>
      <c r="G10" s="164">
        <v>-1.7</v>
      </c>
      <c r="H10" s="164">
        <v>-1.6</v>
      </c>
      <c r="I10" s="164">
        <v>-166.9</v>
      </c>
      <c r="J10" s="164">
        <v>-2366.4</v>
      </c>
      <c r="K10" s="164">
        <v>0</v>
      </c>
      <c r="L10" s="164">
        <v>-4181.3</v>
      </c>
      <c r="M10" s="164">
        <v>-529</v>
      </c>
      <c r="N10" s="164">
        <v>-1286.8</v>
      </c>
      <c r="O10" s="195" t="s">
        <v>12</v>
      </c>
      <c r="P10" s="34"/>
      <c r="Q10" s="34"/>
      <c r="R10" s="34"/>
      <c r="S10" s="34"/>
    </row>
    <row r="11" spans="1:20" ht="20.100000000000001" customHeight="1" x14ac:dyDescent="0.2">
      <c r="A11" s="125" t="s">
        <v>189</v>
      </c>
      <c r="B11" s="158">
        <f>B7+B8+B9+B10</f>
        <v>-8586.5460000000094</v>
      </c>
      <c r="C11" s="158">
        <f t="shared" ref="C11:N11" si="1">C7+C8+C9+C10</f>
        <v>-2639.4275285641706</v>
      </c>
      <c r="D11" s="158">
        <f t="shared" si="1"/>
        <v>-589.10392671071554</v>
      </c>
      <c r="E11" s="158">
        <f t="shared" si="1"/>
        <v>-739.68184654920242</v>
      </c>
      <c r="F11" s="158">
        <f t="shared" si="1"/>
        <v>-144.4509019433616</v>
      </c>
      <c r="G11" s="158">
        <f t="shared" si="1"/>
        <v>-217.05915294253026</v>
      </c>
      <c r="H11" s="158">
        <f t="shared" si="1"/>
        <v>33.052040020719637</v>
      </c>
      <c r="I11" s="158">
        <f t="shared" si="1"/>
        <v>-147.07579970170747</v>
      </c>
      <c r="J11" s="158">
        <f t="shared" si="1"/>
        <v>-2132.3843858667633</v>
      </c>
      <c r="K11" s="158">
        <f t="shared" si="1"/>
        <v>-2.6295530510906318</v>
      </c>
      <c r="L11" s="158">
        <f t="shared" si="1"/>
        <v>-3786.1470379207685</v>
      </c>
      <c r="M11" s="158">
        <f t="shared" si="1"/>
        <v>-548.6060468474941</v>
      </c>
      <c r="N11" s="158">
        <f t="shared" si="1"/>
        <v>-1351.3202110800632</v>
      </c>
      <c r="O11" s="200" t="s">
        <v>12</v>
      </c>
      <c r="P11" s="215" t="s">
        <v>12</v>
      </c>
      <c r="Q11" s="201"/>
      <c r="R11" s="201"/>
      <c r="S11" s="214" t="s">
        <v>12</v>
      </c>
    </row>
    <row r="12" spans="1:20" ht="20.100000000000001" customHeight="1" x14ac:dyDescent="0.2">
      <c r="A12" s="187" t="s">
        <v>190</v>
      </c>
      <c r="B12" s="188">
        <f>B11</f>
        <v>-8586.5460000000094</v>
      </c>
      <c r="C12" s="188">
        <f>C11</f>
        <v>-2639.4275285641706</v>
      </c>
      <c r="D12" s="188">
        <v>-580.16254970171656</v>
      </c>
      <c r="E12" s="188">
        <v>-728.45500870814908</v>
      </c>
      <c r="F12" s="188">
        <f>F11</f>
        <v>-144.4509019433616</v>
      </c>
      <c r="G12" s="188">
        <f>F11</f>
        <v>-144.4509019433616</v>
      </c>
      <c r="H12" s="188">
        <v>0</v>
      </c>
      <c r="I12" s="188">
        <f>I11</f>
        <v>-147.07579970170747</v>
      </c>
      <c r="J12" s="188">
        <f>J11</f>
        <v>-2132.3843858667633</v>
      </c>
      <c r="K12" s="188">
        <f>K11</f>
        <v>-2.6295530510906318</v>
      </c>
      <c r="L12" s="188">
        <f>L11</f>
        <v>-3786.1470379207685</v>
      </c>
      <c r="M12" s="188">
        <f>M11</f>
        <v>-548.6060468474941</v>
      </c>
      <c r="N12" s="188">
        <v>-1330.8099701543051</v>
      </c>
      <c r="O12" s="213" t="s">
        <v>12</v>
      </c>
      <c r="P12" s="200"/>
      <c r="Q12" s="200"/>
      <c r="R12" s="200"/>
      <c r="S12" s="34"/>
      <c r="T12" s="80" t="s">
        <v>12</v>
      </c>
    </row>
    <row r="13" spans="1:20" ht="20.100000000000001" customHeight="1" x14ac:dyDescent="0.2">
      <c r="A13" s="121" t="s">
        <v>134</v>
      </c>
      <c r="B13" s="118" t="s">
        <v>24</v>
      </c>
      <c r="C13" s="117">
        <f>'2nd IA Parameters'!C14-'1st IA Parameters'!C14</f>
        <v>0</v>
      </c>
      <c r="D13" s="117">
        <f>'2nd IA Parameters'!D14-'1st IA Parameters'!D14</f>
        <v>0</v>
      </c>
      <c r="E13" s="117">
        <f>'2nd IA Parameters'!E14-'1st IA Parameters'!E14</f>
        <v>0</v>
      </c>
      <c r="F13" s="117">
        <f>'2nd IA Parameters'!F14-'1st IA Parameters'!F14</f>
        <v>0</v>
      </c>
      <c r="G13" s="117">
        <f>'2nd IA Parameters'!G14-'1st IA Parameters'!G14</f>
        <v>0</v>
      </c>
      <c r="H13" s="117">
        <f>'2nd IA Parameters'!H14-'1st IA Parameters'!H14</f>
        <v>0</v>
      </c>
      <c r="I13" s="117">
        <f>'2nd IA Parameters'!I14-'1st IA Parameters'!I14</f>
        <v>0</v>
      </c>
      <c r="J13" s="117">
        <f>'2nd IA Parameters'!J14-'1st IA Parameters'!J14</f>
        <v>0</v>
      </c>
      <c r="K13" s="117">
        <f>'2nd IA Parameters'!K14-'1st IA Parameters'!K14</f>
        <v>0</v>
      </c>
      <c r="L13" s="117">
        <f>'2nd IA Parameters'!L14-'1st IA Parameters'!L14</f>
        <v>0</v>
      </c>
      <c r="M13" s="117">
        <f>'2nd IA Parameters'!M14-'1st IA Parameters'!M14</f>
        <v>0</v>
      </c>
      <c r="N13" s="117">
        <f>'2nd IA Parameters'!N14-'1st IA Parameters'!N14</f>
        <v>0</v>
      </c>
      <c r="P13" s="156" t="s">
        <v>12</v>
      </c>
      <c r="R13" s="156" t="s">
        <v>12</v>
      </c>
    </row>
    <row r="14" spans="1:20" ht="20.100000000000001" customHeight="1" x14ac:dyDescent="0.2">
      <c r="A14" s="121" t="s">
        <v>135</v>
      </c>
      <c r="B14" s="147" t="s">
        <v>24</v>
      </c>
      <c r="C14" s="148">
        <v>2572.6999999999998</v>
      </c>
      <c r="D14" s="148">
        <v>1494.4</v>
      </c>
      <c r="E14" s="148">
        <v>1869</v>
      </c>
      <c r="F14" s="148">
        <v>0</v>
      </c>
      <c r="G14" s="148">
        <v>72.599999999999994</v>
      </c>
      <c r="H14" s="148">
        <v>382.4</v>
      </c>
      <c r="I14" s="148">
        <v>2568.6</v>
      </c>
      <c r="J14" s="148">
        <v>670.3</v>
      </c>
      <c r="K14" s="148">
        <v>937.7</v>
      </c>
      <c r="L14" s="148">
        <v>1508.4</v>
      </c>
      <c r="M14" s="148">
        <v>884.1</v>
      </c>
      <c r="N14" s="148">
        <v>2267.1</v>
      </c>
      <c r="O14" s="213" t="s">
        <v>12</v>
      </c>
    </row>
    <row r="15" spans="1:20" ht="20.100000000000001" customHeight="1" x14ac:dyDescent="0.2">
      <c r="A15" s="83" t="s">
        <v>200</v>
      </c>
      <c r="B15" s="83"/>
      <c r="C15" s="83"/>
      <c r="D15" s="83"/>
      <c r="E15" s="83"/>
      <c r="F15" s="83"/>
      <c r="G15" s="83"/>
      <c r="H15" s="83"/>
      <c r="I15" s="83"/>
      <c r="J15" s="83"/>
      <c r="K15" s="83"/>
      <c r="L15" s="83"/>
      <c r="M15" s="83"/>
      <c r="N15" s="83"/>
      <c r="O15" s="83"/>
      <c r="P15" s="83"/>
    </row>
    <row r="16" spans="1:20" ht="20.100000000000001" customHeight="1" x14ac:dyDescent="0.2">
      <c r="A16" s="139" t="s">
        <v>136</v>
      </c>
    </row>
    <row r="17" spans="2:18" x14ac:dyDescent="0.2">
      <c r="D17" s="34" t="s">
        <v>12</v>
      </c>
      <c r="F17" s="80" t="s">
        <v>12</v>
      </c>
      <c r="O17" s="156" t="s">
        <v>12</v>
      </c>
      <c r="P17" s="156" t="s">
        <v>12</v>
      </c>
      <c r="Q17" s="156" t="s">
        <v>12</v>
      </c>
      <c r="R17" s="156" t="s">
        <v>12</v>
      </c>
    </row>
    <row r="18" spans="2:18" x14ac:dyDescent="0.2">
      <c r="B18" s="199" t="s">
        <v>12</v>
      </c>
      <c r="C18" s="199" t="s">
        <v>12</v>
      </c>
      <c r="D18" s="199" t="s">
        <v>12</v>
      </c>
      <c r="E18" s="199" t="s">
        <v>12</v>
      </c>
      <c r="F18" s="199" t="s">
        <v>12</v>
      </c>
      <c r="G18" s="199" t="s">
        <v>12</v>
      </c>
      <c r="H18" s="199" t="s">
        <v>12</v>
      </c>
      <c r="I18" s="199" t="s">
        <v>12</v>
      </c>
      <c r="J18" s="199" t="s">
        <v>12</v>
      </c>
      <c r="K18" s="199" t="s">
        <v>12</v>
      </c>
      <c r="L18" s="199" t="s">
        <v>12</v>
      </c>
      <c r="M18" s="199" t="s">
        <v>12</v>
      </c>
      <c r="N18" s="199" t="s">
        <v>12</v>
      </c>
      <c r="O18" s="199" t="s">
        <v>12</v>
      </c>
      <c r="P18" s="199" t="s">
        <v>12</v>
      </c>
      <c r="Q18" s="199" t="s">
        <v>12</v>
      </c>
      <c r="R18" s="199" t="s">
        <v>12</v>
      </c>
    </row>
  </sheetData>
  <mergeCells count="1">
    <mergeCell ref="C3:N3"/>
  </mergeCells>
  <pageMargins left="0.45" right="0.45" top="0.5" bottom="0.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workbookViewId="0">
      <selection sqref="A1:H1"/>
    </sheetView>
  </sheetViews>
  <sheetFormatPr defaultRowHeight="12.75" x14ac:dyDescent="0.2"/>
  <cols>
    <col min="1" max="1" width="62.7109375" customWidth="1"/>
    <col min="2" max="19" width="17.7109375" customWidth="1"/>
  </cols>
  <sheetData>
    <row r="1" spans="1:15" ht="20.100000000000001" customHeight="1" x14ac:dyDescent="0.25">
      <c r="A1" s="240" t="s">
        <v>165</v>
      </c>
      <c r="B1" s="241"/>
      <c r="C1" s="241"/>
      <c r="D1" s="241"/>
      <c r="E1" s="241"/>
      <c r="F1" s="241"/>
      <c r="G1" s="241"/>
      <c r="H1" s="242"/>
      <c r="I1" s="13" t="s">
        <v>12</v>
      </c>
    </row>
    <row r="2" spans="1:15" ht="20.100000000000001" customHeight="1" x14ac:dyDescent="0.25">
      <c r="A2" s="243" t="s">
        <v>12</v>
      </c>
      <c r="B2" s="243"/>
      <c r="C2" s="243"/>
      <c r="D2" s="243"/>
      <c r="E2" s="243"/>
      <c r="F2" s="243"/>
      <c r="G2" s="243"/>
      <c r="H2" s="243"/>
      <c r="I2" s="13"/>
    </row>
    <row r="3" spans="1:15" ht="20.100000000000001" customHeight="1" x14ac:dyDescent="0.25">
      <c r="A3" s="14"/>
      <c r="B3" s="15" t="s">
        <v>13</v>
      </c>
      <c r="C3" s="232" t="s">
        <v>12</v>
      </c>
      <c r="D3" s="233"/>
      <c r="E3" s="233"/>
      <c r="F3" s="233"/>
      <c r="G3" s="233"/>
      <c r="H3" s="234"/>
      <c r="I3" s="41"/>
      <c r="J3" s="41"/>
      <c r="K3" s="41"/>
    </row>
    <row r="4" spans="1:15" ht="20.100000000000001" customHeight="1" x14ac:dyDescent="0.2">
      <c r="A4" s="16" t="s">
        <v>35</v>
      </c>
      <c r="B4" s="17">
        <v>0.16600000000000001</v>
      </c>
      <c r="C4" s="232" t="s">
        <v>12</v>
      </c>
      <c r="D4" s="233"/>
      <c r="E4" s="233"/>
      <c r="F4" s="233"/>
      <c r="G4" s="233"/>
      <c r="H4" s="234"/>
      <c r="I4" s="42" t="s">
        <v>12</v>
      </c>
      <c r="J4" s="57" t="s">
        <v>12</v>
      </c>
      <c r="K4" s="42"/>
    </row>
    <row r="5" spans="1:15" ht="20.100000000000001" customHeight="1" x14ac:dyDescent="0.2">
      <c r="A5" s="16" t="s">
        <v>36</v>
      </c>
      <c r="B5" s="18">
        <v>5.9400000000000001E-2</v>
      </c>
      <c r="C5" s="232" t="s">
        <v>12</v>
      </c>
      <c r="D5" s="233"/>
      <c r="E5" s="233"/>
      <c r="F5" s="233"/>
      <c r="G5" s="233"/>
      <c r="H5" s="234"/>
      <c r="I5" s="42" t="s">
        <v>12</v>
      </c>
      <c r="J5" s="100" t="s">
        <v>12</v>
      </c>
      <c r="K5" s="42"/>
    </row>
    <row r="6" spans="1:15" ht="20.100000000000001" customHeight="1" x14ac:dyDescent="0.2">
      <c r="A6" s="16" t="s">
        <v>37</v>
      </c>
      <c r="B6" s="19">
        <v>1.0967</v>
      </c>
      <c r="C6" s="232" t="s">
        <v>12</v>
      </c>
      <c r="D6" s="233"/>
      <c r="E6" s="233"/>
      <c r="F6" s="233"/>
      <c r="G6" s="233"/>
      <c r="H6" s="234"/>
      <c r="I6" s="43"/>
      <c r="J6" s="58" t="s">
        <v>12</v>
      </c>
      <c r="K6" s="43"/>
    </row>
    <row r="7" spans="1:15" ht="20.100000000000001" customHeight="1" x14ac:dyDescent="0.2">
      <c r="A7" s="16" t="s">
        <v>42</v>
      </c>
      <c r="B7" s="20">
        <v>0.94699999999999995</v>
      </c>
      <c r="C7" s="232" t="s">
        <v>12</v>
      </c>
      <c r="D7" s="233"/>
      <c r="E7" s="233"/>
      <c r="F7" s="233"/>
      <c r="G7" s="233"/>
      <c r="H7" s="234"/>
      <c r="I7" s="43" t="s">
        <v>12</v>
      </c>
      <c r="J7" s="43" t="s">
        <v>12</v>
      </c>
      <c r="K7" s="43"/>
    </row>
    <row r="8" spans="1:15" ht="20.100000000000001" customHeight="1" x14ac:dyDescent="0.2">
      <c r="A8" s="16" t="s">
        <v>38</v>
      </c>
      <c r="B8" s="81">
        <v>153230.1</v>
      </c>
      <c r="C8" s="235" t="s">
        <v>169</v>
      </c>
      <c r="D8" s="236"/>
      <c r="E8" s="236"/>
      <c r="F8" s="236"/>
      <c r="G8" s="236"/>
      <c r="H8" s="237"/>
      <c r="I8" s="153" t="s">
        <v>12</v>
      </c>
      <c r="J8" s="83" t="s">
        <v>12</v>
      </c>
      <c r="K8" s="82"/>
      <c r="L8" s="35"/>
      <c r="M8" s="35"/>
      <c r="N8" s="35"/>
    </row>
    <row r="9" spans="1:15" ht="20.100000000000001" customHeight="1" x14ac:dyDescent="0.2">
      <c r="A9" s="16" t="s">
        <v>43</v>
      </c>
      <c r="B9" s="84" t="s">
        <v>166</v>
      </c>
      <c r="C9" s="238" t="s">
        <v>12</v>
      </c>
      <c r="D9" s="238">
        <f t="shared" ref="D9:H9" si="0">ROUND(MAX(D19*0.3, 20)*365,2)</f>
        <v>7300</v>
      </c>
      <c r="E9" s="238">
        <f t="shared" si="0"/>
        <v>7300</v>
      </c>
      <c r="F9" s="238">
        <f t="shared" si="0"/>
        <v>7300</v>
      </c>
      <c r="G9" s="238">
        <f t="shared" si="0"/>
        <v>7300</v>
      </c>
      <c r="H9" s="238">
        <f t="shared" si="0"/>
        <v>7300</v>
      </c>
      <c r="I9" s="36"/>
      <c r="J9" s="36"/>
      <c r="K9" s="36"/>
      <c r="L9" s="35"/>
      <c r="M9" s="35"/>
      <c r="N9" s="35"/>
    </row>
    <row r="10" spans="1:15" ht="20.100000000000001" customHeight="1" x14ac:dyDescent="0.2">
      <c r="A10" s="16" t="s">
        <v>12</v>
      </c>
      <c r="B10" s="85" t="s">
        <v>12</v>
      </c>
      <c r="C10" s="238" t="s">
        <v>12</v>
      </c>
      <c r="D10" s="238">
        <f>ROUND(MAX(D25*0.3, 20)*365,2)</f>
        <v>40186.28</v>
      </c>
      <c r="E10" s="238">
        <f>ROUND(MAX(E25*0.3, 20)*365,2)</f>
        <v>34379.17</v>
      </c>
      <c r="F10" s="238">
        <f>ROUND(MAX(F25*0.3, 20)*365,2)</f>
        <v>40186.28</v>
      </c>
      <c r="G10" s="238">
        <f>ROUND(MAX(G25*0.3, 20)*365,2)</f>
        <v>40186.28</v>
      </c>
      <c r="H10" s="238">
        <f>ROUND(MAX(H25*0.3, 20)*365,2)</f>
        <v>40186.28</v>
      </c>
      <c r="I10" s="105" t="s">
        <v>12</v>
      </c>
      <c r="J10" s="36"/>
      <c r="K10" s="36"/>
      <c r="L10" s="35"/>
      <c r="M10" s="35"/>
      <c r="N10" s="35"/>
    </row>
    <row r="11" spans="1:15" ht="20.100000000000001" customHeight="1" x14ac:dyDescent="0.2">
      <c r="A11" s="16"/>
      <c r="B11" s="86" t="s">
        <v>12</v>
      </c>
      <c r="C11" s="228" t="s">
        <v>54</v>
      </c>
      <c r="D11" s="228"/>
      <c r="E11" s="228"/>
      <c r="F11" s="228"/>
      <c r="G11" s="228"/>
      <c r="H11" s="228"/>
      <c r="I11" s="228"/>
      <c r="J11" s="228"/>
      <c r="K11" s="228"/>
      <c r="L11" s="228"/>
      <c r="M11" s="228"/>
      <c r="N11" s="228"/>
    </row>
    <row r="12" spans="1:15" ht="20.100000000000001" customHeight="1" x14ac:dyDescent="0.2">
      <c r="A12" s="25" t="s">
        <v>12</v>
      </c>
      <c r="B12" s="88" t="s">
        <v>13</v>
      </c>
      <c r="C12" s="88" t="s">
        <v>17</v>
      </c>
      <c r="D12" s="88" t="s">
        <v>16</v>
      </c>
      <c r="E12" s="88" t="s">
        <v>14</v>
      </c>
      <c r="F12" s="88" t="s">
        <v>8</v>
      </c>
      <c r="G12" s="88" t="s">
        <v>44</v>
      </c>
      <c r="H12" s="88" t="s">
        <v>45</v>
      </c>
      <c r="I12" s="88" t="s">
        <v>7</v>
      </c>
      <c r="J12" s="49" t="s">
        <v>53</v>
      </c>
      <c r="K12" s="49" t="s">
        <v>75</v>
      </c>
      <c r="L12" s="49" t="s">
        <v>18</v>
      </c>
      <c r="M12" s="49" t="s">
        <v>3</v>
      </c>
      <c r="N12" s="49" t="s">
        <v>102</v>
      </c>
    </row>
    <row r="13" spans="1:15" ht="20.100000000000001" customHeight="1" x14ac:dyDescent="0.2">
      <c r="A13" s="23" t="s">
        <v>9</v>
      </c>
      <c r="B13" s="79" t="s">
        <v>24</v>
      </c>
      <c r="C13" s="79">
        <v>-6410</v>
      </c>
      <c r="D13" s="48">
        <v>3730</v>
      </c>
      <c r="E13" s="48">
        <v>4060</v>
      </c>
      <c r="F13" s="48">
        <v>5930</v>
      </c>
      <c r="G13" s="48">
        <v>2440</v>
      </c>
      <c r="H13" s="48">
        <v>1260</v>
      </c>
      <c r="I13" s="48">
        <v>2300</v>
      </c>
      <c r="J13" s="48">
        <v>4570</v>
      </c>
      <c r="K13" s="48">
        <v>3490</v>
      </c>
      <c r="L13" s="48">
        <v>-390</v>
      </c>
      <c r="M13" s="48">
        <v>4080</v>
      </c>
      <c r="N13" s="48">
        <v>-780</v>
      </c>
      <c r="O13" s="153" t="s">
        <v>12</v>
      </c>
    </row>
    <row r="14" spans="1:15" ht="20.100000000000001" customHeight="1" x14ac:dyDescent="0.2">
      <c r="A14" s="23" t="s">
        <v>11</v>
      </c>
      <c r="B14" s="79" t="s">
        <v>24</v>
      </c>
      <c r="C14" s="79">
        <v>7393</v>
      </c>
      <c r="D14" s="48">
        <v>9315</v>
      </c>
      <c r="E14" s="48">
        <v>8053</v>
      </c>
      <c r="F14" s="48">
        <v>6700</v>
      </c>
      <c r="G14" s="48">
        <v>2795</v>
      </c>
      <c r="H14" s="48">
        <v>1904</v>
      </c>
      <c r="I14" s="48">
        <v>5359</v>
      </c>
      <c r="J14" s="48">
        <v>8470</v>
      </c>
      <c r="K14" s="48">
        <v>4940</v>
      </c>
      <c r="L14" s="48">
        <v>7020</v>
      </c>
      <c r="M14" s="48">
        <v>6217</v>
      </c>
      <c r="N14" s="48">
        <v>4336</v>
      </c>
      <c r="O14" s="153" t="s">
        <v>12</v>
      </c>
    </row>
    <row r="15" spans="1:15" ht="20.100000000000001" customHeight="1" x14ac:dyDescent="0.2">
      <c r="A15" s="24" t="s">
        <v>10</v>
      </c>
      <c r="B15" s="79">
        <f>B8*B6</f>
        <v>168047.45067000002</v>
      </c>
      <c r="C15" s="79">
        <v>66592</v>
      </c>
      <c r="D15" s="38">
        <v>37231</v>
      </c>
      <c r="E15" s="38">
        <v>15723</v>
      </c>
      <c r="F15" s="38">
        <v>12076</v>
      </c>
      <c r="G15" s="38">
        <v>6105</v>
      </c>
      <c r="H15" s="38">
        <v>3023</v>
      </c>
      <c r="I15" s="38">
        <v>8203</v>
      </c>
      <c r="J15" s="38">
        <v>15562</v>
      </c>
      <c r="K15" s="38">
        <v>5844</v>
      </c>
      <c r="L15" s="38">
        <v>26091</v>
      </c>
      <c r="M15" s="38">
        <v>8166</v>
      </c>
      <c r="N15" s="38">
        <v>10280</v>
      </c>
    </row>
    <row r="16" spans="1:15" ht="20.100000000000001" customHeight="1" x14ac:dyDescent="0.2">
      <c r="A16" s="23" t="s">
        <v>47</v>
      </c>
      <c r="B16" s="48">
        <v>12837.5</v>
      </c>
      <c r="C16" s="48">
        <v>0</v>
      </c>
      <c r="D16" s="48">
        <v>0</v>
      </c>
      <c r="E16" s="48">
        <v>0</v>
      </c>
      <c r="F16" s="48">
        <v>0</v>
      </c>
      <c r="G16" s="48">
        <v>0</v>
      </c>
      <c r="H16" s="48">
        <v>0</v>
      </c>
      <c r="I16" s="48">
        <v>0</v>
      </c>
      <c r="J16" s="48">
        <v>0</v>
      </c>
      <c r="K16" s="48">
        <v>0</v>
      </c>
      <c r="L16" s="48">
        <v>345.5</v>
      </c>
      <c r="M16" s="48">
        <v>0</v>
      </c>
      <c r="N16" s="48">
        <v>0</v>
      </c>
    </row>
    <row r="17" spans="1:14" ht="20.100000000000001" customHeight="1" x14ac:dyDescent="0.2">
      <c r="A17" s="23" t="s">
        <v>46</v>
      </c>
      <c r="B17" s="48">
        <f>ROUND(B16*$B$6,1)</f>
        <v>14078.9</v>
      </c>
      <c r="C17" s="48">
        <f t="shared" ref="C17:N17" si="1">ROUND(C16*$B$6,1)</f>
        <v>0</v>
      </c>
      <c r="D17" s="48">
        <f t="shared" si="1"/>
        <v>0</v>
      </c>
      <c r="E17" s="48">
        <f t="shared" si="1"/>
        <v>0</v>
      </c>
      <c r="F17" s="48">
        <f t="shared" si="1"/>
        <v>0</v>
      </c>
      <c r="G17" s="48">
        <f t="shared" si="1"/>
        <v>0</v>
      </c>
      <c r="H17" s="48">
        <f t="shared" si="1"/>
        <v>0</v>
      </c>
      <c r="I17" s="48">
        <f t="shared" si="1"/>
        <v>0</v>
      </c>
      <c r="J17" s="48">
        <f t="shared" si="1"/>
        <v>0</v>
      </c>
      <c r="K17" s="48">
        <f t="shared" si="1"/>
        <v>0</v>
      </c>
      <c r="L17" s="48">
        <f>ROUND(L16*$B$6,1)</f>
        <v>378.9</v>
      </c>
      <c r="M17" s="48">
        <f t="shared" si="1"/>
        <v>0</v>
      </c>
      <c r="N17" s="48">
        <f t="shared" si="1"/>
        <v>0</v>
      </c>
    </row>
    <row r="18" spans="1:14" ht="20.100000000000001" customHeight="1" x14ac:dyDescent="0.2">
      <c r="A18" s="59" t="s">
        <v>48</v>
      </c>
      <c r="B18" s="79">
        <f>ROUND(B15-B17,1)</f>
        <v>153968.6</v>
      </c>
      <c r="C18" s="79">
        <f t="shared" ref="C18:I18" si="2">C15-C17</f>
        <v>66592</v>
      </c>
      <c r="D18" s="79">
        <f t="shared" si="2"/>
        <v>37231</v>
      </c>
      <c r="E18" s="79">
        <f t="shared" si="2"/>
        <v>15723</v>
      </c>
      <c r="F18" s="79">
        <f t="shared" si="2"/>
        <v>12076</v>
      </c>
      <c r="G18" s="79">
        <f t="shared" si="2"/>
        <v>6105</v>
      </c>
      <c r="H18" s="79">
        <f t="shared" si="2"/>
        <v>3023</v>
      </c>
      <c r="I18" s="79">
        <f t="shared" si="2"/>
        <v>8203</v>
      </c>
      <c r="J18" s="79">
        <f>J15-J17</f>
        <v>15562</v>
      </c>
      <c r="K18" s="79">
        <f>K15-K17</f>
        <v>5844</v>
      </c>
      <c r="L18" s="79">
        <f>L15</f>
        <v>26091</v>
      </c>
      <c r="M18" s="79">
        <f>M15-M17</f>
        <v>8166</v>
      </c>
      <c r="N18" s="79">
        <f>N15-N17</f>
        <v>10280</v>
      </c>
    </row>
    <row r="19" spans="1:14" ht="20.100000000000001" customHeight="1" x14ac:dyDescent="0.2">
      <c r="A19" s="24" t="s">
        <v>43</v>
      </c>
      <c r="B19" s="79">
        <f>0*'BRA Parameters'!B19</f>
        <v>0</v>
      </c>
      <c r="C19" s="79">
        <f>0*'BRA Parameters'!C19</f>
        <v>0</v>
      </c>
      <c r="D19" s="79">
        <f>0*'BRA Parameters'!D19</f>
        <v>0</v>
      </c>
      <c r="E19" s="79">
        <f>0*'BRA Parameters'!E19</f>
        <v>0</v>
      </c>
      <c r="F19" s="79">
        <f>0*'BRA Parameters'!F19</f>
        <v>0</v>
      </c>
      <c r="G19" s="79">
        <f>0*'BRA Parameters'!G19</f>
        <v>0</v>
      </c>
      <c r="H19" s="79">
        <f>0*'BRA Parameters'!H19</f>
        <v>0</v>
      </c>
      <c r="I19" s="79">
        <f>0*'BRA Parameters'!I19</f>
        <v>0</v>
      </c>
      <c r="J19" s="79">
        <f>0*'BRA Parameters'!J19</f>
        <v>0</v>
      </c>
      <c r="K19" s="79">
        <f>0*'BRA Parameters'!K19</f>
        <v>0</v>
      </c>
      <c r="L19" s="79">
        <f>0*'BRA Parameters'!L19</f>
        <v>0</v>
      </c>
      <c r="M19" s="79">
        <f>0*'BRA Parameters'!M19</f>
        <v>0</v>
      </c>
      <c r="N19" s="79">
        <f>0*'BRA Parameters'!N19</f>
        <v>0</v>
      </c>
    </row>
    <row r="20" spans="1:14" ht="20.100000000000001" customHeight="1" x14ac:dyDescent="0.2">
      <c r="A20" s="160" t="s">
        <v>180</v>
      </c>
      <c r="B20" s="79"/>
      <c r="C20" s="79"/>
      <c r="D20" s="79"/>
      <c r="E20" s="79"/>
      <c r="F20" s="79"/>
      <c r="G20" s="79"/>
      <c r="H20" s="79"/>
      <c r="I20" s="79"/>
      <c r="J20" s="79"/>
      <c r="K20" s="79"/>
      <c r="L20" s="79"/>
      <c r="M20" s="79"/>
      <c r="N20" s="79"/>
    </row>
    <row r="21" spans="1:14" ht="20.100000000000001" customHeight="1" x14ac:dyDescent="0.2">
      <c r="A21" s="161" t="s">
        <v>181</v>
      </c>
      <c r="B21" s="79">
        <v>1844.1</v>
      </c>
      <c r="C21" s="79">
        <v>509.6</v>
      </c>
      <c r="D21" s="79">
        <v>154</v>
      </c>
      <c r="E21" s="79">
        <v>280.3</v>
      </c>
      <c r="F21" s="79">
        <v>36.4</v>
      </c>
      <c r="G21" s="79">
        <v>10.3</v>
      </c>
      <c r="H21" s="79">
        <v>4.9000000000000004</v>
      </c>
      <c r="I21" s="79">
        <v>150.80000000000001</v>
      </c>
      <c r="J21" s="79">
        <v>176</v>
      </c>
      <c r="K21" s="79">
        <v>41.3</v>
      </c>
      <c r="L21" s="79">
        <v>736.8</v>
      </c>
      <c r="M21" s="79">
        <v>129.5</v>
      </c>
      <c r="N21" s="79">
        <v>42.6</v>
      </c>
    </row>
    <row r="22" spans="1:14" ht="20.100000000000001" customHeight="1" x14ac:dyDescent="0.2">
      <c r="A22" s="161" t="s">
        <v>201</v>
      </c>
      <c r="B22" s="79">
        <v>197.9</v>
      </c>
      <c r="C22" s="79">
        <v>62.7</v>
      </c>
      <c r="D22" s="79">
        <v>45.4</v>
      </c>
      <c r="E22" s="79">
        <v>14.4</v>
      </c>
      <c r="F22" s="79">
        <v>23.5</v>
      </c>
      <c r="G22" s="79">
        <v>11.7</v>
      </c>
      <c r="H22" s="79">
        <v>2.7</v>
      </c>
      <c r="I22" s="79">
        <v>6.9</v>
      </c>
      <c r="J22" s="79">
        <v>36.9</v>
      </c>
      <c r="K22" s="79">
        <v>3.6</v>
      </c>
      <c r="L22" s="79">
        <v>15.5</v>
      </c>
      <c r="M22" s="79">
        <v>7.5</v>
      </c>
      <c r="N22" s="79">
        <v>1.5</v>
      </c>
    </row>
    <row r="23" spans="1:14" ht="20.100000000000001" customHeight="1" x14ac:dyDescent="0.2">
      <c r="A23" s="161" t="s">
        <v>186</v>
      </c>
      <c r="B23" s="79">
        <f>0.077*(B21+B22)</f>
        <v>157.23400000000001</v>
      </c>
      <c r="C23" s="79">
        <f t="shared" ref="C23:N23" si="3">0.077*(C21+C22)</f>
        <v>44.067100000000003</v>
      </c>
      <c r="D23" s="79">
        <f t="shared" si="3"/>
        <v>15.3538</v>
      </c>
      <c r="E23" s="79">
        <f t="shared" si="3"/>
        <v>22.6919</v>
      </c>
      <c r="F23" s="79">
        <f t="shared" si="3"/>
        <v>4.6122999999999994</v>
      </c>
      <c r="G23" s="79">
        <f t="shared" si="3"/>
        <v>1.694</v>
      </c>
      <c r="H23" s="79">
        <f t="shared" si="3"/>
        <v>0.58520000000000005</v>
      </c>
      <c r="I23" s="79">
        <f t="shared" si="3"/>
        <v>12.142900000000001</v>
      </c>
      <c r="J23" s="79">
        <f t="shared" si="3"/>
        <v>16.3933</v>
      </c>
      <c r="K23" s="79">
        <f t="shared" si="3"/>
        <v>3.4573</v>
      </c>
      <c r="L23" s="79">
        <f t="shared" si="3"/>
        <v>57.927099999999996</v>
      </c>
      <c r="M23" s="79">
        <f t="shared" si="3"/>
        <v>10.548999999999999</v>
      </c>
      <c r="N23" s="79">
        <f t="shared" si="3"/>
        <v>3.3957000000000002</v>
      </c>
    </row>
    <row r="24" spans="1:14" ht="20.100000000000001" customHeight="1" x14ac:dyDescent="0.2">
      <c r="A24" s="162" t="s">
        <v>182</v>
      </c>
      <c r="B24" s="89">
        <f>B18+B23</f>
        <v>154125.834</v>
      </c>
      <c r="C24" s="89">
        <f t="shared" ref="C24:N24" si="4">C18+C23</f>
        <v>66636.0671</v>
      </c>
      <c r="D24" s="89">
        <f t="shared" si="4"/>
        <v>37246.353799999997</v>
      </c>
      <c r="E24" s="89">
        <f t="shared" si="4"/>
        <v>15745.6919</v>
      </c>
      <c r="F24" s="89">
        <f t="shared" si="4"/>
        <v>12080.612300000001</v>
      </c>
      <c r="G24" s="89">
        <f t="shared" si="4"/>
        <v>6106.6940000000004</v>
      </c>
      <c r="H24" s="89">
        <f t="shared" si="4"/>
        <v>3023.5852</v>
      </c>
      <c r="I24" s="89">
        <f t="shared" si="4"/>
        <v>8215.1429000000007</v>
      </c>
      <c r="J24" s="89">
        <f t="shared" si="4"/>
        <v>15578.3933</v>
      </c>
      <c r="K24" s="89">
        <f t="shared" si="4"/>
        <v>5847.4573</v>
      </c>
      <c r="L24" s="89">
        <f t="shared" si="4"/>
        <v>26148.927100000001</v>
      </c>
      <c r="M24" s="89">
        <f t="shared" si="4"/>
        <v>8176.549</v>
      </c>
      <c r="N24" s="89">
        <f t="shared" si="4"/>
        <v>10283.395699999999</v>
      </c>
    </row>
    <row r="25" spans="1:14" ht="20.100000000000001" customHeight="1" x14ac:dyDescent="0.2">
      <c r="A25" s="60" t="s">
        <v>49</v>
      </c>
      <c r="B25" s="12">
        <f>'BRA Parameters'!B20*(1-'BRA Parameters'!$B$5)/(1-$B$5)</f>
        <v>352.47338401020619</v>
      </c>
      <c r="C25" s="12">
        <f>'BRA Parameters'!C20*(1-'BRA Parameters'!$B$5)/(1-$B$5)</f>
        <v>313.96502232617479</v>
      </c>
      <c r="D25" s="12">
        <f>'BRA Parameters'!D20*(1-'BRA Parameters'!$B$5)/(1-$B$5)</f>
        <v>366.99802785456092</v>
      </c>
      <c r="E25" s="12">
        <f>'BRA Parameters'!E20*(1-'BRA Parameters'!$B$5)/(1-$B$5)</f>
        <v>313.96502232617479</v>
      </c>
      <c r="F25" s="12">
        <f>'BRA Parameters'!F20*(1-'BRA Parameters'!$B$5)/(1-$B$5)</f>
        <v>366.99802785456092</v>
      </c>
      <c r="G25" s="12">
        <f>'BRA Parameters'!G20*(1-'BRA Parameters'!$B$5)/(1-$B$5)</f>
        <v>366.99802785456092</v>
      </c>
      <c r="H25" s="12">
        <f>'BRA Parameters'!H20*(1-'BRA Parameters'!$B$5)/(1-$B$5)</f>
        <v>366.99802785456092</v>
      </c>
      <c r="I25" s="12">
        <f>'BRA Parameters'!I20*(1-'BRA Parameters'!$B$5)/(1-$B$5)</f>
        <v>313.96502232617479</v>
      </c>
      <c r="J25" s="12">
        <f>'BRA Parameters'!J20*(1-'BRA Parameters'!$B$5)/(1-$B$5)</f>
        <v>374.90232298532851</v>
      </c>
      <c r="K25" s="12">
        <f>'BRA Parameters'!K20*(1-'BRA Parameters'!$B$5)/(1-$B$5)</f>
        <v>374.90232298532851</v>
      </c>
      <c r="L25" s="12">
        <f>'BRA Parameters'!L20*(1-'BRA Parameters'!$B$5)/(1-$B$5)</f>
        <v>374.90232298532851</v>
      </c>
      <c r="M25" s="12">
        <f>'BRA Parameters'!M20*(1-'BRA Parameters'!$B$5)/(1-$B$5)</f>
        <v>313.96502232617479</v>
      </c>
      <c r="N25" s="12">
        <f>'BRA Parameters'!N20*(1-'BRA Parameters'!$B$5)/(1-$B$5)</f>
        <v>355.55284924516263</v>
      </c>
    </row>
    <row r="26" spans="1:14" ht="20.100000000000001" customHeight="1" x14ac:dyDescent="0.2">
      <c r="A26" s="239" t="s">
        <v>50</v>
      </c>
      <c r="B26" s="239"/>
      <c r="C26" s="239"/>
      <c r="D26" s="239"/>
      <c r="E26" s="239"/>
      <c r="F26" s="239"/>
      <c r="G26" s="239"/>
      <c r="H26" s="239"/>
      <c r="I26" s="239"/>
      <c r="J26" s="239"/>
      <c r="K26" s="239"/>
      <c r="L26" s="239"/>
      <c r="M26" s="239"/>
      <c r="N26" s="239"/>
    </row>
    <row r="27" spans="1:14" ht="20.100000000000001" customHeight="1" x14ac:dyDescent="0.2">
      <c r="A27" s="61" t="s">
        <v>25</v>
      </c>
      <c r="B27" s="9">
        <f>ROUND(B$25*1.5,2)</f>
        <v>528.71</v>
      </c>
      <c r="C27" s="9">
        <f>ROUND(C$25*1.5,2)</f>
        <v>470.95</v>
      </c>
      <c r="D27" s="9">
        <f>ROUND(D$25*1.5,2)</f>
        <v>550.5</v>
      </c>
      <c r="E27" s="9">
        <f>ROUND(E$25*1.5,2)</f>
        <v>470.95</v>
      </c>
      <c r="F27" s="9">
        <f t="shared" ref="F27:N27" si="5">ROUND(F$25*1.5,2)</f>
        <v>550.5</v>
      </c>
      <c r="G27" s="9">
        <f t="shared" si="5"/>
        <v>550.5</v>
      </c>
      <c r="H27" s="9">
        <f t="shared" si="5"/>
        <v>550.5</v>
      </c>
      <c r="I27" s="9">
        <f t="shared" si="5"/>
        <v>470.95</v>
      </c>
      <c r="J27" s="9">
        <f t="shared" si="5"/>
        <v>562.35</v>
      </c>
      <c r="K27" s="9">
        <f t="shared" si="5"/>
        <v>562.35</v>
      </c>
      <c r="L27" s="9">
        <f t="shared" si="5"/>
        <v>562.35</v>
      </c>
      <c r="M27" s="9">
        <f t="shared" si="5"/>
        <v>470.95</v>
      </c>
      <c r="N27" s="9">
        <f t="shared" si="5"/>
        <v>533.33000000000004</v>
      </c>
    </row>
    <row r="28" spans="1:14" ht="20.100000000000001" customHeight="1" x14ac:dyDescent="0.2">
      <c r="A28" s="23" t="s">
        <v>26</v>
      </c>
      <c r="B28" s="9">
        <f>ROUND(B$25,2)</f>
        <v>352.47</v>
      </c>
      <c r="C28" s="9">
        <f>ROUND(C$25,2)</f>
        <v>313.97000000000003</v>
      </c>
      <c r="D28" s="9">
        <f t="shared" ref="D28:N28" si="6">ROUND(D$25,2)</f>
        <v>367</v>
      </c>
      <c r="E28" s="9">
        <f t="shared" si="6"/>
        <v>313.97000000000003</v>
      </c>
      <c r="F28" s="9">
        <f t="shared" si="6"/>
        <v>367</v>
      </c>
      <c r="G28" s="9">
        <f t="shared" si="6"/>
        <v>367</v>
      </c>
      <c r="H28" s="9">
        <f t="shared" si="6"/>
        <v>367</v>
      </c>
      <c r="I28" s="9">
        <f t="shared" si="6"/>
        <v>313.97000000000003</v>
      </c>
      <c r="J28" s="9">
        <f t="shared" si="6"/>
        <v>374.9</v>
      </c>
      <c r="K28" s="9">
        <f t="shared" si="6"/>
        <v>374.9</v>
      </c>
      <c r="L28" s="9">
        <f t="shared" si="6"/>
        <v>374.9</v>
      </c>
      <c r="M28" s="9">
        <f t="shared" si="6"/>
        <v>313.97000000000003</v>
      </c>
      <c r="N28" s="9">
        <f t="shared" si="6"/>
        <v>355.55</v>
      </c>
    </row>
    <row r="29" spans="1:14" ht="20.100000000000001" customHeight="1" x14ac:dyDescent="0.2">
      <c r="A29" s="23" t="s">
        <v>27</v>
      </c>
      <c r="B29" s="9">
        <f>ROUND(B$25*0.2,2)</f>
        <v>70.489999999999995</v>
      </c>
      <c r="C29" s="9">
        <f>ROUND(C$25*0.2,2)</f>
        <v>62.79</v>
      </c>
      <c r="D29" s="9">
        <f t="shared" ref="D29:N29" si="7">ROUND(D$25*0.2,2)</f>
        <v>73.400000000000006</v>
      </c>
      <c r="E29" s="9">
        <f t="shared" si="7"/>
        <v>62.79</v>
      </c>
      <c r="F29" s="9">
        <f t="shared" si="7"/>
        <v>73.400000000000006</v>
      </c>
      <c r="G29" s="9">
        <f t="shared" si="7"/>
        <v>73.400000000000006</v>
      </c>
      <c r="H29" s="9">
        <f t="shared" si="7"/>
        <v>73.400000000000006</v>
      </c>
      <c r="I29" s="9">
        <f t="shared" si="7"/>
        <v>62.79</v>
      </c>
      <c r="J29" s="9">
        <f t="shared" si="7"/>
        <v>74.98</v>
      </c>
      <c r="K29" s="9">
        <f t="shared" si="7"/>
        <v>74.98</v>
      </c>
      <c r="L29" s="9">
        <f t="shared" si="7"/>
        <v>74.98</v>
      </c>
      <c r="M29" s="9">
        <f t="shared" si="7"/>
        <v>62.79</v>
      </c>
      <c r="N29" s="9">
        <f t="shared" si="7"/>
        <v>71.11</v>
      </c>
    </row>
    <row r="30" spans="1:14" ht="20.100000000000001" customHeight="1" x14ac:dyDescent="0.2">
      <c r="A30" s="23" t="s">
        <v>28</v>
      </c>
      <c r="B30" s="10">
        <f>ROUND(B$24*(1+$B$4-3%)/(1+$B$4)-B19,1)</f>
        <v>150160.29999999999</v>
      </c>
      <c r="C30" s="10">
        <f t="shared" ref="C30:N30" si="8">ROUND(C$24*(1+$B$4-3%)/(1+$B$4)-C19,1)</f>
        <v>64921.599999999999</v>
      </c>
      <c r="D30" s="10">
        <f t="shared" si="8"/>
        <v>36288</v>
      </c>
      <c r="E30" s="10">
        <f t="shared" si="8"/>
        <v>15340.6</v>
      </c>
      <c r="F30" s="10">
        <f t="shared" si="8"/>
        <v>11769.8</v>
      </c>
      <c r="G30" s="10">
        <f t="shared" si="8"/>
        <v>5949.6</v>
      </c>
      <c r="H30" s="10">
        <f t="shared" si="8"/>
        <v>2945.8</v>
      </c>
      <c r="I30" s="10">
        <f t="shared" si="8"/>
        <v>8003.8</v>
      </c>
      <c r="J30" s="10">
        <f t="shared" si="8"/>
        <v>15177.6</v>
      </c>
      <c r="K30" s="10">
        <f t="shared" si="8"/>
        <v>5697</v>
      </c>
      <c r="L30" s="10">
        <f t="shared" si="8"/>
        <v>25476.1</v>
      </c>
      <c r="M30" s="10">
        <f t="shared" si="8"/>
        <v>7966.2</v>
      </c>
      <c r="N30" s="10">
        <f t="shared" si="8"/>
        <v>10018.799999999999</v>
      </c>
    </row>
    <row r="31" spans="1:14" ht="20.100000000000001" customHeight="1" x14ac:dyDescent="0.2">
      <c r="A31" s="23" t="s">
        <v>29</v>
      </c>
      <c r="B31" s="10">
        <f>ROUND(B$24*(1+$B$4+1%)/(1+$B$4)-B19,1)</f>
        <v>155447.70000000001</v>
      </c>
      <c r="C31" s="10">
        <f t="shared" ref="C31:N31" si="9">ROUND(C$24*(1+$B$4+1%)/(1+$B$4)-C19,1)</f>
        <v>67207.600000000006</v>
      </c>
      <c r="D31" s="10">
        <f t="shared" si="9"/>
        <v>37565.800000000003</v>
      </c>
      <c r="E31" s="10">
        <f t="shared" si="9"/>
        <v>15880.7</v>
      </c>
      <c r="F31" s="10">
        <f t="shared" si="9"/>
        <v>12184.2</v>
      </c>
      <c r="G31" s="10">
        <f t="shared" si="9"/>
        <v>6159.1</v>
      </c>
      <c r="H31" s="10">
        <f t="shared" si="9"/>
        <v>3049.5</v>
      </c>
      <c r="I31" s="10">
        <f t="shared" si="9"/>
        <v>8285.6</v>
      </c>
      <c r="J31" s="10">
        <f t="shared" si="9"/>
        <v>15712</v>
      </c>
      <c r="K31" s="10">
        <f t="shared" si="9"/>
        <v>5897.6</v>
      </c>
      <c r="L31" s="10">
        <f t="shared" si="9"/>
        <v>26373.200000000001</v>
      </c>
      <c r="M31" s="10">
        <f t="shared" si="9"/>
        <v>8246.7000000000007</v>
      </c>
      <c r="N31" s="10">
        <f t="shared" si="9"/>
        <v>10371.6</v>
      </c>
    </row>
    <row r="32" spans="1:14" ht="20.100000000000001" customHeight="1" x14ac:dyDescent="0.2">
      <c r="A32" s="23" t="s">
        <v>30</v>
      </c>
      <c r="B32" s="10">
        <f>ROUND(B$24*(1+$B$4+5%)/(1+$B$4)-B19,1)</f>
        <v>160735</v>
      </c>
      <c r="C32" s="10">
        <f t="shared" ref="C32:N32" si="10">ROUND(C$24*(1+$B$4+5%)/(1+$B$4)-C19,1)</f>
        <v>69493.5</v>
      </c>
      <c r="D32" s="10">
        <f t="shared" si="10"/>
        <v>38843.5</v>
      </c>
      <c r="E32" s="10">
        <f t="shared" si="10"/>
        <v>16420.900000000001</v>
      </c>
      <c r="F32" s="10">
        <f t="shared" si="10"/>
        <v>12598.6</v>
      </c>
      <c r="G32" s="10">
        <f t="shared" si="10"/>
        <v>6368.6</v>
      </c>
      <c r="H32" s="10">
        <f t="shared" si="10"/>
        <v>3153.2</v>
      </c>
      <c r="I32" s="10">
        <f t="shared" si="10"/>
        <v>8567.4</v>
      </c>
      <c r="J32" s="10">
        <f t="shared" si="10"/>
        <v>16246.4</v>
      </c>
      <c r="K32" s="10">
        <f t="shared" si="10"/>
        <v>6098.2</v>
      </c>
      <c r="L32" s="10">
        <f t="shared" si="10"/>
        <v>27270.2</v>
      </c>
      <c r="M32" s="10">
        <f t="shared" si="10"/>
        <v>8527.2000000000007</v>
      </c>
      <c r="N32" s="10">
        <f t="shared" si="10"/>
        <v>10724.4</v>
      </c>
    </row>
    <row r="33" spans="1:14" ht="20.100000000000001" customHeight="1" x14ac:dyDescent="0.2">
      <c r="A33" s="23" t="s">
        <v>52</v>
      </c>
      <c r="B33" s="22" t="s">
        <v>24</v>
      </c>
      <c r="C33" s="11">
        <v>159</v>
      </c>
      <c r="D33" s="11" t="s">
        <v>24</v>
      </c>
      <c r="E33" s="11" t="s">
        <v>24</v>
      </c>
      <c r="F33" s="11" t="s">
        <v>24</v>
      </c>
      <c r="G33" s="11" t="s">
        <v>24</v>
      </c>
      <c r="H33" s="101">
        <f>37+35</f>
        <v>72</v>
      </c>
      <c r="I33" s="11" t="s">
        <v>24</v>
      </c>
      <c r="J33" s="11" t="s">
        <v>24</v>
      </c>
      <c r="K33" s="11" t="s">
        <v>24</v>
      </c>
      <c r="L33" s="11" t="s">
        <v>24</v>
      </c>
      <c r="M33" s="11" t="s">
        <v>24</v>
      </c>
      <c r="N33" s="11" t="s">
        <v>24</v>
      </c>
    </row>
    <row r="34" spans="1:14" ht="20.100000000000001" customHeight="1" x14ac:dyDescent="0.2">
      <c r="A34" s="229" t="s">
        <v>108</v>
      </c>
      <c r="B34" s="230"/>
      <c r="C34" s="230"/>
      <c r="D34" s="230"/>
      <c r="E34" s="230"/>
      <c r="F34" s="230"/>
      <c r="G34" s="230"/>
      <c r="H34" s="230"/>
      <c r="I34" s="230"/>
      <c r="J34" s="230"/>
      <c r="K34" s="230"/>
      <c r="L34" s="230"/>
      <c r="M34" s="230"/>
      <c r="N34" s="231"/>
    </row>
    <row r="35" spans="1:14" ht="20.100000000000001" customHeight="1" x14ac:dyDescent="0.2">
      <c r="A35" s="61" t="s">
        <v>107</v>
      </c>
      <c r="B35" s="22" t="s">
        <v>24</v>
      </c>
      <c r="C35" s="22" t="s">
        <v>24</v>
      </c>
      <c r="D35" s="22" t="s">
        <v>24</v>
      </c>
      <c r="E35" s="22" t="s">
        <v>24</v>
      </c>
      <c r="F35" s="22" t="s">
        <v>24</v>
      </c>
      <c r="G35" s="22" t="s">
        <v>24</v>
      </c>
      <c r="H35" s="22" t="s">
        <v>24</v>
      </c>
      <c r="I35" s="22" t="s">
        <v>24</v>
      </c>
      <c r="J35" s="22" t="s">
        <v>24</v>
      </c>
      <c r="K35" s="22" t="s">
        <v>24</v>
      </c>
      <c r="L35" s="102">
        <f>(L15-L14)/(21528*$B$6)</f>
        <v>0.80775924611780003</v>
      </c>
      <c r="M35" s="22" t="s">
        <v>24</v>
      </c>
      <c r="N35" s="22" t="s">
        <v>24</v>
      </c>
    </row>
    <row r="38" spans="1:14" ht="30" x14ac:dyDescent="0.2">
      <c r="A38" s="61" t="s">
        <v>196</v>
      </c>
      <c r="B38" s="202">
        <v>170678</v>
      </c>
      <c r="C38" s="202">
        <v>72180.899999999994</v>
      </c>
      <c r="D38" s="202">
        <v>39472.699999999997</v>
      </c>
      <c r="E38" s="202">
        <v>17865.099999999999</v>
      </c>
      <c r="F38" s="202">
        <v>12598.8</v>
      </c>
      <c r="G38" s="202">
        <v>6505.1</v>
      </c>
      <c r="H38" s="202">
        <v>3116.4999999999991</v>
      </c>
      <c r="I38" s="202">
        <v>8843.5</v>
      </c>
      <c r="J38" s="202">
        <v>18494.8</v>
      </c>
      <c r="K38" s="202">
        <v>6128.8</v>
      </c>
      <c r="L38" s="202">
        <v>31773.000000000007</v>
      </c>
      <c r="M38" s="202">
        <v>9261.7000000000007</v>
      </c>
      <c r="N38" s="202">
        <v>11868.099999999995</v>
      </c>
    </row>
    <row r="39" spans="1:14" ht="30" x14ac:dyDescent="0.2">
      <c r="A39" s="61" t="s">
        <v>195</v>
      </c>
      <c r="B39" s="203">
        <v>0</v>
      </c>
      <c r="C39" s="204" t="s">
        <v>24</v>
      </c>
      <c r="D39" s="203">
        <v>0</v>
      </c>
      <c r="E39" s="203">
        <v>0</v>
      </c>
      <c r="F39" s="204" t="s">
        <v>24</v>
      </c>
      <c r="G39" s="203">
        <v>0</v>
      </c>
      <c r="H39" s="204" t="s">
        <v>24</v>
      </c>
      <c r="I39" s="203">
        <v>0</v>
      </c>
      <c r="J39" s="203">
        <v>0</v>
      </c>
      <c r="K39" s="204">
        <v>0</v>
      </c>
      <c r="L39" s="203">
        <v>0</v>
      </c>
      <c r="M39" s="203">
        <v>0</v>
      </c>
      <c r="N39" s="203">
        <v>0</v>
      </c>
    </row>
  </sheetData>
  <mergeCells count="13">
    <mergeCell ref="C6:H6"/>
    <mergeCell ref="A1:H1"/>
    <mergeCell ref="A2:H2"/>
    <mergeCell ref="C3:H3"/>
    <mergeCell ref="C4:H4"/>
    <mergeCell ref="C5:H5"/>
    <mergeCell ref="A34:N34"/>
    <mergeCell ref="C7:H7"/>
    <mergeCell ref="C8:H8"/>
    <mergeCell ref="C9:H9"/>
    <mergeCell ref="C10:H10"/>
    <mergeCell ref="C11:N11"/>
    <mergeCell ref="A26:N26"/>
  </mergeCells>
  <pageMargins left="0.5" right="0.5" top="0.5" bottom="0.5" header="0.3" footer="0.3"/>
  <pageSetup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workbookViewId="0">
      <selection sqref="A1:H1"/>
    </sheetView>
  </sheetViews>
  <sheetFormatPr defaultRowHeight="12.75" x14ac:dyDescent="0.2"/>
  <cols>
    <col min="1" max="1" width="61.42578125" customWidth="1"/>
    <col min="2" max="14" width="17.7109375" customWidth="1"/>
  </cols>
  <sheetData>
    <row r="1" spans="1:14" ht="20.100000000000001" customHeight="1" x14ac:dyDescent="0.25">
      <c r="A1" s="244" t="s">
        <v>159</v>
      </c>
      <c r="B1" s="244"/>
      <c r="C1" s="244"/>
      <c r="D1" s="244"/>
      <c r="E1" s="244"/>
      <c r="F1" s="244"/>
      <c r="G1" s="244"/>
      <c r="H1" s="244"/>
      <c r="I1" s="13" t="s">
        <v>12</v>
      </c>
    </row>
    <row r="2" spans="1:14" ht="20.100000000000001" customHeight="1" x14ac:dyDescent="0.25">
      <c r="A2" s="243" t="s">
        <v>12</v>
      </c>
      <c r="B2" s="243"/>
      <c r="C2" s="243"/>
      <c r="D2" s="243"/>
      <c r="E2" s="243"/>
      <c r="F2" s="243"/>
      <c r="G2" s="243"/>
      <c r="H2" s="243"/>
      <c r="I2" s="13"/>
    </row>
    <row r="3" spans="1:14" ht="20.100000000000001" customHeight="1" x14ac:dyDescent="0.25">
      <c r="A3" s="14"/>
      <c r="B3" s="15" t="s">
        <v>13</v>
      </c>
      <c r="C3" s="232" t="s">
        <v>12</v>
      </c>
      <c r="D3" s="233"/>
      <c r="E3" s="233"/>
      <c r="F3" s="233"/>
      <c r="G3" s="233"/>
      <c r="H3" s="234"/>
      <c r="I3" s="41"/>
      <c r="J3" s="41"/>
      <c r="K3" s="41"/>
    </row>
    <row r="4" spans="1:14" ht="20.100000000000001" customHeight="1" x14ac:dyDescent="0.2">
      <c r="A4" s="16" t="s">
        <v>35</v>
      </c>
      <c r="B4" s="17">
        <v>0.16500000000000001</v>
      </c>
      <c r="C4" s="232" t="s">
        <v>12</v>
      </c>
      <c r="D4" s="233"/>
      <c r="E4" s="233"/>
      <c r="F4" s="233"/>
      <c r="G4" s="233"/>
      <c r="H4" s="234"/>
      <c r="I4" s="42" t="s">
        <v>12</v>
      </c>
      <c r="J4" s="57" t="s">
        <v>12</v>
      </c>
      <c r="K4" s="42"/>
    </row>
    <row r="5" spans="1:14" ht="20.100000000000001" customHeight="1" x14ac:dyDescent="0.2">
      <c r="A5" s="16" t="s">
        <v>36</v>
      </c>
      <c r="B5" s="18">
        <v>5.9299999999999999E-2</v>
      </c>
      <c r="C5" s="232" t="s">
        <v>12</v>
      </c>
      <c r="D5" s="233"/>
      <c r="E5" s="233"/>
      <c r="F5" s="233"/>
      <c r="G5" s="233"/>
      <c r="H5" s="234"/>
      <c r="I5" s="42"/>
      <c r="J5" s="100" t="s">
        <v>12</v>
      </c>
      <c r="K5" s="42"/>
    </row>
    <row r="6" spans="1:14" ht="20.100000000000001" customHeight="1" x14ac:dyDescent="0.2">
      <c r="A6" s="16" t="s">
        <v>37</v>
      </c>
      <c r="B6" s="19">
        <v>1.0959000000000001</v>
      </c>
      <c r="C6" s="232" t="s">
        <v>12</v>
      </c>
      <c r="D6" s="233"/>
      <c r="E6" s="233"/>
      <c r="F6" s="233"/>
      <c r="G6" s="233"/>
      <c r="H6" s="234"/>
      <c r="I6" s="43"/>
      <c r="J6" s="58" t="s">
        <v>12</v>
      </c>
      <c r="K6" s="43"/>
    </row>
    <row r="7" spans="1:14" ht="20.100000000000001" customHeight="1" x14ac:dyDescent="0.2">
      <c r="A7" s="16" t="s">
        <v>42</v>
      </c>
      <c r="B7" s="20">
        <v>0.95</v>
      </c>
      <c r="C7" s="232" t="s">
        <v>12</v>
      </c>
      <c r="D7" s="233"/>
      <c r="E7" s="233"/>
      <c r="F7" s="233"/>
      <c r="G7" s="233"/>
      <c r="H7" s="234"/>
      <c r="I7" s="43" t="s">
        <v>12</v>
      </c>
      <c r="J7" s="43" t="s">
        <v>12</v>
      </c>
      <c r="K7" s="43"/>
    </row>
    <row r="8" spans="1:14" ht="20.100000000000001" customHeight="1" x14ac:dyDescent="0.2">
      <c r="A8" s="16" t="s">
        <v>38</v>
      </c>
      <c r="B8" s="81">
        <v>154377.29999999999</v>
      </c>
      <c r="C8" s="235" t="s">
        <v>161</v>
      </c>
      <c r="D8" s="236"/>
      <c r="E8" s="236"/>
      <c r="F8" s="236"/>
      <c r="G8" s="236"/>
      <c r="H8" s="237"/>
      <c r="I8" s="155" t="s">
        <v>12</v>
      </c>
      <c r="J8" s="83" t="s">
        <v>12</v>
      </c>
      <c r="K8" s="82"/>
      <c r="L8" s="35"/>
      <c r="M8" s="35"/>
      <c r="N8" s="35"/>
    </row>
    <row r="9" spans="1:14" ht="20.100000000000001" customHeight="1" x14ac:dyDescent="0.2">
      <c r="A9" s="16" t="s">
        <v>43</v>
      </c>
      <c r="B9" s="84" t="s">
        <v>160</v>
      </c>
      <c r="C9" s="238" t="s">
        <v>12</v>
      </c>
      <c r="D9" s="238">
        <f>ROUND(MAX(D19*0.3, 20)*365,2)</f>
        <v>59287.93</v>
      </c>
      <c r="E9" s="238">
        <f>ROUND(MAX(E19*0.3, 20)*365,2)</f>
        <v>25067.42</v>
      </c>
      <c r="F9" s="238">
        <f>ROUND(MAX(F19*0.3, 20)*365,2)</f>
        <v>18772.330000000002</v>
      </c>
      <c r="G9" s="238">
        <f>ROUND(MAX(G19*0.3, 20)*365,2)</f>
        <v>9104.58</v>
      </c>
      <c r="H9" s="238">
        <f>ROUND(MAX(H19*0.3, 20)*365,2)</f>
        <v>7300</v>
      </c>
      <c r="I9" s="36"/>
      <c r="J9" s="36"/>
      <c r="K9" s="36"/>
      <c r="L9" s="35"/>
      <c r="M9" s="35"/>
      <c r="N9" s="35"/>
    </row>
    <row r="10" spans="1:14" ht="20.100000000000001" customHeight="1" x14ac:dyDescent="0.2">
      <c r="A10" s="16" t="s">
        <v>12</v>
      </c>
      <c r="B10" s="85" t="s">
        <v>12</v>
      </c>
      <c r="C10" s="238" t="s">
        <v>12</v>
      </c>
      <c r="D10" s="238">
        <f>ROUND(MAX(D22*0.3, 20)*365,2)</f>
        <v>40182.01</v>
      </c>
      <c r="E10" s="238">
        <f>ROUND(MAX(E22*0.3, 20)*365,2)</f>
        <v>34375.519999999997</v>
      </c>
      <c r="F10" s="238">
        <f>ROUND(MAX(F22*0.3, 20)*365,2)</f>
        <v>40182.01</v>
      </c>
      <c r="G10" s="238">
        <f>ROUND(MAX(G22*0.3, 20)*365,2)</f>
        <v>40182.01</v>
      </c>
      <c r="H10" s="238">
        <f>ROUND(MAX(H22*0.3, 20)*365,2)</f>
        <v>40182.01</v>
      </c>
      <c r="I10" s="105" t="s">
        <v>12</v>
      </c>
      <c r="J10" s="36"/>
      <c r="K10" s="36"/>
      <c r="L10" s="35"/>
      <c r="M10" s="35"/>
      <c r="N10" s="35"/>
    </row>
    <row r="11" spans="1:14" ht="20.100000000000001" customHeight="1" x14ac:dyDescent="0.2">
      <c r="A11" s="16"/>
      <c r="B11" s="154" t="s">
        <v>12</v>
      </c>
      <c r="C11" s="228" t="s">
        <v>54</v>
      </c>
      <c r="D11" s="228"/>
      <c r="E11" s="228"/>
      <c r="F11" s="228"/>
      <c r="G11" s="228"/>
      <c r="H11" s="228"/>
      <c r="I11" s="228"/>
      <c r="J11" s="228"/>
      <c r="K11" s="228"/>
      <c r="L11" s="228"/>
      <c r="M11" s="228"/>
      <c r="N11" s="228"/>
    </row>
    <row r="12" spans="1:14" ht="20.100000000000001" customHeight="1" x14ac:dyDescent="0.2">
      <c r="A12" s="25" t="s">
        <v>12</v>
      </c>
      <c r="B12" s="88" t="s">
        <v>13</v>
      </c>
      <c r="C12" s="88" t="s">
        <v>17</v>
      </c>
      <c r="D12" s="88" t="s">
        <v>16</v>
      </c>
      <c r="E12" s="88" t="s">
        <v>14</v>
      </c>
      <c r="F12" s="88" t="s">
        <v>8</v>
      </c>
      <c r="G12" s="88" t="s">
        <v>44</v>
      </c>
      <c r="H12" s="88" t="s">
        <v>45</v>
      </c>
      <c r="I12" s="88" t="s">
        <v>7</v>
      </c>
      <c r="J12" s="49" t="s">
        <v>53</v>
      </c>
      <c r="K12" s="49" t="s">
        <v>75</v>
      </c>
      <c r="L12" s="49" t="s">
        <v>18</v>
      </c>
      <c r="M12" s="49" t="s">
        <v>3</v>
      </c>
      <c r="N12" s="49" t="s">
        <v>102</v>
      </c>
    </row>
    <row r="13" spans="1:14" ht="20.100000000000001" customHeight="1" x14ac:dyDescent="0.2">
      <c r="A13" s="23" t="s">
        <v>9</v>
      </c>
      <c r="B13" s="79" t="s">
        <v>24</v>
      </c>
      <c r="C13" s="79">
        <v>-3660</v>
      </c>
      <c r="D13" s="48">
        <v>3030</v>
      </c>
      <c r="E13" s="48">
        <v>4290</v>
      </c>
      <c r="F13" s="48">
        <v>4970</v>
      </c>
      <c r="G13" s="48">
        <v>2190</v>
      </c>
      <c r="H13" s="48">
        <v>1200</v>
      </c>
      <c r="I13" s="48">
        <v>2380</v>
      </c>
      <c r="J13" s="48">
        <v>4390</v>
      </c>
      <c r="K13" s="48">
        <v>3330</v>
      </c>
      <c r="L13" s="48">
        <v>-230</v>
      </c>
      <c r="M13" s="48">
        <v>4190</v>
      </c>
      <c r="N13" s="48">
        <v>750</v>
      </c>
    </row>
    <row r="14" spans="1:14" ht="20.100000000000001" customHeight="1" x14ac:dyDescent="0.2">
      <c r="A14" s="23" t="s">
        <v>11</v>
      </c>
      <c r="B14" s="79" t="s">
        <v>24</v>
      </c>
      <c r="C14" s="79">
        <v>7393</v>
      </c>
      <c r="D14" s="48">
        <v>9315</v>
      </c>
      <c r="E14" s="48">
        <v>8053</v>
      </c>
      <c r="F14" s="48">
        <v>6700</v>
      </c>
      <c r="G14" s="48">
        <v>2795</v>
      </c>
      <c r="H14" s="48">
        <v>1904</v>
      </c>
      <c r="I14" s="48">
        <v>5359</v>
      </c>
      <c r="J14" s="48">
        <v>8470</v>
      </c>
      <c r="K14" s="48">
        <v>4940</v>
      </c>
      <c r="L14" s="48">
        <v>7020</v>
      </c>
      <c r="M14" s="48">
        <v>6217</v>
      </c>
      <c r="N14" s="48">
        <v>4336</v>
      </c>
    </row>
    <row r="15" spans="1:14" ht="20.100000000000001" customHeight="1" x14ac:dyDescent="0.2">
      <c r="A15" s="24" t="s">
        <v>10</v>
      </c>
      <c r="B15" s="79">
        <f>B8*B6</f>
        <v>169182.08306999999</v>
      </c>
      <c r="C15" s="79">
        <v>67198</v>
      </c>
      <c r="D15" s="38">
        <v>37478</v>
      </c>
      <c r="E15" s="38">
        <v>15914</v>
      </c>
      <c r="F15" s="38">
        <v>12302</v>
      </c>
      <c r="G15" s="38">
        <v>6381</v>
      </c>
      <c r="H15" s="38">
        <v>3020</v>
      </c>
      <c r="I15" s="38">
        <v>8254</v>
      </c>
      <c r="J15" s="38">
        <v>15541</v>
      </c>
      <c r="K15" s="38">
        <v>5906</v>
      </c>
      <c r="L15" s="38">
        <v>26082</v>
      </c>
      <c r="M15" s="38">
        <v>8262</v>
      </c>
      <c r="N15" s="38">
        <v>10471</v>
      </c>
    </row>
    <row r="16" spans="1:14" ht="20.100000000000001" customHeight="1" x14ac:dyDescent="0.2">
      <c r="A16" s="23" t="s">
        <v>47</v>
      </c>
      <c r="B16" s="48">
        <v>13032.6</v>
      </c>
      <c r="C16" s="48">
        <v>0</v>
      </c>
      <c r="D16" s="48">
        <v>0</v>
      </c>
      <c r="E16" s="48">
        <v>0</v>
      </c>
      <c r="F16" s="48">
        <v>0</v>
      </c>
      <c r="G16" s="48">
        <v>0</v>
      </c>
      <c r="H16" s="48">
        <v>0</v>
      </c>
      <c r="I16" s="48">
        <v>0</v>
      </c>
      <c r="J16" s="48">
        <v>0</v>
      </c>
      <c r="K16" s="48">
        <v>0</v>
      </c>
      <c r="L16" s="48">
        <v>352.4</v>
      </c>
      <c r="M16" s="48">
        <v>0</v>
      </c>
      <c r="N16" s="48">
        <v>0</v>
      </c>
    </row>
    <row r="17" spans="1:14" ht="20.100000000000001" customHeight="1" x14ac:dyDescent="0.2">
      <c r="A17" s="23" t="s">
        <v>46</v>
      </c>
      <c r="B17" s="48">
        <f>ROUND(B16*$B$6,1)</f>
        <v>14282.4</v>
      </c>
      <c r="C17" s="48">
        <f t="shared" ref="C17:N17" si="0">ROUND(C16*$B$6,1)</f>
        <v>0</v>
      </c>
      <c r="D17" s="48">
        <f t="shared" si="0"/>
        <v>0</v>
      </c>
      <c r="E17" s="48">
        <f t="shared" si="0"/>
        <v>0</v>
      </c>
      <c r="F17" s="48">
        <f t="shared" si="0"/>
        <v>0</v>
      </c>
      <c r="G17" s="48">
        <f t="shared" si="0"/>
        <v>0</v>
      </c>
      <c r="H17" s="48">
        <f t="shared" si="0"/>
        <v>0</v>
      </c>
      <c r="I17" s="48">
        <f t="shared" si="0"/>
        <v>0</v>
      </c>
      <c r="J17" s="48">
        <f t="shared" si="0"/>
        <v>0</v>
      </c>
      <c r="K17" s="48">
        <f t="shared" si="0"/>
        <v>0</v>
      </c>
      <c r="L17" s="48">
        <f>ROUND(L16*$B$6,1)</f>
        <v>386.2</v>
      </c>
      <c r="M17" s="48">
        <f t="shared" si="0"/>
        <v>0</v>
      </c>
      <c r="N17" s="48">
        <f t="shared" si="0"/>
        <v>0</v>
      </c>
    </row>
    <row r="18" spans="1:14" ht="20.100000000000001" customHeight="1" x14ac:dyDescent="0.2">
      <c r="A18" s="150" t="s">
        <v>48</v>
      </c>
      <c r="B18" s="79">
        <f>ROUND(B15-B17,1)</f>
        <v>154899.70000000001</v>
      </c>
      <c r="C18" s="79">
        <f t="shared" ref="C18:I18" si="1">C15-C17</f>
        <v>67198</v>
      </c>
      <c r="D18" s="79">
        <f t="shared" si="1"/>
        <v>37478</v>
      </c>
      <c r="E18" s="79">
        <f t="shared" si="1"/>
        <v>15914</v>
      </c>
      <c r="F18" s="79">
        <f t="shared" si="1"/>
        <v>12302</v>
      </c>
      <c r="G18" s="79">
        <f t="shared" si="1"/>
        <v>6381</v>
      </c>
      <c r="H18" s="79">
        <f t="shared" si="1"/>
        <v>3020</v>
      </c>
      <c r="I18" s="79">
        <f t="shared" si="1"/>
        <v>8254</v>
      </c>
      <c r="J18" s="79">
        <f>J15-J17</f>
        <v>15541</v>
      </c>
      <c r="K18" s="79">
        <f>K15-K17</f>
        <v>5906</v>
      </c>
      <c r="L18" s="79">
        <f>L15</f>
        <v>26082</v>
      </c>
      <c r="M18" s="79">
        <f>M15-M17</f>
        <v>8262</v>
      </c>
      <c r="N18" s="79">
        <f>N15-N17</f>
        <v>10471</v>
      </c>
    </row>
    <row r="19" spans="1:14" ht="20.100000000000001" customHeight="1" x14ac:dyDescent="0.2">
      <c r="A19" s="24" t="s">
        <v>43</v>
      </c>
      <c r="B19" s="79">
        <f>0.6*'BRA Parameters'!B19</f>
        <v>2475.12</v>
      </c>
      <c r="C19" s="79">
        <f>0.6*'BRA Parameters'!C19</f>
        <v>993.1053714358294</v>
      </c>
      <c r="D19" s="79">
        <f>0.6*'BRA Parameters'!D19</f>
        <v>541.44227328928741</v>
      </c>
      <c r="E19" s="79">
        <f>0.6*'BRA Parameters'!E19</f>
        <v>228.9262534507977</v>
      </c>
      <c r="F19" s="79">
        <f>0.6*'BRA Parameters'!F19</f>
        <v>171.43679805663771</v>
      </c>
      <c r="G19" s="79">
        <f>0.6*'BRA Parameters'!G19</f>
        <v>83.146847057469287</v>
      </c>
      <c r="H19" s="79">
        <f>0.6*'BRA Parameters'!H19</f>
        <v>39.666840020719654</v>
      </c>
      <c r="I19" s="79">
        <f>0.6*'BRA Parameters'!I19</f>
        <v>110.1813002982918</v>
      </c>
      <c r="J19" s="79">
        <f>0.6*'BRA Parameters'!J19</f>
        <v>214.22231413323695</v>
      </c>
      <c r="K19" s="79">
        <f>0.6*'BRA Parameters'!K19</f>
        <v>73.513146948909338</v>
      </c>
      <c r="L19" s="79">
        <f>0.6*'BRA Parameters'!L19</f>
        <v>377.72586207923086</v>
      </c>
      <c r="M19" s="79">
        <f>0.6*'BRA Parameters'!M19</f>
        <v>118.74495315250589</v>
      </c>
      <c r="N19" s="79">
        <f>0.6*'BRA Parameters'!N19</f>
        <v>123.0840889199375</v>
      </c>
    </row>
    <row r="20" spans="1:14" ht="20.100000000000001" customHeight="1" x14ac:dyDescent="0.2">
      <c r="A20" s="145" t="s">
        <v>164</v>
      </c>
      <c r="B20" s="144">
        <v>1611.2</v>
      </c>
      <c r="C20" s="144">
        <v>411.9</v>
      </c>
      <c r="D20" s="144">
        <v>105.4</v>
      </c>
      <c r="E20" s="144">
        <v>234.6</v>
      </c>
      <c r="F20" s="144">
        <v>23</v>
      </c>
      <c r="G20" s="144">
        <v>6</v>
      </c>
      <c r="H20" s="144">
        <v>2</v>
      </c>
      <c r="I20" s="144">
        <v>110</v>
      </c>
      <c r="J20" s="144">
        <v>153.1</v>
      </c>
      <c r="K20" s="144">
        <v>35.700000000000003</v>
      </c>
      <c r="L20" s="79">
        <v>727.7</v>
      </c>
      <c r="M20" s="79">
        <v>124.6</v>
      </c>
      <c r="N20" s="79">
        <v>41.6</v>
      </c>
    </row>
    <row r="21" spans="1:14" ht="20.100000000000001" customHeight="1" x14ac:dyDescent="0.2">
      <c r="A21" s="151" t="s">
        <v>163</v>
      </c>
      <c r="B21" s="146">
        <f t="shared" ref="B21:M21" si="2">B18+B20</f>
        <v>156510.90000000002</v>
      </c>
      <c r="C21" s="146">
        <f t="shared" si="2"/>
        <v>67609.899999999994</v>
      </c>
      <c r="D21" s="146">
        <f t="shared" si="2"/>
        <v>37583.4</v>
      </c>
      <c r="E21" s="146">
        <f t="shared" si="2"/>
        <v>16148.6</v>
      </c>
      <c r="F21" s="146">
        <f t="shared" si="2"/>
        <v>12325</v>
      </c>
      <c r="G21" s="146">
        <f t="shared" si="2"/>
        <v>6387</v>
      </c>
      <c r="H21" s="146">
        <f t="shared" si="2"/>
        <v>3022</v>
      </c>
      <c r="I21" s="146">
        <f t="shared" si="2"/>
        <v>8364</v>
      </c>
      <c r="J21" s="146">
        <f t="shared" si="2"/>
        <v>15694.1</v>
      </c>
      <c r="K21" s="146">
        <f t="shared" si="2"/>
        <v>5941.7</v>
      </c>
      <c r="L21" s="146">
        <f t="shared" si="2"/>
        <v>26809.7</v>
      </c>
      <c r="M21" s="146">
        <f t="shared" si="2"/>
        <v>8386.6</v>
      </c>
      <c r="N21" s="146">
        <f>N18+N20</f>
        <v>10512.6</v>
      </c>
    </row>
    <row r="22" spans="1:14" ht="20.100000000000001" customHeight="1" x14ac:dyDescent="0.2">
      <c r="A22" s="60" t="s">
        <v>49</v>
      </c>
      <c r="B22" s="12">
        <f>'BRA Parameters'!B20*(1-'BRA Parameters'!$B$5)/(1-'2nd IA Parameters'!$B$5)</f>
        <v>352.4359147443393</v>
      </c>
      <c r="C22" s="12">
        <f>'BRA Parameters'!C20*(1-'BRA Parameters'!$B$5)/(1-'2nd IA Parameters'!$B$5)</f>
        <v>313.93164664611459</v>
      </c>
      <c r="D22" s="12">
        <f>'BRA Parameters'!D20*(1-'BRA Parameters'!$B$5)/(1-'2nd IA Parameters'!$B$5)</f>
        <v>366.95901456362287</v>
      </c>
      <c r="E22" s="12">
        <f>'BRA Parameters'!E20*(1-'BRA Parameters'!$B$5)/(1-'2nd IA Parameters'!$B$5)</f>
        <v>313.93164664611459</v>
      </c>
      <c r="F22" s="12">
        <f>'BRA Parameters'!F20*(1-'BRA Parameters'!$B$5)/(1-'2nd IA Parameters'!$B$5)</f>
        <v>366.95901456362287</v>
      </c>
      <c r="G22" s="12">
        <f>'BRA Parameters'!G20*(1-'BRA Parameters'!$B$5)/(1-'2nd IA Parameters'!$B$5)</f>
        <v>366.95901456362287</v>
      </c>
      <c r="H22" s="12">
        <f>'BRA Parameters'!H20*(1-'BRA Parameters'!$B$5)/(1-'2nd IA Parameters'!$B$5)</f>
        <v>366.95901456362287</v>
      </c>
      <c r="I22" s="12">
        <f>'BRA Parameters'!I20*(1-'BRA Parameters'!$B$5)/(1-'2nd IA Parameters'!$B$5)</f>
        <v>313.93164664611459</v>
      </c>
      <c r="J22" s="12">
        <f>'BRA Parameters'!J20*(1-'BRA Parameters'!$B$5)/(1-'2nd IA Parameters'!$B$5)</f>
        <v>374.86246943765281</v>
      </c>
      <c r="K22" s="12">
        <f>'BRA Parameters'!K20*(1-'BRA Parameters'!$B$5)/(1-'2nd IA Parameters'!$B$5)</f>
        <v>374.86246943765281</v>
      </c>
      <c r="L22" s="12">
        <f>'BRA Parameters'!L20*(1-'BRA Parameters'!$B$5)/(1-'2nd IA Parameters'!$B$5)</f>
        <v>374.86246943765281</v>
      </c>
      <c r="M22" s="12">
        <f>'BRA Parameters'!M20*(1-'BRA Parameters'!$B$5)/(1-'2nd IA Parameters'!$B$5)</f>
        <v>313.93164664611459</v>
      </c>
      <c r="N22" s="12">
        <f>'BRA Parameters'!N20*(1-'BRA Parameters'!$B$5)/(1-'2nd IA Parameters'!$B$5)</f>
        <v>355.51505262038904</v>
      </c>
    </row>
    <row r="23" spans="1:14" ht="20.100000000000001" customHeight="1" x14ac:dyDescent="0.2">
      <c r="A23" s="239" t="s">
        <v>50</v>
      </c>
      <c r="B23" s="239"/>
      <c r="C23" s="239"/>
      <c r="D23" s="239"/>
      <c r="E23" s="239"/>
      <c r="F23" s="239"/>
      <c r="G23" s="239"/>
      <c r="H23" s="239"/>
      <c r="I23" s="239"/>
      <c r="J23" s="239"/>
      <c r="K23" s="239"/>
      <c r="L23" s="239"/>
      <c r="M23" s="239"/>
      <c r="N23" s="239"/>
    </row>
    <row r="24" spans="1:14" ht="20.100000000000001" customHeight="1" x14ac:dyDescent="0.2">
      <c r="A24" s="61" t="s">
        <v>25</v>
      </c>
      <c r="B24" s="9">
        <f>ROUND(B$22*1.5,2)</f>
        <v>528.65</v>
      </c>
      <c r="C24" s="9">
        <f>ROUND(C$22*1.5,2)</f>
        <v>470.9</v>
      </c>
      <c r="D24" s="9">
        <f>ROUND(D$22*1.5,2)</f>
        <v>550.44000000000005</v>
      </c>
      <c r="E24" s="9">
        <f>ROUND(E$22*1.5,2)</f>
        <v>470.9</v>
      </c>
      <c r="F24" s="9">
        <f t="shared" ref="F24:N24" si="3">ROUND(F$22*1.5,2)</f>
        <v>550.44000000000005</v>
      </c>
      <c r="G24" s="9">
        <f t="shared" si="3"/>
        <v>550.44000000000005</v>
      </c>
      <c r="H24" s="9">
        <f t="shared" si="3"/>
        <v>550.44000000000005</v>
      </c>
      <c r="I24" s="9">
        <f t="shared" si="3"/>
        <v>470.9</v>
      </c>
      <c r="J24" s="9">
        <f t="shared" si="3"/>
        <v>562.29</v>
      </c>
      <c r="K24" s="9">
        <f t="shared" si="3"/>
        <v>562.29</v>
      </c>
      <c r="L24" s="9">
        <f t="shared" si="3"/>
        <v>562.29</v>
      </c>
      <c r="M24" s="9">
        <f t="shared" si="3"/>
        <v>470.9</v>
      </c>
      <c r="N24" s="9">
        <f t="shared" si="3"/>
        <v>533.27</v>
      </c>
    </row>
    <row r="25" spans="1:14" ht="20.100000000000001" customHeight="1" x14ac:dyDescent="0.2">
      <c r="A25" s="23" t="s">
        <v>26</v>
      </c>
      <c r="B25" s="9">
        <f>ROUND(B$22,2)</f>
        <v>352.44</v>
      </c>
      <c r="C25" s="9">
        <f>ROUND(C$22,2)</f>
        <v>313.93</v>
      </c>
      <c r="D25" s="9">
        <f t="shared" ref="D25:N25" si="4">ROUND(D$22,2)</f>
        <v>366.96</v>
      </c>
      <c r="E25" s="9">
        <f t="shared" si="4"/>
        <v>313.93</v>
      </c>
      <c r="F25" s="9">
        <f t="shared" si="4"/>
        <v>366.96</v>
      </c>
      <c r="G25" s="9">
        <f t="shared" si="4"/>
        <v>366.96</v>
      </c>
      <c r="H25" s="9">
        <f t="shared" si="4"/>
        <v>366.96</v>
      </c>
      <c r="I25" s="9">
        <f t="shared" si="4"/>
        <v>313.93</v>
      </c>
      <c r="J25" s="9">
        <f t="shared" si="4"/>
        <v>374.86</v>
      </c>
      <c r="K25" s="9">
        <f t="shared" si="4"/>
        <v>374.86</v>
      </c>
      <c r="L25" s="9">
        <f t="shared" si="4"/>
        <v>374.86</v>
      </c>
      <c r="M25" s="9">
        <f t="shared" si="4"/>
        <v>313.93</v>
      </c>
      <c r="N25" s="9">
        <f t="shared" si="4"/>
        <v>355.52</v>
      </c>
    </row>
    <row r="26" spans="1:14" ht="20.100000000000001" customHeight="1" x14ac:dyDescent="0.2">
      <c r="A26" s="23" t="s">
        <v>27</v>
      </c>
      <c r="B26" s="9">
        <f>ROUND(B$22*0.2,2)</f>
        <v>70.489999999999995</v>
      </c>
      <c r="C26" s="9">
        <f>ROUND(C$22*0.2,2)</f>
        <v>62.79</v>
      </c>
      <c r="D26" s="9">
        <f t="shared" ref="D26:N26" si="5">ROUND(D$22*0.2,2)</f>
        <v>73.39</v>
      </c>
      <c r="E26" s="9">
        <f t="shared" si="5"/>
        <v>62.79</v>
      </c>
      <c r="F26" s="9">
        <f t="shared" si="5"/>
        <v>73.39</v>
      </c>
      <c r="G26" s="9">
        <f t="shared" si="5"/>
        <v>73.39</v>
      </c>
      <c r="H26" s="9">
        <f t="shared" si="5"/>
        <v>73.39</v>
      </c>
      <c r="I26" s="9">
        <f t="shared" si="5"/>
        <v>62.79</v>
      </c>
      <c r="J26" s="9">
        <f t="shared" si="5"/>
        <v>74.97</v>
      </c>
      <c r="K26" s="9">
        <f t="shared" si="5"/>
        <v>74.97</v>
      </c>
      <c r="L26" s="9">
        <f t="shared" si="5"/>
        <v>74.97</v>
      </c>
      <c r="M26" s="9">
        <f t="shared" si="5"/>
        <v>62.79</v>
      </c>
      <c r="N26" s="9">
        <f t="shared" si="5"/>
        <v>71.099999999999994</v>
      </c>
    </row>
    <row r="27" spans="1:14" ht="20.100000000000001" customHeight="1" x14ac:dyDescent="0.2">
      <c r="A27" s="23" t="s">
        <v>28</v>
      </c>
      <c r="B27" s="10">
        <f t="shared" ref="B27:N27" si="6">ROUND(B$21*(1+$B$4-3%)/(1+$B$4)-B19,1)</f>
        <v>150005.5</v>
      </c>
      <c r="C27" s="10">
        <f t="shared" si="6"/>
        <v>64875.8</v>
      </c>
      <c r="D27" s="10">
        <f t="shared" si="6"/>
        <v>36074.1</v>
      </c>
      <c r="E27" s="10">
        <f t="shared" si="6"/>
        <v>15503.8</v>
      </c>
      <c r="F27" s="10">
        <f t="shared" si="6"/>
        <v>11836.2</v>
      </c>
      <c r="G27" s="10">
        <f t="shared" si="6"/>
        <v>6139.4</v>
      </c>
      <c r="H27" s="10">
        <f t="shared" si="6"/>
        <v>2904.5</v>
      </c>
      <c r="I27" s="10">
        <f t="shared" si="6"/>
        <v>8038.4</v>
      </c>
      <c r="J27" s="10">
        <f t="shared" si="6"/>
        <v>15075.7</v>
      </c>
      <c r="K27" s="10">
        <f t="shared" si="6"/>
        <v>5715.2</v>
      </c>
      <c r="L27" s="10">
        <f t="shared" si="6"/>
        <v>25741.599999999999</v>
      </c>
      <c r="M27" s="10">
        <f t="shared" si="6"/>
        <v>8051.9</v>
      </c>
      <c r="N27" s="10">
        <f t="shared" si="6"/>
        <v>10118.799999999999</v>
      </c>
    </row>
    <row r="28" spans="1:14" ht="20.100000000000001" customHeight="1" x14ac:dyDescent="0.2">
      <c r="A28" s="23" t="s">
        <v>29</v>
      </c>
      <c r="B28" s="10">
        <f t="shared" ref="B28:N28" si="7">ROUND(B$21*(1+$B$4+1%)/(1+$B$4)-B19,1)</f>
        <v>155379.20000000001</v>
      </c>
      <c r="C28" s="10">
        <f t="shared" si="7"/>
        <v>67197.100000000006</v>
      </c>
      <c r="D28" s="10">
        <f t="shared" si="7"/>
        <v>37364.6</v>
      </c>
      <c r="E28" s="10">
        <f t="shared" si="7"/>
        <v>16058.3</v>
      </c>
      <c r="F28" s="10">
        <f t="shared" si="7"/>
        <v>12259.4</v>
      </c>
      <c r="G28" s="10">
        <f t="shared" si="7"/>
        <v>6358.7</v>
      </c>
      <c r="H28" s="10">
        <f t="shared" si="7"/>
        <v>3008.3</v>
      </c>
      <c r="I28" s="10">
        <f t="shared" si="7"/>
        <v>8325.6</v>
      </c>
      <c r="J28" s="10">
        <f t="shared" si="7"/>
        <v>15614.6</v>
      </c>
      <c r="K28" s="10">
        <f t="shared" si="7"/>
        <v>5919.2</v>
      </c>
      <c r="L28" s="10">
        <f t="shared" si="7"/>
        <v>26662.1</v>
      </c>
      <c r="M28" s="10">
        <f t="shared" si="7"/>
        <v>8339.7999999999993</v>
      </c>
      <c r="N28" s="10">
        <f t="shared" si="7"/>
        <v>10479.799999999999</v>
      </c>
    </row>
    <row r="29" spans="1:14" ht="20.100000000000001" customHeight="1" x14ac:dyDescent="0.2">
      <c r="A29" s="23" t="s">
        <v>30</v>
      </c>
      <c r="B29" s="10">
        <f>ROUND(B$21*(1+$B$4+5%)/(1+$B$4)-B19,1)</f>
        <v>160753</v>
      </c>
      <c r="C29" s="10">
        <f>ROUND(C$21*(1+$B$4+5%)/(1+$B$4)-C19,1)</f>
        <v>69518.5</v>
      </c>
      <c r="D29" s="10">
        <f t="shared" ref="D29:M29" si="8">ROUND(D$21*(1+$B$4+5%)/(1+$B$4)-D19,1)</f>
        <v>38655</v>
      </c>
      <c r="E29" s="10">
        <f t="shared" si="8"/>
        <v>16612.7</v>
      </c>
      <c r="F29" s="10">
        <f t="shared" si="8"/>
        <v>12682.5</v>
      </c>
      <c r="G29" s="10">
        <f t="shared" si="8"/>
        <v>6578</v>
      </c>
      <c r="H29" s="10">
        <f t="shared" si="8"/>
        <v>3112</v>
      </c>
      <c r="I29" s="10">
        <f t="shared" si="8"/>
        <v>8612.7999999999993</v>
      </c>
      <c r="J29" s="10">
        <f t="shared" si="8"/>
        <v>16153.4</v>
      </c>
      <c r="K29" s="10">
        <f t="shared" si="8"/>
        <v>6123.2</v>
      </c>
      <c r="L29" s="10">
        <f t="shared" si="8"/>
        <v>27582.6</v>
      </c>
      <c r="M29" s="10">
        <f t="shared" si="8"/>
        <v>8627.7999999999993</v>
      </c>
      <c r="N29" s="10">
        <f>ROUND(N$21*(1+$B$4+5%)/(1+$B$4)-N19,1)</f>
        <v>10840.7</v>
      </c>
    </row>
    <row r="30" spans="1:14" ht="20.100000000000001" customHeight="1" x14ac:dyDescent="0.2">
      <c r="A30" s="23" t="s">
        <v>52</v>
      </c>
      <c r="B30" s="22" t="s">
        <v>24</v>
      </c>
      <c r="C30" s="11">
        <v>159</v>
      </c>
      <c r="D30" s="11" t="s">
        <v>24</v>
      </c>
      <c r="E30" s="11" t="s">
        <v>24</v>
      </c>
      <c r="F30" s="11" t="s">
        <v>24</v>
      </c>
      <c r="G30" s="11" t="s">
        <v>24</v>
      </c>
      <c r="H30" s="101">
        <f>37+35</f>
        <v>72</v>
      </c>
      <c r="I30" s="11" t="s">
        <v>24</v>
      </c>
      <c r="J30" s="11" t="s">
        <v>24</v>
      </c>
      <c r="K30" s="11" t="s">
        <v>24</v>
      </c>
      <c r="L30" s="11" t="s">
        <v>24</v>
      </c>
      <c r="M30" s="11" t="s">
        <v>24</v>
      </c>
      <c r="N30" s="11" t="s">
        <v>24</v>
      </c>
    </row>
    <row r="31" spans="1:14" ht="20.100000000000001" customHeight="1" x14ac:dyDescent="0.2">
      <c r="A31" s="229" t="s">
        <v>108</v>
      </c>
      <c r="B31" s="230"/>
      <c r="C31" s="230"/>
      <c r="D31" s="230"/>
      <c r="E31" s="230"/>
      <c r="F31" s="230"/>
      <c r="G31" s="230"/>
      <c r="H31" s="230"/>
      <c r="I31" s="230"/>
      <c r="J31" s="230"/>
      <c r="K31" s="230"/>
      <c r="L31" s="230"/>
      <c r="M31" s="230"/>
      <c r="N31" s="231"/>
    </row>
    <row r="32" spans="1:14" ht="20.100000000000001" customHeight="1" x14ac:dyDescent="0.2">
      <c r="A32" s="23" t="s">
        <v>107</v>
      </c>
      <c r="B32" s="22" t="s">
        <v>24</v>
      </c>
      <c r="C32" s="22" t="s">
        <v>24</v>
      </c>
      <c r="D32" s="22" t="s">
        <v>24</v>
      </c>
      <c r="E32" s="22" t="s">
        <v>24</v>
      </c>
      <c r="F32" s="22" t="s">
        <v>24</v>
      </c>
      <c r="G32" s="22" t="s">
        <v>24</v>
      </c>
      <c r="H32" s="22" t="s">
        <v>24</v>
      </c>
      <c r="I32" s="22" t="s">
        <v>24</v>
      </c>
      <c r="J32" s="22" t="s">
        <v>24</v>
      </c>
      <c r="K32" s="22" t="s">
        <v>24</v>
      </c>
      <c r="L32" s="102">
        <f>(L15-L14)/(21456*$B$6)</f>
        <v>0.81067872870877478</v>
      </c>
      <c r="M32" s="22" t="s">
        <v>24</v>
      </c>
      <c r="N32" s="22" t="s">
        <v>24</v>
      </c>
    </row>
    <row r="33" ht="20.100000000000001" customHeight="1" x14ac:dyDescent="0.2"/>
    <row r="34" ht="20.100000000000001" customHeight="1" x14ac:dyDescent="0.2"/>
  </sheetData>
  <mergeCells count="13">
    <mergeCell ref="C6:H6"/>
    <mergeCell ref="A1:H1"/>
    <mergeCell ref="A2:H2"/>
    <mergeCell ref="C3:H3"/>
    <mergeCell ref="C4:H4"/>
    <mergeCell ref="C5:H5"/>
    <mergeCell ref="A31:N31"/>
    <mergeCell ref="C7:H7"/>
    <mergeCell ref="C8:H8"/>
    <mergeCell ref="C9:H9"/>
    <mergeCell ref="C10:H10"/>
    <mergeCell ref="C11:N11"/>
    <mergeCell ref="A23:N23"/>
  </mergeCells>
  <pageMargins left="0.45" right="0.45" top="0.5" bottom="0.5" header="0.3" footer="0.3"/>
  <pageSetup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workbookViewId="0">
      <selection sqref="A1:H1"/>
    </sheetView>
  </sheetViews>
  <sheetFormatPr defaultRowHeight="12.75" x14ac:dyDescent="0.2"/>
  <cols>
    <col min="1" max="1" width="50.7109375" customWidth="1"/>
    <col min="2" max="2" width="18.140625" customWidth="1"/>
    <col min="3" max="10" width="17.7109375" customWidth="1"/>
    <col min="11" max="11" width="18.28515625" customWidth="1"/>
    <col min="12" max="14" width="17.7109375" customWidth="1"/>
  </cols>
  <sheetData>
    <row r="1" spans="1:14" ht="24.95" customHeight="1" x14ac:dyDescent="0.25">
      <c r="A1" s="244" t="s">
        <v>123</v>
      </c>
      <c r="B1" s="244"/>
      <c r="C1" s="244"/>
      <c r="D1" s="244"/>
      <c r="E1" s="244"/>
      <c r="F1" s="244"/>
      <c r="G1" s="244"/>
      <c r="H1" s="244"/>
      <c r="I1" s="13" t="s">
        <v>12</v>
      </c>
    </row>
    <row r="2" spans="1:14" ht="18" x14ac:dyDescent="0.25">
      <c r="A2" s="243" t="s">
        <v>12</v>
      </c>
      <c r="B2" s="243"/>
      <c r="C2" s="243"/>
      <c r="D2" s="243"/>
      <c r="E2" s="243"/>
      <c r="F2" s="243"/>
      <c r="G2" s="243"/>
      <c r="H2" s="243"/>
      <c r="I2" s="13"/>
    </row>
    <row r="3" spans="1:14" ht="20.100000000000001" customHeight="1" x14ac:dyDescent="0.25">
      <c r="A3" s="14"/>
      <c r="B3" s="15" t="s">
        <v>13</v>
      </c>
      <c r="C3" s="232" t="s">
        <v>12</v>
      </c>
      <c r="D3" s="233"/>
      <c r="E3" s="233"/>
      <c r="F3" s="233"/>
      <c r="G3" s="233"/>
      <c r="H3" s="234"/>
      <c r="I3" s="41"/>
      <c r="J3" s="41"/>
      <c r="K3" s="41"/>
    </row>
    <row r="4" spans="1:14" ht="20.100000000000001" customHeight="1" x14ac:dyDescent="0.2">
      <c r="A4" s="16" t="s">
        <v>35</v>
      </c>
      <c r="B4" s="17">
        <v>0.157</v>
      </c>
      <c r="C4" s="232" t="s">
        <v>12</v>
      </c>
      <c r="D4" s="233"/>
      <c r="E4" s="233"/>
      <c r="F4" s="233"/>
      <c r="G4" s="233"/>
      <c r="H4" s="234"/>
      <c r="I4" s="42"/>
      <c r="J4" s="57" t="s">
        <v>12</v>
      </c>
      <c r="K4" s="42"/>
    </row>
    <row r="5" spans="1:14" ht="20.100000000000001" customHeight="1" x14ac:dyDescent="0.2">
      <c r="A5" s="16" t="s">
        <v>36</v>
      </c>
      <c r="B5" s="18">
        <v>5.7000000000000002E-2</v>
      </c>
      <c r="C5" s="246" t="s">
        <v>12</v>
      </c>
      <c r="D5" s="246"/>
      <c r="E5" s="246"/>
      <c r="F5" s="246"/>
      <c r="G5" s="246"/>
      <c r="H5" s="246"/>
      <c r="I5" s="42"/>
      <c r="J5" s="100" t="s">
        <v>12</v>
      </c>
      <c r="K5" s="42"/>
    </row>
    <row r="6" spans="1:14" ht="20.100000000000001" customHeight="1" x14ac:dyDescent="0.2">
      <c r="A6" s="16" t="s">
        <v>37</v>
      </c>
      <c r="B6" s="19">
        <v>1.0911</v>
      </c>
      <c r="C6" s="246" t="s">
        <v>12</v>
      </c>
      <c r="D6" s="246"/>
      <c r="E6" s="246"/>
      <c r="F6" s="246"/>
      <c r="G6" s="246"/>
      <c r="H6" s="246"/>
      <c r="I6" s="43"/>
      <c r="J6" s="58" t="s">
        <v>12</v>
      </c>
      <c r="K6" s="43"/>
    </row>
    <row r="7" spans="1:14" ht="20.100000000000001" customHeight="1" x14ac:dyDescent="0.2">
      <c r="A7" s="16" t="s">
        <v>42</v>
      </c>
      <c r="B7" s="20">
        <v>0.95099999999999996</v>
      </c>
      <c r="C7" s="245"/>
      <c r="D7" s="245"/>
      <c r="E7" s="245"/>
      <c r="F7" s="245"/>
      <c r="G7" s="245"/>
      <c r="H7" s="245"/>
      <c r="I7" s="43"/>
      <c r="J7" s="43" t="s">
        <v>12</v>
      </c>
      <c r="K7" s="43"/>
    </row>
    <row r="8" spans="1:14" ht="20.100000000000001" customHeight="1" x14ac:dyDescent="0.2">
      <c r="A8" s="16" t="s">
        <v>38</v>
      </c>
      <c r="B8" s="81">
        <v>160092.20000000001</v>
      </c>
      <c r="C8" s="235" t="s">
        <v>128</v>
      </c>
      <c r="D8" s="236"/>
      <c r="E8" s="236"/>
      <c r="F8" s="236"/>
      <c r="G8" s="236"/>
      <c r="H8" s="237"/>
      <c r="I8" s="82"/>
      <c r="J8" s="83" t="s">
        <v>12</v>
      </c>
      <c r="K8" s="82"/>
      <c r="L8" s="35"/>
      <c r="M8" s="35"/>
      <c r="N8" s="35"/>
    </row>
    <row r="9" spans="1:14" ht="20.100000000000001" customHeight="1" x14ac:dyDescent="0.2">
      <c r="A9" s="16" t="s">
        <v>43</v>
      </c>
      <c r="B9" s="84" t="s">
        <v>122</v>
      </c>
      <c r="C9" s="238" t="s">
        <v>12</v>
      </c>
      <c r="D9" s="238">
        <f t="shared" ref="D9:H10" si="0">ROUND(MAX(D19*0.3, 20)*365,2)</f>
        <v>79050.570000000007</v>
      </c>
      <c r="E9" s="238">
        <f t="shared" si="0"/>
        <v>33423.230000000003</v>
      </c>
      <c r="F9" s="238">
        <f t="shared" si="0"/>
        <v>25029.77</v>
      </c>
      <c r="G9" s="238">
        <f t="shared" si="0"/>
        <v>12139.44</v>
      </c>
      <c r="H9" s="238">
        <f t="shared" si="0"/>
        <v>7300</v>
      </c>
      <c r="I9" s="36"/>
      <c r="J9" s="36"/>
      <c r="K9" s="36"/>
      <c r="L9" s="35"/>
      <c r="M9" s="35"/>
      <c r="N9" s="35"/>
    </row>
    <row r="10" spans="1:14" ht="20.100000000000001" customHeight="1" x14ac:dyDescent="0.2">
      <c r="A10" s="16" t="s">
        <v>12</v>
      </c>
      <c r="B10" s="85" t="s">
        <v>12</v>
      </c>
      <c r="C10" s="238" t="s">
        <v>12</v>
      </c>
      <c r="D10" s="238">
        <f t="shared" si="0"/>
        <v>40084.01</v>
      </c>
      <c r="E10" s="238">
        <f t="shared" si="0"/>
        <v>34291.67</v>
      </c>
      <c r="F10" s="238">
        <f t="shared" si="0"/>
        <v>40084.01</v>
      </c>
      <c r="G10" s="238">
        <f t="shared" si="0"/>
        <v>40084.01</v>
      </c>
      <c r="H10" s="238">
        <f t="shared" si="0"/>
        <v>40084.01</v>
      </c>
      <c r="I10" s="105" t="s">
        <v>12</v>
      </c>
      <c r="J10" s="36"/>
      <c r="K10" s="36"/>
      <c r="L10" s="35"/>
      <c r="M10" s="35"/>
      <c r="N10" s="35"/>
    </row>
    <row r="11" spans="1:14" ht="20.100000000000001" customHeight="1" x14ac:dyDescent="0.2">
      <c r="A11" s="16"/>
      <c r="B11" s="86" t="s">
        <v>12</v>
      </c>
      <c r="C11" s="228" t="s">
        <v>54</v>
      </c>
      <c r="D11" s="228"/>
      <c r="E11" s="228"/>
      <c r="F11" s="228"/>
      <c r="G11" s="228"/>
      <c r="H11" s="228"/>
      <c r="I11" s="228"/>
      <c r="J11" s="228"/>
      <c r="K11" s="228"/>
      <c r="L11" s="228"/>
      <c r="M11" s="228"/>
      <c r="N11" s="228"/>
    </row>
    <row r="12" spans="1:14" ht="20.100000000000001" customHeight="1" x14ac:dyDescent="0.2">
      <c r="A12" s="25" t="s">
        <v>12</v>
      </c>
      <c r="B12" s="88" t="s">
        <v>13</v>
      </c>
      <c r="C12" s="88" t="s">
        <v>17</v>
      </c>
      <c r="D12" s="88" t="s">
        <v>16</v>
      </c>
      <c r="E12" s="88" t="s">
        <v>14</v>
      </c>
      <c r="F12" s="88" t="s">
        <v>8</v>
      </c>
      <c r="G12" s="88" t="s">
        <v>44</v>
      </c>
      <c r="H12" s="88" t="s">
        <v>45</v>
      </c>
      <c r="I12" s="88" t="s">
        <v>7</v>
      </c>
      <c r="J12" s="49" t="s">
        <v>53</v>
      </c>
      <c r="K12" s="49" t="s">
        <v>75</v>
      </c>
      <c r="L12" s="49" t="s">
        <v>18</v>
      </c>
      <c r="M12" s="49" t="s">
        <v>3</v>
      </c>
      <c r="N12" s="49" t="s">
        <v>102</v>
      </c>
    </row>
    <row r="13" spans="1:14" ht="20.100000000000001" customHeight="1" x14ac:dyDescent="0.2">
      <c r="A13" s="23" t="s">
        <v>9</v>
      </c>
      <c r="B13" s="79" t="s">
        <v>24</v>
      </c>
      <c r="C13" s="79">
        <v>-1110</v>
      </c>
      <c r="D13" s="48">
        <v>3680</v>
      </c>
      <c r="E13" s="48">
        <v>4370</v>
      </c>
      <c r="F13" s="48">
        <v>5310</v>
      </c>
      <c r="G13" s="48">
        <v>2170</v>
      </c>
      <c r="H13" s="48">
        <v>1290</v>
      </c>
      <c r="I13" s="48">
        <v>2530</v>
      </c>
      <c r="J13" s="48">
        <v>4600</v>
      </c>
      <c r="K13" s="48">
        <v>3550</v>
      </c>
      <c r="L13" s="48">
        <v>570</v>
      </c>
      <c r="M13" s="48">
        <v>4250</v>
      </c>
      <c r="N13" s="48">
        <v>570</v>
      </c>
    </row>
    <row r="14" spans="1:14" ht="20.100000000000001" customHeight="1" x14ac:dyDescent="0.2">
      <c r="A14" s="23" t="s">
        <v>11</v>
      </c>
      <c r="B14" s="79" t="s">
        <v>24</v>
      </c>
      <c r="C14" s="79">
        <v>7393</v>
      </c>
      <c r="D14" s="48">
        <v>9315</v>
      </c>
      <c r="E14" s="48">
        <v>8053</v>
      </c>
      <c r="F14" s="48">
        <v>6700</v>
      </c>
      <c r="G14" s="48">
        <v>2795</v>
      </c>
      <c r="H14" s="48">
        <v>1904</v>
      </c>
      <c r="I14" s="48">
        <v>5359</v>
      </c>
      <c r="J14" s="48">
        <v>8470</v>
      </c>
      <c r="K14" s="48">
        <v>4940</v>
      </c>
      <c r="L14" s="48">
        <v>7020</v>
      </c>
      <c r="M14" s="48">
        <v>6217</v>
      </c>
      <c r="N14" s="48">
        <v>4336</v>
      </c>
    </row>
    <row r="15" spans="1:14" ht="20.100000000000001" customHeight="1" x14ac:dyDescent="0.2">
      <c r="A15" s="24" t="s">
        <v>10</v>
      </c>
      <c r="B15" s="79">
        <f>B8*B6</f>
        <v>174676.59942000001</v>
      </c>
      <c r="C15" s="79">
        <v>70016</v>
      </c>
      <c r="D15" s="38">
        <v>38597</v>
      </c>
      <c r="E15" s="38">
        <v>16342</v>
      </c>
      <c r="F15" s="38">
        <v>12573</v>
      </c>
      <c r="G15" s="38">
        <v>6472</v>
      </c>
      <c r="H15" s="38">
        <v>3116</v>
      </c>
      <c r="I15" s="38">
        <v>8458</v>
      </c>
      <c r="J15" s="38">
        <v>16025</v>
      </c>
      <c r="K15" s="38">
        <v>6217</v>
      </c>
      <c r="L15" s="38">
        <v>27795</v>
      </c>
      <c r="M15" s="38">
        <v>8609</v>
      </c>
      <c r="N15" s="38">
        <v>10315</v>
      </c>
    </row>
    <row r="16" spans="1:14" ht="20.100000000000001" customHeight="1" x14ac:dyDescent="0.2">
      <c r="A16" s="23" t="s">
        <v>47</v>
      </c>
      <c r="B16" s="48">
        <v>13196.6</v>
      </c>
      <c r="C16" s="48">
        <v>0</v>
      </c>
      <c r="D16" s="48">
        <v>0</v>
      </c>
      <c r="E16" s="48">
        <v>0</v>
      </c>
      <c r="F16" s="48">
        <v>0</v>
      </c>
      <c r="G16" s="48">
        <v>0</v>
      </c>
      <c r="H16" s="48">
        <v>0</v>
      </c>
      <c r="I16" s="48">
        <v>0</v>
      </c>
      <c r="J16" s="48">
        <v>0</v>
      </c>
      <c r="K16" s="48">
        <v>0</v>
      </c>
      <c r="L16" s="48">
        <v>339.5</v>
      </c>
      <c r="M16" s="48">
        <v>0</v>
      </c>
      <c r="N16" s="48">
        <v>0</v>
      </c>
    </row>
    <row r="17" spans="1:14" ht="20.100000000000001" customHeight="1" x14ac:dyDescent="0.2">
      <c r="A17" s="23" t="s">
        <v>46</v>
      </c>
      <c r="B17" s="48">
        <f>ROUND(B16*$B$6,1)</f>
        <v>14398.8</v>
      </c>
      <c r="C17" s="48">
        <f t="shared" ref="C17:H17" si="1">ROUND(C16*$B$6,1)</f>
        <v>0</v>
      </c>
      <c r="D17" s="48">
        <f t="shared" si="1"/>
        <v>0</v>
      </c>
      <c r="E17" s="48">
        <f t="shared" si="1"/>
        <v>0</v>
      </c>
      <c r="F17" s="48">
        <f t="shared" si="1"/>
        <v>0</v>
      </c>
      <c r="G17" s="48">
        <f t="shared" si="1"/>
        <v>0</v>
      </c>
      <c r="H17" s="48">
        <f t="shared" si="1"/>
        <v>0</v>
      </c>
      <c r="I17" s="48">
        <f t="shared" ref="I17:N17" si="2">ROUND(I16*$B$6,1)</f>
        <v>0</v>
      </c>
      <c r="J17" s="48">
        <f t="shared" si="2"/>
        <v>0</v>
      </c>
      <c r="K17" s="48">
        <f t="shared" si="2"/>
        <v>0</v>
      </c>
      <c r="L17" s="48">
        <f>ROUND(L16*$B$6,1)</f>
        <v>370.4</v>
      </c>
      <c r="M17" s="48">
        <f t="shared" si="2"/>
        <v>0</v>
      </c>
      <c r="N17" s="48">
        <f t="shared" si="2"/>
        <v>0</v>
      </c>
    </row>
    <row r="18" spans="1:14" ht="20.100000000000001" customHeight="1" x14ac:dyDescent="0.2">
      <c r="A18" s="59" t="s">
        <v>48</v>
      </c>
      <c r="B18" s="89">
        <f>ROUND(B15-B17,1)</f>
        <v>160277.79999999999</v>
      </c>
      <c r="C18" s="89">
        <f t="shared" ref="C18:I18" si="3">C15-C17</f>
        <v>70016</v>
      </c>
      <c r="D18" s="89">
        <f t="shared" si="3"/>
        <v>38597</v>
      </c>
      <c r="E18" s="89">
        <f t="shared" si="3"/>
        <v>16342</v>
      </c>
      <c r="F18" s="89">
        <f t="shared" si="3"/>
        <v>12573</v>
      </c>
      <c r="G18" s="89">
        <f t="shared" si="3"/>
        <v>6472</v>
      </c>
      <c r="H18" s="89">
        <f t="shared" si="3"/>
        <v>3116</v>
      </c>
      <c r="I18" s="89">
        <f t="shared" si="3"/>
        <v>8458</v>
      </c>
      <c r="J18" s="89">
        <f>J15-J17</f>
        <v>16025</v>
      </c>
      <c r="K18" s="89">
        <f>K15-K17</f>
        <v>6217</v>
      </c>
      <c r="L18" s="89">
        <f>L15</f>
        <v>27795</v>
      </c>
      <c r="M18" s="89">
        <f>M15-M17</f>
        <v>8609</v>
      </c>
      <c r="N18" s="89">
        <f>N15-N17</f>
        <v>10315</v>
      </c>
    </row>
    <row r="19" spans="1:14" ht="20.100000000000001" customHeight="1" x14ac:dyDescent="0.2">
      <c r="A19" s="24" t="s">
        <v>43</v>
      </c>
      <c r="B19" s="79">
        <f>0.8*'BRA Parameters'!B19</f>
        <v>3300.16</v>
      </c>
      <c r="C19" s="79">
        <f>0.8*'BRA Parameters'!C19</f>
        <v>1324.1404952477726</v>
      </c>
      <c r="D19" s="79">
        <f>0.8*'BRA Parameters'!D19</f>
        <v>721.92303105238329</v>
      </c>
      <c r="E19" s="79">
        <f>0.8*'BRA Parameters'!E19</f>
        <v>305.23500460106362</v>
      </c>
      <c r="F19" s="79">
        <f>0.8*'BRA Parameters'!F19</f>
        <v>228.58239740885028</v>
      </c>
      <c r="G19" s="79">
        <f>0.8*'BRA Parameters'!G19</f>
        <v>110.8624627432924</v>
      </c>
      <c r="H19" s="79">
        <f>0.8*'BRA Parameters'!H19</f>
        <v>52.889120027626213</v>
      </c>
      <c r="I19" s="79">
        <f>0.8*'BRA Parameters'!I19</f>
        <v>146.9084003977224</v>
      </c>
      <c r="J19" s="79">
        <f>0.8*'BRA Parameters'!J19</f>
        <v>285.62975217764932</v>
      </c>
      <c r="K19" s="79">
        <f>0.8*'BRA Parameters'!K19</f>
        <v>98.01752926521246</v>
      </c>
      <c r="L19" s="79">
        <f>0.8*'BRA Parameters'!L19</f>
        <v>503.63448277230782</v>
      </c>
      <c r="M19" s="79">
        <f>0.8*'BRA Parameters'!M19</f>
        <v>158.32660420334119</v>
      </c>
      <c r="N19" s="79">
        <f>0.8*'BRA Parameters'!N19</f>
        <v>164.11211855991667</v>
      </c>
    </row>
    <row r="20" spans="1:14" ht="20.100000000000001" customHeight="1" x14ac:dyDescent="0.2">
      <c r="A20" s="60" t="s">
        <v>49</v>
      </c>
      <c r="B20" s="12">
        <f>'BRA Parameters'!B20*(1-'BRA Parameters'!$B$5)/(1-'1st IA Parameters'!$B$5)</f>
        <v>351.57631495227992</v>
      </c>
      <c r="C20" s="12">
        <f>'BRA Parameters'!C20*(1-'BRA Parameters'!$B$5)/(1-'1st IA Parameters'!$B$5)</f>
        <v>313.16595970307532</v>
      </c>
      <c r="D20" s="12">
        <f>'BRA Parameters'!D20*(1-'BRA Parameters'!$B$5)/(1-'1st IA Parameters'!$B$5)</f>
        <v>366.06399257688236</v>
      </c>
      <c r="E20" s="12">
        <f>'BRA Parameters'!E20*(1-'BRA Parameters'!$B$5)/(1-'1st IA Parameters'!$B$5)</f>
        <v>313.16595970307532</v>
      </c>
      <c r="F20" s="12">
        <f>'BRA Parameters'!F20*(1-'BRA Parameters'!$B$5)/(1-'1st IA Parameters'!$B$5)</f>
        <v>366.06399257688236</v>
      </c>
      <c r="G20" s="12">
        <f>'BRA Parameters'!G20*(1-'BRA Parameters'!$B$5)/(1-'1st IA Parameters'!$B$5)</f>
        <v>366.06399257688236</v>
      </c>
      <c r="H20" s="12">
        <f>'BRA Parameters'!H20*(1-'BRA Parameters'!$B$5)/(1-'1st IA Parameters'!$B$5)</f>
        <v>366.06399257688236</v>
      </c>
      <c r="I20" s="12">
        <f>'BRA Parameters'!I20*(1-'BRA Parameters'!$B$5)/(1-'1st IA Parameters'!$B$5)</f>
        <v>313.16595970307532</v>
      </c>
      <c r="J20" s="12">
        <f>'BRA Parameters'!J20*(1-'BRA Parameters'!$B$5)/(1-'1st IA Parameters'!$B$5)</f>
        <v>373.94817073170736</v>
      </c>
      <c r="K20" s="12">
        <f>'BRA Parameters'!K20*(1-'BRA Parameters'!$B$5)/(1-'1st IA Parameters'!$B$5)</f>
        <v>373.94817073170736</v>
      </c>
      <c r="L20" s="12">
        <f>'BRA Parameters'!L20*(1-'BRA Parameters'!$B$5)/(1-'1st IA Parameters'!$B$5)</f>
        <v>373.94817073170736</v>
      </c>
      <c r="M20" s="12">
        <f>'BRA Parameters'!M20*(1-'BRA Parameters'!$B$5)/(1-'1st IA Parameters'!$B$5)</f>
        <v>313.16595970307532</v>
      </c>
      <c r="N20" s="12">
        <f>'BRA Parameters'!N20*(1-'BRA Parameters'!$B$5)/(1-'1st IA Parameters'!$B$5)</f>
        <v>354.64794273594907</v>
      </c>
    </row>
    <row r="21" spans="1:14" ht="20.100000000000001" customHeight="1" x14ac:dyDescent="0.2">
      <c r="A21" s="239" t="s">
        <v>50</v>
      </c>
      <c r="B21" s="239"/>
      <c r="C21" s="239"/>
      <c r="D21" s="239"/>
      <c r="E21" s="239"/>
      <c r="F21" s="239"/>
      <c r="G21" s="239"/>
      <c r="H21" s="239"/>
      <c r="I21" s="239"/>
      <c r="J21" s="239"/>
      <c r="K21" s="239"/>
      <c r="L21" s="239"/>
      <c r="M21" s="239"/>
      <c r="N21" s="239"/>
    </row>
    <row r="22" spans="1:14" ht="20.100000000000001" customHeight="1" x14ac:dyDescent="0.2">
      <c r="A22" s="61" t="s">
        <v>25</v>
      </c>
      <c r="B22" s="9">
        <f>ROUND(B$20*1.5,2)</f>
        <v>527.36</v>
      </c>
      <c r="C22" s="9">
        <f>ROUND(C$20*1.5,2)</f>
        <v>469.75</v>
      </c>
      <c r="D22" s="9">
        <f>ROUND(D$20*1.5,2)</f>
        <v>549.1</v>
      </c>
      <c r="E22" s="9">
        <f>ROUND(E$20*1.5,2)</f>
        <v>469.75</v>
      </c>
      <c r="F22" s="9">
        <f t="shared" ref="F22:N22" si="4">ROUND(F$20*1.5,2)</f>
        <v>549.1</v>
      </c>
      <c r="G22" s="9">
        <f t="shared" si="4"/>
        <v>549.1</v>
      </c>
      <c r="H22" s="9">
        <f t="shared" si="4"/>
        <v>549.1</v>
      </c>
      <c r="I22" s="9">
        <f t="shared" si="4"/>
        <v>469.75</v>
      </c>
      <c r="J22" s="9">
        <f t="shared" si="4"/>
        <v>560.91999999999996</v>
      </c>
      <c r="K22" s="9">
        <f t="shared" si="4"/>
        <v>560.91999999999996</v>
      </c>
      <c r="L22" s="9">
        <f t="shared" si="4"/>
        <v>560.91999999999996</v>
      </c>
      <c r="M22" s="9">
        <f t="shared" si="4"/>
        <v>469.75</v>
      </c>
      <c r="N22" s="9">
        <f t="shared" si="4"/>
        <v>531.97</v>
      </c>
    </row>
    <row r="23" spans="1:14" ht="20.100000000000001" customHeight="1" x14ac:dyDescent="0.2">
      <c r="A23" s="23" t="s">
        <v>26</v>
      </c>
      <c r="B23" s="9">
        <f>ROUND(B$20,2)</f>
        <v>351.58</v>
      </c>
      <c r="C23" s="9">
        <f>ROUND(C$20,2)</f>
        <v>313.17</v>
      </c>
      <c r="D23" s="9">
        <f t="shared" ref="D23:N23" si="5">ROUND(D$20,2)</f>
        <v>366.06</v>
      </c>
      <c r="E23" s="9">
        <f t="shared" si="5"/>
        <v>313.17</v>
      </c>
      <c r="F23" s="9">
        <f t="shared" si="5"/>
        <v>366.06</v>
      </c>
      <c r="G23" s="9">
        <f t="shared" si="5"/>
        <v>366.06</v>
      </c>
      <c r="H23" s="9">
        <f t="shared" si="5"/>
        <v>366.06</v>
      </c>
      <c r="I23" s="9">
        <f t="shared" si="5"/>
        <v>313.17</v>
      </c>
      <c r="J23" s="9">
        <f t="shared" si="5"/>
        <v>373.95</v>
      </c>
      <c r="K23" s="9">
        <f t="shared" si="5"/>
        <v>373.95</v>
      </c>
      <c r="L23" s="9">
        <f t="shared" si="5"/>
        <v>373.95</v>
      </c>
      <c r="M23" s="9">
        <f t="shared" si="5"/>
        <v>313.17</v>
      </c>
      <c r="N23" s="9">
        <f t="shared" si="5"/>
        <v>354.65</v>
      </c>
    </row>
    <row r="24" spans="1:14" ht="20.100000000000001" customHeight="1" x14ac:dyDescent="0.2">
      <c r="A24" s="23" t="s">
        <v>27</v>
      </c>
      <c r="B24" s="9">
        <f>ROUND(B$20*0.2,2)</f>
        <v>70.319999999999993</v>
      </c>
      <c r="C24" s="9">
        <f>ROUND(C$20*0.2,2)</f>
        <v>62.63</v>
      </c>
      <c r="D24" s="9">
        <f t="shared" ref="D24:N24" si="6">ROUND(D$20*0.2,2)</f>
        <v>73.209999999999994</v>
      </c>
      <c r="E24" s="9">
        <f t="shared" si="6"/>
        <v>62.63</v>
      </c>
      <c r="F24" s="9">
        <f t="shared" si="6"/>
        <v>73.209999999999994</v>
      </c>
      <c r="G24" s="9">
        <f t="shared" si="6"/>
        <v>73.209999999999994</v>
      </c>
      <c r="H24" s="9">
        <f t="shared" si="6"/>
        <v>73.209999999999994</v>
      </c>
      <c r="I24" s="9">
        <f t="shared" si="6"/>
        <v>62.63</v>
      </c>
      <c r="J24" s="9">
        <f t="shared" si="6"/>
        <v>74.790000000000006</v>
      </c>
      <c r="K24" s="9">
        <f t="shared" si="6"/>
        <v>74.790000000000006</v>
      </c>
      <c r="L24" s="9">
        <f t="shared" si="6"/>
        <v>74.790000000000006</v>
      </c>
      <c r="M24" s="9">
        <f t="shared" si="6"/>
        <v>62.63</v>
      </c>
      <c r="N24" s="9">
        <f t="shared" si="6"/>
        <v>70.930000000000007</v>
      </c>
    </row>
    <row r="25" spans="1:14" ht="20.100000000000001" customHeight="1" x14ac:dyDescent="0.2">
      <c r="A25" s="23" t="s">
        <v>28</v>
      </c>
      <c r="B25" s="10">
        <f>ROUND(B$18*(1+$B$4-3%)/(1+$B$4)-B19,1)</f>
        <v>152821.79999999999</v>
      </c>
      <c r="C25" s="10">
        <f t="shared" ref="C25:I25" si="7">ROUND(C$18*(1+$B$4-3%)/(1+$B$4)-C19,1)</f>
        <v>66876.399999999994</v>
      </c>
      <c r="D25" s="10">
        <f t="shared" si="7"/>
        <v>36874.300000000003</v>
      </c>
      <c r="E25" s="10">
        <f t="shared" si="7"/>
        <v>15613</v>
      </c>
      <c r="F25" s="10">
        <f t="shared" si="7"/>
        <v>12018.4</v>
      </c>
      <c r="G25" s="10">
        <f t="shared" si="7"/>
        <v>6193.3</v>
      </c>
      <c r="H25" s="10">
        <f t="shared" si="7"/>
        <v>2982.3</v>
      </c>
      <c r="I25" s="10">
        <f t="shared" si="7"/>
        <v>8091.8</v>
      </c>
      <c r="J25" s="10">
        <f>ROUND(J$18*(1+$B$4-3%)/(1+$B$4)-J19,1)</f>
        <v>15323.9</v>
      </c>
      <c r="K25" s="10">
        <f>ROUND(K$18*(1+$B$4-3%)/(1+$B$4)-K19,1)</f>
        <v>5957.8</v>
      </c>
      <c r="L25" s="10">
        <f>ROUND(L$18*(1+$B$4-3%)/(1+$B$4)-L19,1)</f>
        <v>26570.7</v>
      </c>
      <c r="M25" s="10">
        <f>ROUND(M$18*(1+$B$4-3%)/(1+$B$4)-M19,1)</f>
        <v>8227.4</v>
      </c>
      <c r="N25" s="10">
        <f>ROUND(N$18*(1+$B$4-3%)/(1+$B$4)-N19,1)</f>
        <v>9883.4</v>
      </c>
    </row>
    <row r="26" spans="1:14" ht="20.100000000000001" customHeight="1" x14ac:dyDescent="0.2">
      <c r="A26" s="23" t="s">
        <v>29</v>
      </c>
      <c r="B26" s="10">
        <f>ROUND(B$18*(1+$B$4+1%)/(1+$B$4)-B19,1)</f>
        <v>158362.9</v>
      </c>
      <c r="C26" s="10">
        <f t="shared" ref="C26:I26" si="8">ROUND(C$18*(1+$B$4+1%)/(1+$B$4)-C19,1)</f>
        <v>69297</v>
      </c>
      <c r="D26" s="10">
        <f t="shared" si="8"/>
        <v>38208.699999999997</v>
      </c>
      <c r="E26" s="10">
        <f t="shared" si="8"/>
        <v>16178</v>
      </c>
      <c r="F26" s="10">
        <f t="shared" si="8"/>
        <v>12453.1</v>
      </c>
      <c r="G26" s="10">
        <f t="shared" si="8"/>
        <v>6417.1</v>
      </c>
      <c r="H26" s="10">
        <f t="shared" si="8"/>
        <v>3090</v>
      </c>
      <c r="I26" s="10">
        <f t="shared" si="8"/>
        <v>8384.2000000000007</v>
      </c>
      <c r="J26" s="10">
        <f>ROUND(J$18*(1+$B$4+1%)/(1+$B$4)-J19,1)</f>
        <v>15877.9</v>
      </c>
      <c r="K26" s="10">
        <f>ROUND(K$18*(1+$B$4+1%)/(1+$B$4)-K19,1)</f>
        <v>6172.7</v>
      </c>
      <c r="L26" s="10">
        <f>ROUND(L$18*(1+$B$4+1%)/(1+$B$4)-L19,1)</f>
        <v>27531.599999999999</v>
      </c>
      <c r="M26" s="10">
        <f>ROUND(M$18*(1+$B$4+1%)/(1+$B$4)-M19,1)</f>
        <v>8525.1</v>
      </c>
      <c r="N26" s="10">
        <f>ROUND(N$18*(1+$B$4+1%)/(1+$B$4)-N19,1)</f>
        <v>10240</v>
      </c>
    </row>
    <row r="27" spans="1:14" ht="20.100000000000001" customHeight="1" x14ac:dyDescent="0.2">
      <c r="A27" s="23" t="s">
        <v>30</v>
      </c>
      <c r="B27" s="10">
        <f>ROUND(B$18*(1+$B$4+5%)/(1+$B$4)-B19,1)</f>
        <v>163904.1</v>
      </c>
      <c r="C27" s="10">
        <f t="shared" ref="C27:I27" si="9">ROUND(C$18*(1+$B$4+5%)/(1+$B$4)-C19,1)</f>
        <v>71717.600000000006</v>
      </c>
      <c r="D27" s="10">
        <f t="shared" si="9"/>
        <v>39543.1</v>
      </c>
      <c r="E27" s="10">
        <f t="shared" si="9"/>
        <v>16743</v>
      </c>
      <c r="F27" s="10">
        <f t="shared" si="9"/>
        <v>12887.8</v>
      </c>
      <c r="G27" s="10">
        <f t="shared" si="9"/>
        <v>6640.8</v>
      </c>
      <c r="H27" s="10">
        <f t="shared" si="9"/>
        <v>3197.8</v>
      </c>
      <c r="I27" s="10">
        <f t="shared" si="9"/>
        <v>8676.6</v>
      </c>
      <c r="J27" s="10">
        <f>ROUND(J$18*(1+$B$4+5%)/(1+$B$4)-J19,1)</f>
        <v>16431.900000000001</v>
      </c>
      <c r="K27" s="10">
        <f>ROUND(K$18*(1+$B$4+5%)/(1+$B$4)-K19,1)</f>
        <v>6387.7</v>
      </c>
      <c r="L27" s="10">
        <f>ROUND(L$18*(1+$B$4+5%)/(1+$B$4)-L19,1)</f>
        <v>28492.5</v>
      </c>
      <c r="M27" s="10">
        <f>ROUND(M$18*(1+$B$4+5%)/(1+$B$4)-M19,1)</f>
        <v>8822.7000000000007</v>
      </c>
      <c r="N27" s="10">
        <f>ROUND(N$18*(1+$B$4+5%)/(1+$B$4)-N19,1)</f>
        <v>10596.7</v>
      </c>
    </row>
    <row r="28" spans="1:14" ht="20.100000000000001" customHeight="1" x14ac:dyDescent="0.2">
      <c r="A28" s="23" t="s">
        <v>52</v>
      </c>
      <c r="B28" s="22" t="s">
        <v>24</v>
      </c>
      <c r="C28" s="11">
        <v>159</v>
      </c>
      <c r="D28" s="11" t="s">
        <v>24</v>
      </c>
      <c r="E28" s="11" t="s">
        <v>24</v>
      </c>
      <c r="F28" s="11" t="s">
        <v>24</v>
      </c>
      <c r="G28" s="11" t="s">
        <v>24</v>
      </c>
      <c r="H28" s="101">
        <f>37+35</f>
        <v>72</v>
      </c>
      <c r="I28" s="11" t="s">
        <v>24</v>
      </c>
      <c r="J28" s="11" t="s">
        <v>24</v>
      </c>
      <c r="K28" s="11" t="s">
        <v>24</v>
      </c>
      <c r="L28" s="11" t="s">
        <v>24</v>
      </c>
      <c r="M28" s="11" t="s">
        <v>24</v>
      </c>
      <c r="N28" s="11" t="s">
        <v>24</v>
      </c>
    </row>
    <row r="29" spans="1:14" ht="20.100000000000001" customHeight="1" x14ac:dyDescent="0.2">
      <c r="A29" s="229" t="s">
        <v>108</v>
      </c>
      <c r="B29" s="230"/>
      <c r="C29" s="230"/>
      <c r="D29" s="230"/>
      <c r="E29" s="230"/>
      <c r="F29" s="230"/>
      <c r="G29" s="230"/>
      <c r="H29" s="230"/>
      <c r="I29" s="230"/>
      <c r="J29" s="230"/>
      <c r="K29" s="230"/>
      <c r="L29" s="230"/>
      <c r="M29" s="230"/>
      <c r="N29" s="231"/>
    </row>
    <row r="30" spans="1:14" ht="20.100000000000001" customHeight="1" x14ac:dyDescent="0.2">
      <c r="A30" s="23" t="s">
        <v>107</v>
      </c>
      <c r="B30" s="22" t="s">
        <v>24</v>
      </c>
      <c r="C30" s="22" t="s">
        <v>24</v>
      </c>
      <c r="D30" s="22" t="s">
        <v>24</v>
      </c>
      <c r="E30" s="22" t="s">
        <v>24</v>
      </c>
      <c r="F30" s="22" t="s">
        <v>24</v>
      </c>
      <c r="G30" s="22" t="s">
        <v>24</v>
      </c>
      <c r="H30" s="22" t="s">
        <v>24</v>
      </c>
      <c r="I30" s="22" t="s">
        <v>24</v>
      </c>
      <c r="J30" s="22" t="s">
        <v>24</v>
      </c>
      <c r="K30" s="22" t="s">
        <v>24</v>
      </c>
      <c r="L30" s="102">
        <f>(L15-L14)/(22705*$B$6)</f>
        <v>0.83860021699461795</v>
      </c>
      <c r="M30" s="22" t="s">
        <v>24</v>
      </c>
      <c r="N30" s="22" t="s">
        <v>24</v>
      </c>
    </row>
    <row r="31" spans="1:14" ht="15.75" x14ac:dyDescent="0.2">
      <c r="A31" s="71"/>
      <c r="B31" s="72"/>
      <c r="C31" s="72"/>
      <c r="D31" s="72"/>
      <c r="E31" s="72"/>
      <c r="F31" s="72"/>
      <c r="G31" s="72"/>
      <c r="H31" s="72"/>
      <c r="I31" s="73"/>
      <c r="J31" s="74"/>
      <c r="K31" s="54"/>
      <c r="L31" s="104" t="s">
        <v>12</v>
      </c>
      <c r="M31" s="2"/>
      <c r="N31" s="2"/>
    </row>
  </sheetData>
  <mergeCells count="13">
    <mergeCell ref="A1:H1"/>
    <mergeCell ref="C3:H3"/>
    <mergeCell ref="A29:N29"/>
    <mergeCell ref="C7:H7"/>
    <mergeCell ref="C9:H9"/>
    <mergeCell ref="C10:H10"/>
    <mergeCell ref="C11:N11"/>
    <mergeCell ref="A21:N21"/>
    <mergeCell ref="A2:H2"/>
    <mergeCell ref="C8:H8"/>
    <mergeCell ref="C4:H4"/>
    <mergeCell ref="C5:H5"/>
    <mergeCell ref="C6:H6"/>
  </mergeCells>
  <pageMargins left="0.45" right="0.45" top="0.5" bottom="0.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82"/>
  <sheetViews>
    <sheetView zoomScaleNormal="100" zoomScaleSheetLayoutView="75" workbookViewId="0">
      <selection sqref="A1:H1"/>
    </sheetView>
  </sheetViews>
  <sheetFormatPr defaultColWidth="30.7109375" defaultRowHeight="12.75" x14ac:dyDescent="0.2"/>
  <cols>
    <col min="1" max="1" width="48.85546875" customWidth="1"/>
    <col min="2" max="7" width="16.7109375" style="1" customWidth="1"/>
    <col min="8" max="8" width="16.7109375" customWidth="1"/>
    <col min="9" max="9" width="17.7109375" customWidth="1"/>
    <col min="10" max="14" width="18.7109375" customWidth="1"/>
    <col min="15" max="15" width="41.28515625" bestFit="1" customWidth="1"/>
  </cols>
  <sheetData>
    <row r="1" spans="1:15" ht="24.95" customHeight="1" x14ac:dyDescent="0.25">
      <c r="A1" s="244" t="s">
        <v>112</v>
      </c>
      <c r="B1" s="244"/>
      <c r="C1" s="244"/>
      <c r="D1" s="244"/>
      <c r="E1" s="244"/>
      <c r="F1" s="244"/>
      <c r="G1" s="244"/>
      <c r="H1" s="244"/>
      <c r="I1" s="13" t="s">
        <v>12</v>
      </c>
    </row>
    <row r="2" spans="1:15" ht="18" x14ac:dyDescent="0.25">
      <c r="A2" s="243" t="s">
        <v>12</v>
      </c>
      <c r="B2" s="243"/>
      <c r="C2" s="243"/>
      <c r="D2" s="243"/>
      <c r="E2" s="243"/>
      <c r="F2" s="243"/>
      <c r="G2" s="243"/>
      <c r="H2" s="243"/>
      <c r="I2" s="13"/>
    </row>
    <row r="3" spans="1:15" ht="20.100000000000001" customHeight="1" x14ac:dyDescent="0.25">
      <c r="A3" s="14"/>
      <c r="B3" s="15" t="s">
        <v>13</v>
      </c>
      <c r="C3" s="232" t="s">
        <v>12</v>
      </c>
      <c r="D3" s="233"/>
      <c r="E3" s="233"/>
      <c r="F3" s="233"/>
      <c r="G3" s="233"/>
      <c r="H3" s="234"/>
      <c r="I3" s="41"/>
      <c r="J3" s="41"/>
      <c r="K3" s="41"/>
    </row>
    <row r="4" spans="1:15" ht="20.100000000000001" customHeight="1" x14ac:dyDescent="0.2">
      <c r="A4" s="16" t="s">
        <v>35</v>
      </c>
      <c r="B4" s="17">
        <v>0.157</v>
      </c>
      <c r="C4" s="232" t="s">
        <v>12</v>
      </c>
      <c r="D4" s="233"/>
      <c r="E4" s="233"/>
      <c r="F4" s="233"/>
      <c r="G4" s="233"/>
      <c r="H4" s="234"/>
      <c r="I4" s="42"/>
      <c r="J4" s="57" t="s">
        <v>12</v>
      </c>
      <c r="K4" s="42"/>
    </row>
    <row r="5" spans="1:15" ht="20.100000000000001" customHeight="1" x14ac:dyDescent="0.2">
      <c r="A5" s="16" t="s">
        <v>36</v>
      </c>
      <c r="B5" s="18">
        <v>5.6500000000000002E-2</v>
      </c>
      <c r="C5" s="246" t="s">
        <v>12</v>
      </c>
      <c r="D5" s="246"/>
      <c r="E5" s="246"/>
      <c r="F5" s="246"/>
      <c r="G5" s="246"/>
      <c r="H5" s="246"/>
      <c r="I5" s="42"/>
      <c r="J5" s="100" t="s">
        <v>12</v>
      </c>
      <c r="K5" s="42"/>
    </row>
    <row r="6" spans="1:15" ht="20.100000000000001" customHeight="1" x14ac:dyDescent="0.2">
      <c r="A6" s="16" t="s">
        <v>37</v>
      </c>
      <c r="B6" s="19">
        <v>1.0915999999999999</v>
      </c>
      <c r="C6" s="246" t="s">
        <v>12</v>
      </c>
      <c r="D6" s="246"/>
      <c r="E6" s="246"/>
      <c r="F6" s="246"/>
      <c r="G6" s="246"/>
      <c r="H6" s="246"/>
      <c r="I6" s="43"/>
      <c r="J6" s="58" t="s">
        <v>12</v>
      </c>
      <c r="K6" s="43"/>
    </row>
    <row r="7" spans="1:15" ht="20.100000000000001" customHeight="1" x14ac:dyDescent="0.2">
      <c r="A7" s="16" t="s">
        <v>42</v>
      </c>
      <c r="B7" s="20">
        <v>0.95299999999999996</v>
      </c>
      <c r="C7" s="245"/>
      <c r="D7" s="245"/>
      <c r="E7" s="245"/>
      <c r="F7" s="245"/>
      <c r="G7" s="245"/>
      <c r="H7" s="245"/>
      <c r="I7" s="43"/>
      <c r="J7" s="43"/>
      <c r="K7" s="43"/>
    </row>
    <row r="8" spans="1:15" ht="20.100000000000001" customHeight="1" x14ac:dyDescent="0.2">
      <c r="A8" s="16" t="s">
        <v>38</v>
      </c>
      <c r="B8" s="81">
        <f>F37</f>
        <v>164478.79999999999</v>
      </c>
      <c r="C8" s="268" t="s">
        <v>12</v>
      </c>
      <c r="D8" s="268"/>
      <c r="E8" s="268"/>
      <c r="F8" s="268"/>
      <c r="G8" s="268"/>
      <c r="H8" s="268"/>
      <c r="I8" s="82"/>
      <c r="J8" s="83" t="s">
        <v>12</v>
      </c>
      <c r="K8" s="82"/>
      <c r="L8" s="35"/>
      <c r="M8" s="35"/>
      <c r="N8" s="35"/>
    </row>
    <row r="9" spans="1:15" ht="20.100000000000001" customHeight="1" x14ac:dyDescent="0.2">
      <c r="A9" s="16" t="s">
        <v>43</v>
      </c>
      <c r="B9" s="84">
        <v>2.5000000000000001E-2</v>
      </c>
      <c r="C9" s="238" t="s">
        <v>12</v>
      </c>
      <c r="D9" s="238">
        <f t="shared" ref="D9:H10" si="0">ROUND(MAX(D19*0.3, 20)*365,2)</f>
        <v>98813.21</v>
      </c>
      <c r="E9" s="238">
        <f t="shared" si="0"/>
        <v>41779.040000000001</v>
      </c>
      <c r="F9" s="238">
        <f t="shared" si="0"/>
        <v>31287.22</v>
      </c>
      <c r="G9" s="238">
        <f t="shared" si="0"/>
        <v>15174.3</v>
      </c>
      <c r="H9" s="238">
        <f t="shared" si="0"/>
        <v>7300</v>
      </c>
      <c r="I9" s="36"/>
      <c r="J9" s="36"/>
      <c r="K9" s="36"/>
      <c r="L9" s="35"/>
      <c r="M9" s="35"/>
      <c r="N9" s="35"/>
    </row>
    <row r="10" spans="1:15" ht="20.100000000000001" customHeight="1" x14ac:dyDescent="0.2">
      <c r="A10" s="16" t="s">
        <v>41</v>
      </c>
      <c r="B10" s="85">
        <f>ROUND(MAX(B20*0.3, 20)*365,2)</f>
        <v>38477.21</v>
      </c>
      <c r="C10" s="238" t="s">
        <v>12</v>
      </c>
      <c r="D10" s="238">
        <f t="shared" si="0"/>
        <v>40062.769999999997</v>
      </c>
      <c r="E10" s="238">
        <f t="shared" si="0"/>
        <v>34273.5</v>
      </c>
      <c r="F10" s="238">
        <f t="shared" si="0"/>
        <v>40062.769999999997</v>
      </c>
      <c r="G10" s="238">
        <f t="shared" si="0"/>
        <v>40062.769999999997</v>
      </c>
      <c r="H10" s="238">
        <f t="shared" si="0"/>
        <v>40062.769999999997</v>
      </c>
      <c r="I10" s="36" t="s">
        <v>12</v>
      </c>
      <c r="J10" s="36"/>
      <c r="K10" s="36"/>
      <c r="L10" s="35"/>
      <c r="M10" s="35"/>
      <c r="N10" s="35"/>
    </row>
    <row r="11" spans="1:15" ht="20.100000000000001" customHeight="1" x14ac:dyDescent="0.2">
      <c r="A11" s="16"/>
      <c r="B11" s="86" t="s">
        <v>12</v>
      </c>
      <c r="C11" s="228" t="s">
        <v>54</v>
      </c>
      <c r="D11" s="228"/>
      <c r="E11" s="228"/>
      <c r="F11" s="228"/>
      <c r="G11" s="228"/>
      <c r="H11" s="228"/>
      <c r="I11" s="228"/>
      <c r="J11" s="228"/>
      <c r="K11" s="228"/>
      <c r="L11" s="228"/>
      <c r="M11" s="228"/>
      <c r="N11" s="228"/>
    </row>
    <row r="12" spans="1:15" ht="30" customHeight="1" x14ac:dyDescent="0.2">
      <c r="A12" s="25" t="s">
        <v>12</v>
      </c>
      <c r="B12" s="88" t="s">
        <v>13</v>
      </c>
      <c r="C12" s="88" t="s">
        <v>17</v>
      </c>
      <c r="D12" s="88" t="s">
        <v>16</v>
      </c>
      <c r="E12" s="88" t="s">
        <v>14</v>
      </c>
      <c r="F12" s="88" t="s">
        <v>8</v>
      </c>
      <c r="G12" s="88" t="s">
        <v>44</v>
      </c>
      <c r="H12" s="88" t="s">
        <v>45</v>
      </c>
      <c r="I12" s="88" t="s">
        <v>7</v>
      </c>
      <c r="J12" s="49" t="s">
        <v>53</v>
      </c>
      <c r="K12" s="49" t="s">
        <v>75</v>
      </c>
      <c r="L12" s="49" t="s">
        <v>18</v>
      </c>
      <c r="M12" s="49" t="s">
        <v>3</v>
      </c>
      <c r="N12" s="49" t="s">
        <v>102</v>
      </c>
      <c r="O12" s="53" t="s">
        <v>12</v>
      </c>
    </row>
    <row r="13" spans="1:15" ht="19.899999999999999" customHeight="1" x14ac:dyDescent="0.2">
      <c r="A13" s="23" t="s">
        <v>9</v>
      </c>
      <c r="B13" s="79" t="s">
        <v>24</v>
      </c>
      <c r="C13" s="79">
        <f>B64</f>
        <v>4420</v>
      </c>
      <c r="D13" s="48">
        <f>B61</f>
        <v>6140</v>
      </c>
      <c r="E13" s="48">
        <f>B62</f>
        <v>5880</v>
      </c>
      <c r="F13" s="48">
        <f>B58</f>
        <v>6080</v>
      </c>
      <c r="G13" s="48">
        <f>B59</f>
        <v>2370</v>
      </c>
      <c r="H13" s="48">
        <f>B50</f>
        <v>1440</v>
      </c>
      <c r="I13" s="48">
        <f>B56</f>
        <v>3740</v>
      </c>
      <c r="J13" s="48">
        <f>B41</f>
        <v>4970</v>
      </c>
      <c r="K13" s="48">
        <f>B42</f>
        <v>3350</v>
      </c>
      <c r="L13" s="48">
        <f>B44</f>
        <v>2290</v>
      </c>
      <c r="M13" s="48">
        <f>B43</f>
        <v>4350</v>
      </c>
      <c r="N13" s="48">
        <f>B57</f>
        <v>1310</v>
      </c>
    </row>
    <row r="14" spans="1:15" ht="19.899999999999999" customHeight="1" x14ac:dyDescent="0.2">
      <c r="A14" s="23" t="s">
        <v>11</v>
      </c>
      <c r="B14" s="79" t="s">
        <v>24</v>
      </c>
      <c r="C14" s="79">
        <f>C64</f>
        <v>7393</v>
      </c>
      <c r="D14" s="48">
        <f>C61</f>
        <v>9315</v>
      </c>
      <c r="E14" s="48">
        <f>C62</f>
        <v>8053</v>
      </c>
      <c r="F14" s="48">
        <f>C58</f>
        <v>6700</v>
      </c>
      <c r="G14" s="48">
        <f>C59</f>
        <v>2795</v>
      </c>
      <c r="H14" s="48">
        <f>C50+35</f>
        <v>1904</v>
      </c>
      <c r="I14" s="48">
        <f>C56</f>
        <v>5359</v>
      </c>
      <c r="J14" s="48">
        <f>C41</f>
        <v>8470</v>
      </c>
      <c r="K14" s="48">
        <f>C42</f>
        <v>4940</v>
      </c>
      <c r="L14" s="48">
        <f>C44</f>
        <v>7020</v>
      </c>
      <c r="M14" s="48">
        <f>C43</f>
        <v>6217</v>
      </c>
      <c r="N14" s="48">
        <f>C57</f>
        <v>4336</v>
      </c>
    </row>
    <row r="15" spans="1:15" ht="19.899999999999999" customHeight="1" x14ac:dyDescent="0.2">
      <c r="A15" s="24" t="s">
        <v>10</v>
      </c>
      <c r="B15" s="79">
        <f>B8*B6</f>
        <v>179545.05807999996</v>
      </c>
      <c r="C15" s="79">
        <v>71534</v>
      </c>
      <c r="D15" s="38">
        <v>39371</v>
      </c>
      <c r="E15" s="38">
        <v>16935</v>
      </c>
      <c r="F15" s="38">
        <v>12759</v>
      </c>
      <c r="G15" s="38">
        <v>6465</v>
      </c>
      <c r="H15" s="38">
        <v>3215</v>
      </c>
      <c r="I15" s="38">
        <v>8715</v>
      </c>
      <c r="J15" s="38">
        <v>16009</v>
      </c>
      <c r="K15" s="38">
        <v>6250</v>
      </c>
      <c r="L15" s="38">
        <v>28991</v>
      </c>
      <c r="M15" s="38">
        <v>8701</v>
      </c>
      <c r="N15" s="38">
        <v>10813</v>
      </c>
    </row>
    <row r="16" spans="1:15" ht="19.899999999999999" customHeight="1" x14ac:dyDescent="0.2">
      <c r="A16" s="23" t="s">
        <v>47</v>
      </c>
      <c r="B16" s="48">
        <f>I37</f>
        <v>13318.1</v>
      </c>
      <c r="C16" s="48">
        <f>I64</f>
        <v>0</v>
      </c>
      <c r="D16" s="48">
        <f>I61</f>
        <v>0</v>
      </c>
      <c r="E16" s="48">
        <f>I62</f>
        <v>0</v>
      </c>
      <c r="F16" s="48">
        <f>I58</f>
        <v>0</v>
      </c>
      <c r="G16" s="48">
        <f>I59</f>
        <v>0</v>
      </c>
      <c r="H16" s="48">
        <f>I50</f>
        <v>0</v>
      </c>
      <c r="I16" s="48">
        <f>I56</f>
        <v>0</v>
      </c>
      <c r="J16" s="48">
        <f>I41</f>
        <v>0</v>
      </c>
      <c r="K16" s="48">
        <f>I42</f>
        <v>0</v>
      </c>
      <c r="L16" s="48">
        <f>I44</f>
        <v>378.5</v>
      </c>
      <c r="M16" s="48">
        <f>I43</f>
        <v>0</v>
      </c>
      <c r="N16" s="48">
        <f>I57</f>
        <v>0</v>
      </c>
    </row>
    <row r="17" spans="1:14" ht="19.899999999999999" customHeight="1" x14ac:dyDescent="0.2">
      <c r="A17" s="23" t="s">
        <v>46</v>
      </c>
      <c r="B17" s="48">
        <f>ROUND(B16*$B$6,1)</f>
        <v>14538</v>
      </c>
      <c r="C17" s="48">
        <f t="shared" ref="C17:I17" si="1">ROUND(C16*$B$6,1)</f>
        <v>0</v>
      </c>
      <c r="D17" s="48">
        <f t="shared" si="1"/>
        <v>0</v>
      </c>
      <c r="E17" s="48">
        <f t="shared" si="1"/>
        <v>0</v>
      </c>
      <c r="F17" s="48">
        <f t="shared" si="1"/>
        <v>0</v>
      </c>
      <c r="G17" s="48">
        <f t="shared" si="1"/>
        <v>0</v>
      </c>
      <c r="H17" s="48">
        <f t="shared" si="1"/>
        <v>0</v>
      </c>
      <c r="I17" s="48">
        <f t="shared" si="1"/>
        <v>0</v>
      </c>
      <c r="J17" s="48">
        <f>ROUND(J16*$B$6,1)</f>
        <v>0</v>
      </c>
      <c r="K17" s="48">
        <f>ROUND(K16*$B$6,1)</f>
        <v>0</v>
      </c>
      <c r="L17" s="48">
        <f>ROUND(L16*$B$6,1)</f>
        <v>413.2</v>
      </c>
      <c r="M17" s="48">
        <f>ROUND(M16*$B$6,1)</f>
        <v>0</v>
      </c>
      <c r="N17" s="48">
        <f>ROUND(N16*$B$6,1)</f>
        <v>0</v>
      </c>
    </row>
    <row r="18" spans="1:14" ht="24.95" customHeight="1" x14ac:dyDescent="0.2">
      <c r="A18" s="59" t="s">
        <v>48</v>
      </c>
      <c r="B18" s="89">
        <f>ROUND(B15-B17,1)</f>
        <v>165007.1</v>
      </c>
      <c r="C18" s="89">
        <f t="shared" ref="C18:I18" si="2">C15-C17</f>
        <v>71534</v>
      </c>
      <c r="D18" s="89">
        <f t="shared" si="2"/>
        <v>39371</v>
      </c>
      <c r="E18" s="89">
        <f t="shared" si="2"/>
        <v>16935</v>
      </c>
      <c r="F18" s="89">
        <f t="shared" si="2"/>
        <v>12759</v>
      </c>
      <c r="G18" s="89">
        <f t="shared" si="2"/>
        <v>6465</v>
      </c>
      <c r="H18" s="89">
        <f t="shared" si="2"/>
        <v>3215</v>
      </c>
      <c r="I18" s="89">
        <f t="shared" si="2"/>
        <v>8715</v>
      </c>
      <c r="J18" s="89">
        <f>J15-J17</f>
        <v>16009</v>
      </c>
      <c r="K18" s="89">
        <f>K15-K17</f>
        <v>6250</v>
      </c>
      <c r="L18" s="89">
        <f>L15</f>
        <v>28991</v>
      </c>
      <c r="M18" s="89">
        <f>M15-M17</f>
        <v>8701</v>
      </c>
      <c r="N18" s="89">
        <f>N15-N17</f>
        <v>10813</v>
      </c>
    </row>
    <row r="19" spans="1:14" ht="19.899999999999999" customHeight="1" x14ac:dyDescent="0.2">
      <c r="A19" s="24" t="s">
        <v>43</v>
      </c>
      <c r="B19" s="79">
        <f>ROUND((B18*B9),1)</f>
        <v>4125.2</v>
      </c>
      <c r="C19" s="79">
        <f>H64</f>
        <v>1655.1756190597157</v>
      </c>
      <c r="D19" s="48">
        <f>H61</f>
        <v>902.40378881547906</v>
      </c>
      <c r="E19" s="48">
        <f>H62</f>
        <v>381.54375575132951</v>
      </c>
      <c r="F19" s="48">
        <f>H58</f>
        <v>285.72799676106285</v>
      </c>
      <c r="G19" s="48">
        <f>H59</f>
        <v>138.57807842911549</v>
      </c>
      <c r="H19" s="48">
        <f>H50</f>
        <v>66.111400034532764</v>
      </c>
      <c r="I19" s="48">
        <f>H56</f>
        <v>183.635500497153</v>
      </c>
      <c r="J19" s="48">
        <f>H41</f>
        <v>357.03719022206161</v>
      </c>
      <c r="K19" s="48">
        <f>H42</f>
        <v>122.52191158151557</v>
      </c>
      <c r="L19" s="48">
        <f>H44</f>
        <v>629.54310346538477</v>
      </c>
      <c r="M19" s="48">
        <f>H43</f>
        <v>197.90825525417648</v>
      </c>
      <c r="N19" s="48">
        <f>H57</f>
        <v>205.14014819989583</v>
      </c>
    </row>
    <row r="20" spans="1:14" ht="19.899999999999999" customHeight="1" x14ac:dyDescent="0.2">
      <c r="A20" s="60" t="s">
        <v>49</v>
      </c>
      <c r="B20" s="12">
        <v>351.39</v>
      </c>
      <c r="C20" s="12">
        <v>313</v>
      </c>
      <c r="D20" s="12">
        <v>365.87</v>
      </c>
      <c r="E20" s="12">
        <v>313</v>
      </c>
      <c r="F20" s="12">
        <v>365.87</v>
      </c>
      <c r="G20" s="12">
        <v>365.87</v>
      </c>
      <c r="H20" s="12">
        <v>365.87</v>
      </c>
      <c r="I20" s="12">
        <v>313</v>
      </c>
      <c r="J20" s="12">
        <v>373.75</v>
      </c>
      <c r="K20" s="12">
        <v>373.75</v>
      </c>
      <c r="L20" s="12">
        <v>373.75</v>
      </c>
      <c r="M20" s="12">
        <v>313</v>
      </c>
      <c r="N20" s="12">
        <v>354.46</v>
      </c>
    </row>
    <row r="21" spans="1:14" ht="19.899999999999999" customHeight="1" x14ac:dyDescent="0.2">
      <c r="A21" s="267" t="s">
        <v>50</v>
      </c>
      <c r="B21" s="230"/>
      <c r="C21" s="230"/>
      <c r="D21" s="230"/>
      <c r="E21" s="230"/>
      <c r="F21" s="230"/>
      <c r="G21" s="230"/>
      <c r="H21" s="230"/>
      <c r="I21" s="230"/>
      <c r="J21" s="230"/>
      <c r="K21" s="230"/>
      <c r="L21" s="230"/>
      <c r="M21" s="230"/>
      <c r="N21" s="231"/>
    </row>
    <row r="22" spans="1:14" ht="19.899999999999999" customHeight="1" x14ac:dyDescent="0.2">
      <c r="A22" s="61" t="s">
        <v>25</v>
      </c>
      <c r="B22" s="9">
        <v>527.08500000000004</v>
      </c>
      <c r="C22" s="9">
        <v>469.5</v>
      </c>
      <c r="D22" s="9">
        <v>548.80500000000006</v>
      </c>
      <c r="E22" s="9">
        <v>469.5</v>
      </c>
      <c r="F22" s="9">
        <v>548.80500000000006</v>
      </c>
      <c r="G22" s="9">
        <v>548.80500000000006</v>
      </c>
      <c r="H22" s="9">
        <v>548.80500000000006</v>
      </c>
      <c r="I22" s="9">
        <v>469.5</v>
      </c>
      <c r="J22" s="9">
        <v>560.625</v>
      </c>
      <c r="K22" s="9">
        <v>560.625</v>
      </c>
      <c r="L22" s="9">
        <v>560.625</v>
      </c>
      <c r="M22" s="9">
        <v>469.5</v>
      </c>
      <c r="N22" s="9">
        <v>531.68999999999994</v>
      </c>
    </row>
    <row r="23" spans="1:14" ht="19.899999999999999" customHeight="1" x14ac:dyDescent="0.2">
      <c r="A23" s="23" t="s">
        <v>26</v>
      </c>
      <c r="B23" s="9">
        <f>ROUND(B$20,2)</f>
        <v>351.39</v>
      </c>
      <c r="C23" s="9">
        <f t="shared" ref="C23:H23" si="3">ROUND(C$20,2)</f>
        <v>313</v>
      </c>
      <c r="D23" s="9">
        <f t="shared" si="3"/>
        <v>365.87</v>
      </c>
      <c r="E23" s="9">
        <f t="shared" si="3"/>
        <v>313</v>
      </c>
      <c r="F23" s="9">
        <f t="shared" si="3"/>
        <v>365.87</v>
      </c>
      <c r="G23" s="9">
        <f t="shared" si="3"/>
        <v>365.87</v>
      </c>
      <c r="H23" s="9">
        <f t="shared" si="3"/>
        <v>365.87</v>
      </c>
      <c r="I23" s="9">
        <f t="shared" ref="I23:N23" si="4">ROUND(I$20,2)</f>
        <v>313</v>
      </c>
      <c r="J23" s="9">
        <f t="shared" si="4"/>
        <v>373.75</v>
      </c>
      <c r="K23" s="9">
        <f t="shared" si="4"/>
        <v>373.75</v>
      </c>
      <c r="L23" s="9">
        <f t="shared" si="4"/>
        <v>373.75</v>
      </c>
      <c r="M23" s="9">
        <f t="shared" si="4"/>
        <v>313</v>
      </c>
      <c r="N23" s="9">
        <f t="shared" si="4"/>
        <v>354.46</v>
      </c>
    </row>
    <row r="24" spans="1:14" ht="19.899999999999999" customHeight="1" x14ac:dyDescent="0.2">
      <c r="A24" s="23" t="s">
        <v>27</v>
      </c>
      <c r="B24" s="9">
        <f>ROUND(B$20*0.2,2)</f>
        <v>70.28</v>
      </c>
      <c r="C24" s="9">
        <f t="shared" ref="C24:H24" si="5">ROUND(C$20*0.2,2)</f>
        <v>62.6</v>
      </c>
      <c r="D24" s="9">
        <f t="shared" si="5"/>
        <v>73.17</v>
      </c>
      <c r="E24" s="9">
        <f t="shared" si="5"/>
        <v>62.6</v>
      </c>
      <c r="F24" s="9">
        <f t="shared" si="5"/>
        <v>73.17</v>
      </c>
      <c r="G24" s="9">
        <f t="shared" si="5"/>
        <v>73.17</v>
      </c>
      <c r="H24" s="9">
        <f t="shared" si="5"/>
        <v>73.17</v>
      </c>
      <c r="I24" s="9">
        <f t="shared" ref="I24:N24" si="6">ROUND(I$20*0.2,2)</f>
        <v>62.6</v>
      </c>
      <c r="J24" s="9">
        <f t="shared" si="6"/>
        <v>74.75</v>
      </c>
      <c r="K24" s="9">
        <f t="shared" si="6"/>
        <v>74.75</v>
      </c>
      <c r="L24" s="9">
        <f t="shared" si="6"/>
        <v>74.75</v>
      </c>
      <c r="M24" s="9">
        <f t="shared" si="6"/>
        <v>62.6</v>
      </c>
      <c r="N24" s="9">
        <f t="shared" si="6"/>
        <v>70.89</v>
      </c>
    </row>
    <row r="25" spans="1:14" ht="19.899999999999999" customHeight="1" x14ac:dyDescent="0.2">
      <c r="A25" s="23" t="s">
        <v>28</v>
      </c>
      <c r="B25" s="10">
        <f t="shared" ref="B25:I25" si="7">ROUND(B$18*(1+$B$4-3%)/(1+$B$4)-B19,1)</f>
        <v>156603.4</v>
      </c>
      <c r="C25" s="10">
        <f t="shared" si="7"/>
        <v>68024</v>
      </c>
      <c r="D25" s="10">
        <f t="shared" si="7"/>
        <v>37447.699999999997</v>
      </c>
      <c r="E25" s="10">
        <f t="shared" si="7"/>
        <v>16114.3</v>
      </c>
      <c r="F25" s="10">
        <f t="shared" si="7"/>
        <v>12142.4</v>
      </c>
      <c r="G25" s="10">
        <f t="shared" si="7"/>
        <v>6158.8</v>
      </c>
      <c r="H25" s="10">
        <f t="shared" si="7"/>
        <v>3065.5</v>
      </c>
      <c r="I25" s="10">
        <f t="shared" si="7"/>
        <v>8305.4</v>
      </c>
      <c r="J25" s="10">
        <f>ROUND(J$18*(1+$B$4-3%)/(1+$B$4)-J19,1)</f>
        <v>15236.9</v>
      </c>
      <c r="K25" s="10">
        <f>ROUND(K$18*(1+$B$4-3%)/(1+$B$4)-K19,1)</f>
        <v>5965.4</v>
      </c>
      <c r="L25" s="10">
        <f>ROUND(L$18*(1+$B$4-3%)/(1+$B$4)-L19,1)</f>
        <v>27609.7</v>
      </c>
      <c r="M25" s="10">
        <f>ROUND(M$18*(1+$B$4-3%)/(1+$B$4)-M19,1)</f>
        <v>8277.5</v>
      </c>
      <c r="N25" s="10">
        <f>ROUND(N$18*(1+$B$4-3%)/(1+$B$4)-N19,1)</f>
        <v>10327.5</v>
      </c>
    </row>
    <row r="26" spans="1:14" ht="19.899999999999999" customHeight="1" x14ac:dyDescent="0.2">
      <c r="A26" s="23" t="s">
        <v>29</v>
      </c>
      <c r="B26" s="10">
        <f t="shared" ref="B26:I26" si="8">ROUND(B$18*(1+$B$4+1%)/(1+$B$4)-B19,1)</f>
        <v>162308.1</v>
      </c>
      <c r="C26" s="10">
        <f t="shared" si="8"/>
        <v>70497.100000000006</v>
      </c>
      <c r="D26" s="10">
        <f t="shared" si="8"/>
        <v>38808.9</v>
      </c>
      <c r="E26" s="10">
        <f t="shared" si="8"/>
        <v>16699.8</v>
      </c>
      <c r="F26" s="10">
        <f t="shared" si="8"/>
        <v>12583.5</v>
      </c>
      <c r="G26" s="10">
        <f t="shared" si="8"/>
        <v>6382.3</v>
      </c>
      <c r="H26" s="10">
        <f t="shared" si="8"/>
        <v>3176.7</v>
      </c>
      <c r="I26" s="10">
        <f t="shared" si="8"/>
        <v>8606.7000000000007</v>
      </c>
      <c r="J26" s="10">
        <f>ROUND(J$18*(1+$B$4+1%)/(1+$B$4)-J19,1)</f>
        <v>15790.3</v>
      </c>
      <c r="K26" s="10">
        <f>ROUND(K$18*(1+$B$4+1%)/(1+$B$4)-K19,1)</f>
        <v>6181.5</v>
      </c>
      <c r="L26" s="10">
        <f>ROUND(L$18*(1+$B$4+1%)/(1+$B$4)-L19,1)</f>
        <v>28612</v>
      </c>
      <c r="M26" s="10">
        <f>ROUND(M$18*(1+$B$4+1%)/(1+$B$4)-M19,1)</f>
        <v>8578.2999999999993</v>
      </c>
      <c r="N26" s="10">
        <f>ROUND(N$18*(1+$B$4+1%)/(1+$B$4)-N19,1)</f>
        <v>10701.3</v>
      </c>
    </row>
    <row r="27" spans="1:14" ht="19.899999999999999" customHeight="1" x14ac:dyDescent="0.2">
      <c r="A27" s="23" t="s">
        <v>30</v>
      </c>
      <c r="B27" s="10">
        <f t="shared" ref="B27:I27" si="9">ROUND(B$18*(1+$B$4+5%)/(1+$B$4)-B19,1)</f>
        <v>168012.7</v>
      </c>
      <c r="C27" s="10">
        <f t="shared" si="9"/>
        <v>72970.2</v>
      </c>
      <c r="D27" s="10">
        <f t="shared" si="9"/>
        <v>40170</v>
      </c>
      <c r="E27" s="10">
        <f t="shared" si="9"/>
        <v>17285.3</v>
      </c>
      <c r="F27" s="10">
        <f t="shared" si="9"/>
        <v>13024.7</v>
      </c>
      <c r="G27" s="10">
        <f t="shared" si="9"/>
        <v>6605.8</v>
      </c>
      <c r="H27" s="10">
        <f t="shared" si="9"/>
        <v>3287.8</v>
      </c>
      <c r="I27" s="10">
        <f t="shared" si="9"/>
        <v>8908</v>
      </c>
      <c r="J27" s="10">
        <f>ROUND(J$18*(1+$B$4+5%)/(1+$B$4)-J19,1)</f>
        <v>16343.8</v>
      </c>
      <c r="K27" s="10">
        <f>ROUND(K$18*(1+$B$4+5%)/(1+$B$4)-K19,1)</f>
        <v>6397.6</v>
      </c>
      <c r="L27" s="10">
        <f>ROUND(L$18*(1+$B$4+5%)/(1+$B$4)-L19,1)</f>
        <v>29614.3</v>
      </c>
      <c r="M27" s="10">
        <f>ROUND(M$18*(1+$B$4+5%)/(1+$B$4)-M19,1)</f>
        <v>8879.1</v>
      </c>
      <c r="N27" s="10">
        <f>ROUND(N$18*(1+$B$4+5%)/(1+$B$4)-N19,1)</f>
        <v>11075.1</v>
      </c>
    </row>
    <row r="28" spans="1:14" ht="19.899999999999999" customHeight="1" x14ac:dyDescent="0.2">
      <c r="A28" s="23" t="s">
        <v>52</v>
      </c>
      <c r="B28" s="22" t="s">
        <v>24</v>
      </c>
      <c r="C28" s="11">
        <v>159</v>
      </c>
      <c r="D28" s="11" t="s">
        <v>24</v>
      </c>
      <c r="E28" s="11" t="s">
        <v>24</v>
      </c>
      <c r="F28" s="11" t="s">
        <v>24</v>
      </c>
      <c r="G28" s="11" t="s">
        <v>24</v>
      </c>
      <c r="H28" s="101">
        <f>37+35</f>
        <v>72</v>
      </c>
      <c r="I28" s="11" t="s">
        <v>24</v>
      </c>
      <c r="J28" s="11" t="s">
        <v>24</v>
      </c>
      <c r="K28" s="11" t="s">
        <v>24</v>
      </c>
      <c r="L28" s="11" t="s">
        <v>24</v>
      </c>
      <c r="M28" s="11" t="s">
        <v>24</v>
      </c>
      <c r="N28" s="11" t="s">
        <v>24</v>
      </c>
    </row>
    <row r="29" spans="1:14" ht="19.899999999999999" hidden="1" customHeight="1" x14ac:dyDescent="0.2">
      <c r="A29" s="31" t="s">
        <v>65</v>
      </c>
      <c r="B29" s="32" t="s">
        <v>12</v>
      </c>
      <c r="C29" s="32" t="s">
        <v>12</v>
      </c>
      <c r="D29" s="32" t="s">
        <v>12</v>
      </c>
      <c r="E29" s="32" t="s">
        <v>12</v>
      </c>
      <c r="F29" s="32" t="s">
        <v>12</v>
      </c>
      <c r="G29" s="32" t="s">
        <v>12</v>
      </c>
      <c r="H29" s="32" t="s">
        <v>12</v>
      </c>
      <c r="I29" s="32" t="s">
        <v>12</v>
      </c>
      <c r="J29" s="32" t="s">
        <v>12</v>
      </c>
      <c r="K29" s="32" t="s">
        <v>12</v>
      </c>
      <c r="L29" s="32" t="s">
        <v>12</v>
      </c>
      <c r="M29" s="32" t="s">
        <v>12</v>
      </c>
      <c r="N29" s="32" t="s">
        <v>12</v>
      </c>
    </row>
    <row r="30" spans="1:14" ht="19.899999999999999" hidden="1" customHeight="1" x14ac:dyDescent="0.2">
      <c r="A30" s="31" t="s">
        <v>66</v>
      </c>
      <c r="B30" s="32" t="s">
        <v>12</v>
      </c>
      <c r="C30" s="32" t="s">
        <v>12</v>
      </c>
      <c r="D30" s="32" t="s">
        <v>12</v>
      </c>
      <c r="E30" s="32" t="s">
        <v>12</v>
      </c>
      <c r="F30" s="32" t="s">
        <v>12</v>
      </c>
      <c r="G30" s="32" t="s">
        <v>12</v>
      </c>
      <c r="H30" s="32" t="s">
        <v>12</v>
      </c>
      <c r="I30" s="32" t="s">
        <v>12</v>
      </c>
      <c r="J30" s="32" t="s">
        <v>12</v>
      </c>
      <c r="K30" s="32" t="s">
        <v>12</v>
      </c>
      <c r="L30" s="32" t="s">
        <v>12</v>
      </c>
      <c r="M30" s="32" t="s">
        <v>12</v>
      </c>
      <c r="N30" s="32" t="s">
        <v>12</v>
      </c>
    </row>
    <row r="31" spans="1:14" ht="19.899999999999999" hidden="1" customHeight="1" x14ac:dyDescent="0.2">
      <c r="A31" s="31" t="s">
        <v>67</v>
      </c>
      <c r="B31" s="32" t="s">
        <v>12</v>
      </c>
      <c r="C31" s="32" t="s">
        <v>12</v>
      </c>
      <c r="D31" s="32" t="s">
        <v>12</v>
      </c>
      <c r="E31" s="32" t="s">
        <v>12</v>
      </c>
      <c r="F31" s="32" t="s">
        <v>12</v>
      </c>
      <c r="G31" s="32" t="s">
        <v>12</v>
      </c>
      <c r="H31" s="32" t="s">
        <v>12</v>
      </c>
      <c r="I31" s="32" t="s">
        <v>12</v>
      </c>
      <c r="J31" s="32" t="s">
        <v>12</v>
      </c>
      <c r="K31" s="32" t="s">
        <v>12</v>
      </c>
      <c r="L31" s="32" t="s">
        <v>12</v>
      </c>
      <c r="M31" s="32" t="s">
        <v>12</v>
      </c>
      <c r="N31" s="32" t="s">
        <v>12</v>
      </c>
    </row>
    <row r="32" spans="1:14" ht="19.899999999999999" customHeight="1" x14ac:dyDescent="0.2">
      <c r="A32" s="229" t="s">
        <v>108</v>
      </c>
      <c r="B32" s="230"/>
      <c r="C32" s="230"/>
      <c r="D32" s="230"/>
      <c r="E32" s="230"/>
      <c r="F32" s="230"/>
      <c r="G32" s="230"/>
      <c r="H32" s="230"/>
      <c r="I32" s="230"/>
      <c r="J32" s="230"/>
      <c r="K32" s="230"/>
      <c r="L32" s="230"/>
      <c r="M32" s="230"/>
      <c r="N32" s="231"/>
    </row>
    <row r="33" spans="1:14" ht="19.899999999999999" customHeight="1" x14ac:dyDescent="0.2">
      <c r="A33" s="23" t="s">
        <v>107</v>
      </c>
      <c r="B33" s="22" t="s">
        <v>24</v>
      </c>
      <c r="C33" s="102">
        <f>(C15-C14)/(F64*$B$6)</f>
        <v>0.96880023118409198</v>
      </c>
      <c r="D33" s="102">
        <f>(D15-D14)/(F61*$B$6)</f>
        <v>0.83266988839951772</v>
      </c>
      <c r="E33" s="102">
        <f>(E15-E14)/(F62*$B$6)</f>
        <v>0.58198126762046254</v>
      </c>
      <c r="F33" s="102">
        <f>(F15-F14)/(F58*$B$6)</f>
        <v>0.53014020760427027</v>
      </c>
      <c r="G33" s="102">
        <f>(G15-G14)/(F59*$B$6)</f>
        <v>0.66208556136400043</v>
      </c>
      <c r="H33" s="103">
        <f>(H15-H14)/(F50*$B$6)</f>
        <v>0.49575707993476631</v>
      </c>
      <c r="I33" s="102">
        <f>(I15-I14)/(F56*$B$6)</f>
        <v>0.45688604875306327</v>
      </c>
      <c r="J33" s="102">
        <f>(J15-J14)/(F41*$B$6)</f>
        <v>0.52788931910806414</v>
      </c>
      <c r="K33" s="102">
        <f>(K15-K14)/(F42*$B$6)</f>
        <v>0.26730071429933294</v>
      </c>
      <c r="L33" s="102">
        <f>(L15-L14)/(F44*$B$6)</f>
        <v>0.85841839128759923</v>
      </c>
      <c r="M33" s="102">
        <f>(M15-M14)/(F43*$B$6)</f>
        <v>0.31378362007059074</v>
      </c>
      <c r="N33" s="102">
        <f>(N15-N14)/(F57*$B$6)</f>
        <v>0.78934310518242445</v>
      </c>
    </row>
    <row r="34" spans="1:14" ht="20.100000000000001" customHeight="1" x14ac:dyDescent="0.2">
      <c r="A34" s="259" t="s">
        <v>12</v>
      </c>
      <c r="B34" s="259"/>
      <c r="C34" s="259"/>
      <c r="D34" s="259"/>
      <c r="E34" s="259"/>
      <c r="F34" s="259"/>
      <c r="G34" s="259"/>
      <c r="H34" s="259"/>
      <c r="I34" s="260"/>
      <c r="J34" s="260"/>
    </row>
    <row r="35" spans="1:14" ht="18" customHeight="1" x14ac:dyDescent="0.2">
      <c r="A35" s="259" t="s">
        <v>115</v>
      </c>
      <c r="B35" s="259"/>
      <c r="C35" s="259"/>
      <c r="D35" s="259"/>
      <c r="E35" s="259"/>
      <c r="F35" s="259"/>
      <c r="G35" s="259"/>
      <c r="H35" s="259"/>
      <c r="I35" s="260"/>
      <c r="J35" s="260"/>
    </row>
    <row r="36" spans="1:14" s="3" customFormat="1" ht="84.95" customHeight="1" x14ac:dyDescent="0.2">
      <c r="A36" s="90" t="s">
        <v>39</v>
      </c>
      <c r="B36" s="87" t="s">
        <v>9</v>
      </c>
      <c r="C36" s="87" t="s">
        <v>11</v>
      </c>
      <c r="D36" s="87" t="s">
        <v>100</v>
      </c>
      <c r="E36" s="87" t="s">
        <v>95</v>
      </c>
      <c r="F36" s="87" t="s">
        <v>31</v>
      </c>
      <c r="G36" s="87" t="s">
        <v>32</v>
      </c>
      <c r="H36" s="87" t="s">
        <v>43</v>
      </c>
      <c r="I36" s="87" t="s">
        <v>55</v>
      </c>
      <c r="J36" s="87" t="s">
        <v>70</v>
      </c>
      <c r="K36" s="45" t="s">
        <v>12</v>
      </c>
    </row>
    <row r="37" spans="1:14" s="3" customFormat="1" ht="19.899999999999999" customHeight="1" x14ac:dyDescent="0.2">
      <c r="A37" s="91" t="s">
        <v>13</v>
      </c>
      <c r="B37" s="92" t="s">
        <v>24</v>
      </c>
      <c r="C37" s="92" t="s">
        <v>24</v>
      </c>
      <c r="D37" s="93" t="s">
        <v>24</v>
      </c>
      <c r="E37" s="89">
        <f>E38+E39+E40+E41+E43+E44+E45+E46+E47+E48+E49+E51+E52+E53+E54+E55+E56+E57+E58+E60</f>
        <v>155456.6</v>
      </c>
      <c r="F37" s="89">
        <f>F38+F39+F40+F41+F43+F44+F45+F46+F47+F48+F49+F51+F52+F53+F54+F55+F56+F57+F58+F60</f>
        <v>164478.79999999999</v>
      </c>
      <c r="G37" s="94" t="s">
        <v>24</v>
      </c>
      <c r="H37" s="89">
        <f>B19</f>
        <v>4125.2</v>
      </c>
      <c r="I37" s="89">
        <f>I38+I39+I40+I41+I43+I44+I45+I46+I47+I48+I49+I51+I52+I53+I54+I55+I56+I57+I58+I60</f>
        <v>13318.1</v>
      </c>
      <c r="J37" s="89">
        <f>J38+J39+J40+J41+J43+J44+J45+J46+J47+J48+J49+J51+J52+J53+J54+J55+J56+J57+J58+J60</f>
        <v>151160.70000000001</v>
      </c>
      <c r="K37" s="3" t="s">
        <v>12</v>
      </c>
    </row>
    <row r="38" spans="1:14" s="2" customFormat="1" ht="19.899999999999999" customHeight="1" x14ac:dyDescent="0.2">
      <c r="A38" s="27" t="s">
        <v>2</v>
      </c>
      <c r="B38" s="48">
        <v>1130</v>
      </c>
      <c r="C38" s="48" t="s">
        <v>109</v>
      </c>
      <c r="D38" s="38" t="s">
        <v>51</v>
      </c>
      <c r="E38" s="38">
        <v>2590</v>
      </c>
      <c r="F38" s="38">
        <v>2750</v>
      </c>
      <c r="G38" s="95">
        <f>F38/E38</f>
        <v>1.0617760617760619</v>
      </c>
      <c r="H38" s="38">
        <f>$H$37*J38/$J$37</f>
        <v>75.04794566312539</v>
      </c>
      <c r="I38" s="79">
        <v>0</v>
      </c>
      <c r="J38" s="38">
        <f>F38-I38</f>
        <v>2750</v>
      </c>
      <c r="K38" s="56" t="s">
        <v>12</v>
      </c>
      <c r="L38" s="46" t="s">
        <v>12</v>
      </c>
    </row>
    <row r="39" spans="1:14" s="2" customFormat="1" ht="19.899999999999999" customHeight="1" x14ac:dyDescent="0.2">
      <c r="A39" s="27" t="s">
        <v>56</v>
      </c>
      <c r="B39" s="48">
        <v>1260</v>
      </c>
      <c r="C39" s="48" t="s">
        <v>85</v>
      </c>
      <c r="D39" s="38" t="s">
        <v>51</v>
      </c>
      <c r="E39" s="38">
        <v>22670</v>
      </c>
      <c r="F39" s="38">
        <v>23323</v>
      </c>
      <c r="G39" s="95">
        <f t="shared" ref="G39:G49" si="10">F39/E39</f>
        <v>1.0288045875606529</v>
      </c>
      <c r="H39" s="38">
        <f>$H$37*J39/$J$37</f>
        <v>308.52619814541737</v>
      </c>
      <c r="I39" s="79">
        <v>12017.6</v>
      </c>
      <c r="J39" s="38">
        <f>F39-I39</f>
        <v>11305.4</v>
      </c>
      <c r="K39" s="54" t="s">
        <v>12</v>
      </c>
    </row>
    <row r="40" spans="1:14" s="2" customFormat="1" ht="19.899999999999999" customHeight="1" x14ac:dyDescent="0.2">
      <c r="A40" s="27" t="s">
        <v>0</v>
      </c>
      <c r="B40" s="48">
        <v>3740</v>
      </c>
      <c r="C40" s="48" t="s">
        <v>86</v>
      </c>
      <c r="D40" s="38" t="s">
        <v>51</v>
      </c>
      <c r="E40" s="38">
        <v>8270</v>
      </c>
      <c r="F40" s="38">
        <v>8841</v>
      </c>
      <c r="G40" s="95">
        <f t="shared" si="10"/>
        <v>1.0690447400241838</v>
      </c>
      <c r="H40" s="38">
        <f t="shared" ref="H40:H60" si="11">$H$37*J40/$J$37</f>
        <v>241.27232276643329</v>
      </c>
      <c r="I40" s="79">
        <v>0</v>
      </c>
      <c r="J40" s="38">
        <f t="shared" ref="J40:J60" si="12">F40-I40</f>
        <v>8841</v>
      </c>
      <c r="K40" s="54" t="s">
        <v>12</v>
      </c>
    </row>
    <row r="41" spans="1:14" s="2" customFormat="1" ht="19.899999999999999" customHeight="1" x14ac:dyDescent="0.2">
      <c r="A41" s="27" t="s">
        <v>53</v>
      </c>
      <c r="B41" s="48">
        <v>4970</v>
      </c>
      <c r="C41" s="96">
        <v>8470</v>
      </c>
      <c r="D41" s="39">
        <f>C41/B41</f>
        <v>1.704225352112676</v>
      </c>
      <c r="E41" s="38">
        <v>12680</v>
      </c>
      <c r="F41" s="38">
        <v>13083</v>
      </c>
      <c r="G41" s="95">
        <f t="shared" si="10"/>
        <v>1.031782334384858</v>
      </c>
      <c r="H41" s="38">
        <f>$H$37*J41/$J$37</f>
        <v>357.03719022206161</v>
      </c>
      <c r="I41" s="79">
        <v>0</v>
      </c>
      <c r="J41" s="38">
        <f t="shared" si="12"/>
        <v>13083</v>
      </c>
      <c r="K41" s="54" t="s">
        <v>12</v>
      </c>
    </row>
    <row r="42" spans="1:14" s="2" customFormat="1" ht="19.899999999999999" customHeight="1" x14ac:dyDescent="0.2">
      <c r="A42" s="27" t="s">
        <v>72</v>
      </c>
      <c r="B42" s="48">
        <v>3350</v>
      </c>
      <c r="C42" s="96">
        <v>4940</v>
      </c>
      <c r="D42" s="39">
        <f>C42/B42</f>
        <v>1.4746268656716417</v>
      </c>
      <c r="E42" s="38" t="s">
        <v>24</v>
      </c>
      <c r="F42" s="38">
        <f>ROUND(F41*0.34316,1)</f>
        <v>4489.6000000000004</v>
      </c>
      <c r="G42" s="95" t="s">
        <v>24</v>
      </c>
      <c r="H42" s="38">
        <f>$H$37*J42/$J$37</f>
        <v>122.52191158151557</v>
      </c>
      <c r="I42" s="79">
        <v>0</v>
      </c>
      <c r="J42" s="38">
        <f>F42-I42</f>
        <v>4489.6000000000004</v>
      </c>
      <c r="K42" s="54" t="s">
        <v>12</v>
      </c>
    </row>
    <row r="43" spans="1:14" s="2" customFormat="1" ht="19.899999999999999" customHeight="1" x14ac:dyDescent="0.2">
      <c r="A43" s="27" t="s">
        <v>3</v>
      </c>
      <c r="B43" s="48">
        <v>4350</v>
      </c>
      <c r="C43" s="96">
        <v>6217</v>
      </c>
      <c r="D43" s="39">
        <f>C43/B43</f>
        <v>1.4291954022988507</v>
      </c>
      <c r="E43" s="38">
        <v>6920</v>
      </c>
      <c r="F43" s="38">
        <v>7252</v>
      </c>
      <c r="G43" s="95">
        <f t="shared" si="10"/>
        <v>1.0479768786127168</v>
      </c>
      <c r="H43" s="38">
        <f t="shared" si="11"/>
        <v>197.90825525417648</v>
      </c>
      <c r="I43" s="79">
        <v>0</v>
      </c>
      <c r="J43" s="38">
        <f t="shared" si="12"/>
        <v>7252</v>
      </c>
      <c r="K43" s="54" t="s">
        <v>12</v>
      </c>
    </row>
    <row r="44" spans="1:14" s="2" customFormat="1" ht="19.899999999999999" customHeight="1" x14ac:dyDescent="0.2">
      <c r="A44" s="27" t="s">
        <v>18</v>
      </c>
      <c r="B44" s="48">
        <v>2290</v>
      </c>
      <c r="C44" s="96">
        <v>7020</v>
      </c>
      <c r="D44" s="39">
        <f>C44/B44</f>
        <v>3.0655021834061134</v>
      </c>
      <c r="E44" s="38">
        <v>21830</v>
      </c>
      <c r="F44" s="38">
        <v>23447</v>
      </c>
      <c r="G44" s="95">
        <f t="shared" si="10"/>
        <v>1.0740723774622081</v>
      </c>
      <c r="H44" s="38">
        <f t="shared" si="11"/>
        <v>629.54310346538477</v>
      </c>
      <c r="I44" s="79">
        <v>378.5</v>
      </c>
      <c r="J44" s="38">
        <f t="shared" si="12"/>
        <v>23068.5</v>
      </c>
      <c r="K44" s="54" t="s">
        <v>12</v>
      </c>
    </row>
    <row r="45" spans="1:14" s="2" customFormat="1" ht="19.899999999999999" customHeight="1" x14ac:dyDescent="0.2">
      <c r="A45" s="27" t="s">
        <v>19</v>
      </c>
      <c r="B45" s="48">
        <v>970</v>
      </c>
      <c r="C45" s="48" t="s">
        <v>87</v>
      </c>
      <c r="D45" s="38" t="s">
        <v>51</v>
      </c>
      <c r="E45" s="38">
        <v>3260</v>
      </c>
      <c r="F45" s="38">
        <v>3503</v>
      </c>
      <c r="G45" s="95">
        <f t="shared" si="10"/>
        <v>1.0745398773006134</v>
      </c>
      <c r="H45" s="38">
        <f t="shared" si="11"/>
        <v>95.597437693792088</v>
      </c>
      <c r="I45" s="79">
        <v>0</v>
      </c>
      <c r="J45" s="38">
        <f t="shared" si="12"/>
        <v>3503</v>
      </c>
      <c r="K45" s="54" t="s">
        <v>12</v>
      </c>
    </row>
    <row r="46" spans="1:14" s="2" customFormat="1" ht="19.899999999999999" customHeight="1" x14ac:dyDescent="0.2">
      <c r="A46" s="27" t="s">
        <v>68</v>
      </c>
      <c r="B46" s="48">
        <v>3760</v>
      </c>
      <c r="C46" s="48" t="s">
        <v>103</v>
      </c>
      <c r="D46" s="38" t="s">
        <v>51</v>
      </c>
      <c r="E46" s="38">
        <v>5270</v>
      </c>
      <c r="F46" s="38">
        <v>5533</v>
      </c>
      <c r="G46" s="95">
        <f>F46/E46</f>
        <v>1.0499051233396584</v>
      </c>
      <c r="H46" s="38">
        <f>$H$37*J46/$J$37</f>
        <v>126.35617935084977</v>
      </c>
      <c r="I46" s="79">
        <v>902.9</v>
      </c>
      <c r="J46" s="38">
        <f t="shared" si="12"/>
        <v>4630.1000000000004</v>
      </c>
      <c r="K46" s="54" t="s">
        <v>12</v>
      </c>
    </row>
    <row r="47" spans="1:14" s="2" customFormat="1" ht="19.899999999999999" customHeight="1" x14ac:dyDescent="0.2">
      <c r="A47" s="27" t="s">
        <v>4</v>
      </c>
      <c r="B47" s="48">
        <v>1520</v>
      </c>
      <c r="C47" s="48" t="s">
        <v>88</v>
      </c>
      <c r="D47" s="38" t="s">
        <v>51</v>
      </c>
      <c r="E47" s="38">
        <v>2820</v>
      </c>
      <c r="F47" s="38">
        <v>2976</v>
      </c>
      <c r="G47" s="95">
        <f t="shared" si="10"/>
        <v>1.0553191489361702</v>
      </c>
      <c r="H47" s="38">
        <f t="shared" si="11"/>
        <v>81.215522288531332</v>
      </c>
      <c r="I47" s="79">
        <v>0</v>
      </c>
      <c r="J47" s="38">
        <f t="shared" si="12"/>
        <v>2976</v>
      </c>
      <c r="K47" s="54" t="s">
        <v>12</v>
      </c>
    </row>
    <row r="48" spans="1:14" s="2" customFormat="1" ht="19.899999999999999" customHeight="1" x14ac:dyDescent="0.2">
      <c r="A48" s="27" t="s">
        <v>20</v>
      </c>
      <c r="B48" s="48">
        <v>-540</v>
      </c>
      <c r="C48" s="48" t="s">
        <v>76</v>
      </c>
      <c r="D48" s="38" t="s">
        <v>76</v>
      </c>
      <c r="E48" s="38">
        <v>18980</v>
      </c>
      <c r="F48" s="38">
        <v>20978</v>
      </c>
      <c r="G48" s="95">
        <f t="shared" si="10"/>
        <v>1.1052687038988409</v>
      </c>
      <c r="H48" s="38">
        <f t="shared" si="11"/>
        <v>572.4930196803798</v>
      </c>
      <c r="I48" s="79">
        <v>0</v>
      </c>
      <c r="J48" s="38">
        <f t="shared" si="12"/>
        <v>20978</v>
      </c>
      <c r="K48" s="54" t="s">
        <v>12</v>
      </c>
    </row>
    <row r="49" spans="1:13" s="2" customFormat="1" ht="19.899999999999999" customHeight="1" x14ac:dyDescent="0.2">
      <c r="A49" s="27" t="s">
        <v>1</v>
      </c>
      <c r="B49" s="48">
        <v>980</v>
      </c>
      <c r="C49" s="48" t="s">
        <v>89</v>
      </c>
      <c r="D49" s="38" t="s">
        <v>51</v>
      </c>
      <c r="E49" s="38">
        <v>3970</v>
      </c>
      <c r="F49" s="38">
        <v>4184</v>
      </c>
      <c r="G49" s="95">
        <f t="shared" si="10"/>
        <v>1.0539042821158691</v>
      </c>
      <c r="H49" s="38">
        <f t="shared" si="11"/>
        <v>114.18203805618788</v>
      </c>
      <c r="I49" s="79">
        <v>0</v>
      </c>
      <c r="J49" s="38">
        <f t="shared" si="12"/>
        <v>4184</v>
      </c>
      <c r="K49" s="54" t="s">
        <v>12</v>
      </c>
    </row>
    <row r="50" spans="1:13" s="2" customFormat="1" ht="19.899999999999999" customHeight="1" x14ac:dyDescent="0.2">
      <c r="A50" s="27" t="s">
        <v>45</v>
      </c>
      <c r="B50" s="48">
        <v>1440</v>
      </c>
      <c r="C50" s="97">
        <v>1869</v>
      </c>
      <c r="D50" s="39">
        <f>C50/B50</f>
        <v>1.2979166666666666</v>
      </c>
      <c r="E50" s="38" t="s">
        <v>24</v>
      </c>
      <c r="F50" s="38">
        <f>F49*0.579</f>
        <v>2422.5359999999996</v>
      </c>
      <c r="G50" s="95" t="s">
        <v>24</v>
      </c>
      <c r="H50" s="38">
        <f>$H$37*J50/$J$37</f>
        <v>66.111400034532764</v>
      </c>
      <c r="I50" s="79">
        <v>0</v>
      </c>
      <c r="J50" s="38">
        <f t="shared" si="12"/>
        <v>2422.5359999999996</v>
      </c>
      <c r="K50" s="54" t="s">
        <v>12</v>
      </c>
    </row>
    <row r="51" spans="1:13" s="2" customFormat="1" ht="19.899999999999999" customHeight="1" x14ac:dyDescent="0.2">
      <c r="A51" s="27" t="s">
        <v>73</v>
      </c>
      <c r="B51" s="48">
        <v>250</v>
      </c>
      <c r="C51" s="48" t="s">
        <v>90</v>
      </c>
      <c r="D51" s="38" t="s">
        <v>51</v>
      </c>
      <c r="E51" s="38">
        <v>2051.6</v>
      </c>
      <c r="F51" s="38">
        <v>2143.8000000000002</v>
      </c>
      <c r="G51" s="95">
        <f>F51/E51</f>
        <v>1.0449405342171965</v>
      </c>
      <c r="H51" s="38">
        <f>$H$37*J51/$J$37</f>
        <v>57.983407327433653</v>
      </c>
      <c r="I51" s="79">
        <v>19.100000000000001</v>
      </c>
      <c r="J51" s="38">
        <f t="shared" si="12"/>
        <v>2124.7000000000003</v>
      </c>
      <c r="K51" s="54" t="s">
        <v>12</v>
      </c>
    </row>
    <row r="52" spans="1:13" s="2" customFormat="1" ht="19.899999999999999" customHeight="1" x14ac:dyDescent="0.2">
      <c r="A52" s="27" t="s">
        <v>5</v>
      </c>
      <c r="B52" s="48">
        <v>3370</v>
      </c>
      <c r="C52" s="48" t="s">
        <v>91</v>
      </c>
      <c r="D52" s="38" t="s">
        <v>51</v>
      </c>
      <c r="E52" s="38">
        <v>6020</v>
      </c>
      <c r="F52" s="38">
        <v>6369</v>
      </c>
      <c r="G52" s="95">
        <f t="shared" ref="G52:G58" si="13">F52/E52</f>
        <v>1.0579734219269104</v>
      </c>
      <c r="H52" s="38">
        <f t="shared" si="11"/>
        <v>173.81104215579839</v>
      </c>
      <c r="I52" s="79">
        <v>0</v>
      </c>
      <c r="J52" s="38">
        <f t="shared" si="12"/>
        <v>6369</v>
      </c>
      <c r="K52" s="54" t="s">
        <v>12</v>
      </c>
    </row>
    <row r="53" spans="1:13" s="2" customFormat="1" ht="19.899999999999999" customHeight="1" x14ac:dyDescent="0.2">
      <c r="A53" s="27" t="s">
        <v>21</v>
      </c>
      <c r="B53" s="48">
        <v>1290</v>
      </c>
      <c r="C53" s="48" t="s">
        <v>110</v>
      </c>
      <c r="D53" s="38" t="s">
        <v>51</v>
      </c>
      <c r="E53" s="38">
        <v>2840</v>
      </c>
      <c r="F53" s="38">
        <v>3061</v>
      </c>
      <c r="G53" s="95">
        <f t="shared" si="13"/>
        <v>1.0778169014084507</v>
      </c>
      <c r="H53" s="38">
        <f t="shared" si="11"/>
        <v>83.535186063573391</v>
      </c>
      <c r="I53" s="79">
        <v>0</v>
      </c>
      <c r="J53" s="38">
        <f t="shared" si="12"/>
        <v>3061</v>
      </c>
      <c r="K53" s="56" t="s">
        <v>12</v>
      </c>
      <c r="L53" s="46" t="s">
        <v>12</v>
      </c>
      <c r="M53" s="46" t="s">
        <v>12</v>
      </c>
    </row>
    <row r="54" spans="1:13" s="2" customFormat="1" ht="19.899999999999999" customHeight="1" x14ac:dyDescent="0.2">
      <c r="A54" s="27" t="s">
        <v>6</v>
      </c>
      <c r="B54" s="48">
        <v>3260</v>
      </c>
      <c r="C54" s="48" t="s">
        <v>92</v>
      </c>
      <c r="D54" s="38" t="s">
        <v>51</v>
      </c>
      <c r="E54" s="38">
        <v>8360</v>
      </c>
      <c r="F54" s="38">
        <v>8881</v>
      </c>
      <c r="G54" s="95">
        <f t="shared" si="13"/>
        <v>1.0623205741626793</v>
      </c>
      <c r="H54" s="38">
        <f t="shared" si="11"/>
        <v>242.36392924880602</v>
      </c>
      <c r="I54" s="79">
        <v>0</v>
      </c>
      <c r="J54" s="38">
        <f t="shared" si="12"/>
        <v>8881</v>
      </c>
      <c r="K54" s="54" t="s">
        <v>12</v>
      </c>
    </row>
    <row r="55" spans="1:13" s="2" customFormat="1" ht="19.899999999999999" customHeight="1" x14ac:dyDescent="0.2">
      <c r="A55" s="27" t="s">
        <v>22</v>
      </c>
      <c r="B55" s="48">
        <v>600</v>
      </c>
      <c r="C55" s="48" t="s">
        <v>93</v>
      </c>
      <c r="D55" s="38" t="s">
        <v>51</v>
      </c>
      <c r="E55" s="38">
        <v>2770</v>
      </c>
      <c r="F55" s="38">
        <v>3025</v>
      </c>
      <c r="G55" s="95">
        <f t="shared" si="13"/>
        <v>1.092057761732852</v>
      </c>
      <c r="H55" s="38">
        <f t="shared" si="11"/>
        <v>82.55274022943793</v>
      </c>
      <c r="I55" s="79">
        <v>0</v>
      </c>
      <c r="J55" s="38">
        <f t="shared" si="12"/>
        <v>3025</v>
      </c>
      <c r="K55" s="54" t="s">
        <v>12</v>
      </c>
    </row>
    <row r="56" spans="1:13" s="2" customFormat="1" ht="19.899999999999999" customHeight="1" x14ac:dyDescent="0.2">
      <c r="A56" s="27" t="s">
        <v>7</v>
      </c>
      <c r="B56" s="48">
        <v>3740</v>
      </c>
      <c r="C56" s="96">
        <v>5359</v>
      </c>
      <c r="D56" s="39">
        <f>C56/B56</f>
        <v>1.4328877005347593</v>
      </c>
      <c r="E56" s="38">
        <v>6520</v>
      </c>
      <c r="F56" s="38">
        <v>6729</v>
      </c>
      <c r="G56" s="95">
        <f t="shared" si="13"/>
        <v>1.0320552147239264</v>
      </c>
      <c r="H56" s="38">
        <f t="shared" si="11"/>
        <v>183.635500497153</v>
      </c>
      <c r="I56" s="79">
        <v>0</v>
      </c>
      <c r="J56" s="38">
        <f t="shared" si="12"/>
        <v>6729</v>
      </c>
      <c r="K56" s="54" t="s">
        <v>12</v>
      </c>
    </row>
    <row r="57" spans="1:13" s="2" customFormat="1" ht="19.899999999999999" customHeight="1" x14ac:dyDescent="0.2">
      <c r="A57" s="27" t="s">
        <v>33</v>
      </c>
      <c r="B57" s="48">
        <v>1310</v>
      </c>
      <c r="C57" s="97">
        <v>4336</v>
      </c>
      <c r="D57" s="39">
        <f>C57/B57</f>
        <v>3.3099236641221372</v>
      </c>
      <c r="E57" s="38">
        <f>6930+185</f>
        <v>7115</v>
      </c>
      <c r="F57" s="38">
        <f>7319+198</f>
        <v>7517</v>
      </c>
      <c r="G57" s="95">
        <f t="shared" si="13"/>
        <v>1.0565003513703444</v>
      </c>
      <c r="H57" s="38">
        <f t="shared" si="11"/>
        <v>205.14014819989583</v>
      </c>
      <c r="I57" s="79">
        <v>0</v>
      </c>
      <c r="J57" s="38">
        <f t="shared" si="12"/>
        <v>7517</v>
      </c>
      <c r="K57" s="54" t="s">
        <v>12</v>
      </c>
      <c r="L57" s="2" t="s">
        <v>12</v>
      </c>
    </row>
    <row r="58" spans="1:13" s="2" customFormat="1" ht="19.899999999999999" customHeight="1" x14ac:dyDescent="0.2">
      <c r="A58" s="27" t="s">
        <v>8</v>
      </c>
      <c r="B58" s="48">
        <v>6080</v>
      </c>
      <c r="C58" s="96">
        <v>6700</v>
      </c>
      <c r="D58" s="40">
        <f>C58/B58</f>
        <v>1.1019736842105263</v>
      </c>
      <c r="E58" s="38">
        <v>10120</v>
      </c>
      <c r="F58" s="38">
        <v>10470</v>
      </c>
      <c r="G58" s="95">
        <f t="shared" si="13"/>
        <v>1.0345849802371541</v>
      </c>
      <c r="H58" s="38">
        <f>$H$37*J58/$J$37</f>
        <v>285.72799676106285</v>
      </c>
      <c r="I58" s="79">
        <v>0</v>
      </c>
      <c r="J58" s="38">
        <f t="shared" si="12"/>
        <v>10470</v>
      </c>
      <c r="K58" s="54" t="s">
        <v>12</v>
      </c>
      <c r="L58" s="2" t="s">
        <v>12</v>
      </c>
    </row>
    <row r="59" spans="1:13" s="2" customFormat="1" ht="19.899999999999999" customHeight="1" x14ac:dyDescent="0.2">
      <c r="A59" s="27" t="s">
        <v>44</v>
      </c>
      <c r="B59" s="48">
        <v>2370</v>
      </c>
      <c r="C59" s="96">
        <v>2795</v>
      </c>
      <c r="D59" s="40">
        <f>C59/B59</f>
        <v>1.1793248945147679</v>
      </c>
      <c r="E59" s="38" t="s">
        <v>24</v>
      </c>
      <c r="F59" s="38">
        <f>F58*0.485</f>
        <v>5077.95</v>
      </c>
      <c r="G59" s="95" t="s">
        <v>24</v>
      </c>
      <c r="H59" s="38">
        <f t="shared" si="11"/>
        <v>138.57807842911549</v>
      </c>
      <c r="I59" s="79">
        <v>0</v>
      </c>
      <c r="J59" s="38">
        <f t="shared" si="12"/>
        <v>5077.95</v>
      </c>
      <c r="K59" s="54" t="s">
        <v>12</v>
      </c>
    </row>
    <row r="60" spans="1:13" s="2" customFormat="1" ht="19.899999999999999" customHeight="1" x14ac:dyDescent="0.2">
      <c r="A60" s="27" t="s">
        <v>40</v>
      </c>
      <c r="B60" s="48" t="s">
        <v>24</v>
      </c>
      <c r="C60" s="48" t="s">
        <v>24</v>
      </c>
      <c r="D60" s="38" t="s">
        <v>24</v>
      </c>
      <c r="E60" s="38">
        <v>400</v>
      </c>
      <c r="F60" s="38">
        <v>413</v>
      </c>
      <c r="G60" s="95">
        <f>F60/E60</f>
        <v>1.0325</v>
      </c>
      <c r="H60" s="38">
        <f t="shared" si="11"/>
        <v>11.270836930498469</v>
      </c>
      <c r="I60" s="79">
        <v>0</v>
      </c>
      <c r="J60" s="38">
        <f t="shared" si="12"/>
        <v>413</v>
      </c>
      <c r="K60" s="54" t="s">
        <v>12</v>
      </c>
    </row>
    <row r="61" spans="1:13" s="2" customFormat="1" ht="19.899999999999999" customHeight="1" x14ac:dyDescent="0.2">
      <c r="A61" s="27" t="s">
        <v>16</v>
      </c>
      <c r="B61" s="48">
        <v>6140</v>
      </c>
      <c r="C61" s="96">
        <v>9315</v>
      </c>
      <c r="D61" s="40">
        <f>C61/B61</f>
        <v>1.517100977198697</v>
      </c>
      <c r="E61" s="38" t="s">
        <v>24</v>
      </c>
      <c r="F61" s="38">
        <f>F38+F49+F52+F54+F58+F60</f>
        <v>33067</v>
      </c>
      <c r="G61" s="98" t="s">
        <v>24</v>
      </c>
      <c r="H61" s="38">
        <f>H38+H49+H52+H54+H58+H60</f>
        <v>902.40378881547906</v>
      </c>
      <c r="I61" s="38">
        <f>I38+I49+I52+I54+I58+I60</f>
        <v>0</v>
      </c>
      <c r="J61" s="264" t="s">
        <v>64</v>
      </c>
      <c r="K61" s="54" t="s">
        <v>12</v>
      </c>
    </row>
    <row r="62" spans="1:13" s="2" customFormat="1" ht="19.899999999999999" customHeight="1" x14ac:dyDescent="0.2">
      <c r="A62" s="27" t="s">
        <v>14</v>
      </c>
      <c r="B62" s="48">
        <v>5880</v>
      </c>
      <c r="C62" s="96">
        <v>8053</v>
      </c>
      <c r="D62" s="40">
        <f>C62/B62</f>
        <v>1.3695578231292518</v>
      </c>
      <c r="E62" s="38" t="s">
        <v>24</v>
      </c>
      <c r="F62" s="38">
        <f>F43+F56</f>
        <v>13981</v>
      </c>
      <c r="G62" s="98" t="s">
        <v>24</v>
      </c>
      <c r="H62" s="38">
        <f>H43+H56</f>
        <v>381.54375575132951</v>
      </c>
      <c r="I62" s="38">
        <f>I43+I56</f>
        <v>0</v>
      </c>
      <c r="J62" s="265"/>
      <c r="K62" s="54" t="s">
        <v>12</v>
      </c>
    </row>
    <row r="63" spans="1:13" s="2" customFormat="1" ht="19.899999999999999" customHeight="1" x14ac:dyDescent="0.2">
      <c r="A63" s="27" t="s">
        <v>15</v>
      </c>
      <c r="B63" s="48">
        <v>-5010</v>
      </c>
      <c r="C63" s="48" t="s">
        <v>76</v>
      </c>
      <c r="D63" s="38" t="s">
        <v>76</v>
      </c>
      <c r="E63" s="38" t="s">
        <v>24</v>
      </c>
      <c r="F63" s="38">
        <f>F53+F55+F57</f>
        <v>13603</v>
      </c>
      <c r="G63" s="98" t="s">
        <v>24</v>
      </c>
      <c r="H63" s="38">
        <f>H53+H55+H57</f>
        <v>371.22807449290713</v>
      </c>
      <c r="I63" s="38">
        <f>I53+I55+I57</f>
        <v>0</v>
      </c>
      <c r="J63" s="265"/>
      <c r="K63" s="54" t="s">
        <v>12</v>
      </c>
    </row>
    <row r="64" spans="1:13" s="2" customFormat="1" ht="19.899999999999999" customHeight="1" x14ac:dyDescent="0.2">
      <c r="A64" s="27" t="s">
        <v>17</v>
      </c>
      <c r="B64" s="48">
        <v>4420</v>
      </c>
      <c r="C64" s="96">
        <v>7393</v>
      </c>
      <c r="D64" s="40">
        <f>C64/B64</f>
        <v>1.6726244343891403</v>
      </c>
      <c r="E64" s="38" t="s">
        <v>24</v>
      </c>
      <c r="F64" s="38">
        <f>F61+F62+F63</f>
        <v>60651</v>
      </c>
      <c r="G64" s="98" t="s">
        <v>24</v>
      </c>
      <c r="H64" s="38">
        <f>H61+H62+H63</f>
        <v>1655.1756190597157</v>
      </c>
      <c r="I64" s="38">
        <f>I61+I62+I63</f>
        <v>0</v>
      </c>
      <c r="J64" s="265"/>
      <c r="K64" s="54" t="s">
        <v>12</v>
      </c>
    </row>
    <row r="65" spans="1:12" s="2" customFormat="1" ht="19.899999999999999" customHeight="1" x14ac:dyDescent="0.2">
      <c r="A65" s="27" t="s">
        <v>34</v>
      </c>
      <c r="B65" s="48">
        <v>8210</v>
      </c>
      <c r="C65" s="48" t="s">
        <v>94</v>
      </c>
      <c r="D65" s="38" t="s">
        <v>51</v>
      </c>
      <c r="E65" s="38" t="s">
        <v>24</v>
      </c>
      <c r="F65" s="38">
        <f>F39+F40+F41+F44+F45+F46+F47+F51</f>
        <v>82849.8</v>
      </c>
      <c r="G65" s="98" t="s">
        <v>24</v>
      </c>
      <c r="H65" s="38">
        <f>H39+H40+H41+H44+H45+H46+H47+H51</f>
        <v>1897.5313612599039</v>
      </c>
      <c r="I65" s="38">
        <f>I39+I40+I41+I44+I45+I46+I47+I51</f>
        <v>13318.1</v>
      </c>
      <c r="J65" s="266"/>
      <c r="K65" s="54" t="s">
        <v>12</v>
      </c>
    </row>
    <row r="66" spans="1:12" s="2" customFormat="1" ht="19.899999999999999" customHeight="1" x14ac:dyDescent="0.2">
      <c r="A66" s="259" t="s">
        <v>114</v>
      </c>
      <c r="B66" s="259"/>
      <c r="C66" s="259"/>
      <c r="D66" s="259"/>
      <c r="E66" s="259"/>
      <c r="F66" s="259"/>
      <c r="G66" s="259"/>
      <c r="H66" s="259"/>
      <c r="I66" s="260"/>
      <c r="J66" s="260"/>
      <c r="K66" s="54"/>
    </row>
    <row r="67" spans="1:12" s="2" customFormat="1" ht="19.899999999999999" customHeight="1" thickBot="1" x14ac:dyDescent="0.25">
      <c r="A67" s="71"/>
      <c r="B67" s="72"/>
      <c r="C67" s="72"/>
      <c r="D67" s="72"/>
      <c r="E67" s="72"/>
      <c r="F67" s="72"/>
      <c r="G67" s="72"/>
      <c r="H67" s="72"/>
      <c r="I67" s="73"/>
      <c r="J67" s="74"/>
      <c r="K67" s="54"/>
    </row>
    <row r="68" spans="1:12" ht="20.100000000000001" customHeight="1" x14ac:dyDescent="0.2">
      <c r="A68" s="261" t="s">
        <v>69</v>
      </c>
      <c r="B68" s="262"/>
      <c r="C68" s="262"/>
      <c r="D68" s="262"/>
      <c r="E68" s="262"/>
      <c r="F68" s="262"/>
      <c r="G68" s="262"/>
      <c r="H68" s="262"/>
      <c r="I68" s="262"/>
      <c r="J68" s="263"/>
    </row>
    <row r="69" spans="1:12" ht="20.100000000000001" customHeight="1" x14ac:dyDescent="0.2">
      <c r="A69" s="75" t="s">
        <v>111</v>
      </c>
      <c r="B69" s="256" t="s">
        <v>74</v>
      </c>
      <c r="C69" s="256"/>
      <c r="D69" s="256"/>
      <c r="E69" s="256"/>
      <c r="F69" s="256"/>
      <c r="G69" s="256"/>
      <c r="H69" s="257"/>
      <c r="I69" s="257"/>
      <c r="J69" s="258"/>
    </row>
    <row r="70" spans="1:12" ht="20.100000000000001" customHeight="1" x14ac:dyDescent="0.2">
      <c r="A70" s="76" t="s">
        <v>17</v>
      </c>
      <c r="B70" s="253" t="s">
        <v>101</v>
      </c>
      <c r="C70" s="253"/>
      <c r="D70" s="253"/>
      <c r="E70" s="253"/>
      <c r="F70" s="253"/>
      <c r="G70" s="253"/>
      <c r="H70" s="253"/>
      <c r="I70" s="254"/>
      <c r="J70" s="255"/>
    </row>
    <row r="71" spans="1:12" ht="20.100000000000001" customHeight="1" x14ac:dyDescent="0.2">
      <c r="A71" s="76" t="s">
        <v>16</v>
      </c>
      <c r="B71" s="253" t="s">
        <v>96</v>
      </c>
      <c r="C71" s="253"/>
      <c r="D71" s="253"/>
      <c r="E71" s="253"/>
      <c r="F71" s="253"/>
      <c r="G71" s="253"/>
      <c r="H71" s="253"/>
      <c r="I71" s="254"/>
      <c r="J71" s="255"/>
    </row>
    <row r="72" spans="1:12" ht="20.100000000000001" customHeight="1" x14ac:dyDescent="0.2">
      <c r="A72" s="76" t="s">
        <v>14</v>
      </c>
      <c r="B72" s="253" t="s">
        <v>97</v>
      </c>
      <c r="C72" s="253"/>
      <c r="D72" s="253"/>
      <c r="E72" s="253"/>
      <c r="F72" s="253"/>
      <c r="G72" s="253"/>
      <c r="H72" s="253"/>
      <c r="I72" s="254"/>
      <c r="J72" s="255"/>
    </row>
    <row r="73" spans="1:12" ht="20.100000000000001" customHeight="1" x14ac:dyDescent="0.2">
      <c r="A73" s="76" t="s">
        <v>8</v>
      </c>
      <c r="B73" s="253" t="s">
        <v>104</v>
      </c>
      <c r="C73" s="253"/>
      <c r="D73" s="253"/>
      <c r="E73" s="253"/>
      <c r="F73" s="253"/>
      <c r="G73" s="253"/>
      <c r="H73" s="253"/>
      <c r="I73" s="254"/>
      <c r="J73" s="255"/>
    </row>
    <row r="74" spans="1:12" ht="20.100000000000001" customHeight="1" x14ac:dyDescent="0.2">
      <c r="A74" s="76" t="s">
        <v>71</v>
      </c>
      <c r="B74" s="253" t="s">
        <v>104</v>
      </c>
      <c r="C74" s="253"/>
      <c r="D74" s="253"/>
      <c r="E74" s="253"/>
      <c r="F74" s="253"/>
      <c r="G74" s="253"/>
      <c r="H74" s="253"/>
      <c r="I74" s="254"/>
      <c r="J74" s="255"/>
      <c r="L74" s="4" t="s">
        <v>12</v>
      </c>
    </row>
    <row r="75" spans="1:12" ht="20.100000000000001" customHeight="1" x14ac:dyDescent="0.2">
      <c r="A75" s="76" t="s">
        <v>23</v>
      </c>
      <c r="B75" s="253" t="s">
        <v>98</v>
      </c>
      <c r="C75" s="253"/>
      <c r="D75" s="253"/>
      <c r="E75" s="253"/>
      <c r="F75" s="253"/>
      <c r="G75" s="253"/>
      <c r="H75" s="253"/>
      <c r="I75" s="254"/>
      <c r="J75" s="255"/>
    </row>
    <row r="76" spans="1:12" ht="20.100000000000001" customHeight="1" x14ac:dyDescent="0.2">
      <c r="A76" s="76" t="s">
        <v>7</v>
      </c>
      <c r="B76" s="253" t="s">
        <v>97</v>
      </c>
      <c r="C76" s="253"/>
      <c r="D76" s="253"/>
      <c r="E76" s="253"/>
      <c r="F76" s="253"/>
      <c r="G76" s="253"/>
      <c r="H76" s="253"/>
      <c r="I76" s="254"/>
      <c r="J76" s="255"/>
    </row>
    <row r="77" spans="1:12" ht="20.100000000000001" customHeight="1" x14ac:dyDescent="0.2">
      <c r="A77" s="77" t="s">
        <v>53</v>
      </c>
      <c r="B77" s="253" t="s">
        <v>99</v>
      </c>
      <c r="C77" s="253"/>
      <c r="D77" s="253"/>
      <c r="E77" s="253"/>
      <c r="F77" s="253"/>
      <c r="G77" s="253"/>
      <c r="H77" s="253"/>
      <c r="I77" s="254"/>
      <c r="J77" s="255"/>
    </row>
    <row r="78" spans="1:12" ht="20.100000000000001" customHeight="1" x14ac:dyDescent="0.2">
      <c r="A78" s="77" t="s">
        <v>72</v>
      </c>
      <c r="B78" s="253" t="s">
        <v>99</v>
      </c>
      <c r="C78" s="253"/>
      <c r="D78" s="253"/>
      <c r="E78" s="253"/>
      <c r="F78" s="253"/>
      <c r="G78" s="253"/>
      <c r="H78" s="253"/>
      <c r="I78" s="254"/>
      <c r="J78" s="255"/>
    </row>
    <row r="79" spans="1:12" ht="20.100000000000001" customHeight="1" x14ac:dyDescent="0.2">
      <c r="A79" s="77" t="s">
        <v>18</v>
      </c>
      <c r="B79" s="250" t="s">
        <v>105</v>
      </c>
      <c r="C79" s="251"/>
      <c r="D79" s="251"/>
      <c r="E79" s="251"/>
      <c r="F79" s="251"/>
      <c r="G79" s="251"/>
      <c r="H79" s="251"/>
      <c r="I79" s="251"/>
      <c r="J79" s="252"/>
    </row>
    <row r="80" spans="1:12" ht="20.100000000000001" customHeight="1" x14ac:dyDescent="0.2">
      <c r="A80" s="77" t="s">
        <v>3</v>
      </c>
      <c r="B80" s="253" t="s">
        <v>119</v>
      </c>
      <c r="C80" s="253"/>
      <c r="D80" s="253"/>
      <c r="E80" s="253"/>
      <c r="F80" s="253"/>
      <c r="G80" s="253"/>
      <c r="H80" s="253"/>
      <c r="I80" s="254"/>
      <c r="J80" s="255"/>
    </row>
    <row r="81" spans="1:10" ht="20.100000000000001" customHeight="1" thickBot="1" x14ac:dyDescent="0.25">
      <c r="A81" s="78" t="s">
        <v>102</v>
      </c>
      <c r="B81" s="247" t="s">
        <v>106</v>
      </c>
      <c r="C81" s="247"/>
      <c r="D81" s="247"/>
      <c r="E81" s="247"/>
      <c r="F81" s="247"/>
      <c r="G81" s="247"/>
      <c r="H81" s="247"/>
      <c r="I81" s="248"/>
      <c r="J81" s="249"/>
    </row>
    <row r="82" spans="1:10" ht="15" x14ac:dyDescent="0.2">
      <c r="A82" s="55" t="s">
        <v>12</v>
      </c>
    </row>
  </sheetData>
  <mergeCells count="31">
    <mergeCell ref="C9:H9"/>
    <mergeCell ref="C11:N11"/>
    <mergeCell ref="C10:H10"/>
    <mergeCell ref="A1:H1"/>
    <mergeCell ref="B73:J73"/>
    <mergeCell ref="B72:J72"/>
    <mergeCell ref="A21:N21"/>
    <mergeCell ref="A32:N32"/>
    <mergeCell ref="A34:J34"/>
    <mergeCell ref="A2:H2"/>
    <mergeCell ref="C5:H5"/>
    <mergeCell ref="C8:H8"/>
    <mergeCell ref="C3:H3"/>
    <mergeCell ref="C4:H4"/>
    <mergeCell ref="C6:H6"/>
    <mergeCell ref="C7:H7"/>
    <mergeCell ref="A35:J35"/>
    <mergeCell ref="B77:J77"/>
    <mergeCell ref="B75:J75"/>
    <mergeCell ref="B70:J70"/>
    <mergeCell ref="A66:J66"/>
    <mergeCell ref="A68:J68"/>
    <mergeCell ref="J61:J65"/>
    <mergeCell ref="B74:J74"/>
    <mergeCell ref="B81:J81"/>
    <mergeCell ref="B79:J79"/>
    <mergeCell ref="B80:J80"/>
    <mergeCell ref="B69:J69"/>
    <mergeCell ref="B76:J76"/>
    <mergeCell ref="B78:J78"/>
    <mergeCell ref="B71:J71"/>
  </mergeCells>
  <phoneticPr fontId="2" type="noConversion"/>
  <printOptions horizontalCentered="1" verticalCentered="1" gridLines="1"/>
  <pageMargins left="0.45" right="0.45" top="0.5" bottom="0.5" header="0.3" footer="0.3"/>
  <pageSetup scale="35" orientation="portrait" r:id="rId1"/>
  <headerFooter alignWithMargins="0"/>
  <rowBreaks count="1" manualBreakCount="1">
    <brk id="34" max="16383" man="1"/>
  </rowBreaks>
  <colBreaks count="1" manualBreakCount="1">
    <brk id="7" max="8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Normal="100" workbookViewId="0">
      <selection sqref="A1:B1"/>
    </sheetView>
  </sheetViews>
  <sheetFormatPr defaultRowHeight="12.75" x14ac:dyDescent="0.2"/>
  <cols>
    <col min="1" max="1" width="66.140625" customWidth="1"/>
    <col min="2" max="2" width="16.7109375" customWidth="1"/>
    <col min="3" max="10" width="15.7109375" customWidth="1"/>
    <col min="11" max="11" width="18.28515625" customWidth="1"/>
    <col min="12" max="14" width="15.7109375" customWidth="1"/>
  </cols>
  <sheetData>
    <row r="1" spans="1:14" ht="20.100000000000001" customHeight="1" x14ac:dyDescent="0.2">
      <c r="A1" s="269" t="s">
        <v>171</v>
      </c>
      <c r="B1" s="270"/>
      <c r="C1" s="47"/>
      <c r="D1" s="47"/>
      <c r="E1" s="47"/>
      <c r="F1" s="47"/>
    </row>
    <row r="2" spans="1:14" ht="20.100000000000001" customHeight="1" x14ac:dyDescent="0.2">
      <c r="A2" s="67" t="s">
        <v>57</v>
      </c>
      <c r="B2" s="68">
        <f>'3rd IA Parameters'!B6</f>
        <v>1.0967</v>
      </c>
      <c r="C2" s="5" t="s">
        <v>12</v>
      </c>
      <c r="D2" s="6" t="s">
        <v>12</v>
      </c>
      <c r="E2" s="6" t="s">
        <v>12</v>
      </c>
    </row>
    <row r="3" spans="1:14" ht="20.100000000000001" customHeight="1" x14ac:dyDescent="0.2">
      <c r="A3" s="69" t="s">
        <v>58</v>
      </c>
      <c r="B3" s="70">
        <f>'3rd IA Parameters'!B7</f>
        <v>0.94699999999999995</v>
      </c>
      <c r="C3" s="5"/>
      <c r="D3" s="6"/>
      <c r="E3" s="6"/>
      <c r="L3" s="44" t="s">
        <v>12</v>
      </c>
      <c r="M3" s="44"/>
      <c r="N3" s="44"/>
    </row>
    <row r="4" spans="1:14" ht="30" customHeight="1" x14ac:dyDescent="0.2">
      <c r="A4" s="28" t="s">
        <v>78</v>
      </c>
      <c r="B4" s="21" t="s">
        <v>59</v>
      </c>
      <c r="C4" s="21" t="s">
        <v>17</v>
      </c>
      <c r="D4" s="21" t="s">
        <v>16</v>
      </c>
      <c r="E4" s="21" t="s">
        <v>14</v>
      </c>
      <c r="F4" s="21" t="s">
        <v>8</v>
      </c>
      <c r="G4" s="21" t="s">
        <v>44</v>
      </c>
      <c r="H4" s="21" t="s">
        <v>45</v>
      </c>
      <c r="I4" s="21" t="s">
        <v>7</v>
      </c>
      <c r="J4" s="21" t="s">
        <v>53</v>
      </c>
      <c r="K4" s="26" t="s">
        <v>75</v>
      </c>
      <c r="L4" s="49" t="s">
        <v>18</v>
      </c>
      <c r="M4" s="49" t="s">
        <v>3</v>
      </c>
      <c r="N4" s="49" t="s">
        <v>102</v>
      </c>
    </row>
    <row r="5" spans="1:14" ht="20.100000000000001" customHeight="1" x14ac:dyDescent="0.2">
      <c r="A5" s="29" t="s">
        <v>129</v>
      </c>
      <c r="B5" s="50">
        <f>'3rd IA Parameters'!B8</f>
        <v>153230.1</v>
      </c>
      <c r="C5" s="50">
        <v>56141</v>
      </c>
      <c r="D5" s="50">
        <v>30512</v>
      </c>
      <c r="E5" s="50">
        <v>12982</v>
      </c>
      <c r="F5" s="50">
        <v>9708</v>
      </c>
      <c r="G5" s="50">
        <v>4841.3999999999996</v>
      </c>
      <c r="H5" s="50">
        <v>2260.3000000000002</v>
      </c>
      <c r="I5" s="50">
        <v>6352</v>
      </c>
      <c r="J5" s="50">
        <v>12489</v>
      </c>
      <c r="K5" s="50">
        <v>4178.8</v>
      </c>
      <c r="L5" s="50">
        <v>21528</v>
      </c>
      <c r="M5" s="50">
        <v>6630</v>
      </c>
      <c r="N5" s="50">
        <v>7047</v>
      </c>
    </row>
    <row r="6" spans="1:14" ht="20.100000000000001" customHeight="1" x14ac:dyDescent="0.2">
      <c r="A6" s="29" t="s">
        <v>60</v>
      </c>
      <c r="B6" s="50">
        <f>'3rd IA Parameters'!B16</f>
        <v>12837.5</v>
      </c>
      <c r="C6" s="50">
        <f>'BRA Parameters'!C16</f>
        <v>0</v>
      </c>
      <c r="D6" s="50">
        <f>'BRA Parameters'!D16</f>
        <v>0</v>
      </c>
      <c r="E6" s="50">
        <f>'BRA Parameters'!E16</f>
        <v>0</v>
      </c>
      <c r="F6" s="50">
        <f>'BRA Parameters'!F16</f>
        <v>0</v>
      </c>
      <c r="G6" s="50">
        <f>'BRA Parameters'!G16</f>
        <v>0</v>
      </c>
      <c r="H6" s="50">
        <f>'BRA Parameters'!H16</f>
        <v>0</v>
      </c>
      <c r="I6" s="50">
        <f>'BRA Parameters'!I16</f>
        <v>0</v>
      </c>
      <c r="J6" s="50">
        <f>'BRA Parameters'!J16</f>
        <v>0</v>
      </c>
      <c r="K6" s="50">
        <f>'BRA Parameters'!K16</f>
        <v>0</v>
      </c>
      <c r="L6" s="50">
        <v>345.5</v>
      </c>
      <c r="M6" s="50">
        <f>'BRA Parameters'!M16</f>
        <v>0</v>
      </c>
      <c r="N6" s="50">
        <f>'BRA Parameters'!N16</f>
        <v>0</v>
      </c>
    </row>
    <row r="7" spans="1:14" ht="20.100000000000001" customHeight="1" x14ac:dyDescent="0.2">
      <c r="A7" s="29" t="s">
        <v>61</v>
      </c>
      <c r="B7" s="50">
        <f>B5-B6</f>
        <v>140392.6</v>
      </c>
      <c r="C7" s="50">
        <f t="shared" ref="C7:I7" si="0">C5-C6</f>
        <v>56141</v>
      </c>
      <c r="D7" s="50">
        <f t="shared" si="0"/>
        <v>30512</v>
      </c>
      <c r="E7" s="50">
        <f t="shared" si="0"/>
        <v>12982</v>
      </c>
      <c r="F7" s="50">
        <f t="shared" si="0"/>
        <v>9708</v>
      </c>
      <c r="G7" s="50">
        <f t="shared" si="0"/>
        <v>4841.3999999999996</v>
      </c>
      <c r="H7" s="50">
        <f t="shared" si="0"/>
        <v>2260.3000000000002</v>
      </c>
      <c r="I7" s="50">
        <f t="shared" si="0"/>
        <v>6352</v>
      </c>
      <c r="J7" s="50">
        <f>J5-J6</f>
        <v>12489</v>
      </c>
      <c r="K7" s="50">
        <f>K5-K6</f>
        <v>4178.8</v>
      </c>
      <c r="L7" s="50">
        <f>L5-L6</f>
        <v>21182.5</v>
      </c>
      <c r="M7" s="50">
        <f>M5-M6</f>
        <v>6630</v>
      </c>
      <c r="N7" s="50">
        <f>N5-N6</f>
        <v>7047</v>
      </c>
    </row>
    <row r="8" spans="1:14" ht="20.100000000000001" customHeight="1" x14ac:dyDescent="0.2">
      <c r="A8" s="29" t="s">
        <v>162</v>
      </c>
      <c r="B8" s="50">
        <v>0</v>
      </c>
      <c r="C8" s="50">
        <v>0</v>
      </c>
      <c r="D8" s="50">
        <v>0</v>
      </c>
      <c r="E8" s="50">
        <v>0</v>
      </c>
      <c r="F8" s="50">
        <v>0</v>
      </c>
      <c r="G8" s="50">
        <v>0</v>
      </c>
      <c r="H8" s="50">
        <v>0</v>
      </c>
      <c r="I8" s="50">
        <v>0</v>
      </c>
      <c r="J8" s="50">
        <v>0</v>
      </c>
      <c r="K8" s="50">
        <v>0</v>
      </c>
      <c r="L8" s="50">
        <v>0</v>
      </c>
      <c r="M8" s="50">
        <v>0</v>
      </c>
      <c r="N8" s="50">
        <v>0</v>
      </c>
    </row>
    <row r="9" spans="1:14" ht="20.100000000000001" customHeight="1" x14ac:dyDescent="0.2">
      <c r="A9" s="29" t="s">
        <v>43</v>
      </c>
      <c r="B9" s="50">
        <f>'3rd IA Parameters'!B19</f>
        <v>0</v>
      </c>
      <c r="C9" s="50">
        <f>'3rd IA Parameters'!C19</f>
        <v>0</v>
      </c>
      <c r="D9" s="50">
        <f>'3rd IA Parameters'!D19</f>
        <v>0</v>
      </c>
      <c r="E9" s="50">
        <f>'3rd IA Parameters'!E19</f>
        <v>0</v>
      </c>
      <c r="F9" s="50">
        <f>'3rd IA Parameters'!F19</f>
        <v>0</v>
      </c>
      <c r="G9" s="50">
        <f>'3rd IA Parameters'!G19</f>
        <v>0</v>
      </c>
      <c r="H9" s="50">
        <f>'3rd IA Parameters'!H19</f>
        <v>0</v>
      </c>
      <c r="I9" s="50">
        <f>'3rd IA Parameters'!I19</f>
        <v>0</v>
      </c>
      <c r="J9" s="50">
        <f>'3rd IA Parameters'!J19</f>
        <v>0</v>
      </c>
      <c r="K9" s="50">
        <f>'3rd IA Parameters'!K19</f>
        <v>0</v>
      </c>
      <c r="L9" s="50">
        <f>'3rd IA Parameters'!L19</f>
        <v>0</v>
      </c>
      <c r="M9" s="50">
        <f>'3rd IA Parameters'!M19</f>
        <v>0</v>
      </c>
      <c r="N9" s="50">
        <f>'3rd IA Parameters'!N19</f>
        <v>0</v>
      </c>
    </row>
    <row r="10" spans="1:14" ht="20.100000000000001" customHeight="1" x14ac:dyDescent="0.2">
      <c r="A10" s="30" t="s">
        <v>77</v>
      </c>
      <c r="B10" s="50"/>
      <c r="C10" s="50"/>
      <c r="D10" s="50"/>
      <c r="E10" s="50"/>
      <c r="F10" s="50"/>
      <c r="G10" s="50"/>
      <c r="H10" s="50"/>
      <c r="I10" s="50"/>
      <c r="J10" s="50"/>
      <c r="K10" s="50"/>
      <c r="L10" s="50"/>
      <c r="M10" s="50"/>
      <c r="N10" s="50"/>
    </row>
    <row r="11" spans="1:14" ht="20.100000000000001" customHeight="1" x14ac:dyDescent="0.2">
      <c r="A11" s="29" t="s">
        <v>62</v>
      </c>
      <c r="B11" s="51">
        <v>4.7E-2</v>
      </c>
      <c r="C11" s="51">
        <v>6.0999999999999999E-2</v>
      </c>
      <c r="D11" s="51">
        <v>6.0999999999999999E-2</v>
      </c>
      <c r="E11" s="51">
        <v>7.1999999999999995E-2</v>
      </c>
      <c r="F11" s="51">
        <v>6.9000000000000006E-2</v>
      </c>
      <c r="G11" s="51">
        <v>6.9000000000000006E-2</v>
      </c>
      <c r="H11" s="51">
        <v>5.6000000000000001E-2</v>
      </c>
      <c r="I11" s="51">
        <v>6.9000000000000006E-2</v>
      </c>
      <c r="J11" s="51">
        <v>5.1999999999999998E-2</v>
      </c>
      <c r="K11" s="51">
        <v>5.1999999999999998E-2</v>
      </c>
      <c r="L11" s="51">
        <v>5.6000000000000001E-2</v>
      </c>
      <c r="M11" s="51">
        <v>7.1999999999999995E-2</v>
      </c>
      <c r="N11" s="51">
        <v>5.1999999999999998E-2</v>
      </c>
    </row>
    <row r="12" spans="1:14" ht="20.100000000000001" customHeight="1" x14ac:dyDescent="0.2">
      <c r="A12" s="29" t="s">
        <v>63</v>
      </c>
      <c r="B12" s="50">
        <f>B7*B11*$B$2*$B$3</f>
        <v>6852.9868337697799</v>
      </c>
      <c r="C12" s="50">
        <f>C7*C11*$B$2*$B$3</f>
        <v>3556.7046411148999</v>
      </c>
      <c r="D12" s="50">
        <f t="shared" ref="D12:N12" si="1">D7*D11*$B$2*$B$3</f>
        <v>1933.0288382767999</v>
      </c>
      <c r="E12" s="50">
        <f t="shared" si="1"/>
        <v>970.7601133295999</v>
      </c>
      <c r="F12" s="50">
        <f t="shared" si="1"/>
        <v>695.6914739148001</v>
      </c>
      <c r="G12" s="50">
        <f t="shared" si="1"/>
        <v>346.94279993933998</v>
      </c>
      <c r="H12" s="50">
        <f t="shared" si="1"/>
        <v>131.45948740231998</v>
      </c>
      <c r="I12" s="50">
        <f t="shared" si="1"/>
        <v>455.19491577119999</v>
      </c>
      <c r="J12" s="50">
        <f t="shared" si="1"/>
        <v>674.47962015719997</v>
      </c>
      <c r="K12" s="50">
        <f t="shared" si="1"/>
        <v>225.67983319023998</v>
      </c>
      <c r="L12" s="50">
        <f t="shared" si="1"/>
        <v>1231.9783178780001</v>
      </c>
      <c r="M12" s="50">
        <f t="shared" si="1"/>
        <v>495.77411426399999</v>
      </c>
      <c r="N12" s="50">
        <f t="shared" si="1"/>
        <v>380.57954065559994</v>
      </c>
    </row>
    <row r="13" spans="1:14" ht="20.100000000000001" customHeight="1" x14ac:dyDescent="0.2">
      <c r="A13" s="62" t="s">
        <v>117</v>
      </c>
      <c r="B13" s="63">
        <f>B12-B9</f>
        <v>6852.9868337697799</v>
      </c>
      <c r="C13" s="63">
        <f>C12-C9</f>
        <v>3556.7046411148999</v>
      </c>
      <c r="D13" s="63">
        <f>D12-D9</f>
        <v>1933.0288382767999</v>
      </c>
      <c r="E13" s="63">
        <f t="shared" ref="E13:K13" si="2">E12-E9</f>
        <v>970.7601133295999</v>
      </c>
      <c r="F13" s="63">
        <f t="shared" si="2"/>
        <v>695.6914739148001</v>
      </c>
      <c r="G13" s="63">
        <f t="shared" si="2"/>
        <v>346.94279993933998</v>
      </c>
      <c r="H13" s="63">
        <f t="shared" si="2"/>
        <v>131.45948740231998</v>
      </c>
      <c r="I13" s="63">
        <f t="shared" si="2"/>
        <v>455.19491577119999</v>
      </c>
      <c r="J13" s="63">
        <f t="shared" si="2"/>
        <v>674.47962015719997</v>
      </c>
      <c r="K13" s="63">
        <f t="shared" si="2"/>
        <v>225.67983319023998</v>
      </c>
      <c r="L13" s="63">
        <f>L12-L9</f>
        <v>1231.9783178780001</v>
      </c>
      <c r="M13" s="63">
        <f>M12-M9</f>
        <v>495.77411426399999</v>
      </c>
      <c r="N13" s="63">
        <f>N12-N9</f>
        <v>380.57954065559994</v>
      </c>
    </row>
    <row r="14" spans="1:14" ht="20.100000000000001" customHeight="1" x14ac:dyDescent="0.2">
      <c r="A14" s="30" t="s">
        <v>113</v>
      </c>
      <c r="B14" s="48"/>
      <c r="C14" s="48"/>
      <c r="D14" s="48"/>
      <c r="E14" s="48"/>
      <c r="F14" s="48"/>
      <c r="G14" s="48"/>
      <c r="H14" s="48"/>
      <c r="I14" s="48"/>
      <c r="J14" s="48"/>
      <c r="K14" s="48"/>
      <c r="L14" s="48"/>
      <c r="M14" s="48"/>
      <c r="N14" s="48"/>
    </row>
    <row r="15" spans="1:14" ht="20.100000000000001" customHeight="1" x14ac:dyDescent="0.2">
      <c r="A15" s="29" t="s">
        <v>62</v>
      </c>
      <c r="B15" s="51">
        <v>8.3000000000000004E-2</v>
      </c>
      <c r="C15" s="99">
        <v>0.13900000000000001</v>
      </c>
      <c r="D15" s="99">
        <v>0.16300000000000001</v>
      </c>
      <c r="E15" s="99">
        <v>0.123</v>
      </c>
      <c r="F15" s="99">
        <v>0.154</v>
      </c>
      <c r="G15" s="99">
        <v>0.14399999999999999</v>
      </c>
      <c r="H15" s="99">
        <v>8.1000000000000003E-2</v>
      </c>
      <c r="I15" s="99">
        <v>0.151</v>
      </c>
      <c r="J15" s="51">
        <v>0.13500000000000001</v>
      </c>
      <c r="K15" s="51">
        <v>0.29899999999999999</v>
      </c>
      <c r="L15" s="51">
        <v>0.249</v>
      </c>
      <c r="M15" s="51">
        <v>0.108</v>
      </c>
      <c r="N15" s="51">
        <v>8.5999999999999993E-2</v>
      </c>
    </row>
    <row r="16" spans="1:14" ht="20.100000000000001" customHeight="1" x14ac:dyDescent="0.2">
      <c r="A16" s="29" t="s">
        <v>63</v>
      </c>
      <c r="B16" s="48">
        <f>(B7+B8)*B15*$B$2*$B$3</f>
        <v>12102.08313197642</v>
      </c>
      <c r="C16" s="48">
        <f t="shared" ref="C16:N16" si="3">(C7+C8)*C15*$B$2*$B$3</f>
        <v>8104.622051065101</v>
      </c>
      <c r="D16" s="48">
        <f t="shared" si="3"/>
        <v>5165.3065678543999</v>
      </c>
      <c r="E16" s="48">
        <f t="shared" si="3"/>
        <v>1658.3818602714</v>
      </c>
      <c r="F16" s="48">
        <f t="shared" si="3"/>
        <v>1552.7027098967997</v>
      </c>
      <c r="G16" s="48">
        <f t="shared" si="3"/>
        <v>724.05453900383986</v>
      </c>
      <c r="H16" s="48">
        <f t="shared" si="3"/>
        <v>190.14675856407001</v>
      </c>
      <c r="I16" s="48">
        <f t="shared" si="3"/>
        <v>996.15119248479982</v>
      </c>
      <c r="J16" s="48">
        <f t="shared" si="3"/>
        <v>1751.0528600235</v>
      </c>
      <c r="K16" s="48">
        <f t="shared" si="3"/>
        <v>1297.6590408438799</v>
      </c>
      <c r="L16" s="48">
        <f t="shared" si="3"/>
        <v>5477.9035919932503</v>
      </c>
      <c r="M16" s="48">
        <f t="shared" si="3"/>
        <v>743.66117139599999</v>
      </c>
      <c r="N16" s="48">
        <f t="shared" si="3"/>
        <v>629.42000954579999</v>
      </c>
    </row>
    <row r="17" spans="1:14" ht="20.100000000000001" customHeight="1" x14ac:dyDescent="0.2">
      <c r="A17" s="62" t="s">
        <v>118</v>
      </c>
      <c r="B17" s="64">
        <f>B16-B9</f>
        <v>12102.08313197642</v>
      </c>
      <c r="C17" s="64">
        <f t="shared" ref="C17:K17" si="4">C16-C9</f>
        <v>8104.622051065101</v>
      </c>
      <c r="D17" s="64">
        <f t="shared" si="4"/>
        <v>5165.3065678543999</v>
      </c>
      <c r="E17" s="64">
        <f t="shared" si="4"/>
        <v>1658.3818602714</v>
      </c>
      <c r="F17" s="64">
        <f t="shared" si="4"/>
        <v>1552.7027098967997</v>
      </c>
      <c r="G17" s="64">
        <f t="shared" si="4"/>
        <v>724.05453900383986</v>
      </c>
      <c r="H17" s="64">
        <f t="shared" si="4"/>
        <v>190.14675856407001</v>
      </c>
      <c r="I17" s="64">
        <f t="shared" si="4"/>
        <v>996.15119248479982</v>
      </c>
      <c r="J17" s="64">
        <f t="shared" si="4"/>
        <v>1751.0528600235</v>
      </c>
      <c r="K17" s="64">
        <f t="shared" si="4"/>
        <v>1297.6590408438799</v>
      </c>
      <c r="L17" s="64">
        <f>L16-L9</f>
        <v>5477.9035919932503</v>
      </c>
      <c r="M17" s="64">
        <f>M16-M9</f>
        <v>743.66117139599999</v>
      </c>
      <c r="N17" s="64">
        <f>N16-N9</f>
        <v>629.42000954579999</v>
      </c>
    </row>
    <row r="18" spans="1:14" ht="20.100000000000001" customHeight="1" x14ac:dyDescent="0.2">
      <c r="A18" s="30" t="s">
        <v>116</v>
      </c>
      <c r="B18" s="48"/>
      <c r="C18" s="48"/>
      <c r="D18" s="48"/>
      <c r="E18" s="52"/>
      <c r="F18" s="48"/>
      <c r="G18" s="48"/>
      <c r="H18" s="48"/>
      <c r="I18" s="52"/>
      <c r="J18" s="48"/>
      <c r="K18" s="48"/>
      <c r="L18" s="48"/>
      <c r="M18" s="48"/>
      <c r="N18" s="48"/>
    </row>
    <row r="19" spans="1:14" ht="20.100000000000001" customHeight="1" x14ac:dyDescent="0.2">
      <c r="A19" s="65" t="s">
        <v>117</v>
      </c>
      <c r="B19" s="66">
        <f>B11</f>
        <v>4.7E-2</v>
      </c>
      <c r="C19" s="66">
        <f t="shared" ref="C19:K19" si="5">C11</f>
        <v>6.0999999999999999E-2</v>
      </c>
      <c r="D19" s="66">
        <f t="shared" si="5"/>
        <v>6.0999999999999999E-2</v>
      </c>
      <c r="E19" s="66">
        <f t="shared" si="5"/>
        <v>7.1999999999999995E-2</v>
      </c>
      <c r="F19" s="66">
        <f>F11</f>
        <v>6.9000000000000006E-2</v>
      </c>
      <c r="G19" s="66">
        <f t="shared" si="5"/>
        <v>6.9000000000000006E-2</v>
      </c>
      <c r="H19" s="66">
        <f t="shared" si="5"/>
        <v>5.6000000000000001E-2</v>
      </c>
      <c r="I19" s="66">
        <f t="shared" si="5"/>
        <v>6.9000000000000006E-2</v>
      </c>
      <c r="J19" s="66">
        <f t="shared" si="5"/>
        <v>5.1999999999999998E-2</v>
      </c>
      <c r="K19" s="66">
        <f t="shared" si="5"/>
        <v>5.1999999999999998E-2</v>
      </c>
      <c r="L19" s="66">
        <f>L11</f>
        <v>5.6000000000000001E-2</v>
      </c>
      <c r="M19" s="66">
        <f>M11</f>
        <v>7.1999999999999995E-2</v>
      </c>
      <c r="N19" s="66">
        <f>N11</f>
        <v>5.1999999999999998E-2</v>
      </c>
    </row>
    <row r="20" spans="1:14" ht="20.100000000000001" customHeight="1" x14ac:dyDescent="0.2">
      <c r="A20" s="65" t="s">
        <v>118</v>
      </c>
      <c r="B20" s="66">
        <f>B15</f>
        <v>8.3000000000000004E-2</v>
      </c>
      <c r="C20" s="66">
        <f t="shared" ref="C20:K20" si="6">C15</f>
        <v>0.13900000000000001</v>
      </c>
      <c r="D20" s="66">
        <f t="shared" si="6"/>
        <v>0.16300000000000001</v>
      </c>
      <c r="E20" s="66">
        <f t="shared" si="6"/>
        <v>0.123</v>
      </c>
      <c r="F20" s="66">
        <f>F15</f>
        <v>0.154</v>
      </c>
      <c r="G20" s="66">
        <f t="shared" si="6"/>
        <v>0.14399999999999999</v>
      </c>
      <c r="H20" s="66">
        <f t="shared" si="6"/>
        <v>8.1000000000000003E-2</v>
      </c>
      <c r="I20" s="66">
        <f t="shared" si="6"/>
        <v>0.151</v>
      </c>
      <c r="J20" s="66">
        <f t="shared" si="6"/>
        <v>0.13500000000000001</v>
      </c>
      <c r="K20" s="66">
        <f t="shared" si="6"/>
        <v>0.29899999999999999</v>
      </c>
      <c r="L20" s="66">
        <f>L15</f>
        <v>0.249</v>
      </c>
      <c r="M20" s="66">
        <f>M15</f>
        <v>0.108</v>
      </c>
      <c r="N20" s="66">
        <f>N15</f>
        <v>8.5999999999999993E-2</v>
      </c>
    </row>
    <row r="21" spans="1:14" ht="15" x14ac:dyDescent="0.2">
      <c r="A21" s="33" t="s">
        <v>12</v>
      </c>
      <c r="B21" s="8"/>
      <c r="C21" s="8"/>
      <c r="D21" s="8"/>
      <c r="E21" s="8"/>
      <c r="F21" s="8"/>
      <c r="G21" s="8"/>
      <c r="H21" s="8"/>
      <c r="I21" s="8"/>
    </row>
    <row r="22" spans="1:14" x14ac:dyDescent="0.2">
      <c r="B22" s="7" t="s">
        <v>12</v>
      </c>
    </row>
    <row r="23" spans="1:14" ht="15.75" x14ac:dyDescent="0.2">
      <c r="A23" s="113" t="s">
        <v>179</v>
      </c>
      <c r="B23" s="110" t="s">
        <v>59</v>
      </c>
      <c r="C23" s="110" t="s">
        <v>17</v>
      </c>
      <c r="D23" s="110" t="s">
        <v>16</v>
      </c>
      <c r="E23" s="110" t="s">
        <v>14</v>
      </c>
      <c r="F23" s="110" t="s">
        <v>8</v>
      </c>
      <c r="G23" s="110" t="s">
        <v>44</v>
      </c>
      <c r="H23" s="110" t="s">
        <v>45</v>
      </c>
      <c r="I23" s="110" t="s">
        <v>7</v>
      </c>
      <c r="J23" s="110" t="s">
        <v>53</v>
      </c>
      <c r="K23" s="26" t="s">
        <v>75</v>
      </c>
      <c r="L23" s="49" t="s">
        <v>18</v>
      </c>
      <c r="M23" s="49" t="s">
        <v>3</v>
      </c>
      <c r="N23" s="49" t="s">
        <v>102</v>
      </c>
    </row>
    <row r="24" spans="1:14" ht="15" x14ac:dyDescent="0.2">
      <c r="A24" s="111" t="s">
        <v>130</v>
      </c>
      <c r="B24" s="129">
        <v>2389.2999999999997</v>
      </c>
      <c r="C24" s="129">
        <v>884.5</v>
      </c>
      <c r="D24" s="129">
        <v>463.3</v>
      </c>
      <c r="E24" s="129">
        <v>133</v>
      </c>
      <c r="F24" s="129">
        <v>175.89999999999998</v>
      </c>
      <c r="G24" s="129">
        <v>65.599999999999994</v>
      </c>
      <c r="H24" s="129">
        <v>22.400000000000002</v>
      </c>
      <c r="I24" s="129">
        <v>86.09999999999998</v>
      </c>
      <c r="J24" s="129">
        <v>245.79999999999998</v>
      </c>
      <c r="K24" s="129">
        <v>37.700000000000003</v>
      </c>
      <c r="L24" s="129">
        <v>264.69999999999993</v>
      </c>
      <c r="M24" s="129">
        <v>65.200000000000017</v>
      </c>
      <c r="N24" s="129">
        <v>124.10000000000002</v>
      </c>
    </row>
    <row r="25" spans="1:14" ht="15" x14ac:dyDescent="0.2">
      <c r="A25" s="112" t="s">
        <v>131</v>
      </c>
      <c r="B25" s="128">
        <v>5997.2000000000007</v>
      </c>
      <c r="C25" s="128">
        <v>2447.4000000000005</v>
      </c>
      <c r="D25" s="128">
        <v>797.2</v>
      </c>
      <c r="E25" s="128">
        <v>1162.8999999999999</v>
      </c>
      <c r="F25" s="128">
        <v>145.20000000000002</v>
      </c>
      <c r="G25" s="128">
        <v>61.1</v>
      </c>
      <c r="H25" s="128">
        <v>47.599999999999994</v>
      </c>
      <c r="I25" s="128">
        <v>484.2</v>
      </c>
      <c r="J25" s="128">
        <v>478.5999999999998</v>
      </c>
      <c r="K25" s="128">
        <v>121.69999999999999</v>
      </c>
      <c r="L25" s="128">
        <v>970.60000000000036</v>
      </c>
      <c r="M25" s="128">
        <v>678.7</v>
      </c>
      <c r="N25" s="128">
        <v>183.3</v>
      </c>
    </row>
    <row r="26" spans="1:14" ht="15" x14ac:dyDescent="0.2">
      <c r="A26" s="109" t="s">
        <v>151</v>
      </c>
      <c r="B26" s="128">
        <v>162291.5</v>
      </c>
      <c r="C26" s="128">
        <v>64156.799999999996</v>
      </c>
      <c r="D26" s="128">
        <v>30382.699999999997</v>
      </c>
      <c r="E26" s="128">
        <v>10373.999999999998</v>
      </c>
      <c r="F26" s="128">
        <v>5577.7</v>
      </c>
      <c r="G26" s="128">
        <v>3583.4</v>
      </c>
      <c r="H26" s="128">
        <v>1557.9999999999993</v>
      </c>
      <c r="I26" s="128">
        <v>5459.7999999999993</v>
      </c>
      <c r="J26" s="128">
        <v>9970.7000000000007</v>
      </c>
      <c r="K26" s="128">
        <v>1967.1000000000001</v>
      </c>
      <c r="L26" s="128">
        <v>25026.100000000006</v>
      </c>
      <c r="M26" s="128">
        <v>3084.9</v>
      </c>
      <c r="N26" s="128">
        <v>9682.9999999999964</v>
      </c>
    </row>
    <row r="27" spans="1:14" ht="15" x14ac:dyDescent="0.2">
      <c r="A27" s="109" t="s">
        <v>155</v>
      </c>
      <c r="B27" s="114">
        <f>B24+B25</f>
        <v>8386.5</v>
      </c>
      <c r="C27" s="114">
        <f t="shared" ref="C27:M27" si="7">C24+C25</f>
        <v>3331.9000000000005</v>
      </c>
      <c r="D27" s="114">
        <f t="shared" si="7"/>
        <v>1260.5</v>
      </c>
      <c r="E27" s="114">
        <f t="shared" si="7"/>
        <v>1295.8999999999999</v>
      </c>
      <c r="F27" s="114">
        <f t="shared" si="7"/>
        <v>321.10000000000002</v>
      </c>
      <c r="G27" s="114">
        <f t="shared" si="7"/>
        <v>126.69999999999999</v>
      </c>
      <c r="H27" s="114">
        <f t="shared" si="7"/>
        <v>70</v>
      </c>
      <c r="I27" s="114">
        <f t="shared" si="7"/>
        <v>570.29999999999995</v>
      </c>
      <c r="J27" s="114">
        <f t="shared" si="7"/>
        <v>724.39999999999975</v>
      </c>
      <c r="K27" s="114">
        <f t="shared" si="7"/>
        <v>159.39999999999998</v>
      </c>
      <c r="L27" s="114">
        <f t="shared" si="7"/>
        <v>1235.3000000000002</v>
      </c>
      <c r="M27" s="114">
        <f t="shared" si="7"/>
        <v>743.90000000000009</v>
      </c>
      <c r="N27" s="114">
        <f>N24+N25</f>
        <v>307.40000000000003</v>
      </c>
    </row>
    <row r="28" spans="1:14" ht="15" x14ac:dyDescent="0.2">
      <c r="A28" s="109" t="s">
        <v>133</v>
      </c>
      <c r="B28" s="114">
        <f>B26+B27</f>
        <v>170678</v>
      </c>
      <c r="C28" s="114">
        <f t="shared" ref="C28:N28" si="8">C26+C27</f>
        <v>67488.7</v>
      </c>
      <c r="D28" s="114">
        <f t="shared" si="8"/>
        <v>31643.199999999997</v>
      </c>
      <c r="E28" s="114">
        <f t="shared" si="8"/>
        <v>11669.899999999998</v>
      </c>
      <c r="F28" s="114">
        <f t="shared" si="8"/>
        <v>5898.8</v>
      </c>
      <c r="G28" s="114">
        <f t="shared" si="8"/>
        <v>3710.1</v>
      </c>
      <c r="H28" s="114">
        <f t="shared" si="8"/>
        <v>1627.9999999999993</v>
      </c>
      <c r="I28" s="114">
        <f t="shared" si="8"/>
        <v>6030.0999999999995</v>
      </c>
      <c r="J28" s="114">
        <f t="shared" si="8"/>
        <v>10695.1</v>
      </c>
      <c r="K28" s="114">
        <f t="shared" si="8"/>
        <v>2126.5</v>
      </c>
      <c r="L28" s="114">
        <f t="shared" si="8"/>
        <v>26261.400000000005</v>
      </c>
      <c r="M28" s="114">
        <f t="shared" si="8"/>
        <v>3828.8</v>
      </c>
      <c r="N28" s="114">
        <f t="shared" si="8"/>
        <v>9990.399999999996</v>
      </c>
    </row>
    <row r="29" spans="1:14" ht="15" x14ac:dyDescent="0.2">
      <c r="A29" s="130" t="s">
        <v>170</v>
      </c>
    </row>
  </sheetData>
  <mergeCells count="1">
    <mergeCell ref="A1:B1"/>
  </mergeCells>
  <printOptions horizontalCentered="1" verticalCentered="1"/>
  <pageMargins left="0.45" right="0.45" top="0.5" bottom="0.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workbookViewId="0"/>
  </sheetViews>
  <sheetFormatPr defaultRowHeight="12.75" x14ac:dyDescent="0.2"/>
  <cols>
    <col min="1" max="1" width="58.140625" customWidth="1"/>
    <col min="2" max="14" width="15.7109375" customWidth="1"/>
  </cols>
  <sheetData>
    <row r="1" spans="1:14" ht="20.100000000000001" customHeight="1" x14ac:dyDescent="0.2">
      <c r="A1" s="47" t="s">
        <v>172</v>
      </c>
      <c r="B1" s="47"/>
      <c r="C1" s="47"/>
      <c r="D1" s="47"/>
      <c r="E1" s="47"/>
      <c r="F1" s="47"/>
      <c r="G1" s="47"/>
      <c r="H1" s="47"/>
      <c r="I1" s="47"/>
      <c r="J1" s="47"/>
      <c r="K1" s="47"/>
      <c r="L1" s="47"/>
      <c r="M1" s="47"/>
      <c r="N1" s="47"/>
    </row>
    <row r="2" spans="1:14" ht="15" customHeight="1" x14ac:dyDescent="0.2">
      <c r="A2" s="47"/>
      <c r="B2" s="47"/>
      <c r="C2" s="47"/>
      <c r="D2" s="47"/>
      <c r="E2" s="47"/>
      <c r="F2" s="47"/>
      <c r="G2" s="47"/>
      <c r="H2" s="47"/>
      <c r="I2" s="47"/>
      <c r="J2" s="47"/>
      <c r="K2" s="47"/>
      <c r="L2" s="47"/>
      <c r="M2" s="47"/>
      <c r="N2" s="47"/>
    </row>
    <row r="3" spans="1:14" ht="20.100000000000001" customHeight="1" x14ac:dyDescent="0.2">
      <c r="A3" s="206"/>
      <c r="B3" s="212" t="s">
        <v>12</v>
      </c>
      <c r="C3" s="271" t="s">
        <v>54</v>
      </c>
      <c r="D3" s="271"/>
      <c r="E3" s="271"/>
      <c r="F3" s="271"/>
      <c r="G3" s="271"/>
      <c r="H3" s="271"/>
      <c r="I3" s="271"/>
      <c r="J3" s="271"/>
      <c r="K3" s="271"/>
      <c r="L3" s="271"/>
      <c r="M3" s="271"/>
      <c r="N3" s="271"/>
    </row>
    <row r="4" spans="1:14" ht="20.100000000000001" customHeight="1" x14ac:dyDescent="0.2">
      <c r="A4" s="131" t="s">
        <v>12</v>
      </c>
      <c r="B4" s="21" t="s">
        <v>13</v>
      </c>
      <c r="C4" s="21" t="s">
        <v>17</v>
      </c>
      <c r="D4" s="21" t="s">
        <v>16</v>
      </c>
      <c r="E4" s="21" t="s">
        <v>14</v>
      </c>
      <c r="F4" s="21" t="s">
        <v>8</v>
      </c>
      <c r="G4" s="21" t="s">
        <v>44</v>
      </c>
      <c r="H4" s="21" t="s">
        <v>45</v>
      </c>
      <c r="I4" s="21" t="s">
        <v>7</v>
      </c>
      <c r="J4" s="21" t="s">
        <v>53</v>
      </c>
      <c r="K4" s="21" t="s">
        <v>124</v>
      </c>
      <c r="L4" s="21" t="s">
        <v>18</v>
      </c>
      <c r="M4" s="21" t="s">
        <v>3</v>
      </c>
      <c r="N4" s="21" t="s">
        <v>102</v>
      </c>
    </row>
    <row r="5" spans="1:14" ht="20.100000000000001" customHeight="1" x14ac:dyDescent="0.2">
      <c r="A5" s="16" t="s">
        <v>49</v>
      </c>
      <c r="B5" s="133">
        <f>'3rd IA Parameters'!B25</f>
        <v>352.47338401020619</v>
      </c>
      <c r="C5" s="134" t="s">
        <v>12</v>
      </c>
      <c r="D5" s="134" t="s">
        <v>12</v>
      </c>
      <c r="E5" s="134" t="s">
        <v>12</v>
      </c>
      <c r="F5" s="134" t="s">
        <v>12</v>
      </c>
      <c r="G5" s="134" t="s">
        <v>12</v>
      </c>
      <c r="H5" s="134" t="s">
        <v>12</v>
      </c>
      <c r="I5" s="134" t="s">
        <v>12</v>
      </c>
      <c r="J5" s="134" t="s">
        <v>12</v>
      </c>
      <c r="K5" s="134" t="s">
        <v>12</v>
      </c>
      <c r="L5" s="134" t="s">
        <v>12</v>
      </c>
      <c r="M5" s="134" t="s">
        <v>12</v>
      </c>
      <c r="N5" s="134" t="s">
        <v>12</v>
      </c>
    </row>
    <row r="6" spans="1:14" ht="20.100000000000001" customHeight="1" x14ac:dyDescent="0.2">
      <c r="A6" s="21" t="s">
        <v>130</v>
      </c>
      <c r="B6" s="133"/>
      <c r="C6" s="133"/>
      <c r="D6" s="133"/>
      <c r="E6" s="133"/>
      <c r="F6" s="133"/>
      <c r="G6" s="133"/>
      <c r="H6" s="133"/>
      <c r="I6" s="133"/>
      <c r="J6" s="133"/>
      <c r="K6" s="133"/>
      <c r="L6" s="133"/>
      <c r="M6" s="133"/>
      <c r="N6" s="133"/>
    </row>
    <row r="7" spans="1:14" ht="20.100000000000001" customHeight="1" x14ac:dyDescent="0.2">
      <c r="A7" s="16" t="s">
        <v>152</v>
      </c>
      <c r="B7" s="134">
        <v>106.02</v>
      </c>
      <c r="C7" s="134">
        <v>106.02</v>
      </c>
      <c r="D7" s="134">
        <v>106.02</v>
      </c>
      <c r="E7" s="134">
        <v>106.02</v>
      </c>
      <c r="F7" s="134">
        <v>201.02</v>
      </c>
      <c r="G7" s="134">
        <v>201.02</v>
      </c>
      <c r="H7" s="134">
        <v>106.02</v>
      </c>
      <c r="I7" s="134">
        <v>106.02</v>
      </c>
      <c r="J7" s="134">
        <v>106.02</v>
      </c>
      <c r="K7" s="134">
        <v>106.02</v>
      </c>
      <c r="L7" s="134">
        <v>106.02</v>
      </c>
      <c r="M7" s="134">
        <v>106.02</v>
      </c>
      <c r="N7" s="134">
        <v>40</v>
      </c>
    </row>
    <row r="8" spans="1:14" ht="20.100000000000001" customHeight="1" x14ac:dyDescent="0.2">
      <c r="A8" s="16" t="s">
        <v>173</v>
      </c>
      <c r="B8" s="135">
        <f>MAX(0.3*$B$5,0.24*B7,20)*365</f>
        <v>38595.835549117575</v>
      </c>
      <c r="C8" s="135">
        <f t="shared" ref="C8:N8" si="0">MAX(0.3*$B$5,0.24*C7,20)*365</f>
        <v>38595.835549117575</v>
      </c>
      <c r="D8" s="135">
        <f t="shared" si="0"/>
        <v>38595.835549117575</v>
      </c>
      <c r="E8" s="135">
        <f t="shared" si="0"/>
        <v>38595.835549117575</v>
      </c>
      <c r="F8" s="135">
        <f t="shared" si="0"/>
        <v>38595.835549117575</v>
      </c>
      <c r="G8" s="135">
        <f t="shared" si="0"/>
        <v>38595.835549117575</v>
      </c>
      <c r="H8" s="135">
        <f t="shared" si="0"/>
        <v>38595.835549117575</v>
      </c>
      <c r="I8" s="135">
        <f t="shared" si="0"/>
        <v>38595.835549117575</v>
      </c>
      <c r="J8" s="135">
        <f t="shared" si="0"/>
        <v>38595.835549117575</v>
      </c>
      <c r="K8" s="135">
        <f>MAX(0.3*$B$5,0.24*K7,20)*365</f>
        <v>38595.835549117575</v>
      </c>
      <c r="L8" s="135">
        <f>MAX(0.3*$B$5,0.24*L7,20)*365</f>
        <v>38595.835549117575</v>
      </c>
      <c r="M8" s="135">
        <f>MAX(0.3*$B$5,0.24*M7,20)*365</f>
        <v>38595.835549117575</v>
      </c>
      <c r="N8" s="135">
        <f t="shared" si="0"/>
        <v>38595.835549117575</v>
      </c>
    </row>
    <row r="9" spans="1:14" ht="20.100000000000001" customHeight="1" x14ac:dyDescent="0.2">
      <c r="A9" s="21" t="s">
        <v>131</v>
      </c>
      <c r="B9" s="136"/>
      <c r="C9" s="136"/>
      <c r="D9" s="136"/>
      <c r="E9" s="136"/>
      <c r="F9" s="136"/>
      <c r="G9" s="136"/>
      <c r="H9" s="136"/>
      <c r="I9" s="136"/>
      <c r="J9" s="136"/>
      <c r="K9" s="136"/>
      <c r="L9" s="136"/>
      <c r="M9" s="136"/>
      <c r="N9" s="136"/>
    </row>
    <row r="10" spans="1:14" ht="20.100000000000001" customHeight="1" x14ac:dyDescent="0.2">
      <c r="A10" s="16" t="s">
        <v>153</v>
      </c>
      <c r="B10" s="134">
        <v>120</v>
      </c>
      <c r="C10" s="134">
        <v>120</v>
      </c>
      <c r="D10" s="134">
        <v>120</v>
      </c>
      <c r="E10" s="134">
        <v>120</v>
      </c>
      <c r="F10" s="134">
        <v>215</v>
      </c>
      <c r="G10" s="134">
        <v>215</v>
      </c>
      <c r="H10" s="134">
        <v>120</v>
      </c>
      <c r="I10" s="134">
        <v>120</v>
      </c>
      <c r="J10" s="134">
        <v>120</v>
      </c>
      <c r="K10" s="134">
        <v>120</v>
      </c>
      <c r="L10" s="134">
        <v>120</v>
      </c>
      <c r="M10" s="134">
        <v>120</v>
      </c>
      <c r="N10" s="134">
        <v>53.98</v>
      </c>
    </row>
    <row r="11" spans="1:14" ht="20.100000000000001" customHeight="1" x14ac:dyDescent="0.2">
      <c r="A11" s="16" t="s">
        <v>174</v>
      </c>
      <c r="B11" s="135">
        <f>MAX(0.3*$B$5,0.24*B10,20)*365</f>
        <v>38595.835549117575</v>
      </c>
      <c r="C11" s="135">
        <f t="shared" ref="C11:N11" si="1">MAX(0.3*$B$5,0.24*C10,20)*365</f>
        <v>38595.835549117575</v>
      </c>
      <c r="D11" s="135">
        <f t="shared" si="1"/>
        <v>38595.835549117575</v>
      </c>
      <c r="E11" s="135">
        <f t="shared" si="1"/>
        <v>38595.835549117575</v>
      </c>
      <c r="F11" s="135">
        <f t="shared" si="1"/>
        <v>38595.835549117575</v>
      </c>
      <c r="G11" s="135">
        <f t="shared" si="1"/>
        <v>38595.835549117575</v>
      </c>
      <c r="H11" s="135">
        <f t="shared" si="1"/>
        <v>38595.835549117575</v>
      </c>
      <c r="I11" s="135">
        <f t="shared" si="1"/>
        <v>38595.835549117575</v>
      </c>
      <c r="J11" s="135">
        <f t="shared" si="1"/>
        <v>38595.835549117575</v>
      </c>
      <c r="K11" s="135">
        <f>MAX(0.3*$B$5,0.24*K10,20)*365</f>
        <v>38595.835549117575</v>
      </c>
      <c r="L11" s="135">
        <f>MAX(0.3*$B$5,0.24*L10,20)*365</f>
        <v>38595.835549117575</v>
      </c>
      <c r="M11" s="135">
        <f>MAX(0.3*$B$5,0.24*M10,20)*365</f>
        <v>38595.835549117575</v>
      </c>
      <c r="N11" s="135">
        <f t="shared" si="1"/>
        <v>38595.835549117575</v>
      </c>
    </row>
    <row r="12" spans="1:14" ht="20.100000000000001" customHeight="1" x14ac:dyDescent="0.2">
      <c r="A12" s="21" t="s">
        <v>132</v>
      </c>
      <c r="B12" s="136"/>
      <c r="C12" s="136"/>
      <c r="D12" s="136"/>
      <c r="E12" s="136"/>
      <c r="F12" s="136"/>
      <c r="G12" s="136"/>
      <c r="H12" s="136"/>
      <c r="I12" s="136"/>
      <c r="J12" s="136"/>
      <c r="K12" s="136"/>
      <c r="L12" s="136"/>
      <c r="M12" s="136"/>
      <c r="N12" s="136"/>
    </row>
    <row r="13" spans="1:14" ht="20.100000000000001" customHeight="1" x14ac:dyDescent="0.2">
      <c r="A13" s="16" t="s">
        <v>154</v>
      </c>
      <c r="B13" s="134">
        <v>120</v>
      </c>
      <c r="C13" s="134">
        <v>120</v>
      </c>
      <c r="D13" s="134">
        <v>120</v>
      </c>
      <c r="E13" s="134">
        <v>120</v>
      </c>
      <c r="F13" s="134">
        <v>215</v>
      </c>
      <c r="G13" s="134">
        <v>215</v>
      </c>
      <c r="H13" s="134">
        <v>120</v>
      </c>
      <c r="I13" s="134">
        <v>120</v>
      </c>
      <c r="J13" s="134">
        <v>120</v>
      </c>
      <c r="K13" s="134">
        <v>120</v>
      </c>
      <c r="L13" s="134">
        <v>120</v>
      </c>
      <c r="M13" s="134">
        <v>120</v>
      </c>
      <c r="N13" s="134">
        <v>120</v>
      </c>
    </row>
    <row r="14" spans="1:14" ht="20.100000000000001" customHeight="1" x14ac:dyDescent="0.2">
      <c r="A14" s="16" t="s">
        <v>175</v>
      </c>
      <c r="B14" s="135">
        <f t="shared" ref="B14:N14" si="2">MAX(0.3*$B$5,0.24*B13,20)*365</f>
        <v>38595.835549117575</v>
      </c>
      <c r="C14" s="135">
        <f t="shared" si="2"/>
        <v>38595.835549117575</v>
      </c>
      <c r="D14" s="135">
        <f t="shared" si="2"/>
        <v>38595.835549117575</v>
      </c>
      <c r="E14" s="135">
        <f t="shared" si="2"/>
        <v>38595.835549117575</v>
      </c>
      <c r="F14" s="135">
        <f t="shared" si="2"/>
        <v>38595.835549117575</v>
      </c>
      <c r="G14" s="135">
        <f t="shared" si="2"/>
        <v>38595.835549117575</v>
      </c>
      <c r="H14" s="135">
        <f t="shared" si="2"/>
        <v>38595.835549117575</v>
      </c>
      <c r="I14" s="135">
        <f t="shared" si="2"/>
        <v>38595.835549117575</v>
      </c>
      <c r="J14" s="135">
        <f t="shared" si="2"/>
        <v>38595.835549117575</v>
      </c>
      <c r="K14" s="135">
        <f>MAX(0.3*$B$5,0.24*K13,20)*365</f>
        <v>38595.835549117575</v>
      </c>
      <c r="L14" s="135">
        <f>MAX(0.3*$B$5,0.24*L13,20)*365</f>
        <v>38595.835549117575</v>
      </c>
      <c r="M14" s="135">
        <f>MAX(0.3*$B$5,0.24*M13,20)*365</f>
        <v>38595.835549117575</v>
      </c>
      <c r="N14" s="135">
        <f t="shared" si="2"/>
        <v>38595.835549117575</v>
      </c>
    </row>
    <row r="18" spans="1:14" ht="20.100000000000001" customHeight="1" x14ac:dyDescent="0.25">
      <c r="A18" s="272" t="s">
        <v>210</v>
      </c>
      <c r="B18" s="272"/>
      <c r="C18" s="272"/>
      <c r="D18" s="272"/>
      <c r="E18" s="272"/>
      <c r="F18" s="272"/>
      <c r="G18" s="272"/>
      <c r="H18" s="272"/>
      <c r="I18" s="272"/>
      <c r="J18" s="132"/>
      <c r="K18" s="132"/>
      <c r="L18" s="132"/>
      <c r="M18" s="132"/>
    </row>
    <row r="19" spans="1:14" ht="20.100000000000001" customHeight="1" x14ac:dyDescent="0.25">
      <c r="A19" s="219"/>
      <c r="B19" s="219"/>
      <c r="C19" s="219"/>
      <c r="D19" s="219"/>
      <c r="E19" s="219"/>
      <c r="F19" s="219"/>
      <c r="G19" s="219"/>
      <c r="H19" s="219"/>
      <c r="I19" s="219"/>
      <c r="J19" s="219"/>
      <c r="K19" s="219"/>
      <c r="L19" s="219"/>
      <c r="M19" s="219"/>
    </row>
    <row r="20" spans="1:14" ht="20.100000000000001" customHeight="1" x14ac:dyDescent="0.2">
      <c r="A20" s="216"/>
      <c r="B20" s="212" t="s">
        <v>12</v>
      </c>
      <c r="C20" s="271" t="s">
        <v>54</v>
      </c>
      <c r="D20" s="271"/>
      <c r="E20" s="271"/>
      <c r="F20" s="271"/>
      <c r="G20" s="271"/>
      <c r="H20" s="271"/>
      <c r="I20" s="271"/>
      <c r="J20" s="271"/>
      <c r="K20" s="271"/>
      <c r="L20" s="271"/>
      <c r="M20" s="271"/>
      <c r="N20" s="271"/>
    </row>
    <row r="21" spans="1:14" ht="20.100000000000001" customHeight="1" x14ac:dyDescent="0.2">
      <c r="A21" s="131" t="s">
        <v>12</v>
      </c>
      <c r="B21" s="217" t="s">
        <v>13</v>
      </c>
      <c r="C21" s="217" t="s">
        <v>17</v>
      </c>
      <c r="D21" s="217" t="s">
        <v>16</v>
      </c>
      <c r="E21" s="217" t="s">
        <v>14</v>
      </c>
      <c r="F21" s="217" t="s">
        <v>8</v>
      </c>
      <c r="G21" s="217" t="s">
        <v>44</v>
      </c>
      <c r="H21" s="217" t="s">
        <v>45</v>
      </c>
      <c r="I21" s="217" t="s">
        <v>7</v>
      </c>
      <c r="J21" s="217" t="s">
        <v>53</v>
      </c>
      <c r="K21" s="217" t="s">
        <v>124</v>
      </c>
      <c r="L21" s="217" t="s">
        <v>18</v>
      </c>
      <c r="M21" s="217" t="s">
        <v>3</v>
      </c>
      <c r="N21" s="217" t="s">
        <v>102</v>
      </c>
    </row>
    <row r="22" spans="1:14" ht="20.100000000000001" customHeight="1" x14ac:dyDescent="0.2">
      <c r="A22" s="61" t="s">
        <v>49</v>
      </c>
      <c r="B22" s="133">
        <f>B5</f>
        <v>352.47338401020619</v>
      </c>
      <c r="C22" s="134" t="s">
        <v>12</v>
      </c>
      <c r="D22" s="134" t="s">
        <v>12</v>
      </c>
      <c r="E22" s="134" t="s">
        <v>12</v>
      </c>
      <c r="F22" s="134" t="s">
        <v>12</v>
      </c>
      <c r="G22" s="134" t="s">
        <v>12</v>
      </c>
      <c r="H22" s="134" t="s">
        <v>12</v>
      </c>
      <c r="I22" s="134" t="s">
        <v>12</v>
      </c>
      <c r="J22" s="134" t="s">
        <v>12</v>
      </c>
      <c r="K22" s="134" t="s">
        <v>12</v>
      </c>
      <c r="L22" s="134" t="s">
        <v>12</v>
      </c>
      <c r="M22" s="134" t="s">
        <v>12</v>
      </c>
      <c r="N22" s="134" t="s">
        <v>12</v>
      </c>
    </row>
    <row r="23" spans="1:14" ht="20.100000000000001" customHeight="1" x14ac:dyDescent="0.2">
      <c r="A23" s="218" t="s">
        <v>130</v>
      </c>
      <c r="B23" s="133"/>
      <c r="C23" s="133"/>
      <c r="D23" s="133"/>
      <c r="E23" s="133"/>
      <c r="F23" s="133"/>
      <c r="G23" s="133"/>
      <c r="H23" s="133"/>
      <c r="I23" s="133"/>
      <c r="J23" s="133"/>
      <c r="K23" s="133"/>
      <c r="L23" s="133"/>
      <c r="M23" s="133"/>
      <c r="N23" s="133"/>
    </row>
    <row r="24" spans="1:14" ht="20.100000000000001" customHeight="1" x14ac:dyDescent="0.2">
      <c r="A24" s="61" t="s">
        <v>204</v>
      </c>
      <c r="B24" s="134">
        <v>36.49</v>
      </c>
      <c r="C24" s="134">
        <v>36.49</v>
      </c>
      <c r="D24" s="134">
        <v>36.49</v>
      </c>
      <c r="E24" s="134">
        <v>36.49</v>
      </c>
      <c r="F24" s="134">
        <v>115.76</v>
      </c>
      <c r="G24" s="134">
        <v>115.76</v>
      </c>
      <c r="H24" s="134">
        <v>36.49</v>
      </c>
      <c r="I24" s="134">
        <v>36.49</v>
      </c>
      <c r="J24" s="134">
        <v>36.49</v>
      </c>
      <c r="K24" s="134">
        <v>36.49</v>
      </c>
      <c r="L24" s="134">
        <v>36.49</v>
      </c>
      <c r="M24" s="134">
        <v>36.49</v>
      </c>
      <c r="N24" s="134">
        <v>36.49</v>
      </c>
    </row>
    <row r="25" spans="1:14" ht="20.100000000000001" customHeight="1" x14ac:dyDescent="0.2">
      <c r="A25" s="61" t="s">
        <v>205</v>
      </c>
      <c r="B25" s="221">
        <f>MAX(0.2*B24,20)*365</f>
        <v>7300</v>
      </c>
      <c r="C25" s="221">
        <f t="shared" ref="C25:N25" si="3">MAX(0.2*C24,20)*365</f>
        <v>7300</v>
      </c>
      <c r="D25" s="221">
        <f t="shared" si="3"/>
        <v>7300</v>
      </c>
      <c r="E25" s="221">
        <f t="shared" si="3"/>
        <v>7300</v>
      </c>
      <c r="F25" s="221">
        <f t="shared" si="3"/>
        <v>8450.48</v>
      </c>
      <c r="G25" s="221">
        <f t="shared" si="3"/>
        <v>8450.48</v>
      </c>
      <c r="H25" s="221">
        <f t="shared" si="3"/>
        <v>7300</v>
      </c>
      <c r="I25" s="221">
        <f t="shared" si="3"/>
        <v>7300</v>
      </c>
      <c r="J25" s="221">
        <f t="shared" si="3"/>
        <v>7300</v>
      </c>
      <c r="K25" s="221">
        <f t="shared" si="3"/>
        <v>7300</v>
      </c>
      <c r="L25" s="221">
        <f t="shared" si="3"/>
        <v>7300</v>
      </c>
      <c r="M25" s="221">
        <f t="shared" si="3"/>
        <v>7300</v>
      </c>
      <c r="N25" s="221">
        <f t="shared" si="3"/>
        <v>7300</v>
      </c>
    </row>
    <row r="26" spans="1:14" ht="20.100000000000001" customHeight="1" x14ac:dyDescent="0.2">
      <c r="A26" s="218" t="s">
        <v>131</v>
      </c>
      <c r="B26" s="136"/>
      <c r="C26" s="136"/>
      <c r="D26" s="136"/>
      <c r="E26" s="136"/>
      <c r="F26" s="136"/>
      <c r="G26" s="136"/>
      <c r="H26" s="136"/>
      <c r="I26" s="136"/>
      <c r="J26" s="136"/>
      <c r="K26" s="136"/>
      <c r="L26" s="136"/>
      <c r="M26" s="136"/>
      <c r="N26" s="136"/>
    </row>
    <row r="27" spans="1:14" ht="20.100000000000001" customHeight="1" x14ac:dyDescent="0.2">
      <c r="A27" s="61" t="s">
        <v>206</v>
      </c>
      <c r="B27" s="134">
        <v>36.49</v>
      </c>
      <c r="C27" s="134">
        <v>36.49</v>
      </c>
      <c r="D27" s="134">
        <v>36.49</v>
      </c>
      <c r="E27" s="134">
        <v>36.49</v>
      </c>
      <c r="F27" s="134">
        <v>115.76</v>
      </c>
      <c r="G27" s="134">
        <v>115.76</v>
      </c>
      <c r="H27" s="134">
        <v>36.49</v>
      </c>
      <c r="I27" s="134">
        <v>36.49</v>
      </c>
      <c r="J27" s="134">
        <v>36.49</v>
      </c>
      <c r="K27" s="134">
        <v>36.49</v>
      </c>
      <c r="L27" s="134">
        <v>36.49</v>
      </c>
      <c r="M27" s="134">
        <v>36.49</v>
      </c>
      <c r="N27" s="134">
        <v>36.49</v>
      </c>
    </row>
    <row r="28" spans="1:14" ht="20.100000000000001" customHeight="1" x14ac:dyDescent="0.2">
      <c r="A28" s="61" t="s">
        <v>207</v>
      </c>
      <c r="B28" s="221">
        <f t="shared" ref="B28:N28" si="4">MAX(0.2*B27,20)*365</f>
        <v>7300</v>
      </c>
      <c r="C28" s="221">
        <f t="shared" si="4"/>
        <v>7300</v>
      </c>
      <c r="D28" s="221">
        <f t="shared" si="4"/>
        <v>7300</v>
      </c>
      <c r="E28" s="221">
        <f t="shared" si="4"/>
        <v>7300</v>
      </c>
      <c r="F28" s="221">
        <f t="shared" si="4"/>
        <v>8450.48</v>
      </c>
      <c r="G28" s="221">
        <f t="shared" si="4"/>
        <v>8450.48</v>
      </c>
      <c r="H28" s="221">
        <f t="shared" si="4"/>
        <v>7300</v>
      </c>
      <c r="I28" s="221">
        <f t="shared" si="4"/>
        <v>7300</v>
      </c>
      <c r="J28" s="221">
        <f t="shared" si="4"/>
        <v>7300</v>
      </c>
      <c r="K28" s="221">
        <f t="shared" si="4"/>
        <v>7300</v>
      </c>
      <c r="L28" s="221">
        <f t="shared" si="4"/>
        <v>7300</v>
      </c>
      <c r="M28" s="221">
        <f t="shared" si="4"/>
        <v>7300</v>
      </c>
      <c r="N28" s="221">
        <f t="shared" si="4"/>
        <v>7300</v>
      </c>
    </row>
    <row r="29" spans="1:14" ht="20.100000000000001" customHeight="1" x14ac:dyDescent="0.2">
      <c r="A29" s="218" t="s">
        <v>132</v>
      </c>
      <c r="B29" s="136"/>
      <c r="C29" s="136"/>
      <c r="D29" s="136"/>
      <c r="E29" s="136"/>
      <c r="F29" s="136"/>
      <c r="G29" s="136"/>
      <c r="H29" s="136"/>
      <c r="I29" s="136"/>
      <c r="J29" s="136"/>
      <c r="K29" s="136"/>
      <c r="L29" s="136"/>
      <c r="M29" s="136"/>
      <c r="N29" s="136"/>
    </row>
    <row r="30" spans="1:14" ht="20.100000000000001" customHeight="1" x14ac:dyDescent="0.2">
      <c r="A30" s="61" t="s">
        <v>208</v>
      </c>
      <c r="B30" s="134">
        <v>36.49</v>
      </c>
      <c r="C30" s="134">
        <v>36.49</v>
      </c>
      <c r="D30" s="134">
        <v>36.49</v>
      </c>
      <c r="E30" s="134">
        <v>36.49</v>
      </c>
      <c r="F30" s="134">
        <v>115.76</v>
      </c>
      <c r="G30" s="134">
        <v>115.76</v>
      </c>
      <c r="H30" s="134">
        <v>36.49</v>
      </c>
      <c r="I30" s="134">
        <v>36.49</v>
      </c>
      <c r="J30" s="134">
        <v>36.49</v>
      </c>
      <c r="K30" s="134">
        <v>36.49</v>
      </c>
      <c r="L30" s="134">
        <v>36.49</v>
      </c>
      <c r="M30" s="134">
        <v>36.49</v>
      </c>
      <c r="N30" s="134">
        <v>36.49</v>
      </c>
    </row>
    <row r="31" spans="1:14" ht="20.100000000000001" customHeight="1" x14ac:dyDescent="0.2">
      <c r="A31" s="61" t="s">
        <v>209</v>
      </c>
      <c r="B31" s="221">
        <f t="shared" ref="B31:N31" si="5">MAX(0.2*B30,20)*365</f>
        <v>7300</v>
      </c>
      <c r="C31" s="221">
        <f t="shared" si="5"/>
        <v>7300</v>
      </c>
      <c r="D31" s="221">
        <f t="shared" si="5"/>
        <v>7300</v>
      </c>
      <c r="E31" s="221">
        <f t="shared" si="5"/>
        <v>7300</v>
      </c>
      <c r="F31" s="221">
        <f t="shared" si="5"/>
        <v>8450.48</v>
      </c>
      <c r="G31" s="221">
        <f t="shared" si="5"/>
        <v>8450.48</v>
      </c>
      <c r="H31" s="221">
        <f t="shared" si="5"/>
        <v>7300</v>
      </c>
      <c r="I31" s="221">
        <f t="shared" si="5"/>
        <v>7300</v>
      </c>
      <c r="J31" s="221">
        <f t="shared" si="5"/>
        <v>7300</v>
      </c>
      <c r="K31" s="221">
        <f t="shared" si="5"/>
        <v>7300</v>
      </c>
      <c r="L31" s="221">
        <f t="shared" si="5"/>
        <v>7300</v>
      </c>
      <c r="M31" s="221">
        <f t="shared" si="5"/>
        <v>7300</v>
      </c>
      <c r="N31" s="221">
        <f t="shared" si="5"/>
        <v>7300</v>
      </c>
    </row>
  </sheetData>
  <mergeCells count="3">
    <mergeCell ref="C3:N3"/>
    <mergeCell ref="A18:I18"/>
    <mergeCell ref="C20:N20"/>
  </mergeCells>
  <pageMargins left="0.45" right="0.45" top="0.5" bottom="0.5" header="0.3" footer="0.3"/>
  <pageSetup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workbookViewId="0">
      <selection sqref="A1:G1"/>
    </sheetView>
  </sheetViews>
  <sheetFormatPr defaultRowHeight="12.75" x14ac:dyDescent="0.2"/>
  <cols>
    <col min="1" max="1" width="76.5703125" customWidth="1"/>
    <col min="2" max="2" width="16.42578125" customWidth="1"/>
    <col min="3" max="7" width="12.7109375" customWidth="1"/>
    <col min="8" max="8" width="70.28515625" bestFit="1" customWidth="1"/>
  </cols>
  <sheetData>
    <row r="1" spans="1:8" ht="24.95" customHeight="1" x14ac:dyDescent="0.2">
      <c r="A1" s="274" t="s">
        <v>178</v>
      </c>
      <c r="B1" s="274"/>
      <c r="C1" s="274"/>
      <c r="D1" s="274"/>
      <c r="E1" s="274"/>
      <c r="F1" s="274"/>
      <c r="G1" s="274"/>
    </row>
    <row r="2" spans="1:8" ht="24.95" customHeight="1" x14ac:dyDescent="0.2">
      <c r="A2" s="37" t="s">
        <v>12</v>
      </c>
      <c r="B2" s="275" t="s">
        <v>120</v>
      </c>
      <c r="C2" s="275"/>
      <c r="D2" s="275"/>
      <c r="E2" s="275"/>
      <c r="F2" s="275"/>
      <c r="G2" s="275"/>
    </row>
    <row r="3" spans="1:8" ht="24.95" customHeight="1" x14ac:dyDescent="0.25">
      <c r="A3" s="108" t="s">
        <v>12</v>
      </c>
      <c r="B3" s="49" t="s">
        <v>84</v>
      </c>
      <c r="C3" s="49" t="s">
        <v>79</v>
      </c>
      <c r="D3" s="49" t="s">
        <v>80</v>
      </c>
      <c r="E3" s="49" t="s">
        <v>81</v>
      </c>
      <c r="F3" s="49" t="s">
        <v>82</v>
      </c>
      <c r="G3" s="49" t="s">
        <v>83</v>
      </c>
    </row>
    <row r="4" spans="1:8" ht="24.95" customHeight="1" x14ac:dyDescent="0.2">
      <c r="A4" s="27" t="s">
        <v>125</v>
      </c>
      <c r="B4" s="143">
        <v>9999</v>
      </c>
      <c r="C4" s="143">
        <v>222</v>
      </c>
      <c r="D4" s="143">
        <v>5753</v>
      </c>
      <c r="E4" s="143">
        <v>4407</v>
      </c>
      <c r="F4" s="143">
        <v>2863</v>
      </c>
      <c r="G4" s="143">
        <v>2888</v>
      </c>
    </row>
    <row r="5" spans="1:8" ht="24.95" customHeight="1" x14ac:dyDescent="0.2">
      <c r="A5" s="27" t="s">
        <v>121</v>
      </c>
      <c r="B5" s="143">
        <v>3500</v>
      </c>
      <c r="C5" s="143">
        <f>ROUND(C4*$B$5/$B$4,0)</f>
        <v>78</v>
      </c>
      <c r="D5" s="143">
        <f>ROUND(D4*$B$5/$B$4,0)</f>
        <v>2014</v>
      </c>
      <c r="E5" s="143">
        <f>ROUND(E4*$B$5/$B$4,0)</f>
        <v>1543</v>
      </c>
      <c r="F5" s="143">
        <f>ROUND(F4*$B$5/$B$4,0)</f>
        <v>1002</v>
      </c>
      <c r="G5" s="143">
        <f>ROUND(G4*$B$5/$B$4,0)</f>
        <v>1011</v>
      </c>
      <c r="H5" s="7" t="s">
        <v>12</v>
      </c>
    </row>
    <row r="6" spans="1:8" ht="24.95" customHeight="1" x14ac:dyDescent="0.2">
      <c r="A6" s="27" t="s">
        <v>156</v>
      </c>
      <c r="B6" s="143">
        <f>SUM(C6:G6)</f>
        <v>9639</v>
      </c>
      <c r="C6" s="143">
        <v>188</v>
      </c>
      <c r="D6" s="143">
        <v>2649</v>
      </c>
      <c r="E6" s="143">
        <v>5090</v>
      </c>
      <c r="F6" s="143">
        <v>1091</v>
      </c>
      <c r="G6" s="143">
        <v>621</v>
      </c>
      <c r="H6" s="157" t="s">
        <v>12</v>
      </c>
    </row>
    <row r="7" spans="1:8" ht="24.95" customHeight="1" x14ac:dyDescent="0.2">
      <c r="A7" s="106" t="s">
        <v>127</v>
      </c>
      <c r="B7" s="143">
        <f>SUM(C7:G7)</f>
        <v>4680</v>
      </c>
      <c r="C7" s="142">
        <v>0</v>
      </c>
      <c r="D7" s="143">
        <v>1916</v>
      </c>
      <c r="E7" s="143">
        <v>2399</v>
      </c>
      <c r="F7" s="143">
        <v>150</v>
      </c>
      <c r="G7" s="143">
        <v>215</v>
      </c>
      <c r="H7" s="157" t="s">
        <v>12</v>
      </c>
    </row>
    <row r="8" spans="1:8" ht="24.95" customHeight="1" x14ac:dyDescent="0.2">
      <c r="A8" s="106" t="s">
        <v>176</v>
      </c>
      <c r="B8" s="143">
        <f>C8+D8+E8+F8+G8</f>
        <v>433.4</v>
      </c>
      <c r="C8" s="143">
        <v>26.9</v>
      </c>
      <c r="D8" s="142">
        <v>0</v>
      </c>
      <c r="E8" s="143">
        <v>87.5</v>
      </c>
      <c r="F8" s="143">
        <v>319</v>
      </c>
      <c r="G8" s="142">
        <v>0</v>
      </c>
      <c r="H8" s="157" t="s">
        <v>12</v>
      </c>
    </row>
    <row r="9" spans="1:8" ht="24.95" customHeight="1" x14ac:dyDescent="0.2">
      <c r="A9" s="107" t="s">
        <v>177</v>
      </c>
      <c r="B9" s="143">
        <f>IF(MIN(B4-B5-B7-B8,B6-B5-B7-B8)&lt;0,0,MIN(B4-B5-B7-B8,B6-B5-B7-B8))</f>
        <v>1025.5999999999999</v>
      </c>
      <c r="C9" s="143">
        <f>IF(MIN(C4-C5-C7-C8,C6-C5-C7-C8)&lt;0,0,MIN(C4-C5-C7-C8,C6-C5-C7-C8))</f>
        <v>83.1</v>
      </c>
      <c r="D9" s="142">
        <f>IF(MIN(D4-D5-D7-D8,D6-D5-D7-D8)&lt;0,0,MIN(D4-D5-D7-D8,D6-D5-D7-D8))</f>
        <v>0</v>
      </c>
      <c r="E9" s="142">
        <f>IF(MIN(E4-E5-E7-E8,E6-E5-E7-E8)&lt;0,0,MIN(E4-E5-E7-E8,E6-E5-E7-E8))</f>
        <v>377.5</v>
      </c>
      <c r="F9" s="163">
        <f t="shared" ref="F9" si="0">IF(MIN(F4-F5-F7-F8,F6-F5-F7-F8)&lt;0,0,MIN(F4-F5-F7-F8,F6-F5-F7-F8))</f>
        <v>0</v>
      </c>
      <c r="G9" s="142">
        <f>IF(MIN(G4-G5-G7-G8,G6-G5-G7-G8)&lt;0,0,MIN(G4-G5-G7-G8,G6-G5-G7-G8))</f>
        <v>0</v>
      </c>
      <c r="H9" s="141" t="s">
        <v>12</v>
      </c>
    </row>
    <row r="10" spans="1:8" ht="15" customHeight="1" x14ac:dyDescent="0.2">
      <c r="A10" s="82" t="s">
        <v>126</v>
      </c>
    </row>
    <row r="11" spans="1:8" ht="24.95" customHeight="1" x14ac:dyDescent="0.2">
      <c r="A11" s="276" t="s">
        <v>203</v>
      </c>
      <c r="B11" s="276"/>
      <c r="C11" s="276"/>
      <c r="D11" s="276"/>
      <c r="E11" s="276"/>
      <c r="F11" s="276"/>
      <c r="G11" s="276"/>
      <c r="H11" s="149" t="s">
        <v>12</v>
      </c>
    </row>
    <row r="12" spans="1:8" ht="30" customHeight="1" x14ac:dyDescent="0.2">
      <c r="A12" s="273" t="s">
        <v>157</v>
      </c>
      <c r="B12" s="273"/>
      <c r="C12" s="273"/>
      <c r="D12" s="273"/>
      <c r="E12" s="273"/>
      <c r="F12" s="273"/>
      <c r="G12" s="273"/>
    </row>
    <row r="13" spans="1:8" ht="30" customHeight="1" x14ac:dyDescent="0.2">
      <c r="A13" s="277" t="s">
        <v>158</v>
      </c>
      <c r="B13" s="277"/>
      <c r="C13" s="277"/>
      <c r="D13" s="277"/>
      <c r="E13" s="277"/>
      <c r="F13" s="277"/>
      <c r="G13" s="277"/>
    </row>
  </sheetData>
  <mergeCells count="5">
    <mergeCell ref="A12:G12"/>
    <mergeCell ref="A1:G1"/>
    <mergeCell ref="B2:G2"/>
    <mergeCell ref="A11:G11"/>
    <mergeCell ref="A13:G13"/>
  </mergeCells>
  <pageMargins left="0.45" right="0.45" top="0.5" bottom="0.5" header="0.3" footer="0.3"/>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PJM Buy Bids-Sell Offers</vt:lpstr>
      <vt:lpstr>3rd IA Configuration</vt:lpstr>
      <vt:lpstr>3rd IA Parameters</vt:lpstr>
      <vt:lpstr>2nd IA Parameters</vt:lpstr>
      <vt:lpstr>1st IA Parameters</vt:lpstr>
      <vt:lpstr>BRA Parameters</vt:lpstr>
      <vt:lpstr>Updated DR Rel Targets</vt:lpstr>
      <vt:lpstr>Credit Rate</vt:lpstr>
      <vt:lpstr>Cap Import Limits</vt:lpstr>
      <vt:lpstr>'1st IA Parameters'!Print_Area</vt:lpstr>
      <vt:lpstr>'2nd IA Parameters'!Print_Area</vt:lpstr>
      <vt:lpstr>'3rd IA Configuration'!Print_Area</vt:lpstr>
      <vt:lpstr>'3rd IA Parameters'!Print_Area</vt:lpstr>
      <vt:lpstr>'BRA Parameters'!Print_Area</vt:lpstr>
      <vt:lpstr>'Cap Import Limits'!Print_Area</vt:lpstr>
      <vt:lpstr>'Credit Rate'!Print_Area</vt:lpstr>
      <vt:lpstr>'PJM Buy Bids-Sell Offers'!Print_Area</vt:lpstr>
      <vt:lpstr>'Updated DR Rel Targets'!Print_Area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Theresa Esterly</cp:lastModifiedBy>
  <cp:lastPrinted>2017-02-23T20:22:23Z</cp:lastPrinted>
  <dcterms:created xsi:type="dcterms:W3CDTF">2007-01-26T13:56:48Z</dcterms:created>
  <dcterms:modified xsi:type="dcterms:W3CDTF">2017-08-15T20:39:08Z</dcterms:modified>
</cp:coreProperties>
</file>