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6" yWindow="-48" windowWidth="14940" windowHeight="9156"/>
  </bookViews>
  <sheets>
    <sheet name="2018-2019 Parameters" sheetId="1" r:id="rId1"/>
    <sheet name="Net CONE" sheetId="12" r:id="rId2"/>
    <sheet name="Key Transmission Upgrades" sheetId="3" r:id="rId3"/>
    <sheet name="Base Capacity Constraints" sheetId="13" r:id="rId4"/>
    <sheet name="Cap Import Limits" sheetId="5" r:id="rId5"/>
    <sheet name="Credit Rates" sheetId="14" r:id="rId6"/>
  </sheets>
  <definedNames>
    <definedName name="_xlnm.Print_Area" localSheetId="0">'2018-2019 Parameters'!$A$1:$N$80</definedName>
    <definedName name="_xlnm.Print_Area" localSheetId="3">'Base Capacity Constraints'!$A$1:$N$18</definedName>
    <definedName name="_xlnm.Print_Area" localSheetId="4">'Cap Import Limits'!$A$1:$G$11</definedName>
    <definedName name="_xlnm.Print_Area" localSheetId="2">'Key Transmission Upgrades'!$A$1:$C$34</definedName>
    <definedName name="_xlnm.Print_Area" localSheetId="1">'Net CONE'!$A$1:$H$40</definedName>
  </definedNames>
  <calcPr calcId="145621"/>
</workbook>
</file>

<file path=xl/calcChain.xml><?xml version="1.0" encoding="utf-8"?>
<calcChain xmlns="http://schemas.openxmlformats.org/spreadsheetml/2006/main">
  <c r="B23" i="14" l="1"/>
  <c r="N20" i="14" l="1"/>
  <c r="M20" i="14"/>
  <c r="L20" i="14"/>
  <c r="K20" i="14"/>
  <c r="J20" i="14"/>
  <c r="I20" i="14"/>
  <c r="H20" i="14"/>
  <c r="G20" i="14"/>
  <c r="F20" i="14"/>
  <c r="E20" i="14"/>
  <c r="D20" i="14"/>
  <c r="C20" i="14"/>
  <c r="B20" i="14"/>
  <c r="L17" i="14"/>
  <c r="N17" i="14"/>
  <c r="M17" i="14"/>
  <c r="K17" i="14"/>
  <c r="J17" i="14"/>
  <c r="I17" i="14"/>
  <c r="H17" i="14"/>
  <c r="G17" i="14"/>
  <c r="F17" i="14"/>
  <c r="E17" i="14"/>
  <c r="D17" i="14"/>
  <c r="C17" i="14"/>
  <c r="B17" i="14"/>
  <c r="N4" i="14"/>
  <c r="N7" i="14" s="1"/>
  <c r="M4" i="14"/>
  <c r="M7" i="14" s="1"/>
  <c r="L4" i="14"/>
  <c r="L7" i="14" s="1"/>
  <c r="K4" i="14"/>
  <c r="K7" i="14" s="1"/>
  <c r="J4" i="14"/>
  <c r="J7" i="14" s="1"/>
  <c r="I4" i="14"/>
  <c r="I14" i="14" s="1"/>
  <c r="H4" i="14"/>
  <c r="H7" i="14" s="1"/>
  <c r="G4" i="14"/>
  <c r="G7" i="14" s="1"/>
  <c r="F4" i="14"/>
  <c r="F7" i="14" s="1"/>
  <c r="E4" i="14"/>
  <c r="E7" i="14" s="1"/>
  <c r="D4" i="14"/>
  <c r="D7" i="14" s="1"/>
  <c r="C4" i="14"/>
  <c r="C7" i="14" s="1"/>
  <c r="B4" i="14"/>
  <c r="B14" i="14" s="1"/>
  <c r="F14" i="14" l="1"/>
  <c r="N14" i="14"/>
  <c r="I23" i="14"/>
  <c r="J14" i="14"/>
  <c r="H14" i="14"/>
  <c r="D14" i="14"/>
  <c r="L14" i="14"/>
  <c r="I7" i="14"/>
  <c r="C14" i="14"/>
  <c r="G14" i="14"/>
  <c r="K14" i="14"/>
  <c r="E14" i="14"/>
  <c r="M14" i="14"/>
  <c r="E5" i="14"/>
  <c r="I5" i="14"/>
  <c r="M5" i="14"/>
  <c r="D6" i="14"/>
  <c r="H6" i="14"/>
  <c r="L6" i="14"/>
  <c r="B5" i="14"/>
  <c r="F5" i="14"/>
  <c r="J5" i="14"/>
  <c r="N5" i="14"/>
  <c r="E6" i="14"/>
  <c r="I6" i="14"/>
  <c r="M6" i="14"/>
  <c r="C5" i="14"/>
  <c r="G5" i="14"/>
  <c r="K5" i="14"/>
  <c r="B6" i="14"/>
  <c r="F6" i="14"/>
  <c r="J6" i="14"/>
  <c r="N6" i="14"/>
  <c r="D5" i="14"/>
  <c r="H5" i="14"/>
  <c r="L5" i="14"/>
  <c r="C6" i="14"/>
  <c r="G6" i="14"/>
  <c r="K6" i="14"/>
  <c r="B7" i="14"/>
  <c r="B8" i="5"/>
  <c r="D23" i="14" l="1"/>
  <c r="N23" i="14"/>
  <c r="E23" i="14"/>
  <c r="K23" i="14"/>
  <c r="L23" i="14"/>
  <c r="G23" i="14"/>
  <c r="M23" i="14"/>
  <c r="C23" i="14"/>
  <c r="H23" i="14"/>
  <c r="J23" i="14"/>
  <c r="F23" i="14"/>
  <c r="H17" i="12"/>
  <c r="H14" i="12"/>
  <c r="N18" i="13" l="1"/>
  <c r="N17" i="13"/>
  <c r="B17" i="13"/>
  <c r="N8" i="13" l="1"/>
  <c r="M8" i="13"/>
  <c r="F28" i="12" l="1"/>
  <c r="F23" i="12"/>
  <c r="F19" i="12"/>
  <c r="G18" i="12"/>
  <c r="L20" i="1"/>
  <c r="L29" i="1" s="1"/>
  <c r="L16" i="1"/>
  <c r="L8" i="13" s="1"/>
  <c r="K16" i="1"/>
  <c r="K8" i="13" s="1"/>
  <c r="J16" i="1"/>
  <c r="J8" i="13" s="1"/>
  <c r="I16" i="1"/>
  <c r="I8" i="13" s="1"/>
  <c r="H16" i="1"/>
  <c r="G16" i="1"/>
  <c r="F16" i="1"/>
  <c r="H64" i="1"/>
  <c r="H36" i="1"/>
  <c r="B16" i="1" s="1"/>
  <c r="F38" i="12" l="1"/>
  <c r="G38" i="12" s="1"/>
  <c r="F37" i="12"/>
  <c r="G37" i="12" s="1"/>
  <c r="F36" i="12"/>
  <c r="G36" i="12" s="1"/>
  <c r="F32" i="12"/>
  <c r="F35" i="12"/>
  <c r="G35" i="12" s="1"/>
  <c r="F34" i="12"/>
  <c r="G34" i="12" s="1"/>
  <c r="F31" i="12"/>
  <c r="G31" i="12" s="1"/>
  <c r="G30" i="12"/>
  <c r="F30" i="12"/>
  <c r="B3" i="13" l="1"/>
  <c r="C29" i="12"/>
  <c r="G8" i="5" l="1"/>
  <c r="F8" i="5"/>
  <c r="E8" i="5"/>
  <c r="D8" i="5"/>
  <c r="C8" i="5"/>
  <c r="B39" i="12"/>
  <c r="C39" i="12" l="1"/>
  <c r="F58" i="1"/>
  <c r="F49" i="1"/>
  <c r="F41" i="1"/>
  <c r="B18" i="13" l="1"/>
  <c r="M18" i="13"/>
  <c r="L18" i="13"/>
  <c r="K18" i="13"/>
  <c r="J18" i="13"/>
  <c r="I18" i="13"/>
  <c r="H18" i="13"/>
  <c r="G18" i="13"/>
  <c r="F18" i="13"/>
  <c r="E18" i="13"/>
  <c r="D18" i="13"/>
  <c r="C18" i="13"/>
  <c r="M17" i="13"/>
  <c r="L17" i="13"/>
  <c r="K17" i="13"/>
  <c r="J17" i="13"/>
  <c r="I17" i="13"/>
  <c r="H17" i="13"/>
  <c r="G17" i="13"/>
  <c r="F17" i="13"/>
  <c r="E17" i="13"/>
  <c r="D17" i="13"/>
  <c r="C17" i="13"/>
  <c r="M7" i="13"/>
  <c r="L7" i="13"/>
  <c r="L9" i="13" s="1"/>
  <c r="L15" i="13" s="1"/>
  <c r="J7" i="13"/>
  <c r="I7" i="13"/>
  <c r="F7" i="13"/>
  <c r="B4" i="13"/>
  <c r="M9" i="13" l="1"/>
  <c r="M15" i="13" s="1"/>
  <c r="H20" i="1" l="1"/>
  <c r="H29" i="1" s="1"/>
  <c r="C12" i="12"/>
  <c r="E39" i="12"/>
  <c r="F39" i="12" s="1"/>
  <c r="G39" i="12" s="1"/>
  <c r="H39" i="12" s="1"/>
  <c r="B22" i="1" s="1"/>
  <c r="F33" i="12"/>
  <c r="G33" i="12" s="1"/>
  <c r="G32" i="12"/>
  <c r="G27" i="12"/>
  <c r="N20" i="1" s="1"/>
  <c r="F27" i="12"/>
  <c r="F26" i="12"/>
  <c r="G26" i="12" s="1"/>
  <c r="F25" i="12"/>
  <c r="G25" i="12" s="1"/>
  <c r="C24" i="12"/>
  <c r="F22" i="12"/>
  <c r="G22" i="12" s="1"/>
  <c r="F21" i="12"/>
  <c r="G21" i="12" s="1"/>
  <c r="C20" i="12"/>
  <c r="F18" i="12"/>
  <c r="F17" i="12"/>
  <c r="G17" i="12" s="1"/>
  <c r="F16" i="12"/>
  <c r="G16" i="12" s="1"/>
  <c r="F15" i="12"/>
  <c r="G15" i="12" s="1"/>
  <c r="F14" i="12"/>
  <c r="G14" i="12" s="1"/>
  <c r="F13" i="12"/>
  <c r="G13" i="12" s="1"/>
  <c r="F64" i="1"/>
  <c r="K7" i="13"/>
  <c r="K9" i="13" s="1"/>
  <c r="K15" i="13" s="1"/>
  <c r="G7" i="13"/>
  <c r="F56" i="1"/>
  <c r="N7" i="13" s="1"/>
  <c r="N9" i="13" s="1"/>
  <c r="N15" i="13" s="1"/>
  <c r="H7" i="13"/>
  <c r="E56" i="1"/>
  <c r="E36" i="1" s="1"/>
  <c r="N23" i="1" l="1"/>
  <c r="N29" i="1"/>
  <c r="K20" i="1"/>
  <c r="J20" i="1"/>
  <c r="G19" i="12"/>
  <c r="D20" i="1" s="1"/>
  <c r="D29" i="1" s="1"/>
  <c r="G28" i="12"/>
  <c r="G20" i="1"/>
  <c r="F20" i="1"/>
  <c r="H22" i="12"/>
  <c r="I22" i="1" s="1"/>
  <c r="I20" i="1"/>
  <c r="I29" i="1" s="1"/>
  <c r="C26" i="12"/>
  <c r="C27" i="12"/>
  <c r="C25" i="12"/>
  <c r="G23" i="12"/>
  <c r="E20" i="1" s="1"/>
  <c r="E29" i="1" s="1"/>
  <c r="C18" i="12"/>
  <c r="C14" i="12"/>
  <c r="C16" i="12"/>
  <c r="C15" i="12"/>
  <c r="C17" i="12"/>
  <c r="C13" i="12"/>
  <c r="H22" i="1"/>
  <c r="B20" i="1"/>
  <c r="B29" i="1" s="1"/>
  <c r="C22" i="12"/>
  <c r="C21" i="12"/>
  <c r="M20" i="1"/>
  <c r="M29" i="1" s="1"/>
  <c r="H33" i="12"/>
  <c r="L22" i="1" s="1"/>
  <c r="H27" i="12"/>
  <c r="N22" i="1" s="1"/>
  <c r="H32" i="12"/>
  <c r="H23" i="12"/>
  <c r="E22" i="1" s="1"/>
  <c r="H21" i="12"/>
  <c r="M22" i="1" s="1"/>
  <c r="B6" i="1"/>
  <c r="L23" i="1"/>
  <c r="H23" i="1"/>
  <c r="I23" i="1" l="1"/>
  <c r="D23" i="1"/>
  <c r="G23" i="1"/>
  <c r="G29" i="1"/>
  <c r="J23" i="1"/>
  <c r="J29" i="1"/>
  <c r="B10" i="1"/>
  <c r="K23" i="1"/>
  <c r="K29" i="1"/>
  <c r="E23" i="1"/>
  <c r="M23" i="1"/>
  <c r="F23" i="1"/>
  <c r="F29" i="1"/>
  <c r="B2" i="13"/>
  <c r="L12" i="13" s="1"/>
  <c r="B17" i="1"/>
  <c r="K22" i="1"/>
  <c r="J22" i="1"/>
  <c r="C28" i="12"/>
  <c r="H28" i="12" s="1"/>
  <c r="C22" i="1" s="1"/>
  <c r="B23" i="1"/>
  <c r="G22" i="1"/>
  <c r="F22" i="1"/>
  <c r="H19" i="12"/>
  <c r="D22" i="1" s="1"/>
  <c r="C20" i="1"/>
  <c r="K12" i="13" l="1"/>
  <c r="C23" i="1"/>
  <c r="C29" i="1"/>
  <c r="N12" i="13"/>
  <c r="M12" i="13"/>
  <c r="F61" i="1"/>
  <c r="E7" i="13" s="1"/>
  <c r="F60" i="1"/>
  <c r="D7" i="13" s="1"/>
  <c r="N14" i="1"/>
  <c r="N32" i="1" s="1"/>
  <c r="N13" i="1"/>
  <c r="N17" i="1"/>
  <c r="N18" i="1" s="1"/>
  <c r="I49" i="1"/>
  <c r="G50" i="1"/>
  <c r="D43" i="1"/>
  <c r="D42" i="1"/>
  <c r="D40" i="1"/>
  <c r="M14" i="1"/>
  <c r="M32" i="1" s="1"/>
  <c r="L14" i="1"/>
  <c r="L32" i="1" s="1"/>
  <c r="M13" i="1"/>
  <c r="L13" i="1"/>
  <c r="M17" i="1"/>
  <c r="M18" i="1" s="1"/>
  <c r="M6" i="13" s="1"/>
  <c r="L17" i="1"/>
  <c r="G56" i="1"/>
  <c r="G45" i="1"/>
  <c r="K17" i="1"/>
  <c r="K18" i="1" s="1"/>
  <c r="K6" i="13" s="1"/>
  <c r="K14" i="1"/>
  <c r="K32" i="1" s="1"/>
  <c r="D41" i="1"/>
  <c r="K13" i="1"/>
  <c r="I50" i="1"/>
  <c r="I38" i="1"/>
  <c r="D61" i="1"/>
  <c r="J17" i="1"/>
  <c r="J18" i="1" s="1"/>
  <c r="J6" i="13" s="1"/>
  <c r="D49" i="1"/>
  <c r="J14" i="1"/>
  <c r="J32" i="1" s="1"/>
  <c r="J13" i="1"/>
  <c r="H62" i="1"/>
  <c r="H61" i="1"/>
  <c r="H60" i="1"/>
  <c r="D16" i="1" s="1"/>
  <c r="I37" i="1"/>
  <c r="G59" i="1"/>
  <c r="G57" i="1"/>
  <c r="G55" i="1"/>
  <c r="G54" i="1"/>
  <c r="G53" i="1"/>
  <c r="G52" i="1"/>
  <c r="G51" i="1"/>
  <c r="G48" i="1"/>
  <c r="G47" i="1"/>
  <c r="G46" i="1"/>
  <c r="G44" i="1"/>
  <c r="G43" i="1"/>
  <c r="G42" i="1"/>
  <c r="G40" i="1"/>
  <c r="G39" i="1"/>
  <c r="G38" i="1"/>
  <c r="G37" i="1"/>
  <c r="J9" i="13"/>
  <c r="J15" i="13" s="1"/>
  <c r="G8" i="13"/>
  <c r="G9" i="13" s="1"/>
  <c r="G15" i="13" s="1"/>
  <c r="G17" i="1"/>
  <c r="G18" i="1" s="1"/>
  <c r="G6" i="13" s="1"/>
  <c r="F8" i="13"/>
  <c r="F9" i="13" s="1"/>
  <c r="I59" i="1"/>
  <c r="I57" i="1"/>
  <c r="I55" i="1"/>
  <c r="I54" i="1"/>
  <c r="I53" i="1"/>
  <c r="I52" i="1"/>
  <c r="I51" i="1"/>
  <c r="I48" i="1"/>
  <c r="I47" i="1"/>
  <c r="I46" i="1"/>
  <c r="I44" i="1"/>
  <c r="I43" i="1"/>
  <c r="I42" i="1"/>
  <c r="I40" i="1"/>
  <c r="I39" i="1"/>
  <c r="D60" i="1"/>
  <c r="D58" i="1"/>
  <c r="D57" i="1"/>
  <c r="D55" i="1"/>
  <c r="I14" i="1"/>
  <c r="I32" i="1" s="1"/>
  <c r="H14" i="1"/>
  <c r="H32" i="1" s="1"/>
  <c r="G13" i="1"/>
  <c r="H13" i="1"/>
  <c r="I13" i="1"/>
  <c r="G14" i="1"/>
  <c r="G32" i="1" s="1"/>
  <c r="F14" i="1"/>
  <c r="F32" i="1" s="1"/>
  <c r="F13" i="1"/>
  <c r="E14" i="1"/>
  <c r="E13" i="1"/>
  <c r="D14" i="1"/>
  <c r="D13" i="1"/>
  <c r="C13" i="1"/>
  <c r="C14" i="1"/>
  <c r="I45" i="1"/>
  <c r="F36" i="1"/>
  <c r="I58" i="1"/>
  <c r="I56" i="1"/>
  <c r="I41" i="1"/>
  <c r="F62" i="1"/>
  <c r="E16" i="1" l="1"/>
  <c r="E8" i="13" s="1"/>
  <c r="E9" i="13" s="1"/>
  <c r="E15" i="13" s="1"/>
  <c r="L18" i="1"/>
  <c r="L27" i="1" s="1"/>
  <c r="F12" i="13"/>
  <c r="F15" i="13"/>
  <c r="D32" i="1"/>
  <c r="N26" i="1"/>
  <c r="N6" i="13"/>
  <c r="E32" i="1"/>
  <c r="I17" i="1"/>
  <c r="I18" i="1" s="1"/>
  <c r="I6" i="13" s="1"/>
  <c r="B8" i="13"/>
  <c r="H8" i="13"/>
  <c r="H9" i="13" s="1"/>
  <c r="H15" i="13" s="1"/>
  <c r="I9" i="13"/>
  <c r="I15" i="13" s="1"/>
  <c r="D17" i="1"/>
  <c r="D18" i="1" s="1"/>
  <c r="D6" i="13" s="1"/>
  <c r="D8" i="13"/>
  <c r="D9" i="13" s="1"/>
  <c r="D15" i="13" s="1"/>
  <c r="J12" i="13"/>
  <c r="H63" i="1"/>
  <c r="F17" i="1"/>
  <c r="F18" i="1" s="1"/>
  <c r="F6" i="13" s="1"/>
  <c r="G12" i="13"/>
  <c r="N27" i="1"/>
  <c r="N25" i="1"/>
  <c r="G27" i="1"/>
  <c r="G26" i="1"/>
  <c r="G25" i="1"/>
  <c r="K27" i="1"/>
  <c r="K26" i="1"/>
  <c r="K25" i="1"/>
  <c r="M27" i="1"/>
  <c r="M26" i="1"/>
  <c r="M25" i="1"/>
  <c r="H17" i="1"/>
  <c r="H18" i="1" s="1"/>
  <c r="H6" i="13" s="1"/>
  <c r="B8" i="1"/>
  <c r="B15" i="1" s="1"/>
  <c r="B18" i="1" s="1"/>
  <c r="J27" i="1"/>
  <c r="J26" i="1"/>
  <c r="J25" i="1"/>
  <c r="I36" i="1"/>
  <c r="F63" i="1"/>
  <c r="C7" i="13" s="1"/>
  <c r="I26" i="1" l="1"/>
  <c r="E17" i="1"/>
  <c r="E18" i="1" s="1"/>
  <c r="E6" i="13" s="1"/>
  <c r="L25" i="1"/>
  <c r="C16" i="1"/>
  <c r="C8" i="13" s="1"/>
  <c r="C9" i="13" s="1"/>
  <c r="C15" i="13" s="1"/>
  <c r="L6" i="13"/>
  <c r="L26" i="1"/>
  <c r="F27" i="1"/>
  <c r="C17" i="1"/>
  <c r="C18" i="1" s="1"/>
  <c r="C6" i="13" s="1"/>
  <c r="C32" i="1"/>
  <c r="I27" i="1"/>
  <c r="I25" i="1"/>
  <c r="D27" i="1"/>
  <c r="F26" i="1"/>
  <c r="D26" i="1"/>
  <c r="D12" i="13"/>
  <c r="B7" i="13"/>
  <c r="B9" i="13" s="1"/>
  <c r="F25" i="1"/>
  <c r="D25" i="1"/>
  <c r="E12" i="13"/>
  <c r="I12" i="13"/>
  <c r="H12" i="13"/>
  <c r="H27" i="1"/>
  <c r="H26" i="1"/>
  <c r="H25" i="1"/>
  <c r="E25" i="1"/>
  <c r="E26" i="1" l="1"/>
  <c r="C26" i="1"/>
  <c r="E27" i="1"/>
  <c r="B15" i="13"/>
  <c r="B12" i="13"/>
  <c r="C12" i="13"/>
  <c r="C27" i="1"/>
  <c r="C25" i="1"/>
  <c r="B6" i="13"/>
  <c r="B26" i="1"/>
  <c r="B25" i="1"/>
  <c r="B27" i="1"/>
</calcChain>
</file>

<file path=xl/sharedStrings.xml><?xml version="1.0" encoding="utf-8"?>
<sst xmlns="http://schemas.openxmlformats.org/spreadsheetml/2006/main" count="530" uniqueCount="238">
  <si>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</si>
  <si>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</si>
  <si>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</si>
  <si>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</si>
  <si>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</si>
  <si>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</si>
  <si>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</si>
  <si>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</si>
  <si>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</si>
  <si>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</si>
  <si>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</si>
  <si>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</si>
  <si>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</si>
  <si>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</si>
  <si>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</si>
  <si>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</si>
  <si>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</si>
  <si>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</si>
  <si>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</si>
  <si>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</si>
  <si>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</si>
  <si>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</si>
  <si>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</si>
  <si>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</si>
  <si>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</si>
  <si>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</si>
  <si>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</si>
  <si>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</si>
  <si>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</si>
  <si>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</si>
  <si>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</si>
  <si>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</si>
  <si>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</si>
  <si>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</si>
  <si>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</si>
  <si>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</si>
  <si>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</si>
  <si>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</si>
  <si>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</si>
  <si>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</si>
  <si>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</si>
  <si>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</si>
  <si>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Demand Resource (DR) Factor</t>
  </si>
  <si>
    <t>Short-Term Resource Procurement Target</t>
  </si>
  <si>
    <t>PS NORTH</t>
  </si>
  <si>
    <t>DPL SOUTH</t>
  </si>
  <si>
    <t>Preliminary FRR Obligation</t>
  </si>
  <si>
    <t>Total Peak Load of FRR Entities</t>
  </si>
  <si>
    <t>Reliability Requirement adjusted for FRR</t>
  </si>
  <si>
    <t>Net CONE, $/MW-Day (UCAP Price)</t>
  </si>
  <si>
    <t>Variable Resource Requirement Curve:</t>
  </si>
  <si>
    <t>&gt; 115%</t>
  </si>
  <si>
    <t>Participant-Funded ICTRs Awarded</t>
  </si>
  <si>
    <t>ATSI</t>
  </si>
  <si>
    <t>CONE Area 1</t>
  </si>
  <si>
    <t>CONE Area 2</t>
  </si>
  <si>
    <t>CONE Area 3</t>
  </si>
  <si>
    <t>CONE Area 4</t>
  </si>
  <si>
    <t>CONE Area 1: AE, DPL, JCPL, PECO, PS, RECO</t>
  </si>
  <si>
    <t>CONE Area 2: BGE, PEPCO</t>
  </si>
  <si>
    <t>CONE Area 4: MetEd, Penelec, PPL</t>
  </si>
  <si>
    <t>ICAP to UCAP Conversion Factor:</t>
  </si>
  <si>
    <t>Upgrade ID</t>
  </si>
  <si>
    <t>Description</t>
  </si>
  <si>
    <t>Transmission Owner</t>
  </si>
  <si>
    <t xml:space="preserve">FRR Portion of the Preliminary Peak Load Forecast       </t>
  </si>
  <si>
    <t>AEP</t>
  </si>
  <si>
    <t>Forecast Pool Requirement</t>
  </si>
  <si>
    <t>Demand Resource Factor</t>
  </si>
  <si>
    <t>PJM Region</t>
  </si>
  <si>
    <t>Preliminary Peak Load Forecast</t>
  </si>
  <si>
    <t>FRR Peak Load</t>
  </si>
  <si>
    <t>Peak Load Forecast adjusted for FRR</t>
  </si>
  <si>
    <t>Percent of Preliminary Forecast Peak Load</t>
  </si>
  <si>
    <t>DEOK</t>
  </si>
  <si>
    <t>Dominion</t>
  </si>
  <si>
    <t>PPL</t>
  </si>
  <si>
    <t>PSEG</t>
  </si>
  <si>
    <t>PENELEC</t>
  </si>
  <si>
    <t>Limiting conditions at the CETL for modeled LDAs:</t>
  </si>
  <si>
    <t>PSNORTH</t>
  </si>
  <si>
    <t>ATSI-CLEVELAND</t>
  </si>
  <si>
    <t>EKPC</t>
  </si>
  <si>
    <t>ATSI-Cleveland</t>
  </si>
  <si>
    <t>*</t>
  </si>
  <si>
    <t>Quantities are in Unforced Capacity Megawatts</t>
  </si>
  <si>
    <t>North</t>
  </si>
  <si>
    <t>West 1</t>
  </si>
  <si>
    <t>West 2</t>
  </si>
  <si>
    <t>South 1</t>
  </si>
  <si>
    <t>South 2</t>
  </si>
  <si>
    <t>Gross CONE, $/MW-Day, UCAP Price</t>
  </si>
  <si>
    <t>VRR Curve Point (a) UCAP Price, $/MW-Day *</t>
  </si>
  <si>
    <t>* VRR Curve Point (a) UCAP Price is the higher of 1.5 Net CONE or Gross CONE.</t>
  </si>
  <si>
    <t>CETL to CETO Ratio %</t>
  </si>
  <si>
    <t>PL</t>
  </si>
  <si>
    <t>Minimum Internal Resource Requirement</t>
  </si>
  <si>
    <t>FRR Load Requirement (% Obligation):</t>
  </si>
  <si>
    <t xml:space="preserve">LDA      </t>
  </si>
  <si>
    <t>AEC</t>
  </si>
  <si>
    <t>None</t>
  </si>
  <si>
    <t>b2449</t>
  </si>
  <si>
    <t>Rebuild the 7-mile 345 kV line between Meadow Lake and Reynolds 345 kV stations</t>
  </si>
  <si>
    <t>* LDA has adequate internal resources to meet the reliability criterion.</t>
  </si>
  <si>
    <t xml:space="preserve">DR Constraints for FRR Load (ICAP as % of peak load) </t>
  </si>
  <si>
    <t>2018-2019 RPM Base Residual Auction Planning Parameters</t>
  </si>
  <si>
    <t>Load data: from 2015 Load Report with adjustments due to load served outside PJM.</t>
  </si>
  <si>
    <t>From 2014 Reserve Requirement Study.</t>
  </si>
  <si>
    <t>RPM CONE and E&amp;AS Values for 2018/2019 Base Residual Auction</t>
  </si>
  <si>
    <t>CONE Area 3: AEP, APS, ATSI, ComEd, Dayton, DEOK, Dominion, Duquesne (DLCo), EKPC</t>
  </si>
  <si>
    <t>Zone/LDA</t>
  </si>
  <si>
    <t>Historic (2012-2014) Net Energy Revenue Offset, $/MW-Year</t>
  </si>
  <si>
    <t>PE</t>
  </si>
  <si>
    <t xml:space="preserve">2018/2019 BRA CONE: Levelized Revenue Requirement,     $/MW-Year </t>
  </si>
  <si>
    <t>Net CONE,   $/MW-Day,  UCAP Price</t>
  </si>
  <si>
    <t>Ancillary Services Offset,          $/MW-Year        per Tariff</t>
  </si>
  <si>
    <t>Net CONE,         $/MW-Day,    ICAP Price</t>
  </si>
  <si>
    <t>UCAP Price = ICAP Price / (1 - Pool-Wide Average EFORd)</t>
  </si>
  <si>
    <t>2018/2019 Demand Rresource Constraints</t>
  </si>
  <si>
    <t>2014 Zonal W/N Coincident Peak Loads</t>
  </si>
  <si>
    <t>Pool-Wide Average EFORd for 2018/2019 including OMC outages</t>
  </si>
  <si>
    <t>LDA CETO/CETL Data; Zonal Peak Loads, Base Zonal FRR Scaling Factors, and FRR load.</t>
  </si>
  <si>
    <t xml:space="preserve">  Violation/Limiting Facility</t>
  </si>
  <si>
    <t>Base Capacity DR Constraint</t>
  </si>
  <si>
    <t>Base Capacity DR Constraint as Unforced Capacity</t>
  </si>
  <si>
    <t>Base Capacity Constraint</t>
  </si>
  <si>
    <t>Base Capacity Constraint as Unforced Capacity</t>
  </si>
  <si>
    <t>2018/2019 Capacity Import Limits in Megawatts</t>
  </si>
  <si>
    <t>External Source Zone</t>
  </si>
  <si>
    <t>Key Transmission Upgrades included for 2017/2018 model but not included for 2018/2019 model</t>
  </si>
  <si>
    <t>New Key Transmission Upgrades included for 2018/2019 Model</t>
  </si>
  <si>
    <t>b1813.3</t>
  </si>
  <si>
    <t>Build approximately 21 miles  new 230 kV Acahela – Pocono line</t>
  </si>
  <si>
    <t>b2269</t>
  </si>
  <si>
    <t>Rebuild approximately 23.7 miles of the Susquehanna - Jenkins 230kV circuit. This replaces a temporary SPS that is already planned to mitigate the violation until this solution is implemented</t>
  </si>
  <si>
    <t>b2371</t>
  </si>
  <si>
    <t>Install 75 MVAR capacitor at the Erie East 230 kV substation</t>
  </si>
  <si>
    <t>b2373</t>
  </si>
  <si>
    <t>Build a 2nd Loudoun - Brambleton 500 kV line within the existing ROW. The Loudoun - Brambleton 230 kV line will be relocated as an underbuild on the new 500 kV line</t>
  </si>
  <si>
    <t>b2436</t>
  </si>
  <si>
    <t>PSEG Northern NJ 345 kV Project</t>
  </si>
  <si>
    <t>b2436.10</t>
  </si>
  <si>
    <t>Convert the Bergen - Marion 138 kV path to double circuit 345 kV and associated substation upgrades</t>
  </si>
  <si>
    <t>b2436.21</t>
  </si>
  <si>
    <t>Convert the Marion - Bayonne "L" 138 kV circuit to 345 kV and any associated substation upgrades</t>
  </si>
  <si>
    <t>b2436.22</t>
  </si>
  <si>
    <t>Convert the Marion - Bayonne "C" 138 kV circuit to 345 kV and any associated substation upgrades</t>
  </si>
  <si>
    <t>b2436.50</t>
  </si>
  <si>
    <t>Construct a new North Ave - Airport 345 kV circuit and any associated substation upgrades</t>
  </si>
  <si>
    <t>b2436.60</t>
  </si>
  <si>
    <t>Relocate the underground portion of North Ave - Linden "T" 138 kV circuit to Bayway, convert it to 345 kV, and any associated substation upgrades</t>
  </si>
  <si>
    <t>b2436.70</t>
  </si>
  <si>
    <t>Construct a new Airport - Bayway 345 kV circuit and any associated substation upgrades</t>
  </si>
  <si>
    <t>b2436.81</t>
  </si>
  <si>
    <t>Relocate the overhead portion of Linden - North Ave "T" 138 kV circuit to Bayway, convert it to 345 kV, and any associated substation upgrades</t>
  </si>
  <si>
    <t>b2436.83</t>
  </si>
  <si>
    <t>Convert the Bayway - Linden "Z" 138 kV circuit to 345 kV and any associated substation upgrades</t>
  </si>
  <si>
    <t>b2436.90</t>
  </si>
  <si>
    <t>Relocate Farragut - Hudson "B" and "C" 345 kV circuits to Marion 345 kV and any associated substation upgrades</t>
  </si>
  <si>
    <t>b2436.91</t>
  </si>
  <si>
    <t>Relocate the Hudson 2 generation to inject into the 345 kV at Marion and any associated upgrades</t>
  </si>
  <si>
    <t>b2437.10</t>
  </si>
  <si>
    <t>New Bergen 345/230 kV transformer and any associated substation upgrades</t>
  </si>
  <si>
    <t>b2437.11</t>
  </si>
  <si>
    <t>New Bergen 345/138 kV transformer #1 and any associated substation upgrades</t>
  </si>
  <si>
    <t>b2437.20</t>
  </si>
  <si>
    <t>New Bayway 345/138 kV transformer #1 and any associated substation upgrades</t>
  </si>
  <si>
    <t>b2437.21</t>
  </si>
  <si>
    <t>New Bayway 345/138 kV transformer #2 and any associated substation upgrades</t>
  </si>
  <si>
    <t>b2437.30</t>
  </si>
  <si>
    <t>New Linden 345/230 kV transformer and any associated substation upgrades</t>
  </si>
  <si>
    <t>b2441</t>
  </si>
  <si>
    <t>Install +250/-100 MVAR SVC at the Erie South 230 kV station</t>
  </si>
  <si>
    <t>b2443</t>
  </si>
  <si>
    <t>Construct new underground 230 kV line from Glebe to Station C, rebuild Glebe Substation, construct 230 kV high-side bus at Station C with option to install 800 MVA PAR</t>
  </si>
  <si>
    <t>b2443.3</t>
  </si>
  <si>
    <t>Glebe - Station C PAR</t>
  </si>
  <si>
    <t>b2461</t>
  </si>
  <si>
    <t>Wreck and rebuild existing Remington CT - Warrrenton 230 kV (approx. 12 miles) as a double-circuit 230 kV line</t>
  </si>
  <si>
    <t>b2471</t>
  </si>
  <si>
    <t>Replace Midlothian 500 kV breaker 563T576 and motor operated switches with 3 breaker 500 kV ring bus. Terminate Lines #563 Carson - Midlothian, #576 Midlothian - North Anna, Transformer #2 in new ring</t>
  </si>
  <si>
    <t>b2479</t>
  </si>
  <si>
    <t>New Orchard - Cardiff 230 kV line (remove, rebuild and reconfigure existing 138 kV line) and associated substation upgrades, environmental work</t>
  </si>
  <si>
    <t xml:space="preserve">  Thermal / Sandy Spring - High Ridge 230 kV</t>
  </si>
  <si>
    <t xml:space="preserve">  Voltage / Low voltage magnitude at Cochranville 230 kV</t>
  </si>
  <si>
    <t xml:space="preserve">  Thermal / Conastone - Northwest '2322' 230 kV</t>
  </si>
  <si>
    <t xml:space="preserve">  Thermal / Red Lion - Cedar Creek 230 kV</t>
  </si>
  <si>
    <t xml:space="preserve">  Thermal / Burches Hill -Talbert '068' 230 kV</t>
  </si>
  <si>
    <t xml:space="preserve">  Thermal / Tidd - Collier 345 kV</t>
  </si>
  <si>
    <t xml:space="preserve">  Turned off all internal generation</t>
  </si>
  <si>
    <t xml:space="preserve">  Thermal / Pumphrey 230/115 kV transformer</t>
  </si>
  <si>
    <t xml:space="preserve">  Thermal / Wescoville 500/138 kV transformer</t>
  </si>
  <si>
    <t xml:space="preserve">  Thermal / Roseland - Cedar Grove 230 kV</t>
  </si>
  <si>
    <t>Simultaneous</t>
  </si>
  <si>
    <t>First Contingency Total Transfer Capability (FCTTC)</t>
  </si>
  <si>
    <t>Capacity Benefit Margin (CBM)</t>
  </si>
  <si>
    <t>Approved CIL Exception Requests*</t>
  </si>
  <si>
    <t>Capacity Import Limit (CIL) for use in BRA **</t>
  </si>
  <si>
    <t>Preliminary Zonal Peak Load Forecast less FRR load</t>
  </si>
  <si>
    <t xml:space="preserve">  Thermal / Loretto - Wilton 345 kV Blue line</t>
  </si>
  <si>
    <t>#4368641</t>
  </si>
  <si>
    <t>&gt; 736</t>
  </si>
  <si>
    <t>&gt; 1967</t>
  </si>
  <si>
    <t>&gt; 2898</t>
  </si>
  <si>
    <t>&gt; 1058</t>
  </si>
  <si>
    <t>&gt; 4750</t>
  </si>
  <si>
    <t>&gt; 1829</t>
  </si>
  <si>
    <t>&gt; 1185</t>
  </si>
  <si>
    <t>&gt; 725</t>
  </si>
  <si>
    <t>&gt; 3772</t>
  </si>
  <si>
    <t>&gt; 1369</t>
  </si>
  <si>
    <t>&gt; 3278</t>
  </si>
  <si>
    <t>&gt; 265</t>
  </si>
  <si>
    <t xml:space="preserve">Confirmed NEDTS* </t>
  </si>
  <si>
    <t>&gt; 5520</t>
  </si>
  <si>
    <t>LDA Modeled with VRR Curve</t>
  </si>
  <si>
    <t>PS, PSEG NORTH</t>
  </si>
  <si>
    <t>ATSI, ATSI CLEVELAND</t>
  </si>
  <si>
    <t>Base Capacity Resource Pre-Clearing BRA Credit Rate, $/MW</t>
  </si>
  <si>
    <t>Capacity Performance Resource Pre-Clearing BRA Credit Rate, $/MW</t>
  </si>
  <si>
    <r>
      <t xml:space="preserve">  ** In addition to ensuring that the CIL used in the auction plus the granted exceptions to not exceed the granted Network External Designated (NED) transmission service less the CBM, PJM is also ensuring that the CIL used in the auction plus the granted exceptions does not exceed the FCTTC less the CBM.  </t>
    </r>
    <r>
      <rPr>
        <b/>
        <sz val="11"/>
        <color theme="1"/>
        <rFont val="Arial"/>
        <family val="2"/>
      </rPr>
      <t>Because the simultaneous limit is zero, no imports will be cleared in the auction other than those for which a CIL exception was granted.</t>
    </r>
  </si>
  <si>
    <t>Based on Pool-Wide EFORd including OMC outages</t>
  </si>
  <si>
    <t xml:space="preserve">Includes OMC outages </t>
  </si>
  <si>
    <t>DR Factor eliminated</t>
  </si>
  <si>
    <t>STRPT eliminated</t>
  </si>
  <si>
    <t>Capacity Performance Resource Credit Rates are based on the Net CONE of the modeled LDA in which the planned resource is located (see pre-clearing credit rate applicable to each modeled LDA below)</t>
  </si>
  <si>
    <r>
      <t xml:space="preserve">   *  Updated on 8/6/2015 to reflect approved CIL exception requests and confirmed NEDTS values as of </t>
    </r>
    <r>
      <rPr>
        <b/>
        <sz val="11"/>
        <color rgb="FFFF0000"/>
        <rFont val="Arial"/>
        <family val="2"/>
      </rPr>
      <t>8/4/2015</t>
    </r>
    <r>
      <rPr>
        <sz val="11"/>
        <rFont val="Arial"/>
        <family val="2"/>
      </rPr>
      <t xml:space="preserve">.  </t>
    </r>
  </si>
  <si>
    <t xml:space="preserve">Added Post-Clearing BRA Credit Rates </t>
  </si>
  <si>
    <t>2018-2019 Pre-Clearing BRA Credit Rates</t>
  </si>
  <si>
    <t>Base Capacity DR/EE Resources</t>
  </si>
  <si>
    <t>Base Capacity Resources</t>
  </si>
  <si>
    <t>Capacity Performance Resources</t>
  </si>
  <si>
    <t>Base Capacity DR/EE Resources Credit Rate, $/MW</t>
  </si>
  <si>
    <t>Base Capacity Resources Credit Rate, $/MW</t>
  </si>
  <si>
    <t>Capacity Performance Resources Credit Rate, $/MW</t>
  </si>
  <si>
    <t>2018-2019 Post-Clearing BRA Credit Rates</t>
  </si>
  <si>
    <t>Resource Clearing Price, $/MW-Day</t>
  </si>
  <si>
    <t>Post-Clearing Credit Rate, $/MW</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</si>
</sst>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5" formatCode="0.0000"/>
    <numFmt numFmtId="166" formatCode="0.0%"/>
    <numFmt numFmtId="167" formatCode="0.0"/>
    <numFmt numFmtId="168" formatCode="&quot;$&quot;#,##0.00"/>
    <numFmt numFmtId="169" formatCode="#,##0.0"/>
    <numFmt numFmtId="170" formatCode="0.00000"/>
    <numFmt numFmtId="171" formatCode="&quot;$&quot;#,##0"/>
  </numFmts>
  <fonts count="24" x14ac:knownFonts="1">
    <font>
      <sz val="10"/>
      <name val="Arial"/>
    </font>
    <font>
      <sz val="11"/>
      <color theme="1"/>
      <name val="Calibri"/>
      <family val="2"/>
      <scheme val="minor"/>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name val="Arial"/>
      <family val="2"/>
    </font>
    <font>
      <b/>
      <sz val="11"/>
      <name val="Arial"/>
      <family val="2"/>
    </font>
    <font>
      <sz val="11"/>
      <color theme="1"/>
      <name val="Calibri"/>
      <family val="2"/>
      <scheme val="minor"/>
    </font>
    <font>
      <sz val="10"/>
      <color rgb="FFFF0000"/>
      <name val="Arial"/>
      <family val="2"/>
    </font>
    <font>
      <sz val="12"/>
      <color rgb="FFFF0000"/>
      <name val="Arial"/>
      <family val="2"/>
    </font>
    <font>
      <b/>
      <sz val="12"/>
      <color rgb="FFFF0000"/>
      <name val="Arial"/>
      <family val="2"/>
    </font>
    <font>
      <sz val="12"/>
      <color rgb="FF002060"/>
      <name val="Arial"/>
      <family val="2"/>
    </font>
    <font>
      <b/>
      <sz val="14"/>
      <color rgb="FFFF0000"/>
      <name val="Arial"/>
      <family val="2"/>
    </font>
    <font>
      <sz val="10"/>
      <color theme="1"/>
      <name val="Arial"/>
      <family val="2"/>
    </font>
    <font>
      <sz val="11"/>
      <color rgb="FF1F497D"/>
      <name val="Calibri"/>
      <family val="2"/>
    </font>
    <font>
      <b/>
      <sz val="11"/>
      <color theme="1"/>
      <name val="Arial"/>
      <family val="2"/>
    </font>
    <font>
      <b/>
      <sz val="10"/>
      <color theme="1"/>
      <name val="Arial"/>
      <family val="2"/>
    </font>
    <font>
      <b/>
      <sz val="11"/>
      <color rgb="FFFF0000"/>
      <name val="Arial"/>
      <family val="2"/>
    </font>
    <font>
      <sz val="12"/>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s>
  <cellStyleXfs count="16">
    <xf numFmtId="0" fontId="0" fillId="0" borderId="0"/>
    <xf numFmtId="43" fontId="2" fillId="0" borderId="0" applyFont="0" applyFill="0" applyBorder="0" applyAlignment="0" applyProtection="0"/>
    <xf numFmtId="43" fontId="12" fillId="0" borderId="0" applyFont="0" applyFill="0" applyBorder="0" applyAlignment="0" applyProtection="0"/>
    <xf numFmtId="44" fontId="2" fillId="0" borderId="0" applyFont="0" applyFill="0" applyBorder="0" applyAlignment="0" applyProtection="0"/>
    <xf numFmtId="0" fontId="9" fillId="0" borderId="0"/>
    <xf numFmtId="0" fontId="8" fillId="0" borderId="0">
      <alignment wrapText="1"/>
    </xf>
    <xf numFmtId="0" fontId="8" fillId="0" borderId="0"/>
    <xf numFmtId="0" fontId="12" fillId="0" borderId="0"/>
    <xf numFmtId="9"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0" fontId="8" fillId="0" borderId="0"/>
    <xf numFmtId="0" fontId="1" fillId="0" borderId="0"/>
    <xf numFmtId="9" fontId="8" fillId="0" borderId="0" applyFont="0" applyFill="0" applyBorder="0" applyAlignment="0" applyProtection="0"/>
    <xf numFmtId="0" fontId="18" fillId="0" borderId="0"/>
  </cellStyleXfs>
  <cellXfs count="208">
    <xf numFmtId="0" fontId="0" fillId="0" borderId="0" xfId="0"/>
    <xf numFmtId="0" fontId="0" fillId="0" borderId="0" xfId="0" applyAlignment="1">
      <alignment horizontal="center"/>
    </xf>
    <xf numFmtId="0" fontId="7" fillId="0" borderId="0" xfId="0" applyFont="1" applyBorder="1"/>
    <xf numFmtId="0" fontId="4" fillId="0" borderId="0" xfId="0" applyFont="1" applyAlignment="1">
      <alignment wrapText="1"/>
    </xf>
    <xf numFmtId="0" fontId="8" fillId="0" borderId="0" xfId="0" applyFont="1"/>
    <xf numFmtId="169" fontId="7" fillId="0" borderId="1" xfId="0" applyNumberFormat="1" applyFont="1" applyBorder="1" applyAlignment="1">
      <alignment horizontal="center" vertical="center" wrapText="1"/>
    </xf>
    <xf numFmtId="171" fontId="7" fillId="0" borderId="1" xfId="0" applyNumberFormat="1" applyFont="1" applyBorder="1" applyAlignment="1">
      <alignment horizontal="center" vertical="center" wrapText="1"/>
    </xf>
    <xf numFmtId="168" fontId="7"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0" fontId="7" fillId="0" borderId="0" xfId="0" applyFont="1" applyAlignment="1">
      <alignment wrapText="1"/>
    </xf>
    <xf numFmtId="0" fontId="0" fillId="0" borderId="0" xfId="0" applyAlignment="1">
      <alignment wrapText="1"/>
    </xf>
    <xf numFmtId="0" fontId="6" fillId="2" borderId="1" xfId="0" applyFont="1" applyFill="1" applyBorder="1" applyAlignment="1">
      <alignment wrapText="1"/>
    </xf>
    <xf numFmtId="0" fontId="7" fillId="0" borderId="1" xfId="0" applyFont="1" applyBorder="1" applyAlignment="1">
      <alignment vertical="center" wrapText="1"/>
    </xf>
    <xf numFmtId="6" fontId="7"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4" fillId="0" borderId="0" xfId="0" applyFont="1" applyBorder="1"/>
    <xf numFmtId="0" fontId="8" fillId="0" borderId="0" xfId="0" applyFont="1" applyBorder="1"/>
    <xf numFmtId="166" fontId="7" fillId="0" borderId="1" xfId="8" applyNumberFormat="1" applyFont="1" applyBorder="1" applyAlignment="1">
      <alignment horizontal="right" vertical="center"/>
    </xf>
    <xf numFmtId="166" fontId="7" fillId="0" borderId="1" xfId="0" applyNumberFormat="1" applyFont="1" applyBorder="1" applyAlignment="1">
      <alignment horizontal="right" vertical="center"/>
    </xf>
    <xf numFmtId="168" fontId="7" fillId="0" borderId="1" xfId="0" applyNumberFormat="1" applyFont="1" applyBorder="1" applyAlignment="1">
      <alignment horizontal="right" vertical="center" wrapText="1"/>
    </xf>
    <xf numFmtId="169" fontId="7" fillId="0" borderId="1" xfId="0" applyNumberFormat="1" applyFont="1" applyBorder="1" applyAlignment="1">
      <alignment horizontal="right" vertical="center" wrapText="1"/>
    </xf>
    <xf numFmtId="167" fontId="7" fillId="0" borderId="1" xfId="0" applyNumberFormat="1" applyFont="1" applyBorder="1" applyAlignment="1">
      <alignment horizontal="right" vertical="center"/>
    </xf>
    <xf numFmtId="0" fontId="7" fillId="0" borderId="1" xfId="0" applyFont="1" applyBorder="1" applyAlignment="1">
      <alignment horizontal="right" vertical="center"/>
    </xf>
    <xf numFmtId="168" fontId="6" fillId="0" borderId="1" xfId="0" applyNumberFormat="1" applyFont="1" applyBorder="1" applyAlignment="1">
      <alignment horizontal="right" vertical="center" wrapText="1"/>
    </xf>
    <xf numFmtId="0" fontId="7" fillId="0" borderId="1" xfId="0" applyFont="1" applyBorder="1" applyAlignment="1">
      <alignment horizontal="center" vertical="center" wrapText="1"/>
    </xf>
    <xf numFmtId="0" fontId="6" fillId="0" borderId="0" xfId="0" applyFont="1" applyBorder="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0" fontId="7" fillId="0" borderId="1" xfId="0" applyFont="1" applyBorder="1" applyAlignment="1">
      <alignment horizontal="left" vertical="center"/>
    </xf>
    <xf numFmtId="166" fontId="7"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165"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66" fontId="7" fillId="0" borderId="1" xfId="8" applyNumberFormat="1" applyFont="1" applyBorder="1" applyAlignment="1">
      <alignment horizontal="center" vertical="center"/>
    </xf>
    <xf numFmtId="0" fontId="6" fillId="0" borderId="1" xfId="0" applyFont="1" applyBorder="1" applyAlignment="1">
      <alignment horizontal="center" vertical="center"/>
    </xf>
    <xf numFmtId="166" fontId="7" fillId="0" borderId="1" xfId="0" applyNumberFormat="1" applyFont="1" applyBorder="1" applyAlignment="1">
      <alignment horizontal="right" vertical="center" wrapText="1"/>
    </xf>
    <xf numFmtId="0" fontId="6" fillId="0" borderId="2" xfId="0" applyFont="1" applyBorder="1" applyAlignment="1">
      <alignment horizontal="center" vertical="center"/>
    </xf>
    <xf numFmtId="0" fontId="7" fillId="0" borderId="3" xfId="0" applyFont="1" applyBorder="1" applyAlignment="1">
      <alignment horizontal="left" vertical="center" wrapText="1"/>
    </xf>
    <xf numFmtId="1" fontId="7" fillId="0" borderId="3" xfId="0" applyNumberFormat="1" applyFont="1" applyBorder="1" applyAlignment="1">
      <alignment horizontal="left" vertical="center" wrapText="1"/>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wrapText="1"/>
    </xf>
    <xf numFmtId="0" fontId="7" fillId="0" borderId="1" xfId="0" applyFont="1" applyFill="1" applyBorder="1" applyAlignment="1">
      <alignment horizontal="right" vertical="center"/>
    </xf>
    <xf numFmtId="0" fontId="6" fillId="0" borderId="1" xfId="0" applyFont="1" applyFill="1" applyBorder="1" applyAlignment="1">
      <alignment horizontal="left" vertical="center"/>
    </xf>
    <xf numFmtId="169" fontId="7" fillId="0" borderId="1" xfId="8" applyNumberFormat="1" applyFont="1" applyBorder="1" applyAlignment="1">
      <alignment horizontal="right" vertical="center"/>
    </xf>
    <xf numFmtId="0" fontId="11" fillId="0" borderId="6" xfId="4" applyFont="1" applyBorder="1" applyAlignment="1">
      <alignment vertical="center"/>
    </xf>
    <xf numFmtId="0" fontId="11" fillId="0" borderId="7" xfId="4" applyFont="1" applyBorder="1" applyAlignment="1">
      <alignment horizontal="center" vertical="center"/>
    </xf>
    <xf numFmtId="0" fontId="13" fillId="0" borderId="0" xfId="0" applyFont="1"/>
    <xf numFmtId="0" fontId="0" fillId="0" borderId="0" xfId="0" applyFill="1"/>
    <xf numFmtId="171" fontId="7" fillId="0" borderId="1" xfId="0" applyNumberFormat="1" applyFont="1" applyFill="1" applyBorder="1" applyAlignment="1">
      <alignment horizontal="center" vertical="center" wrapText="1"/>
    </xf>
    <xf numFmtId="8" fontId="0" fillId="0" borderId="0" xfId="0" applyNumberFormat="1"/>
    <xf numFmtId="167" fontId="7" fillId="0" borderId="1" xfId="0" applyNumberFormat="1" applyFont="1" applyBorder="1" applyAlignment="1">
      <alignment horizontal="right" vertical="center" wrapText="1"/>
    </xf>
    <xf numFmtId="170" fontId="7" fillId="0" borderId="1" xfId="8" applyNumberFormat="1" applyFont="1" applyBorder="1" applyAlignment="1">
      <alignment horizontal="right" vertical="center"/>
    </xf>
    <xf numFmtId="169" fontId="7" fillId="0" borderId="1" xfId="8" applyNumberFormat="1" applyFont="1" applyFill="1" applyBorder="1" applyAlignment="1">
      <alignment horizontal="right" vertical="center"/>
    </xf>
    <xf numFmtId="167" fontId="7" fillId="0" borderId="1" xfId="8" applyNumberFormat="1" applyFont="1" applyBorder="1" applyAlignment="1">
      <alignment horizontal="right" vertical="center"/>
    </xf>
    <xf numFmtId="9" fontId="7" fillId="0" borderId="1" xfId="8" applyFont="1" applyFill="1" applyBorder="1" applyAlignment="1">
      <alignment horizontal="right" vertical="center"/>
    </xf>
    <xf numFmtId="9" fontId="7" fillId="0" borderId="1" xfId="8" applyNumberFormat="1" applyFont="1" applyFill="1" applyBorder="1" applyAlignment="1">
      <alignment horizontal="right" vertical="center"/>
    </xf>
    <xf numFmtId="0" fontId="6" fillId="0" borderId="0" xfId="0" applyFont="1" applyBorder="1" applyAlignment="1">
      <alignment horizontal="left"/>
    </xf>
    <xf numFmtId="0" fontId="7" fillId="0" borderId="0" xfId="0" applyFont="1" applyBorder="1" applyAlignment="1">
      <alignment vertical="center"/>
    </xf>
    <xf numFmtId="0" fontId="7" fillId="0" borderId="0" xfId="0" applyFont="1" applyBorder="1" applyAlignment="1">
      <alignment horizontal="left" vertical="center"/>
    </xf>
    <xf numFmtId="0" fontId="13" fillId="0" borderId="0" xfId="0" applyFont="1" applyBorder="1" applyAlignment="1">
      <alignment horizontal="center" vertical="center"/>
    </xf>
    <xf numFmtId="0" fontId="4" fillId="0" borderId="0" xfId="0" applyFont="1" applyAlignment="1">
      <alignment horizontal="right" wrapText="1"/>
    </xf>
    <xf numFmtId="0" fontId="14" fillId="0" borderId="0" xfId="0" applyFont="1" applyBorder="1"/>
    <xf numFmtId="0" fontId="5" fillId="0" borderId="0" xfId="0" applyFont="1" applyBorder="1" applyAlignment="1">
      <alignment horizontal="left" vertical="center"/>
    </xf>
    <xf numFmtId="169" fontId="7" fillId="0" borderId="1" xfId="0" applyNumberFormat="1" applyFont="1" applyBorder="1" applyAlignment="1">
      <alignment horizontal="center" vertical="center"/>
    </xf>
    <xf numFmtId="169" fontId="6" fillId="0" borderId="1" xfId="0" applyNumberFormat="1" applyFont="1" applyBorder="1" applyAlignment="1">
      <alignment horizontal="right" vertical="center" wrapText="1"/>
    </xf>
    <xf numFmtId="169" fontId="7" fillId="0" borderId="1" xfId="0" applyNumberFormat="1" applyFont="1" applyFill="1" applyBorder="1" applyAlignment="1">
      <alignment horizontal="right" vertical="center"/>
    </xf>
    <xf numFmtId="169" fontId="7" fillId="0" borderId="0" xfId="0" applyNumberFormat="1" applyFont="1" applyBorder="1" applyAlignment="1">
      <alignment horizontal="left" vertical="center"/>
    </xf>
    <xf numFmtId="0" fontId="6" fillId="0" borderId="1" xfId="0" applyFont="1" applyFill="1" applyBorder="1" applyAlignment="1">
      <alignment horizontal="center" vertical="center"/>
    </xf>
    <xf numFmtId="169" fontId="7" fillId="0" borderId="1" xfId="1" applyNumberFormat="1" applyFont="1" applyFill="1" applyBorder="1" applyAlignment="1">
      <alignment horizontal="right" vertical="center"/>
    </xf>
    <xf numFmtId="166" fontId="6" fillId="0" borderId="1" xfId="8" applyNumberFormat="1" applyFont="1" applyFill="1" applyBorder="1" applyAlignment="1">
      <alignment horizontal="right" vertical="center"/>
    </xf>
    <xf numFmtId="169" fontId="16" fillId="0" borderId="1" xfId="0" applyNumberFormat="1" applyFont="1" applyFill="1" applyBorder="1" applyAlignment="1">
      <alignment horizontal="right" vertical="center"/>
    </xf>
    <xf numFmtId="0" fontId="6" fillId="0" borderId="0" xfId="0" applyFont="1" applyFill="1" applyBorder="1" applyAlignment="1">
      <alignment horizontal="left" vertical="center"/>
    </xf>
    <xf numFmtId="166" fontId="7" fillId="0" borderId="0" xfId="8" applyNumberFormat="1" applyFont="1" applyBorder="1"/>
    <xf numFmtId="0" fontId="7" fillId="0" borderId="19" xfId="0" applyFont="1" applyFill="1" applyBorder="1" applyAlignment="1">
      <alignment horizontal="right" vertical="center"/>
    </xf>
    <xf numFmtId="0" fontId="15" fillId="0" borderId="0" xfId="0" applyFont="1" applyBorder="1" applyAlignment="1">
      <alignment vertical="center"/>
    </xf>
    <xf numFmtId="0" fontId="15" fillId="0" borderId="0" xfId="0" applyFont="1" applyBorder="1" applyAlignment="1">
      <alignment horizontal="left" vertical="center"/>
    </xf>
    <xf numFmtId="1" fontId="6" fillId="0" borderId="3" xfId="0" applyNumberFormat="1" applyFont="1" applyBorder="1" applyAlignment="1">
      <alignment horizontal="left"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3" borderId="1" xfId="0" applyFont="1" applyFill="1" applyBorder="1" applyAlignment="1">
      <alignment vertical="center"/>
    </xf>
    <xf numFmtId="0" fontId="7" fillId="4" borderId="1" xfId="0" applyFont="1" applyFill="1" applyBorder="1" applyAlignment="1">
      <alignment vertical="center"/>
    </xf>
    <xf numFmtId="166" fontId="6" fillId="4" borderId="1" xfId="8" applyNumberFormat="1" applyFont="1" applyFill="1" applyBorder="1" applyAlignment="1">
      <alignment horizontal="right" vertical="center"/>
    </xf>
    <xf numFmtId="0" fontId="7" fillId="5" borderId="1" xfId="0" applyFont="1" applyFill="1" applyBorder="1" applyAlignment="1">
      <alignment horizontal="left" vertical="center"/>
    </xf>
    <xf numFmtId="0" fontId="7" fillId="5" borderId="1" xfId="0" applyFont="1" applyFill="1" applyBorder="1" applyAlignment="1">
      <alignment horizontal="right" vertical="center"/>
    </xf>
    <xf numFmtId="0" fontId="7" fillId="5" borderId="11" xfId="0" applyFont="1" applyFill="1" applyBorder="1" applyAlignment="1">
      <alignment horizontal="left" vertical="center"/>
    </xf>
    <xf numFmtId="0" fontId="7" fillId="5" borderId="11" xfId="0" applyFont="1" applyFill="1" applyBorder="1" applyAlignment="1">
      <alignment horizontal="right" vertical="center"/>
    </xf>
    <xf numFmtId="0" fontId="8" fillId="0" borderId="6" xfId="0" applyFont="1" applyFill="1" applyBorder="1" applyAlignment="1">
      <alignment vertical="top"/>
    </xf>
    <xf numFmtId="0" fontId="8" fillId="0" borderId="7" xfId="0" applyFont="1" applyFill="1" applyBorder="1" applyAlignment="1">
      <alignment vertical="top" wrapText="1"/>
    </xf>
    <xf numFmtId="0" fontId="8" fillId="0" borderId="18" xfId="0" applyFont="1" applyFill="1" applyBorder="1" applyAlignment="1">
      <alignment horizontal="center" vertical="top"/>
    </xf>
    <xf numFmtId="0" fontId="11" fillId="0" borderId="18" xfId="4" applyFont="1" applyBorder="1" applyAlignment="1">
      <alignment horizontal="center"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0" fillId="0" borderId="9" xfId="0" applyBorder="1" applyAlignment="1">
      <alignment horizontal="left"/>
    </xf>
    <xf numFmtId="0" fontId="7" fillId="0" borderId="1" xfId="0" applyFont="1" applyBorder="1" applyAlignment="1">
      <alignment horizontal="left" vertical="center"/>
    </xf>
    <xf numFmtId="168" fontId="7" fillId="0" borderId="1" xfId="0" applyNumberFormat="1" applyFont="1" applyBorder="1" applyAlignment="1">
      <alignment horizontal="center" vertical="center"/>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0" borderId="0" xfId="0" applyFont="1" applyFill="1" applyBorder="1" applyAlignment="1">
      <alignment horizontal="left" vertical="center"/>
    </xf>
    <xf numFmtId="0" fontId="5" fillId="0" borderId="0" xfId="0" applyFont="1" applyAlignment="1"/>
    <xf numFmtId="10" fontId="15" fillId="0" borderId="1" xfId="8" applyNumberFormat="1" applyFont="1" applyBorder="1" applyAlignment="1">
      <alignment vertical="center"/>
    </xf>
    <xf numFmtId="0" fontId="7" fillId="0" borderId="1" xfId="0" applyFont="1" applyFill="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left" vertical="center"/>
    </xf>
    <xf numFmtId="0" fontId="0" fillId="0" borderId="0" xfId="0" applyBorder="1" applyAlignment="1">
      <alignment horizontal="left"/>
    </xf>
    <xf numFmtId="0" fontId="6" fillId="0" borderId="0" xfId="0" applyFont="1" applyBorder="1" applyAlignment="1">
      <alignment horizontal="center" vertical="center"/>
    </xf>
    <xf numFmtId="0" fontId="7" fillId="0" borderId="0" xfId="0" applyFont="1" applyFill="1" applyBorder="1" applyAlignment="1">
      <alignment vertical="center"/>
    </xf>
    <xf numFmtId="0" fontId="17" fillId="0" borderId="0" xfId="0" applyFont="1" applyAlignment="1"/>
    <xf numFmtId="0" fontId="13" fillId="0" borderId="0" xfId="0" applyFont="1" applyBorder="1" applyAlignment="1">
      <alignment vertical="center"/>
    </xf>
    <xf numFmtId="0" fontId="17" fillId="0" borderId="0" xfId="0" applyFont="1" applyBorder="1" applyAlignment="1">
      <alignment horizontal="left" vertical="center"/>
    </xf>
    <xf numFmtId="0" fontId="6" fillId="0" borderId="1" xfId="0" applyFont="1" applyBorder="1" applyAlignment="1">
      <alignment horizontal="center" vertical="center" wrapText="1"/>
    </xf>
    <xf numFmtId="0" fontId="7" fillId="0" borderId="0" xfId="6" applyFont="1" applyFill="1" applyBorder="1" applyAlignment="1">
      <alignment vertical="center"/>
    </xf>
    <xf numFmtId="0" fontId="13" fillId="0" borderId="0" xfId="0" applyFont="1" applyBorder="1"/>
    <xf numFmtId="0" fontId="8" fillId="0" borderId="0" xfId="7" applyFont="1" applyFill="1" applyBorder="1" applyAlignment="1">
      <alignment vertical="top"/>
    </xf>
    <xf numFmtId="0" fontId="8" fillId="0" borderId="0" xfId="7" applyFont="1" applyFill="1" applyBorder="1" applyAlignment="1">
      <alignment vertical="top" wrapText="1"/>
    </xf>
    <xf numFmtId="0" fontId="8" fillId="0" borderId="0" xfId="7" applyFont="1" applyFill="1" applyBorder="1" applyAlignment="1">
      <alignment horizontal="center" vertical="top"/>
    </xf>
    <xf numFmtId="0" fontId="8" fillId="0" borderId="1" xfId="15" applyFont="1" applyFill="1" applyBorder="1" applyAlignment="1">
      <alignment vertical="top" wrapText="1"/>
    </xf>
    <xf numFmtId="0" fontId="8" fillId="0" borderId="3" xfId="15" applyFont="1" applyFill="1" applyBorder="1" applyAlignment="1">
      <alignment vertical="top"/>
    </xf>
    <xf numFmtId="0" fontId="8" fillId="0" borderId="15" xfId="15" applyFont="1" applyFill="1" applyBorder="1" applyAlignment="1">
      <alignment horizontal="center" vertical="top"/>
    </xf>
    <xf numFmtId="0" fontId="8" fillId="0" borderId="12" xfId="15" applyFont="1" applyFill="1" applyBorder="1" applyAlignment="1">
      <alignment vertical="top"/>
    </xf>
    <xf numFmtId="0" fontId="8" fillId="0" borderId="13" xfId="15" applyFont="1" applyFill="1" applyBorder="1" applyAlignment="1">
      <alignment vertical="top" wrapText="1"/>
    </xf>
    <xf numFmtId="0" fontId="8" fillId="0" borderId="16" xfId="15" applyFont="1" applyFill="1" applyBorder="1" applyAlignment="1">
      <alignment horizontal="center" vertical="top"/>
    </xf>
    <xf numFmtId="0" fontId="8" fillId="0" borderId="4" xfId="15" applyFont="1" applyFill="1" applyBorder="1" applyAlignment="1">
      <alignment vertical="top"/>
    </xf>
    <xf numFmtId="0" fontId="8" fillId="0" borderId="2" xfId="15" applyFont="1" applyFill="1" applyBorder="1" applyAlignment="1">
      <alignment vertical="top" wrapText="1"/>
    </xf>
    <xf numFmtId="0" fontId="8" fillId="0" borderId="24" xfId="15" applyFont="1" applyFill="1" applyBorder="1" applyAlignment="1">
      <alignment horizontal="center" vertical="top"/>
    </xf>
    <xf numFmtId="0" fontId="19" fillId="0" borderId="0" xfId="0" applyFont="1" applyAlignment="1">
      <alignment vertical="center"/>
    </xf>
    <xf numFmtId="0" fontId="6" fillId="0" borderId="1" xfId="0" applyFont="1" applyFill="1" applyBorder="1" applyAlignment="1">
      <alignment horizontal="right" vertical="center"/>
    </xf>
    <xf numFmtId="0" fontId="6" fillId="0" borderId="1" xfId="0" applyFont="1" applyBorder="1" applyAlignment="1">
      <alignment horizontal="left"/>
    </xf>
    <xf numFmtId="0" fontId="5" fillId="0" borderId="1" xfId="0" applyFont="1" applyBorder="1" applyAlignment="1">
      <alignment horizontal="center" vertical="center"/>
    </xf>
    <xf numFmtId="3" fontId="7" fillId="0" borderId="1" xfId="0" applyNumberFormat="1" applyFont="1" applyBorder="1" applyAlignment="1">
      <alignment horizontal="right" vertical="center"/>
    </xf>
    <xf numFmtId="3" fontId="0" fillId="0" borderId="0" xfId="0" applyNumberFormat="1"/>
    <xf numFmtId="1" fontId="7" fillId="0" borderId="1" xfId="0" applyNumberFormat="1" applyFont="1" applyBorder="1" applyAlignment="1">
      <alignment horizontal="right" vertical="center"/>
    </xf>
    <xf numFmtId="169" fontId="0" fillId="0" borderId="0" xfId="0" applyNumberFormat="1"/>
    <xf numFmtId="169" fontId="7" fillId="0" borderId="1" xfId="0" applyNumberFormat="1" applyFont="1" applyBorder="1" applyAlignment="1">
      <alignment horizontal="right" vertical="center"/>
    </xf>
    <xf numFmtId="169" fontId="6" fillId="0" borderId="1" xfId="1" applyNumberFormat="1" applyFont="1" applyBorder="1" applyAlignment="1">
      <alignment horizontal="right" vertical="center"/>
    </xf>
    <xf numFmtId="169" fontId="6" fillId="0" borderId="1" xfId="0" applyNumberFormat="1" applyFont="1" applyBorder="1" applyAlignment="1">
      <alignment horizontal="right" vertical="center"/>
    </xf>
    <xf numFmtId="169" fontId="7" fillId="0" borderId="1" xfId="1" applyNumberFormat="1" applyFont="1" applyFill="1" applyBorder="1" applyAlignment="1">
      <alignment vertical="center"/>
    </xf>
    <xf numFmtId="0" fontId="7" fillId="0" borderId="1" xfId="0" applyFont="1" applyBorder="1" applyAlignment="1">
      <alignment horizontal="right"/>
    </xf>
    <xf numFmtId="0" fontId="7" fillId="0" borderId="10" xfId="0" applyFont="1" applyFill="1" applyBorder="1" applyAlignment="1">
      <alignment horizontal="right" vertical="center"/>
    </xf>
    <xf numFmtId="168" fontId="0" fillId="0" borderId="0" xfId="0" applyNumberFormat="1"/>
    <xf numFmtId="10" fontId="7" fillId="5" borderId="11" xfId="0" applyNumberFormat="1" applyFont="1" applyFill="1" applyBorder="1" applyAlignment="1">
      <alignment horizontal="right" vertical="center"/>
    </xf>
    <xf numFmtId="0" fontId="7" fillId="2" borderId="1" xfId="0" applyFont="1" applyFill="1" applyBorder="1" applyAlignment="1">
      <alignment wrapText="1"/>
    </xf>
    <xf numFmtId="0" fontId="7" fillId="0" borderId="1" xfId="0" applyFont="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10" fillId="0" borderId="0" xfId="0" applyFont="1" applyBorder="1" applyAlignment="1">
      <alignment vertical="top" wrapText="1"/>
    </xf>
    <xf numFmtId="14"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21" fillId="0" borderId="0" xfId="0" applyFont="1" applyFill="1"/>
    <xf numFmtId="0" fontId="7" fillId="0" borderId="1" xfId="0" applyFont="1" applyBorder="1" applyAlignment="1">
      <alignment horizontal="left" vertical="center"/>
    </xf>
    <xf numFmtId="0" fontId="6" fillId="0" borderId="1" xfId="0" applyFont="1" applyBorder="1" applyAlignment="1">
      <alignment horizontal="center" vertical="center" wrapText="1"/>
    </xf>
    <xf numFmtId="0" fontId="23" fillId="0" borderId="1" xfId="0" applyFont="1" applyFill="1" applyBorder="1" applyAlignment="1">
      <alignment horizontal="left" vertical="center" wrapText="1"/>
    </xf>
    <xf numFmtId="168" fontId="23" fillId="0" borderId="1" xfId="0" applyNumberFormat="1" applyFont="1" applyFill="1" applyBorder="1" applyAlignment="1">
      <alignment horizontal="right" vertical="center"/>
    </xf>
    <xf numFmtId="0" fontId="4" fillId="0" borderId="1" xfId="0" applyFont="1" applyBorder="1" applyAlignment="1">
      <alignment horizontal="center" vertical="center" wrapText="1"/>
    </xf>
    <xf numFmtId="168" fontId="23" fillId="0" borderId="1" xfId="3" applyNumberFormat="1" applyFont="1" applyBorder="1" applyAlignment="1">
      <alignment horizontal="center" vertical="center" wrapText="1"/>
    </xf>
    <xf numFmtId="44" fontId="23" fillId="0" borderId="1" xfId="3" applyFont="1" applyBorder="1" applyAlignment="1">
      <alignment horizontal="center" vertical="center" wrapText="1"/>
    </xf>
    <xf numFmtId="0" fontId="5" fillId="0" borderId="0" xfId="0" applyFont="1" applyBorder="1" applyAlignment="1">
      <alignment horizontal="left"/>
    </xf>
    <xf numFmtId="168" fontId="23" fillId="0" borderId="1" xfId="0" applyNumberFormat="1" applyFont="1" applyFill="1" applyBorder="1" applyAlignment="1">
      <alignment horizontal="center" vertical="center"/>
    </xf>
    <xf numFmtId="0" fontId="0" fillId="0" borderId="0" xfId="0" applyBorder="1"/>
    <xf numFmtId="0" fontId="0" fillId="0" borderId="1" xfId="0" applyBorder="1"/>
    <xf numFmtId="168" fontId="7" fillId="0" borderId="1" xfId="0" applyNumberFormat="1" applyFont="1" applyFill="1" applyBorder="1" applyAlignment="1">
      <alignment horizontal="center" vertical="center" wrapText="1"/>
    </xf>
    <xf numFmtId="168" fontId="23" fillId="0" borderId="10" xfId="3" applyNumberFormat="1" applyFont="1" applyBorder="1" applyAlignment="1">
      <alignment horizontal="center" vertical="center" wrapText="1"/>
    </xf>
    <xf numFmtId="168" fontId="23" fillId="0" borderId="17" xfId="3" applyNumberFormat="1" applyFont="1" applyBorder="1" applyAlignment="1">
      <alignment horizontal="center" vertical="center" wrapText="1"/>
    </xf>
    <xf numFmtId="168" fontId="7" fillId="0" borderId="11" xfId="0" applyNumberFormat="1" applyFont="1" applyBorder="1" applyAlignment="1">
      <alignment horizontal="center" vertical="center" wrapText="1"/>
    </xf>
    <xf numFmtId="168" fontId="23" fillId="0" borderId="0" xfId="3" applyNumberFormat="1" applyFont="1" applyBorder="1" applyAlignment="1">
      <alignment horizontal="center" vertical="center" wrapText="1"/>
    </xf>
    <xf numFmtId="169" fontId="7" fillId="0" borderId="1" xfId="0" applyNumberFormat="1" applyFont="1" applyFill="1" applyBorder="1" applyAlignment="1">
      <alignment horizontal="left" vertical="center"/>
    </xf>
    <xf numFmtId="0" fontId="7" fillId="0" borderId="1" xfId="6" applyFont="1" applyFill="1" applyBorder="1" applyAlignment="1">
      <alignment vertical="center"/>
    </xf>
    <xf numFmtId="0" fontId="6" fillId="0" borderId="1" xfId="0" applyFont="1" applyBorder="1" applyAlignment="1">
      <alignment horizontal="left" vertical="center"/>
    </xf>
    <xf numFmtId="0" fontId="14" fillId="0" borderId="10" xfId="0" applyFont="1" applyBorder="1" applyAlignment="1">
      <alignment horizontal="left" vertical="center"/>
    </xf>
    <xf numFmtId="0" fontId="14" fillId="0" borderId="20" xfId="0" applyFont="1" applyBorder="1" applyAlignment="1">
      <alignment horizontal="left" vertical="center"/>
    </xf>
    <xf numFmtId="0" fontId="14" fillId="0" borderId="17" xfId="0" applyFont="1" applyBorder="1" applyAlignment="1">
      <alignment horizontal="left" vertical="center"/>
    </xf>
    <xf numFmtId="0" fontId="5" fillId="0" borderId="1" xfId="0" applyFont="1" applyBorder="1" applyAlignment="1">
      <alignment horizontal="left" vertical="center"/>
    </xf>
    <xf numFmtId="169" fontId="10" fillId="0" borderId="11" xfId="8" applyNumberFormat="1" applyFont="1" applyBorder="1" applyAlignment="1">
      <alignment horizontal="center" vertical="center" wrapText="1"/>
    </xf>
    <xf numFmtId="169" fontId="10" fillId="0" borderId="14" xfId="0" applyNumberFormat="1" applyFont="1" applyBorder="1" applyAlignment="1">
      <alignment horizontal="center" vertical="center" wrapText="1"/>
    </xf>
    <xf numFmtId="169" fontId="10" fillId="0" borderId="2" xfId="0" applyNumberFormat="1" applyFont="1" applyBorder="1" applyAlignment="1">
      <alignment horizontal="center" vertical="center" wrapText="1"/>
    </xf>
    <xf numFmtId="0" fontId="7" fillId="0" borderId="1" xfId="0" applyFont="1" applyBorder="1" applyAlignment="1">
      <alignment vertical="center"/>
    </xf>
    <xf numFmtId="0" fontId="6" fillId="0" borderId="1" xfId="0" applyFont="1" applyBorder="1" applyAlignment="1">
      <alignment horizontal="left"/>
    </xf>
    <xf numFmtId="0" fontId="7" fillId="0" borderId="1" xfId="0" applyFont="1" applyBorder="1" applyAlignment="1">
      <alignment horizontal="left" vertical="center"/>
    </xf>
    <xf numFmtId="0" fontId="7" fillId="0" borderId="10" xfId="0" applyFont="1" applyBorder="1" applyAlignment="1">
      <alignment vertical="center" wrapText="1"/>
    </xf>
    <xf numFmtId="0" fontId="7" fillId="0" borderId="20" xfId="0" applyFont="1" applyBorder="1" applyAlignment="1">
      <alignment vertical="center" wrapText="1"/>
    </xf>
    <xf numFmtId="0" fontId="7" fillId="0" borderId="17"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20" xfId="0" applyFont="1" applyBorder="1" applyAlignment="1">
      <alignment horizontal="left" vertical="center" wrapText="1"/>
    </xf>
    <xf numFmtId="0" fontId="6" fillId="0" borderId="1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7" fillId="0" borderId="1" xfId="0" applyFont="1" applyFill="1" applyBorder="1" applyAlignment="1">
      <alignment horizontal="left" vertical="center"/>
    </xf>
    <xf numFmtId="0" fontId="8" fillId="0" borderId="8" xfId="0" applyFont="1" applyFill="1" applyBorder="1" applyAlignment="1">
      <alignment vertical="center" wrapText="1"/>
    </xf>
    <xf numFmtId="0" fontId="8" fillId="0" borderId="9" xfId="0" applyFont="1" applyFill="1" applyBorder="1" applyAlignment="1">
      <alignment vertical="center" wrapText="1"/>
    </xf>
    <xf numFmtId="0" fontId="5" fillId="0" borderId="0" xfId="0" applyFont="1" applyAlignment="1"/>
    <xf numFmtId="0" fontId="7" fillId="0" borderId="11" xfId="0" applyFont="1" applyBorder="1" applyAlignment="1">
      <alignment vertical="center"/>
    </xf>
    <xf numFmtId="0" fontId="5" fillId="0" borderId="11" xfId="4" applyFont="1" applyBorder="1" applyAlignment="1">
      <alignment horizontal="center" vertical="center"/>
    </xf>
    <xf numFmtId="0" fontId="5" fillId="0" borderId="21" xfId="5" applyFont="1" applyFill="1" applyBorder="1" applyAlignment="1">
      <alignment horizontal="center" vertical="center"/>
    </xf>
    <xf numFmtId="0" fontId="5" fillId="0" borderId="22" xfId="5" applyFont="1" applyFill="1" applyBorder="1" applyAlignment="1">
      <alignment horizontal="center" vertical="center"/>
    </xf>
    <xf numFmtId="0" fontId="5" fillId="0" borderId="23" xfId="5" applyFont="1" applyFill="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5"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0" applyFont="1" applyBorder="1" applyAlignment="1">
      <alignment vertical="top" wrapText="1"/>
    </xf>
    <xf numFmtId="0" fontId="5" fillId="0" borderId="0" xfId="0" applyFont="1" applyBorder="1" applyAlignment="1">
      <alignment horizontal="left"/>
    </xf>
  </cellXfs>
  <cellStyles count="16">
    <cellStyle name="Comma" xfId="1" builtinId="3"/>
    <cellStyle name="Comma 2" xfId="2"/>
    <cellStyle name="Comma 2 2" xfId="10"/>
    <cellStyle name="Comma 3" xfId="9"/>
    <cellStyle name="Currency" xfId="3" builtinId="4"/>
    <cellStyle name="Currency 2" xfId="11"/>
    <cellStyle name="Normal" xfId="0" builtinId="0"/>
    <cellStyle name="Normal 2" xfId="4"/>
    <cellStyle name="Normal 2 2" xfId="5"/>
    <cellStyle name="Normal 2 3" xfId="12"/>
    <cellStyle name="Normal 3" xfId="15"/>
    <cellStyle name="Normal 4 3" xfId="6"/>
    <cellStyle name="Normal 6" xfId="7"/>
    <cellStyle name="Normal 6 2" xfId="13"/>
    <cellStyle name="Percent" xfId="8" builtinId="5"/>
    <cellStyle name="Percent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81"/>
  <sheetViews>
    <sheetView tabSelected="1" zoomScaleNormal="100" zoomScaleSheetLayoutView="75" workbookViewId="0">
      <selection sqref="A1:F1"/>
    </sheetView>
  </sheetViews>
  <sheetFormatPr defaultColWidth="30.6640625" defaultRowHeight="13.2" x14ac:dyDescent="0.25"/>
  <cols>
    <col min="1" max="1" width="48.88671875" customWidth="1"/>
    <col min="2" max="7" width="16.6640625" style="1" customWidth="1"/>
    <col min="8" max="8" width="16.6640625" customWidth="1"/>
    <col min="9" max="9" width="17.6640625" customWidth="1"/>
    <col min="10" max="14" width="18.6640625" customWidth="1"/>
    <col min="15" max="15" width="41.33203125" bestFit="1" customWidth="1"/>
  </cols>
  <sheetData>
    <row r="1" spans="1:15" ht="24.9" customHeight="1" x14ac:dyDescent="0.3">
      <c r="A1" s="175" t="s">
        <v>105</v>
      </c>
      <c r="B1" s="175"/>
      <c r="C1" s="175"/>
      <c r="D1" s="175"/>
      <c r="E1" s="175"/>
      <c r="F1" s="175"/>
      <c r="G1" s="150">
        <v>42242</v>
      </c>
      <c r="H1" s="151" t="s">
        <v>200</v>
      </c>
      <c r="I1" s="25" t="s">
        <v>12</v>
      </c>
    </row>
    <row r="2" spans="1:15" ht="18" customHeight="1" x14ac:dyDescent="0.3">
      <c r="A2" s="172" t="s">
        <v>227</v>
      </c>
      <c r="B2" s="173"/>
      <c r="C2" s="173"/>
      <c r="D2" s="173"/>
      <c r="E2" s="173"/>
      <c r="F2" s="173"/>
      <c r="G2" s="173"/>
      <c r="H2" s="174"/>
      <c r="I2" s="25"/>
    </row>
    <row r="3" spans="1:15" ht="20.100000000000001" customHeight="1" x14ac:dyDescent="0.3">
      <c r="A3" s="26"/>
      <c r="B3" s="27" t="s">
        <v>13</v>
      </c>
      <c r="C3" s="180" t="s">
        <v>41</v>
      </c>
      <c r="D3" s="180"/>
      <c r="E3" s="180"/>
      <c r="F3" s="180"/>
      <c r="G3" s="180"/>
      <c r="H3" s="180"/>
      <c r="I3" s="58"/>
      <c r="J3" s="58"/>
      <c r="K3" s="58"/>
    </row>
    <row r="4" spans="1:15" ht="20.100000000000001" customHeight="1" x14ac:dyDescent="0.25">
      <c r="A4" s="28" t="s">
        <v>35</v>
      </c>
      <c r="B4" s="29">
        <v>0.157</v>
      </c>
      <c r="C4" s="179" t="s">
        <v>107</v>
      </c>
      <c r="D4" s="179"/>
      <c r="E4" s="179"/>
      <c r="F4" s="179"/>
      <c r="G4" s="179"/>
      <c r="H4" s="179"/>
      <c r="I4" s="59"/>
      <c r="J4" s="76" t="s">
        <v>12</v>
      </c>
      <c r="K4" s="59"/>
    </row>
    <row r="5" spans="1:15" ht="20.100000000000001" customHeight="1" x14ac:dyDescent="0.25">
      <c r="A5" s="28" t="s">
        <v>36</v>
      </c>
      <c r="B5" s="30">
        <v>6.3500000000000001E-2</v>
      </c>
      <c r="C5" s="179" t="s">
        <v>222</v>
      </c>
      <c r="D5" s="179"/>
      <c r="E5" s="179"/>
      <c r="F5" s="179"/>
      <c r="G5" s="179"/>
      <c r="H5" s="179"/>
      <c r="I5" s="59"/>
      <c r="J5" s="76" t="s">
        <v>12</v>
      </c>
      <c r="K5" s="59"/>
    </row>
    <row r="6" spans="1:15" ht="20.100000000000001" customHeight="1" x14ac:dyDescent="0.25">
      <c r="A6" s="28" t="s">
        <v>37</v>
      </c>
      <c r="B6" s="31">
        <f>ROUND((1+B4)*(1-B5),4)</f>
        <v>1.0834999999999999</v>
      </c>
      <c r="C6" s="181" t="s">
        <v>221</v>
      </c>
      <c r="D6" s="181"/>
      <c r="E6" s="181"/>
      <c r="F6" s="181"/>
      <c r="G6" s="181"/>
      <c r="H6" s="181"/>
      <c r="I6" s="60"/>
      <c r="J6" s="77" t="s">
        <v>12</v>
      </c>
      <c r="K6" s="60"/>
    </row>
    <row r="7" spans="1:15" ht="20.100000000000001" customHeight="1" x14ac:dyDescent="0.25">
      <c r="A7" s="28" t="s">
        <v>42</v>
      </c>
      <c r="B7" s="32" t="s">
        <v>24</v>
      </c>
      <c r="C7" s="181" t="s">
        <v>223</v>
      </c>
      <c r="D7" s="181"/>
      <c r="E7" s="181"/>
      <c r="F7" s="181"/>
      <c r="G7" s="181"/>
      <c r="H7" s="181"/>
      <c r="I7" s="60"/>
      <c r="J7" s="60" t="s">
        <v>12</v>
      </c>
      <c r="K7" s="60"/>
    </row>
    <row r="8" spans="1:15" ht="20.100000000000001" customHeight="1" x14ac:dyDescent="0.25">
      <c r="A8" s="28" t="s">
        <v>38</v>
      </c>
      <c r="B8" s="65">
        <f>F36</f>
        <v>161418.4</v>
      </c>
      <c r="C8" s="179" t="s">
        <v>106</v>
      </c>
      <c r="D8" s="179"/>
      <c r="E8" s="179"/>
      <c r="F8" s="179"/>
      <c r="G8" s="179"/>
      <c r="H8" s="179"/>
      <c r="I8" s="60"/>
      <c r="J8" s="68" t="s">
        <v>12</v>
      </c>
      <c r="K8" s="60"/>
    </row>
    <row r="9" spans="1:15" ht="20.100000000000001" customHeight="1" x14ac:dyDescent="0.25">
      <c r="A9" s="28" t="s">
        <v>43</v>
      </c>
      <c r="B9" s="33" t="s">
        <v>24</v>
      </c>
      <c r="C9" s="179" t="s">
        <v>224</v>
      </c>
      <c r="D9" s="179"/>
      <c r="E9" s="179"/>
      <c r="F9" s="179"/>
      <c r="G9" s="179"/>
      <c r="H9" s="179"/>
      <c r="I9" s="59"/>
      <c r="J9" s="59"/>
      <c r="K9" s="59"/>
    </row>
    <row r="10" spans="1:15" ht="45.75" customHeight="1" x14ac:dyDescent="0.25">
      <c r="A10" s="80" t="s">
        <v>218</v>
      </c>
      <c r="B10" s="96">
        <f>ROUND(MAX(B20*0.3, 20)*365,2)</f>
        <v>32912.42</v>
      </c>
      <c r="C10" s="182" t="s">
        <v>225</v>
      </c>
      <c r="D10" s="183"/>
      <c r="E10" s="183"/>
      <c r="F10" s="183"/>
      <c r="G10" s="183"/>
      <c r="H10" s="184"/>
      <c r="I10" s="59"/>
      <c r="J10" s="59"/>
      <c r="K10" s="59"/>
    </row>
    <row r="11" spans="1:15" ht="20.100000000000001" customHeight="1" x14ac:dyDescent="0.25">
      <c r="A11" s="95" t="s">
        <v>12</v>
      </c>
      <c r="B11" s="96" t="s">
        <v>12</v>
      </c>
      <c r="C11" s="185"/>
      <c r="D11" s="185"/>
      <c r="E11" s="185"/>
      <c r="F11" s="185"/>
      <c r="G11" s="185"/>
      <c r="H11" s="185"/>
      <c r="I11" s="185"/>
      <c r="J11" s="185"/>
      <c r="K11" s="185"/>
      <c r="L11" s="185"/>
      <c r="M11" s="185"/>
      <c r="N11" s="185"/>
    </row>
    <row r="12" spans="1:15" ht="30" customHeight="1" x14ac:dyDescent="0.25">
      <c r="A12" s="39" t="s">
        <v>12</v>
      </c>
      <c r="B12" s="36" t="s">
        <v>13</v>
      </c>
      <c r="C12" s="36" t="s">
        <v>17</v>
      </c>
      <c r="D12" s="36" t="s">
        <v>16</v>
      </c>
      <c r="E12" s="36" t="s">
        <v>14</v>
      </c>
      <c r="F12" s="36" t="s">
        <v>8</v>
      </c>
      <c r="G12" s="36" t="s">
        <v>44</v>
      </c>
      <c r="H12" s="36" t="s">
        <v>45</v>
      </c>
      <c r="I12" s="36" t="s">
        <v>7</v>
      </c>
      <c r="J12" s="34" t="s">
        <v>53</v>
      </c>
      <c r="K12" s="34" t="s">
        <v>83</v>
      </c>
      <c r="L12" s="69" t="s">
        <v>18</v>
      </c>
      <c r="M12" s="69" t="s">
        <v>3</v>
      </c>
      <c r="N12" s="69" t="s">
        <v>95</v>
      </c>
      <c r="O12" s="73" t="s">
        <v>12</v>
      </c>
    </row>
    <row r="13" spans="1:15" ht="19.95" customHeight="1" x14ac:dyDescent="0.25">
      <c r="A13" s="37" t="s">
        <v>9</v>
      </c>
      <c r="B13" s="20" t="s">
        <v>24</v>
      </c>
      <c r="C13" s="20">
        <f>B63</f>
        <v>-1900</v>
      </c>
      <c r="D13" s="137">
        <f>B60</f>
        <v>2850</v>
      </c>
      <c r="E13" s="137">
        <f>B61</f>
        <v>5160</v>
      </c>
      <c r="F13" s="137">
        <f>B57</f>
        <v>5800</v>
      </c>
      <c r="G13" s="137">
        <f>B58</f>
        <v>2350</v>
      </c>
      <c r="H13" s="137">
        <f>B49</f>
        <v>1360</v>
      </c>
      <c r="I13" s="137">
        <f>B55</f>
        <v>3470</v>
      </c>
      <c r="J13" s="137">
        <f>B40</f>
        <v>4520</v>
      </c>
      <c r="K13" s="137">
        <f>B41</f>
        <v>3340</v>
      </c>
      <c r="L13" s="137">
        <f>B43</f>
        <v>860</v>
      </c>
      <c r="M13" s="137">
        <f>B42</f>
        <v>4550</v>
      </c>
      <c r="N13" s="137">
        <f>B56</f>
        <v>-500</v>
      </c>
    </row>
    <row r="14" spans="1:15" ht="19.95" customHeight="1" x14ac:dyDescent="0.25">
      <c r="A14" s="37" t="s">
        <v>11</v>
      </c>
      <c r="B14" s="20" t="s">
        <v>24</v>
      </c>
      <c r="C14" s="20">
        <f>C63</f>
        <v>7883</v>
      </c>
      <c r="D14" s="137">
        <f>C60</f>
        <v>8375</v>
      </c>
      <c r="E14" s="137">
        <f>C61</f>
        <v>9888</v>
      </c>
      <c r="F14" s="137">
        <f>C57</f>
        <v>7926</v>
      </c>
      <c r="G14" s="137">
        <f>C58</f>
        <v>3761</v>
      </c>
      <c r="H14" s="137">
        <f>C49</f>
        <v>1702</v>
      </c>
      <c r="I14" s="137">
        <f>C55</f>
        <v>7045</v>
      </c>
      <c r="J14" s="137">
        <f>C40</f>
        <v>9240</v>
      </c>
      <c r="K14" s="137">
        <f>C41</f>
        <v>4557</v>
      </c>
      <c r="L14" s="137">
        <f>C43</f>
        <v>5227</v>
      </c>
      <c r="M14" s="137">
        <f>C42</f>
        <v>6527</v>
      </c>
      <c r="N14" s="137">
        <f>C56</f>
        <v>4538</v>
      </c>
    </row>
    <row r="15" spans="1:15" ht="19.95" customHeight="1" x14ac:dyDescent="0.25">
      <c r="A15" s="38" t="s">
        <v>10</v>
      </c>
      <c r="B15" s="20">
        <f>ROUND((B8*B6),1)</f>
        <v>174896.8</v>
      </c>
      <c r="C15" s="20">
        <v>69853.600000000006</v>
      </c>
      <c r="D15" s="45">
        <v>38535.199999999997</v>
      </c>
      <c r="E15" s="45">
        <v>16211.6</v>
      </c>
      <c r="F15" s="45">
        <v>12416.1</v>
      </c>
      <c r="G15" s="45">
        <v>6379.1</v>
      </c>
      <c r="H15" s="45">
        <v>3149.7</v>
      </c>
      <c r="I15" s="45">
        <v>8181.2</v>
      </c>
      <c r="J15" s="45">
        <v>16048.1</v>
      </c>
      <c r="K15" s="45">
        <v>6029.7</v>
      </c>
      <c r="L15" s="45">
        <v>28045.8</v>
      </c>
      <c r="M15" s="45">
        <v>8706.7000000000007</v>
      </c>
      <c r="N15" s="45">
        <v>10040.1</v>
      </c>
    </row>
    <row r="16" spans="1:15" ht="19.95" customHeight="1" x14ac:dyDescent="0.25">
      <c r="A16" s="37" t="s">
        <v>47</v>
      </c>
      <c r="B16" s="137">
        <f>H36</f>
        <v>13188.199999999999</v>
      </c>
      <c r="C16" s="133">
        <f>H63</f>
        <v>0</v>
      </c>
      <c r="D16" s="133">
        <f>H60</f>
        <v>0</v>
      </c>
      <c r="E16" s="133">
        <f>H61</f>
        <v>0</v>
      </c>
      <c r="F16" s="133">
        <f>H57</f>
        <v>0</v>
      </c>
      <c r="G16" s="133">
        <f>H58</f>
        <v>0</v>
      </c>
      <c r="H16" s="133">
        <f>H49</f>
        <v>0</v>
      </c>
      <c r="I16" s="133">
        <f>H55</f>
        <v>0</v>
      </c>
      <c r="J16" s="133">
        <f>H40</f>
        <v>0</v>
      </c>
      <c r="K16" s="133">
        <f>H41</f>
        <v>0</v>
      </c>
      <c r="L16" s="137">
        <f>H43</f>
        <v>343.3</v>
      </c>
      <c r="M16" s="133">
        <v>0</v>
      </c>
      <c r="N16" s="133">
        <v>0</v>
      </c>
    </row>
    <row r="17" spans="1:14" ht="19.95" customHeight="1" x14ac:dyDescent="0.25">
      <c r="A17" s="37" t="s">
        <v>46</v>
      </c>
      <c r="B17" s="137">
        <f>ROUND(B16*$B$6,1)</f>
        <v>14289.4</v>
      </c>
      <c r="C17" s="133">
        <f t="shared" ref="C17:I17" si="0">ROUND(C16*$B$6,1)</f>
        <v>0</v>
      </c>
      <c r="D17" s="133">
        <f t="shared" si="0"/>
        <v>0</v>
      </c>
      <c r="E17" s="133">
        <f t="shared" si="0"/>
        <v>0</v>
      </c>
      <c r="F17" s="133">
        <f t="shared" si="0"/>
        <v>0</v>
      </c>
      <c r="G17" s="133">
        <f t="shared" si="0"/>
        <v>0</v>
      </c>
      <c r="H17" s="133">
        <f t="shared" si="0"/>
        <v>0</v>
      </c>
      <c r="I17" s="133">
        <f t="shared" si="0"/>
        <v>0</v>
      </c>
      <c r="J17" s="133">
        <f>ROUND(J16*$B$6,1)</f>
        <v>0</v>
      </c>
      <c r="K17" s="133">
        <f>ROUND(K16*$B$6,1)</f>
        <v>0</v>
      </c>
      <c r="L17" s="137">
        <f>ROUND(L16*$B$6,1)</f>
        <v>372</v>
      </c>
      <c r="M17" s="133">
        <f>ROUND(M16*$B$6,1)</f>
        <v>0</v>
      </c>
      <c r="N17" s="133">
        <f>ROUND(N16*$B$6,1)</f>
        <v>0</v>
      </c>
    </row>
    <row r="18" spans="1:14" ht="24.9" customHeight="1" x14ac:dyDescent="0.25">
      <c r="A18" s="78" t="s">
        <v>48</v>
      </c>
      <c r="B18" s="66">
        <f>B15-B17</f>
        <v>160607.4</v>
      </c>
      <c r="C18" s="66">
        <f t="shared" ref="C18:I18" si="1">C15-C17</f>
        <v>69853.600000000006</v>
      </c>
      <c r="D18" s="66">
        <f t="shared" si="1"/>
        <v>38535.199999999997</v>
      </c>
      <c r="E18" s="66">
        <f t="shared" si="1"/>
        <v>16211.6</v>
      </c>
      <c r="F18" s="66">
        <f t="shared" si="1"/>
        <v>12416.1</v>
      </c>
      <c r="G18" s="66">
        <f t="shared" si="1"/>
        <v>6379.1</v>
      </c>
      <c r="H18" s="66">
        <f t="shared" si="1"/>
        <v>3149.7</v>
      </c>
      <c r="I18" s="66">
        <f t="shared" si="1"/>
        <v>8181.2</v>
      </c>
      <c r="J18" s="66">
        <f>J15-J17</f>
        <v>16048.1</v>
      </c>
      <c r="K18" s="66">
        <f>K15-K17</f>
        <v>6029.7</v>
      </c>
      <c r="L18" s="66">
        <f>L15-L17*L32</f>
        <v>27704.675999999999</v>
      </c>
      <c r="M18" s="66">
        <f>M15-M17</f>
        <v>8706.7000000000007</v>
      </c>
      <c r="N18" s="66">
        <f>N15-N17</f>
        <v>10040.1</v>
      </c>
    </row>
    <row r="19" spans="1:14" ht="19.95" customHeight="1" x14ac:dyDescent="0.25">
      <c r="A19" s="38" t="s">
        <v>43</v>
      </c>
      <c r="B19" s="20" t="s">
        <v>24</v>
      </c>
      <c r="C19" s="20" t="s">
        <v>24</v>
      </c>
      <c r="D19" s="20" t="s">
        <v>24</v>
      </c>
      <c r="E19" s="20" t="s">
        <v>24</v>
      </c>
      <c r="F19" s="20" t="s">
        <v>24</v>
      </c>
      <c r="G19" s="20" t="s">
        <v>24</v>
      </c>
      <c r="H19" s="20" t="s">
        <v>24</v>
      </c>
      <c r="I19" s="20" t="s">
        <v>24</v>
      </c>
      <c r="J19" s="20" t="s">
        <v>24</v>
      </c>
      <c r="K19" s="20" t="s">
        <v>24</v>
      </c>
      <c r="L19" s="20" t="s">
        <v>24</v>
      </c>
      <c r="M19" s="20" t="s">
        <v>24</v>
      </c>
      <c r="N19" s="20" t="s">
        <v>24</v>
      </c>
    </row>
    <row r="20" spans="1:14" ht="19.95" customHeight="1" x14ac:dyDescent="0.25">
      <c r="A20" s="79" t="s">
        <v>49</v>
      </c>
      <c r="B20" s="23">
        <f>'Net CONE'!G39</f>
        <v>300.57</v>
      </c>
      <c r="C20" s="23">
        <f>'Net CONE'!G28</f>
        <v>271.67</v>
      </c>
      <c r="D20" s="23">
        <f>'Net CONE'!G19</f>
        <v>284.82</v>
      </c>
      <c r="E20" s="23">
        <f>'Net CONE'!G23</f>
        <v>243.17</v>
      </c>
      <c r="F20" s="23">
        <f>'Net CONE'!G17</f>
        <v>297.99</v>
      </c>
      <c r="G20" s="23">
        <f>'Net CONE'!G17</f>
        <v>297.99</v>
      </c>
      <c r="H20" s="23">
        <f>'Net CONE'!G14</f>
        <v>258.32</v>
      </c>
      <c r="I20" s="23">
        <f>'Net CONE'!G22</f>
        <v>250.74</v>
      </c>
      <c r="J20" s="23">
        <f>'Net CONE'!G32</f>
        <v>271.72000000000003</v>
      </c>
      <c r="K20" s="23">
        <f>'Net CONE'!G32</f>
        <v>271.72000000000003</v>
      </c>
      <c r="L20" s="23">
        <f>'Net CONE'!G33</f>
        <v>320.29000000000002</v>
      </c>
      <c r="M20" s="23">
        <f>'Net CONE'!G21</f>
        <v>235.59</v>
      </c>
      <c r="N20" s="23">
        <f>'Net CONE'!G27</f>
        <v>284.79000000000002</v>
      </c>
    </row>
    <row r="21" spans="1:14" ht="19.95" customHeight="1" x14ac:dyDescent="0.25">
      <c r="A21" s="186" t="s">
        <v>50</v>
      </c>
      <c r="B21" s="186"/>
      <c r="C21" s="186"/>
      <c r="D21" s="186"/>
      <c r="E21" s="186"/>
      <c r="F21" s="186"/>
      <c r="G21" s="186"/>
      <c r="H21" s="186"/>
      <c r="I21" s="186"/>
      <c r="J21" s="186"/>
      <c r="K21" s="186"/>
      <c r="L21" s="186"/>
      <c r="M21" s="186"/>
      <c r="N21" s="186"/>
    </row>
    <row r="22" spans="1:14" ht="19.95" customHeight="1" x14ac:dyDescent="0.25">
      <c r="A22" s="80" t="s">
        <v>25</v>
      </c>
      <c r="B22" s="19">
        <f>'Net CONE'!H39</f>
        <v>450.86</v>
      </c>
      <c r="C22" s="19">
        <f>'Net CONE'!H28</f>
        <v>407.51</v>
      </c>
      <c r="D22" s="19">
        <f>'Net CONE'!H19</f>
        <v>427.23</v>
      </c>
      <c r="E22" s="19">
        <f>'Net CONE'!H23</f>
        <v>381.19</v>
      </c>
      <c r="F22" s="19">
        <f>'Net CONE'!H17</f>
        <v>446.99</v>
      </c>
      <c r="G22" s="19">
        <f>'Net CONE'!H17</f>
        <v>446.99</v>
      </c>
      <c r="H22" s="19">
        <f>'Net CONE'!H14</f>
        <v>387.48</v>
      </c>
      <c r="I22" s="19">
        <f>'Net CONE'!H22</f>
        <v>381.19</v>
      </c>
      <c r="J22" s="19">
        <f>'Net CONE'!H32</f>
        <v>407.58</v>
      </c>
      <c r="K22" s="19">
        <f>'Net CONE'!H32</f>
        <v>407.58</v>
      </c>
      <c r="L22" s="19">
        <f>'Net CONE'!H33</f>
        <v>480.44</v>
      </c>
      <c r="M22" s="19">
        <f>'Net CONE'!H21</f>
        <v>381.19</v>
      </c>
      <c r="N22" s="19">
        <f>'Net CONE'!H27</f>
        <v>427.19</v>
      </c>
    </row>
    <row r="23" spans="1:14" ht="19.95" customHeight="1" x14ac:dyDescent="0.25">
      <c r="A23" s="37" t="s">
        <v>26</v>
      </c>
      <c r="B23" s="19">
        <f>ROUND(B$20*0.75,2)</f>
        <v>225.43</v>
      </c>
      <c r="C23" s="19">
        <f t="shared" ref="C23:M23" si="2">ROUND(C$20*0.75,2)</f>
        <v>203.75</v>
      </c>
      <c r="D23" s="19">
        <f t="shared" si="2"/>
        <v>213.62</v>
      </c>
      <c r="E23" s="19">
        <f t="shared" si="2"/>
        <v>182.38</v>
      </c>
      <c r="F23" s="19">
        <f t="shared" si="2"/>
        <v>223.49</v>
      </c>
      <c r="G23" s="19">
        <f t="shared" si="2"/>
        <v>223.49</v>
      </c>
      <c r="H23" s="19">
        <f t="shared" si="2"/>
        <v>193.74</v>
      </c>
      <c r="I23" s="19">
        <f t="shared" si="2"/>
        <v>188.06</v>
      </c>
      <c r="J23" s="19">
        <f t="shared" si="2"/>
        <v>203.79</v>
      </c>
      <c r="K23" s="19">
        <f t="shared" si="2"/>
        <v>203.79</v>
      </c>
      <c r="L23" s="19">
        <f t="shared" si="2"/>
        <v>240.22</v>
      </c>
      <c r="M23" s="19">
        <f t="shared" si="2"/>
        <v>176.69</v>
      </c>
      <c r="N23" s="19">
        <f>ROUND(N$20*0.75,2)</f>
        <v>213.59</v>
      </c>
    </row>
    <row r="24" spans="1:14" ht="19.95" customHeight="1" x14ac:dyDescent="0.25">
      <c r="A24" s="37" t="s">
        <v>27</v>
      </c>
      <c r="B24" s="19">
        <v>0</v>
      </c>
      <c r="C24" s="19">
        <v>0</v>
      </c>
      <c r="D24" s="19">
        <v>0</v>
      </c>
      <c r="E24" s="19">
        <v>0</v>
      </c>
      <c r="F24" s="19">
        <v>0</v>
      </c>
      <c r="G24" s="19">
        <v>0</v>
      </c>
      <c r="H24" s="19">
        <v>0</v>
      </c>
      <c r="I24" s="19">
        <v>0</v>
      </c>
      <c r="J24" s="19">
        <v>0</v>
      </c>
      <c r="K24" s="19">
        <v>0</v>
      </c>
      <c r="L24" s="19">
        <v>0</v>
      </c>
      <c r="M24" s="19">
        <v>0</v>
      </c>
      <c r="N24" s="19">
        <v>0</v>
      </c>
    </row>
    <row r="25" spans="1:14" ht="19.95" customHeight="1" x14ac:dyDescent="0.25">
      <c r="A25" s="37" t="s">
        <v>28</v>
      </c>
      <c r="B25" s="20">
        <f t="shared" ref="B25:N25" si="3">ROUND(B$18*(1+$B$4-0.2%)/(1+$B$4),1)</f>
        <v>160329.79999999999</v>
      </c>
      <c r="C25" s="20">
        <f t="shared" si="3"/>
        <v>69732.899999999994</v>
      </c>
      <c r="D25" s="20">
        <f t="shared" si="3"/>
        <v>38468.6</v>
      </c>
      <c r="E25" s="20">
        <f t="shared" si="3"/>
        <v>16183.6</v>
      </c>
      <c r="F25" s="20">
        <f t="shared" si="3"/>
        <v>12394.6</v>
      </c>
      <c r="G25" s="20">
        <f t="shared" si="3"/>
        <v>6368.1</v>
      </c>
      <c r="H25" s="20">
        <f t="shared" si="3"/>
        <v>3144.3</v>
      </c>
      <c r="I25" s="20">
        <f t="shared" si="3"/>
        <v>8167.1</v>
      </c>
      <c r="J25" s="20">
        <f t="shared" si="3"/>
        <v>16020.4</v>
      </c>
      <c r="K25" s="20">
        <f t="shared" si="3"/>
        <v>6019.3</v>
      </c>
      <c r="L25" s="20">
        <f t="shared" si="3"/>
        <v>27656.799999999999</v>
      </c>
      <c r="M25" s="20">
        <f t="shared" si="3"/>
        <v>8691.6</v>
      </c>
      <c r="N25" s="20">
        <f t="shared" si="3"/>
        <v>10022.700000000001</v>
      </c>
    </row>
    <row r="26" spans="1:14" ht="19.95" customHeight="1" x14ac:dyDescent="0.25">
      <c r="A26" s="37" t="s">
        <v>29</v>
      </c>
      <c r="B26" s="20">
        <f t="shared" ref="B26:N26" si="4">ROUND(B$18*(1+$B$4+2.9%)/(1+$B$4),1)</f>
        <v>164633</v>
      </c>
      <c r="C26" s="20">
        <f t="shared" si="4"/>
        <v>71604.5</v>
      </c>
      <c r="D26" s="20">
        <f t="shared" si="4"/>
        <v>39501.1</v>
      </c>
      <c r="E26" s="20">
        <f t="shared" si="4"/>
        <v>16617.900000000001</v>
      </c>
      <c r="F26" s="20">
        <f t="shared" si="4"/>
        <v>12727.3</v>
      </c>
      <c r="G26" s="20">
        <f t="shared" si="4"/>
        <v>6539</v>
      </c>
      <c r="H26" s="20">
        <f t="shared" si="4"/>
        <v>3228.6</v>
      </c>
      <c r="I26" s="20">
        <f t="shared" si="4"/>
        <v>8386.2999999999993</v>
      </c>
      <c r="J26" s="20">
        <f t="shared" si="4"/>
        <v>16450.3</v>
      </c>
      <c r="K26" s="20">
        <f t="shared" si="4"/>
        <v>6180.8</v>
      </c>
      <c r="L26" s="20">
        <f t="shared" si="4"/>
        <v>28399.1</v>
      </c>
      <c r="M26" s="20">
        <f t="shared" si="4"/>
        <v>8924.9</v>
      </c>
      <c r="N26" s="20">
        <f t="shared" si="4"/>
        <v>10291.799999999999</v>
      </c>
    </row>
    <row r="27" spans="1:14" ht="19.95" customHeight="1" x14ac:dyDescent="0.25">
      <c r="A27" s="37" t="s">
        <v>30</v>
      </c>
      <c r="B27" s="20">
        <f t="shared" ref="B27:N27" si="5">ROUND(B$18*(1+$B$4+8.8%)/(1+$B$4),1)</f>
        <v>172823</v>
      </c>
      <c r="C27" s="20">
        <f t="shared" si="5"/>
        <v>75166.600000000006</v>
      </c>
      <c r="D27" s="20">
        <f t="shared" si="5"/>
        <v>41466.1</v>
      </c>
      <c r="E27" s="20">
        <f t="shared" si="5"/>
        <v>17444.599999999999</v>
      </c>
      <c r="F27" s="20">
        <f t="shared" si="5"/>
        <v>13360.5</v>
      </c>
      <c r="G27" s="20">
        <f t="shared" si="5"/>
        <v>6864.3</v>
      </c>
      <c r="H27" s="20">
        <f t="shared" si="5"/>
        <v>3389.3</v>
      </c>
      <c r="I27" s="20">
        <f t="shared" si="5"/>
        <v>8803.5</v>
      </c>
      <c r="J27" s="20">
        <f t="shared" si="5"/>
        <v>17268.7</v>
      </c>
      <c r="K27" s="20">
        <f t="shared" si="5"/>
        <v>6488.3</v>
      </c>
      <c r="L27" s="20">
        <f t="shared" si="5"/>
        <v>29811.9</v>
      </c>
      <c r="M27" s="20">
        <f t="shared" si="5"/>
        <v>9368.9</v>
      </c>
      <c r="N27" s="20">
        <f t="shared" si="5"/>
        <v>10803.7</v>
      </c>
    </row>
    <row r="28" spans="1:14" ht="19.95" customHeight="1" x14ac:dyDescent="0.25">
      <c r="A28" s="37" t="s">
        <v>52</v>
      </c>
      <c r="B28" s="35" t="s">
        <v>24</v>
      </c>
      <c r="C28" s="135">
        <v>892</v>
      </c>
      <c r="D28" s="21" t="s">
        <v>24</v>
      </c>
      <c r="E28" s="21" t="s">
        <v>24</v>
      </c>
      <c r="F28" s="21" t="s">
        <v>24</v>
      </c>
      <c r="G28" s="21" t="s">
        <v>24</v>
      </c>
      <c r="H28" s="135">
        <v>72</v>
      </c>
      <c r="I28" s="21" t="s">
        <v>24</v>
      </c>
      <c r="J28" s="21" t="s">
        <v>24</v>
      </c>
      <c r="K28" s="21" t="s">
        <v>24</v>
      </c>
      <c r="L28" s="21" t="s">
        <v>24</v>
      </c>
      <c r="M28" s="21" t="s">
        <v>24</v>
      </c>
      <c r="N28" s="21" t="s">
        <v>24</v>
      </c>
    </row>
    <row r="29" spans="1:14" s="152" customFormat="1" ht="30" customHeight="1" x14ac:dyDescent="0.25">
      <c r="A29" s="155" t="s">
        <v>219</v>
      </c>
      <c r="B29" s="156">
        <f>ROUND(MAX(B20*0.5, 20)*365,2)</f>
        <v>54854.03</v>
      </c>
      <c r="C29" s="156">
        <f t="shared" ref="C29:N29" si="6">ROUND(MAX(C20*0.5, 20)*365,2)</f>
        <v>49579.78</v>
      </c>
      <c r="D29" s="156">
        <f t="shared" si="6"/>
        <v>51979.65</v>
      </c>
      <c r="E29" s="156">
        <f t="shared" si="6"/>
        <v>44378.53</v>
      </c>
      <c r="F29" s="156">
        <f t="shared" si="6"/>
        <v>54383.18</v>
      </c>
      <c r="G29" s="156">
        <f t="shared" si="6"/>
        <v>54383.18</v>
      </c>
      <c r="H29" s="156">
        <f t="shared" si="6"/>
        <v>47143.4</v>
      </c>
      <c r="I29" s="156">
        <f t="shared" si="6"/>
        <v>45760.05</v>
      </c>
      <c r="J29" s="156">
        <f t="shared" si="6"/>
        <v>49588.9</v>
      </c>
      <c r="K29" s="156">
        <f t="shared" si="6"/>
        <v>49588.9</v>
      </c>
      <c r="L29" s="156">
        <f t="shared" si="6"/>
        <v>58452.93</v>
      </c>
      <c r="M29" s="156">
        <f t="shared" si="6"/>
        <v>42995.18</v>
      </c>
      <c r="N29" s="156">
        <f t="shared" si="6"/>
        <v>51974.18</v>
      </c>
    </row>
    <row r="30" spans="1:14" ht="19.95" customHeight="1" x14ac:dyDescent="0.25">
      <c r="A30" s="37" t="s">
        <v>52</v>
      </c>
      <c r="B30" s="35" t="s">
        <v>24</v>
      </c>
      <c r="C30" s="135">
        <v>892</v>
      </c>
      <c r="D30" s="21" t="s">
        <v>24</v>
      </c>
      <c r="E30" s="21" t="s">
        <v>24</v>
      </c>
      <c r="F30" s="21" t="s">
        <v>24</v>
      </c>
      <c r="G30" s="21" t="s">
        <v>24</v>
      </c>
      <c r="H30" s="135">
        <v>72</v>
      </c>
      <c r="I30" s="21" t="s">
        <v>24</v>
      </c>
      <c r="J30" s="21" t="s">
        <v>24</v>
      </c>
      <c r="K30" s="21" t="s">
        <v>24</v>
      </c>
      <c r="L30" s="21" t="s">
        <v>24</v>
      </c>
      <c r="M30" s="21" t="s">
        <v>24</v>
      </c>
      <c r="N30" s="21" t="s">
        <v>24</v>
      </c>
    </row>
    <row r="31" spans="1:14" ht="19.95" customHeight="1" x14ac:dyDescent="0.25">
      <c r="A31" s="187" t="s">
        <v>97</v>
      </c>
      <c r="B31" s="188"/>
      <c r="C31" s="188"/>
      <c r="D31" s="188"/>
      <c r="E31" s="188"/>
      <c r="F31" s="188"/>
      <c r="G31" s="188"/>
      <c r="H31" s="188"/>
      <c r="I31" s="188"/>
      <c r="J31" s="188"/>
      <c r="K31" s="188"/>
      <c r="L31" s="188"/>
      <c r="M31" s="188"/>
      <c r="N31" s="189"/>
    </row>
    <row r="32" spans="1:14" ht="19.95" customHeight="1" x14ac:dyDescent="0.25">
      <c r="A32" s="37" t="s">
        <v>96</v>
      </c>
      <c r="B32" s="35" t="s">
        <v>24</v>
      </c>
      <c r="C32" s="17">
        <f>ROUND((C15-C14)/(F63*$B$6),3)</f>
        <v>0.97</v>
      </c>
      <c r="D32" s="17">
        <f>ROUND((D15-D14)/(F60*$B$6),3)</f>
        <v>0.86399999999999999</v>
      </c>
      <c r="E32" s="17">
        <f>ROUND((E15-E14)/(F61*$B$6),3)</f>
        <v>0.43</v>
      </c>
      <c r="F32" s="17">
        <f>ROUND((F15-F14)/(F57*$B$6),3)</f>
        <v>0.40799999999999997</v>
      </c>
      <c r="G32" s="17">
        <f>ROUND((G15-G14)/(F58*$B$6),3)</f>
        <v>0.48699999999999999</v>
      </c>
      <c r="H32" s="18">
        <f>ROUND((H15-H14)/(F49*$B$6),3)</f>
        <v>0.55800000000000005</v>
      </c>
      <c r="I32" s="17">
        <f>ROUND((I15-I14)/(F55*$B$6),3)</f>
        <v>0.161</v>
      </c>
      <c r="J32" s="17">
        <f>ROUND((J15-J14)/(F40*$B$6),3)</f>
        <v>0.48599999999999999</v>
      </c>
      <c r="K32" s="17">
        <f>ROUND((K15-K14)/(F41*$B$6),3)</f>
        <v>0.30599999999999999</v>
      </c>
      <c r="L32" s="17">
        <f>ROUND((L15-L14)/(F43*$B$6),3)</f>
        <v>0.91700000000000004</v>
      </c>
      <c r="M32" s="17">
        <f>ROUND((M15-M14)/(F42*$B$6),3)</f>
        <v>0.28499999999999998</v>
      </c>
      <c r="N32" s="17">
        <f>ROUND((N15-N14)/(F56*$B$6),3)</f>
        <v>0.69699999999999995</v>
      </c>
    </row>
    <row r="33" spans="1:14" ht="20.100000000000001" customHeight="1" x14ac:dyDescent="0.25">
      <c r="A33" s="190" t="s">
        <v>12</v>
      </c>
      <c r="B33" s="191"/>
      <c r="C33" s="191"/>
      <c r="D33" s="191"/>
      <c r="E33" s="191"/>
      <c r="F33" s="191"/>
      <c r="G33" s="191"/>
      <c r="H33" s="191"/>
      <c r="I33" s="191"/>
      <c r="J33" s="191"/>
      <c r="K33" s="191"/>
      <c r="L33" s="191"/>
      <c r="M33" s="191"/>
      <c r="N33" s="191"/>
    </row>
    <row r="34" spans="1:14" ht="18" customHeight="1" x14ac:dyDescent="0.25">
      <c r="A34" s="171" t="s">
        <v>121</v>
      </c>
      <c r="B34" s="171"/>
      <c r="C34" s="171"/>
      <c r="D34" s="171"/>
      <c r="E34" s="171"/>
      <c r="F34" s="171"/>
      <c r="G34" s="171"/>
      <c r="H34" s="171"/>
      <c r="I34" s="171"/>
      <c r="J34" s="108"/>
    </row>
    <row r="35" spans="1:14" s="3" customFormat="1" ht="84.9" customHeight="1" x14ac:dyDescent="0.25">
      <c r="A35" s="41" t="s">
        <v>39</v>
      </c>
      <c r="B35" s="40" t="s">
        <v>9</v>
      </c>
      <c r="C35" s="114" t="s">
        <v>11</v>
      </c>
      <c r="D35" s="40" t="s">
        <v>94</v>
      </c>
      <c r="E35" s="40" t="s">
        <v>119</v>
      </c>
      <c r="F35" s="40" t="s">
        <v>31</v>
      </c>
      <c r="G35" s="40" t="s">
        <v>32</v>
      </c>
      <c r="H35" s="40" t="s">
        <v>65</v>
      </c>
      <c r="I35" s="40" t="s">
        <v>198</v>
      </c>
      <c r="J35" s="62" t="s">
        <v>12</v>
      </c>
    </row>
    <row r="36" spans="1:14" s="3" customFormat="1" ht="19.95" customHeight="1" x14ac:dyDescent="0.25">
      <c r="A36" s="42" t="s">
        <v>13</v>
      </c>
      <c r="B36" s="42" t="s">
        <v>24</v>
      </c>
      <c r="C36" s="42" t="s">
        <v>24</v>
      </c>
      <c r="D36" s="5" t="s">
        <v>24</v>
      </c>
      <c r="E36" s="66">
        <f>E37+E38+E39+E40+E42+E43+E44+E45+E46+E47+E48+E50+E51+E52+E53+E54+E55+E56+E57+E59</f>
        <v>156414.70000000001</v>
      </c>
      <c r="F36" s="66">
        <f>F37+F38+F39+F40+F42+F43+F44+F45+F46+F47+F48+F50+F51+F52+F53+F54+F55+F56+F57+F59</f>
        <v>161418.4</v>
      </c>
      <c r="G36" s="52" t="s">
        <v>24</v>
      </c>
      <c r="H36" s="66">
        <f>H37+H38+H39+H40+H42+H43+H44+H45+H46+H47+H48+H50+H51+H52+H53+H54+H55+H56+H57+H59</f>
        <v>13188.199999999999</v>
      </c>
      <c r="I36" s="66">
        <f>I37+I38+I39+I40+I42+I43+I44+I45+I46+I47+I48+I50+I51+I52+I53+I54+I55+I56+I57+I59</f>
        <v>148230.20000000001</v>
      </c>
      <c r="J36" s="129" t="s">
        <v>12</v>
      </c>
    </row>
    <row r="37" spans="1:14" s="2" customFormat="1" ht="19.95" customHeight="1" x14ac:dyDescent="0.25">
      <c r="A37" s="22" t="s">
        <v>2</v>
      </c>
      <c r="B37" s="137">
        <v>640</v>
      </c>
      <c r="C37" s="137" t="s">
        <v>201</v>
      </c>
      <c r="D37" s="54" t="s">
        <v>51</v>
      </c>
      <c r="E37" s="45">
        <v>2610</v>
      </c>
      <c r="F37" s="45">
        <v>2634</v>
      </c>
      <c r="G37" s="53">
        <f>F37/E37</f>
        <v>1.0091954022988505</v>
      </c>
      <c r="H37" s="20">
        <v>0</v>
      </c>
      <c r="I37" s="45">
        <f t="shared" ref="I37:I59" si="7">F37-H37</f>
        <v>2634</v>
      </c>
      <c r="J37" s="129" t="s">
        <v>12</v>
      </c>
    </row>
    <row r="38" spans="1:14" s="2" customFormat="1" ht="19.95" customHeight="1" x14ac:dyDescent="0.25">
      <c r="A38" s="43" t="s">
        <v>66</v>
      </c>
      <c r="B38" s="67">
        <v>1710</v>
      </c>
      <c r="C38" s="137" t="s">
        <v>202</v>
      </c>
      <c r="D38" s="54" t="s">
        <v>51</v>
      </c>
      <c r="E38" s="54">
        <v>22760</v>
      </c>
      <c r="F38" s="54">
        <v>23224</v>
      </c>
      <c r="G38" s="53">
        <f t="shared" ref="G38:G48" si="8">F38/E38</f>
        <v>1.0203866432337434</v>
      </c>
      <c r="H38" s="20">
        <v>11945.3</v>
      </c>
      <c r="I38" s="45">
        <f t="shared" si="7"/>
        <v>11278.7</v>
      </c>
      <c r="J38" s="129" t="s">
        <v>12</v>
      </c>
    </row>
    <row r="39" spans="1:14" s="2" customFormat="1" ht="19.95" customHeight="1" x14ac:dyDescent="0.25">
      <c r="A39" s="43" t="s">
        <v>0</v>
      </c>
      <c r="B39" s="67">
        <v>2520</v>
      </c>
      <c r="C39" s="137" t="s">
        <v>203</v>
      </c>
      <c r="D39" s="54" t="s">
        <v>51</v>
      </c>
      <c r="E39" s="54">
        <v>8350</v>
      </c>
      <c r="F39" s="54">
        <v>8713</v>
      </c>
      <c r="G39" s="53">
        <f t="shared" si="8"/>
        <v>1.0434730538922157</v>
      </c>
      <c r="H39" s="20">
        <v>0</v>
      </c>
      <c r="I39" s="45">
        <f t="shared" si="7"/>
        <v>8713</v>
      </c>
    </row>
    <row r="40" spans="1:14" s="2" customFormat="1" ht="19.95" customHeight="1" x14ac:dyDescent="0.25">
      <c r="A40" s="43" t="s">
        <v>53</v>
      </c>
      <c r="B40" s="67">
        <v>4520</v>
      </c>
      <c r="C40" s="138">
        <v>9240</v>
      </c>
      <c r="D40" s="56">
        <f>C40/B40</f>
        <v>2.0442477876106193</v>
      </c>
      <c r="E40" s="54">
        <v>12760</v>
      </c>
      <c r="F40" s="54">
        <v>12924</v>
      </c>
      <c r="G40" s="53">
        <f t="shared" si="8"/>
        <v>1.0128526645768026</v>
      </c>
      <c r="H40" s="20">
        <v>0</v>
      </c>
      <c r="I40" s="45">
        <f t="shared" si="7"/>
        <v>12924</v>
      </c>
    </row>
    <row r="41" spans="1:14" s="2" customFormat="1" ht="19.95" customHeight="1" x14ac:dyDescent="0.25">
      <c r="A41" s="43" t="s">
        <v>81</v>
      </c>
      <c r="B41" s="67">
        <v>3340</v>
      </c>
      <c r="C41" s="138">
        <v>4557</v>
      </c>
      <c r="D41" s="56">
        <f>C41/B41</f>
        <v>1.36437125748503</v>
      </c>
      <c r="E41" s="54" t="s">
        <v>24</v>
      </c>
      <c r="F41" s="45">
        <f>ROUND(F40*0.3439,1)</f>
        <v>4444.6000000000004</v>
      </c>
      <c r="G41" s="53" t="s">
        <v>24</v>
      </c>
      <c r="H41" s="20">
        <v>0</v>
      </c>
      <c r="I41" s="45">
        <f t="shared" si="7"/>
        <v>4444.6000000000004</v>
      </c>
    </row>
    <row r="42" spans="1:14" s="2" customFormat="1" ht="19.95" customHeight="1" x14ac:dyDescent="0.25">
      <c r="A42" s="22" t="s">
        <v>3</v>
      </c>
      <c r="B42" s="137">
        <v>4550</v>
      </c>
      <c r="C42" s="138">
        <v>6527</v>
      </c>
      <c r="D42" s="56">
        <f>C42/B42</f>
        <v>1.4345054945054945</v>
      </c>
      <c r="E42" s="45">
        <v>6940</v>
      </c>
      <c r="F42" s="45">
        <v>7062</v>
      </c>
      <c r="G42" s="53">
        <f t="shared" si="8"/>
        <v>1.0175792507204611</v>
      </c>
      <c r="H42" s="20">
        <v>0</v>
      </c>
      <c r="I42" s="45">
        <f t="shared" si="7"/>
        <v>7062</v>
      </c>
    </row>
    <row r="43" spans="1:14" s="2" customFormat="1" ht="19.95" customHeight="1" x14ac:dyDescent="0.25">
      <c r="A43" s="22" t="s">
        <v>18</v>
      </c>
      <c r="B43" s="137">
        <v>860</v>
      </c>
      <c r="C43" s="138">
        <v>5227</v>
      </c>
      <c r="D43" s="56">
        <f>C43/B43</f>
        <v>6.0779069767441865</v>
      </c>
      <c r="E43" s="45">
        <v>21970</v>
      </c>
      <c r="F43" s="45">
        <v>22959</v>
      </c>
      <c r="G43" s="53">
        <f t="shared" si="8"/>
        <v>1.0450159308147473</v>
      </c>
      <c r="H43" s="20">
        <v>343.3</v>
      </c>
      <c r="I43" s="45">
        <f t="shared" si="7"/>
        <v>22615.7</v>
      </c>
    </row>
    <row r="44" spans="1:14" s="2" customFormat="1" ht="19.95" customHeight="1" x14ac:dyDescent="0.25">
      <c r="A44" s="22" t="s">
        <v>19</v>
      </c>
      <c r="B44" s="137">
        <v>920</v>
      </c>
      <c r="C44" s="137" t="s">
        <v>204</v>
      </c>
      <c r="D44" s="54" t="s">
        <v>51</v>
      </c>
      <c r="E44" s="45">
        <v>3290</v>
      </c>
      <c r="F44" s="45">
        <v>3506</v>
      </c>
      <c r="G44" s="53">
        <f t="shared" si="8"/>
        <v>1.0656534954407295</v>
      </c>
      <c r="H44" s="20">
        <v>0</v>
      </c>
      <c r="I44" s="45">
        <f t="shared" si="7"/>
        <v>3506</v>
      </c>
    </row>
    <row r="45" spans="1:14" s="2" customFormat="1" ht="19.95" customHeight="1" x14ac:dyDescent="0.25">
      <c r="A45" s="22" t="s">
        <v>74</v>
      </c>
      <c r="B45" s="137">
        <v>4130</v>
      </c>
      <c r="C45" s="137" t="s">
        <v>205</v>
      </c>
      <c r="D45" s="54" t="s">
        <v>51</v>
      </c>
      <c r="E45" s="45">
        <v>5310</v>
      </c>
      <c r="F45" s="45">
        <v>5425</v>
      </c>
      <c r="G45" s="53">
        <f>F45/E45</f>
        <v>1.0216572504708097</v>
      </c>
      <c r="H45" s="20">
        <v>878</v>
      </c>
      <c r="I45" s="45">
        <f t="shared" si="7"/>
        <v>4547</v>
      </c>
    </row>
    <row r="46" spans="1:14" s="2" customFormat="1" ht="19.95" customHeight="1" x14ac:dyDescent="0.25">
      <c r="A46" s="22" t="s">
        <v>4</v>
      </c>
      <c r="B46" s="137">
        <v>1590</v>
      </c>
      <c r="C46" s="137" t="s">
        <v>206</v>
      </c>
      <c r="D46" s="54" t="s">
        <v>51</v>
      </c>
      <c r="E46" s="45">
        <v>2830</v>
      </c>
      <c r="F46" s="45">
        <v>2908</v>
      </c>
      <c r="G46" s="53">
        <f t="shared" si="8"/>
        <v>1.0275618374558304</v>
      </c>
      <c r="H46" s="20">
        <v>0</v>
      </c>
      <c r="I46" s="45">
        <f t="shared" si="7"/>
        <v>2908</v>
      </c>
    </row>
    <row r="47" spans="1:14" s="2" customFormat="1" ht="19.95" customHeight="1" x14ac:dyDescent="0.25">
      <c r="A47" s="22" t="s">
        <v>20</v>
      </c>
      <c r="B47" s="137">
        <v>-1320</v>
      </c>
      <c r="C47" s="137" t="s">
        <v>84</v>
      </c>
      <c r="D47" s="54" t="s">
        <v>84</v>
      </c>
      <c r="E47" s="45">
        <v>19090</v>
      </c>
      <c r="F47" s="45">
        <v>20557</v>
      </c>
      <c r="G47" s="53">
        <f t="shared" si="8"/>
        <v>1.0768465165007857</v>
      </c>
      <c r="H47" s="20">
        <v>0</v>
      </c>
      <c r="I47" s="45">
        <f t="shared" si="7"/>
        <v>20557</v>
      </c>
    </row>
    <row r="48" spans="1:14" s="2" customFormat="1" ht="19.95" customHeight="1" x14ac:dyDescent="0.25">
      <c r="A48" s="22" t="s">
        <v>1</v>
      </c>
      <c r="B48" s="137">
        <v>1030</v>
      </c>
      <c r="C48" s="137" t="s">
        <v>207</v>
      </c>
      <c r="D48" s="54" t="s">
        <v>51</v>
      </c>
      <c r="E48" s="45">
        <v>4020</v>
      </c>
      <c r="F48" s="45">
        <v>4164</v>
      </c>
      <c r="G48" s="53">
        <f t="shared" si="8"/>
        <v>1.035820895522388</v>
      </c>
      <c r="H48" s="20">
        <v>0</v>
      </c>
      <c r="I48" s="45">
        <f t="shared" si="7"/>
        <v>4164</v>
      </c>
    </row>
    <row r="49" spans="1:11" s="2" customFormat="1" ht="19.95" customHeight="1" x14ac:dyDescent="0.25">
      <c r="A49" s="22" t="s">
        <v>45</v>
      </c>
      <c r="B49" s="137">
        <v>1360</v>
      </c>
      <c r="C49" s="139">
        <v>1702</v>
      </c>
      <c r="D49" s="56">
        <f>C49/B49</f>
        <v>1.2514705882352941</v>
      </c>
      <c r="E49" s="45" t="s">
        <v>24</v>
      </c>
      <c r="F49" s="45">
        <f>ROUND(F48*0.5754,1)</f>
        <v>2396</v>
      </c>
      <c r="G49" s="53" t="s">
        <v>24</v>
      </c>
      <c r="H49" s="20">
        <v>0</v>
      </c>
      <c r="I49" s="45">
        <f t="shared" si="7"/>
        <v>2396</v>
      </c>
    </row>
    <row r="50" spans="1:11" s="2" customFormat="1" ht="19.95" customHeight="1" x14ac:dyDescent="0.25">
      <c r="A50" s="22" t="s">
        <v>82</v>
      </c>
      <c r="B50" s="137">
        <v>630</v>
      </c>
      <c r="C50" s="137" t="s">
        <v>208</v>
      </c>
      <c r="D50" s="54" t="s">
        <v>51</v>
      </c>
      <c r="E50" s="45">
        <v>2144.6999999999998</v>
      </c>
      <c r="F50" s="45">
        <v>2259.4</v>
      </c>
      <c r="G50" s="53">
        <f>F50/E50</f>
        <v>1.0534806732876394</v>
      </c>
      <c r="H50" s="20">
        <v>21.6</v>
      </c>
      <c r="I50" s="45">
        <f t="shared" si="7"/>
        <v>2237.8000000000002</v>
      </c>
    </row>
    <row r="51" spans="1:11" s="2" customFormat="1" ht="19.95" customHeight="1" x14ac:dyDescent="0.25">
      <c r="A51" s="22" t="s">
        <v>5</v>
      </c>
      <c r="B51" s="137">
        <v>3280</v>
      </c>
      <c r="C51" s="137" t="s">
        <v>209</v>
      </c>
      <c r="D51" s="54" t="s">
        <v>51</v>
      </c>
      <c r="E51" s="45">
        <v>6090</v>
      </c>
      <c r="F51" s="45">
        <v>6236</v>
      </c>
      <c r="G51" s="53">
        <f t="shared" ref="G51:G57" si="9">F51/E51</f>
        <v>1.0239737274220033</v>
      </c>
      <c r="H51" s="20">
        <v>0</v>
      </c>
      <c r="I51" s="45">
        <f t="shared" si="7"/>
        <v>6236</v>
      </c>
    </row>
    <row r="52" spans="1:11" s="2" customFormat="1" ht="19.95" customHeight="1" x14ac:dyDescent="0.25">
      <c r="A52" s="22" t="s">
        <v>21</v>
      </c>
      <c r="B52" s="137">
        <v>1190</v>
      </c>
      <c r="C52" s="137" t="s">
        <v>210</v>
      </c>
      <c r="D52" s="54" t="s">
        <v>51</v>
      </c>
      <c r="E52" s="45">
        <v>2850</v>
      </c>
      <c r="F52" s="45">
        <v>2958</v>
      </c>
      <c r="G52" s="53">
        <f t="shared" si="9"/>
        <v>1.0378947368421052</v>
      </c>
      <c r="H52" s="20">
        <v>0</v>
      </c>
      <c r="I52" s="45">
        <f t="shared" si="7"/>
        <v>2958</v>
      </c>
      <c r="J52" s="63" t="s">
        <v>12</v>
      </c>
      <c r="K52" s="63" t="s">
        <v>12</v>
      </c>
    </row>
    <row r="53" spans="1:11" s="2" customFormat="1" ht="19.95" customHeight="1" x14ac:dyDescent="0.25">
      <c r="A53" s="22" t="s">
        <v>6</v>
      </c>
      <c r="B53" s="137">
        <v>2850</v>
      </c>
      <c r="C53" s="137" t="s">
        <v>211</v>
      </c>
      <c r="D53" s="54" t="s">
        <v>51</v>
      </c>
      <c r="E53" s="45">
        <v>8380</v>
      </c>
      <c r="F53" s="45">
        <v>8622</v>
      </c>
      <c r="G53" s="53">
        <f t="shared" si="9"/>
        <v>1.0288782816229116</v>
      </c>
      <c r="H53" s="20">
        <v>0</v>
      </c>
      <c r="I53" s="45">
        <f t="shared" si="7"/>
        <v>8622</v>
      </c>
    </row>
    <row r="54" spans="1:11" s="2" customFormat="1" ht="19.95" customHeight="1" x14ac:dyDescent="0.25">
      <c r="A54" s="22" t="s">
        <v>22</v>
      </c>
      <c r="B54" s="137">
        <v>230</v>
      </c>
      <c r="C54" s="137" t="s">
        <v>212</v>
      </c>
      <c r="D54" s="54" t="s">
        <v>51</v>
      </c>
      <c r="E54" s="45">
        <v>2770</v>
      </c>
      <c r="F54" s="45">
        <v>2923</v>
      </c>
      <c r="G54" s="53">
        <f t="shared" si="9"/>
        <v>1.0552346570397111</v>
      </c>
      <c r="H54" s="20">
        <v>0</v>
      </c>
      <c r="I54" s="45">
        <f t="shared" si="7"/>
        <v>2923</v>
      </c>
    </row>
    <row r="55" spans="1:11" s="2" customFormat="1" ht="19.95" customHeight="1" x14ac:dyDescent="0.25">
      <c r="A55" s="22" t="s">
        <v>7</v>
      </c>
      <c r="B55" s="137">
        <v>3470</v>
      </c>
      <c r="C55" s="138">
        <v>7045</v>
      </c>
      <c r="D55" s="56">
        <f>C55/B55</f>
        <v>2.0302593659942363</v>
      </c>
      <c r="E55" s="45">
        <v>6540</v>
      </c>
      <c r="F55" s="45">
        <v>6500</v>
      </c>
      <c r="G55" s="53">
        <f t="shared" si="9"/>
        <v>0.99388379204892963</v>
      </c>
      <c r="H55" s="20">
        <v>0</v>
      </c>
      <c r="I55" s="45">
        <f t="shared" si="7"/>
        <v>6500</v>
      </c>
    </row>
    <row r="56" spans="1:11" s="2" customFormat="1" ht="19.95" customHeight="1" x14ac:dyDescent="0.25">
      <c r="A56" s="22" t="s">
        <v>33</v>
      </c>
      <c r="B56" s="137">
        <v>-500</v>
      </c>
      <c r="C56" s="139">
        <v>4538</v>
      </c>
      <c r="D56" s="56" t="s">
        <v>84</v>
      </c>
      <c r="E56" s="45">
        <f>6960+185</f>
        <v>7145</v>
      </c>
      <c r="F56" s="45">
        <f>7092+195</f>
        <v>7287</v>
      </c>
      <c r="G56" s="53">
        <f t="shared" si="9"/>
        <v>1.0198740377886635</v>
      </c>
      <c r="H56" s="20">
        <v>0</v>
      </c>
      <c r="I56" s="45">
        <f t="shared" si="7"/>
        <v>7287</v>
      </c>
      <c r="J56" s="2" t="s">
        <v>12</v>
      </c>
    </row>
    <row r="57" spans="1:11" s="2" customFormat="1" ht="19.95" customHeight="1" x14ac:dyDescent="0.25">
      <c r="A57" s="22" t="s">
        <v>8</v>
      </c>
      <c r="B57" s="137">
        <v>5800</v>
      </c>
      <c r="C57" s="138">
        <v>7926</v>
      </c>
      <c r="D57" s="57">
        <f>C57/B57</f>
        <v>1.366551724137931</v>
      </c>
      <c r="E57" s="45">
        <v>10160</v>
      </c>
      <c r="F57" s="45">
        <v>10146</v>
      </c>
      <c r="G57" s="53">
        <f t="shared" si="9"/>
        <v>0.99862204724409454</v>
      </c>
      <c r="H57" s="20">
        <v>0</v>
      </c>
      <c r="I57" s="45">
        <f t="shared" si="7"/>
        <v>10146</v>
      </c>
      <c r="J57" s="2" t="s">
        <v>12</v>
      </c>
    </row>
    <row r="58" spans="1:11" s="2" customFormat="1" ht="19.95" customHeight="1" x14ac:dyDescent="0.25">
      <c r="A58" s="22" t="s">
        <v>44</v>
      </c>
      <c r="B58" s="137">
        <v>2350</v>
      </c>
      <c r="C58" s="138">
        <v>3761</v>
      </c>
      <c r="D58" s="57">
        <f>C58/B58</f>
        <v>1.6004255319148937</v>
      </c>
      <c r="E58" s="45" t="s">
        <v>24</v>
      </c>
      <c r="F58" s="45">
        <f>ROUND(F57*0.4892,1)</f>
        <v>4963.3999999999996</v>
      </c>
      <c r="G58" s="53" t="s">
        <v>24</v>
      </c>
      <c r="H58" s="20">
        <v>0</v>
      </c>
      <c r="I58" s="45">
        <f t="shared" si="7"/>
        <v>4963.3999999999996</v>
      </c>
    </row>
    <row r="59" spans="1:11" s="2" customFormat="1" ht="19.95" customHeight="1" x14ac:dyDescent="0.25">
      <c r="A59" s="22" t="s">
        <v>40</v>
      </c>
      <c r="B59" s="137" t="s">
        <v>24</v>
      </c>
      <c r="C59" s="137" t="s">
        <v>24</v>
      </c>
      <c r="D59" s="54" t="s">
        <v>24</v>
      </c>
      <c r="E59" s="45">
        <v>405</v>
      </c>
      <c r="F59" s="45">
        <v>411</v>
      </c>
      <c r="G59" s="53">
        <f>F59/E59</f>
        <v>1.0148148148148148</v>
      </c>
      <c r="H59" s="20">
        <v>0</v>
      </c>
      <c r="I59" s="45">
        <f t="shared" si="7"/>
        <v>411</v>
      </c>
    </row>
    <row r="60" spans="1:11" s="2" customFormat="1" ht="19.95" customHeight="1" x14ac:dyDescent="0.25">
      <c r="A60" s="22" t="s">
        <v>16</v>
      </c>
      <c r="B60" s="137">
        <v>2850</v>
      </c>
      <c r="C60" s="138">
        <v>8375</v>
      </c>
      <c r="D60" s="57">
        <f>C60/B60</f>
        <v>2.9385964912280702</v>
      </c>
      <c r="E60" s="45" t="s">
        <v>24</v>
      </c>
      <c r="F60" s="45">
        <f>F37+F48+F51+F53+F57+F59</f>
        <v>32213</v>
      </c>
      <c r="G60" s="55" t="s">
        <v>24</v>
      </c>
      <c r="H60" s="45">
        <f>H37+H48+H51+H53+H57+H59</f>
        <v>0</v>
      </c>
      <c r="I60" s="176" t="s">
        <v>12</v>
      </c>
    </row>
    <row r="61" spans="1:11" s="2" customFormat="1" ht="19.95" customHeight="1" x14ac:dyDescent="0.25">
      <c r="A61" s="22" t="s">
        <v>14</v>
      </c>
      <c r="B61" s="137">
        <v>5160</v>
      </c>
      <c r="C61" s="138">
        <v>9888</v>
      </c>
      <c r="D61" s="57">
        <f>C61/B61</f>
        <v>1.9162790697674419</v>
      </c>
      <c r="E61" s="45" t="s">
        <v>24</v>
      </c>
      <c r="F61" s="45">
        <f>F42+F55</f>
        <v>13562</v>
      </c>
      <c r="G61" s="55" t="s">
        <v>24</v>
      </c>
      <c r="H61" s="45">
        <f>H42+H55</f>
        <v>0</v>
      </c>
      <c r="I61" s="177"/>
    </row>
    <row r="62" spans="1:11" s="2" customFormat="1" ht="19.95" customHeight="1" x14ac:dyDescent="0.25">
      <c r="A62" s="43" t="s">
        <v>15</v>
      </c>
      <c r="B62" s="67">
        <v>-7320</v>
      </c>
      <c r="C62" s="137" t="s">
        <v>84</v>
      </c>
      <c r="D62" s="54" t="s">
        <v>84</v>
      </c>
      <c r="E62" s="45" t="s">
        <v>24</v>
      </c>
      <c r="F62" s="45">
        <f>F52+F54+F56</f>
        <v>13168</v>
      </c>
      <c r="G62" s="55" t="s">
        <v>24</v>
      </c>
      <c r="H62" s="45">
        <f>H52+H54+H56</f>
        <v>0</v>
      </c>
      <c r="I62" s="177"/>
    </row>
    <row r="63" spans="1:11" s="2" customFormat="1" ht="19.95" customHeight="1" x14ac:dyDescent="0.25">
      <c r="A63" s="22" t="s">
        <v>17</v>
      </c>
      <c r="B63" s="137">
        <v>-1900</v>
      </c>
      <c r="C63" s="138">
        <v>7883</v>
      </c>
      <c r="D63" s="57" t="s">
        <v>84</v>
      </c>
      <c r="E63" s="45" t="s">
        <v>24</v>
      </c>
      <c r="F63" s="45">
        <f>F60+F61+F62</f>
        <v>58943</v>
      </c>
      <c r="G63" s="55" t="s">
        <v>24</v>
      </c>
      <c r="H63" s="45">
        <f>H60+H61+H62</f>
        <v>0</v>
      </c>
      <c r="I63" s="177"/>
    </row>
    <row r="64" spans="1:11" s="2" customFormat="1" ht="19.95" customHeight="1" x14ac:dyDescent="0.25">
      <c r="A64" s="43" t="s">
        <v>34</v>
      </c>
      <c r="B64" s="67">
        <v>4800</v>
      </c>
      <c r="C64" s="137" t="s">
        <v>214</v>
      </c>
      <c r="D64" s="54" t="s">
        <v>51</v>
      </c>
      <c r="E64" s="45" t="s">
        <v>24</v>
      </c>
      <c r="F64" s="45">
        <f>F38+F39+F40+F43+F44+F45+F46+F50</f>
        <v>81918.399999999994</v>
      </c>
      <c r="G64" s="55" t="s">
        <v>24</v>
      </c>
      <c r="H64" s="45">
        <f>H38+H39+H40+H43+H44+H45+H46+H50</f>
        <v>13188.199999999999</v>
      </c>
      <c r="I64" s="178"/>
      <c r="J64" s="2" t="s">
        <v>12</v>
      </c>
    </row>
    <row r="65" spans="1:12" s="2" customFormat="1" ht="19.95" customHeight="1" x14ac:dyDescent="0.25">
      <c r="A65" s="171" t="s">
        <v>103</v>
      </c>
      <c r="B65" s="171"/>
      <c r="C65" s="171"/>
      <c r="D65" s="171"/>
      <c r="E65" s="171"/>
      <c r="F65" s="171"/>
      <c r="G65" s="171"/>
      <c r="H65" s="171"/>
      <c r="I65" s="171"/>
      <c r="J65" s="108"/>
      <c r="K65" s="74"/>
    </row>
    <row r="66" spans="1:12" s="2" customFormat="1" ht="19.95" customHeight="1" x14ac:dyDescent="0.25">
      <c r="A66" s="92"/>
      <c r="B66" s="93"/>
      <c r="C66" s="93"/>
      <c r="D66" s="93"/>
      <c r="E66" s="93"/>
      <c r="F66" s="93"/>
      <c r="G66" s="93"/>
      <c r="H66" s="93"/>
      <c r="I66" s="94"/>
      <c r="J66" s="109"/>
      <c r="K66" s="74"/>
    </row>
    <row r="67" spans="1:12" ht="20.100000000000001" customHeight="1" x14ac:dyDescent="0.25">
      <c r="A67" s="171" t="s">
        <v>79</v>
      </c>
      <c r="B67" s="171"/>
      <c r="C67" s="171"/>
      <c r="D67" s="171"/>
      <c r="E67" s="171"/>
      <c r="F67" s="171"/>
      <c r="G67" s="171"/>
      <c r="H67" s="171"/>
      <c r="I67" s="171"/>
      <c r="J67" s="112" t="s">
        <v>12</v>
      </c>
    </row>
    <row r="68" spans="1:12" ht="20.100000000000001" customHeight="1" x14ac:dyDescent="0.25">
      <c r="A68" s="41" t="s">
        <v>98</v>
      </c>
      <c r="B68" s="171" t="s">
        <v>122</v>
      </c>
      <c r="C68" s="171"/>
      <c r="D68" s="171"/>
      <c r="E68" s="171"/>
      <c r="F68" s="171"/>
      <c r="G68" s="171"/>
      <c r="H68" s="171"/>
      <c r="I68" s="171"/>
      <c r="J68" s="110"/>
    </row>
    <row r="69" spans="1:12" ht="20.100000000000001" customHeight="1" x14ac:dyDescent="0.25">
      <c r="A69" s="22" t="s">
        <v>17</v>
      </c>
      <c r="B69" s="169" t="s">
        <v>183</v>
      </c>
      <c r="C69" s="169"/>
      <c r="D69" s="169"/>
      <c r="E69" s="169"/>
      <c r="F69" s="169"/>
      <c r="G69" s="169"/>
      <c r="H69" s="169"/>
      <c r="I69" s="169"/>
      <c r="J69" s="110"/>
    </row>
    <row r="70" spans="1:12" ht="20.100000000000001" customHeight="1" x14ac:dyDescent="0.25">
      <c r="A70" s="22" t="s">
        <v>16</v>
      </c>
      <c r="B70" s="169" t="s">
        <v>184</v>
      </c>
      <c r="C70" s="169"/>
      <c r="D70" s="169"/>
      <c r="E70" s="169"/>
      <c r="F70" s="169"/>
      <c r="G70" s="169"/>
      <c r="H70" s="169"/>
      <c r="I70" s="169"/>
      <c r="J70" s="110"/>
    </row>
    <row r="71" spans="1:12" ht="20.100000000000001" customHeight="1" x14ac:dyDescent="0.25">
      <c r="A71" s="22" t="s">
        <v>14</v>
      </c>
      <c r="B71" s="169" t="s">
        <v>185</v>
      </c>
      <c r="C71" s="169"/>
      <c r="D71" s="169"/>
      <c r="E71" s="169"/>
      <c r="F71" s="169"/>
      <c r="G71" s="169"/>
      <c r="H71" s="169"/>
      <c r="I71" s="169"/>
      <c r="J71" s="110"/>
    </row>
    <row r="72" spans="1:12" ht="20.100000000000001" customHeight="1" x14ac:dyDescent="0.25">
      <c r="A72" s="22" t="s">
        <v>8</v>
      </c>
      <c r="B72" s="169" t="s">
        <v>192</v>
      </c>
      <c r="C72" s="169"/>
      <c r="D72" s="169"/>
      <c r="E72" s="169"/>
      <c r="F72" s="169"/>
      <c r="G72" s="169"/>
      <c r="H72" s="169"/>
      <c r="I72" s="169"/>
      <c r="J72" s="110"/>
    </row>
    <row r="73" spans="1:12" ht="20.100000000000001" customHeight="1" x14ac:dyDescent="0.25">
      <c r="A73" s="22" t="s">
        <v>80</v>
      </c>
      <c r="B73" s="169" t="s">
        <v>192</v>
      </c>
      <c r="C73" s="169"/>
      <c r="D73" s="169"/>
      <c r="E73" s="169"/>
      <c r="F73" s="169"/>
      <c r="G73" s="169"/>
      <c r="H73" s="169"/>
      <c r="I73" s="169"/>
      <c r="J73" s="110"/>
      <c r="L73" s="4" t="s">
        <v>12</v>
      </c>
    </row>
    <row r="74" spans="1:12" ht="20.100000000000001" customHeight="1" x14ac:dyDescent="0.25">
      <c r="A74" s="22" t="s">
        <v>23</v>
      </c>
      <c r="B74" s="169" t="s">
        <v>186</v>
      </c>
      <c r="C74" s="169"/>
      <c r="D74" s="169"/>
      <c r="E74" s="169"/>
      <c r="F74" s="169"/>
      <c r="G74" s="169"/>
      <c r="H74" s="169"/>
      <c r="I74" s="169"/>
      <c r="J74" s="110"/>
    </row>
    <row r="75" spans="1:12" ht="20.100000000000001" customHeight="1" x14ac:dyDescent="0.25">
      <c r="A75" s="22" t="s">
        <v>7</v>
      </c>
      <c r="B75" s="169" t="s">
        <v>187</v>
      </c>
      <c r="C75" s="169"/>
      <c r="D75" s="169"/>
      <c r="E75" s="169"/>
      <c r="F75" s="169"/>
      <c r="G75" s="169"/>
      <c r="H75" s="169"/>
      <c r="I75" s="169"/>
      <c r="J75" s="110"/>
    </row>
    <row r="76" spans="1:12" ht="20.100000000000001" customHeight="1" x14ac:dyDescent="0.25">
      <c r="A76" s="43" t="s">
        <v>53</v>
      </c>
      <c r="B76" s="169" t="s">
        <v>188</v>
      </c>
      <c r="C76" s="169"/>
      <c r="D76" s="169"/>
      <c r="E76" s="169"/>
      <c r="F76" s="169"/>
      <c r="G76" s="169"/>
      <c r="H76" s="169"/>
      <c r="I76" s="169"/>
      <c r="J76" s="110"/>
    </row>
    <row r="77" spans="1:12" ht="20.100000000000001" customHeight="1" x14ac:dyDescent="0.25">
      <c r="A77" s="43" t="s">
        <v>81</v>
      </c>
      <c r="B77" s="169" t="s">
        <v>189</v>
      </c>
      <c r="C77" s="169"/>
      <c r="D77" s="169"/>
      <c r="E77" s="169"/>
      <c r="F77" s="169"/>
      <c r="G77" s="169"/>
      <c r="H77" s="169"/>
      <c r="I77" s="169"/>
      <c r="J77" s="115"/>
    </row>
    <row r="78" spans="1:12" ht="20.100000000000001" customHeight="1" x14ac:dyDescent="0.25">
      <c r="A78" s="43" t="s">
        <v>18</v>
      </c>
      <c r="B78" s="170" t="s">
        <v>199</v>
      </c>
      <c r="C78" s="170"/>
      <c r="D78" s="170"/>
      <c r="E78" s="170"/>
      <c r="F78" s="170"/>
      <c r="G78" s="170"/>
      <c r="H78" s="170"/>
      <c r="I78" s="170"/>
      <c r="J78" s="110"/>
    </row>
    <row r="79" spans="1:12" ht="20.100000000000001" customHeight="1" x14ac:dyDescent="0.25">
      <c r="A79" s="43" t="s">
        <v>3</v>
      </c>
      <c r="B79" s="169" t="s">
        <v>190</v>
      </c>
      <c r="C79" s="169"/>
      <c r="D79" s="169"/>
      <c r="E79" s="169"/>
      <c r="F79" s="169"/>
      <c r="G79" s="169"/>
      <c r="H79" s="169"/>
      <c r="I79" s="169"/>
      <c r="J79" s="110"/>
    </row>
    <row r="80" spans="1:12" ht="20.100000000000001" customHeight="1" x14ac:dyDescent="0.25">
      <c r="A80" s="43" t="s">
        <v>95</v>
      </c>
      <c r="B80" s="169" t="s">
        <v>191</v>
      </c>
      <c r="C80" s="169"/>
      <c r="D80" s="169"/>
      <c r="E80" s="169"/>
      <c r="F80" s="169"/>
      <c r="G80" s="169"/>
      <c r="H80" s="169"/>
      <c r="I80" s="169"/>
    </row>
    <row r="81" spans="1:1" ht="15" x14ac:dyDescent="0.25">
      <c r="A81" s="75" t="s">
        <v>12</v>
      </c>
    </row>
  </sheetData>
  <mergeCells count="31">
    <mergeCell ref="A2:H2"/>
    <mergeCell ref="A1:F1"/>
    <mergeCell ref="I60:I64"/>
    <mergeCell ref="C9:H9"/>
    <mergeCell ref="C8:H8"/>
    <mergeCell ref="C3:H3"/>
    <mergeCell ref="C4:H4"/>
    <mergeCell ref="C5:H5"/>
    <mergeCell ref="C6:H6"/>
    <mergeCell ref="C7:H7"/>
    <mergeCell ref="C10:H10"/>
    <mergeCell ref="C11:N11"/>
    <mergeCell ref="A21:N21"/>
    <mergeCell ref="A31:N31"/>
    <mergeCell ref="A33:N33"/>
    <mergeCell ref="A34:I34"/>
    <mergeCell ref="A67:I67"/>
    <mergeCell ref="B68:I68"/>
    <mergeCell ref="B69:I69"/>
    <mergeCell ref="A65:I65"/>
    <mergeCell ref="B70:I70"/>
    <mergeCell ref="B71:I71"/>
    <mergeCell ref="B72:I72"/>
    <mergeCell ref="B73:I73"/>
    <mergeCell ref="B74:I74"/>
    <mergeCell ref="B80:I80"/>
    <mergeCell ref="B75:I75"/>
    <mergeCell ref="B76:I76"/>
    <mergeCell ref="B77:I77"/>
    <mergeCell ref="B78:I78"/>
    <mergeCell ref="B79:I79"/>
  </mergeCells>
  <phoneticPr fontId="3" type="noConversion"/>
  <printOptions horizontalCentered="1" verticalCentered="1" gridLines="1"/>
  <pageMargins left="0.45" right="0.45" top="0.5" bottom="0.5" header="0.3" footer="0.3"/>
  <pageSetup scale="35" orientation="portrait" r:id="rId1"/>
  <headerFooter alignWithMargins="0"/>
  <rowBreaks count="1" manualBreakCount="1">
    <brk id="33" max="16383" man="1"/>
  </rowBreaks>
  <colBreaks count="1" manualBreakCount="1">
    <brk id="7" max="8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workbookViewId="0">
      <selection sqref="A1:E1"/>
    </sheetView>
  </sheetViews>
  <sheetFormatPr defaultRowHeight="13.2" x14ac:dyDescent="0.25"/>
  <cols>
    <col min="1" max="1" width="18.6640625" customWidth="1"/>
    <col min="2" max="2" width="21.6640625" customWidth="1"/>
    <col min="3" max="8" width="18.6640625" customWidth="1"/>
    <col min="9" max="9" width="27.109375" bestFit="1" customWidth="1"/>
  </cols>
  <sheetData>
    <row r="1" spans="1:9" ht="17.399999999999999" x14ac:dyDescent="0.3">
      <c r="A1" s="195" t="s">
        <v>108</v>
      </c>
      <c r="B1" s="195"/>
      <c r="C1" s="195"/>
      <c r="D1" s="195"/>
      <c r="E1" s="195"/>
      <c r="F1" s="10"/>
      <c r="G1" s="10"/>
    </row>
    <row r="2" spans="1:9" ht="17.399999999999999" x14ac:dyDescent="0.3">
      <c r="A2" s="111" t="s">
        <v>12</v>
      </c>
      <c r="B2" s="111"/>
      <c r="C2" s="111"/>
      <c r="D2" s="101"/>
      <c r="E2" s="101"/>
      <c r="F2" s="10"/>
      <c r="G2" s="10"/>
    </row>
    <row r="3" spans="1:9" ht="20.100000000000001" customHeight="1" x14ac:dyDescent="0.25">
      <c r="A3" s="196" t="s">
        <v>61</v>
      </c>
      <c r="B3" s="196"/>
      <c r="C3" s="196"/>
      <c r="D3" s="9" t="s">
        <v>12</v>
      </c>
      <c r="E3" s="10"/>
      <c r="F3" s="10"/>
      <c r="G3" s="10"/>
    </row>
    <row r="4" spans="1:9" ht="20.100000000000001" customHeight="1" x14ac:dyDescent="0.25">
      <c r="A4" s="179" t="s">
        <v>117</v>
      </c>
      <c r="B4" s="179"/>
      <c r="C4" s="179"/>
      <c r="D4" s="179"/>
      <c r="E4" s="179"/>
      <c r="F4" s="59"/>
      <c r="G4" s="59"/>
      <c r="H4" s="59"/>
    </row>
    <row r="5" spans="1:9" ht="20.100000000000001" customHeight="1" x14ac:dyDescent="0.25">
      <c r="A5" s="179" t="s">
        <v>120</v>
      </c>
      <c r="B5" s="179"/>
      <c r="C5" s="179"/>
      <c r="D5" s="179"/>
      <c r="E5" s="102">
        <v>6.3500000000000001E-2</v>
      </c>
      <c r="F5" s="59"/>
      <c r="G5" s="59"/>
      <c r="H5" s="10"/>
    </row>
    <row r="6" spans="1:9" ht="20.100000000000001" customHeight="1" x14ac:dyDescent="0.25">
      <c r="A6" s="181" t="s">
        <v>58</v>
      </c>
      <c r="B6" s="181"/>
      <c r="C6" s="181"/>
      <c r="D6" s="181"/>
      <c r="E6" s="181"/>
      <c r="F6" s="10"/>
      <c r="G6" s="10"/>
    </row>
    <row r="7" spans="1:9" ht="20.100000000000001" customHeight="1" x14ac:dyDescent="0.25">
      <c r="A7" s="181" t="s">
        <v>59</v>
      </c>
      <c r="B7" s="181"/>
      <c r="C7" s="181"/>
      <c r="D7" s="181"/>
      <c r="E7" s="181"/>
      <c r="F7" s="10"/>
      <c r="G7" s="10"/>
    </row>
    <row r="8" spans="1:9" ht="20.100000000000001" customHeight="1" x14ac:dyDescent="0.25">
      <c r="A8" s="192" t="s">
        <v>109</v>
      </c>
      <c r="B8" s="192"/>
      <c r="C8" s="192"/>
      <c r="D8" s="192"/>
      <c r="E8" s="192"/>
      <c r="F8" s="100"/>
      <c r="G8" s="10"/>
    </row>
    <row r="9" spans="1:9" ht="20.100000000000001" customHeight="1" x14ac:dyDescent="0.25">
      <c r="A9" s="181" t="s">
        <v>60</v>
      </c>
      <c r="B9" s="181"/>
      <c r="C9" s="181"/>
      <c r="D9" s="181"/>
      <c r="E9" s="181"/>
      <c r="F9" s="10"/>
      <c r="G9" s="10"/>
      <c r="H9" s="51" t="s">
        <v>12</v>
      </c>
    </row>
    <row r="11" spans="1:9" ht="75" customHeight="1" x14ac:dyDescent="0.25">
      <c r="A11" s="99" t="s">
        <v>110</v>
      </c>
      <c r="B11" s="24" t="s">
        <v>113</v>
      </c>
      <c r="C11" s="24" t="s">
        <v>91</v>
      </c>
      <c r="D11" s="24" t="s">
        <v>111</v>
      </c>
      <c r="E11" s="24" t="s">
        <v>115</v>
      </c>
      <c r="F11" s="24" t="s">
        <v>116</v>
      </c>
      <c r="G11" s="24" t="s">
        <v>114</v>
      </c>
      <c r="H11" s="24" t="s">
        <v>92</v>
      </c>
      <c r="I11" s="24" t="s">
        <v>215</v>
      </c>
    </row>
    <row r="12" spans="1:9" ht="15.9" customHeight="1" x14ac:dyDescent="0.3">
      <c r="A12" s="11" t="s">
        <v>54</v>
      </c>
      <c r="B12" s="13">
        <v>132200</v>
      </c>
      <c r="C12" s="7">
        <f>ROUND(B12/(365*(1-$E$5)),2)</f>
        <v>386.75</v>
      </c>
      <c r="D12" s="12"/>
      <c r="E12" s="12"/>
      <c r="F12" s="12"/>
      <c r="G12" s="14"/>
      <c r="H12" s="14"/>
      <c r="I12" s="147"/>
    </row>
    <row r="13" spans="1:9" ht="15.9" customHeight="1" x14ac:dyDescent="0.25">
      <c r="A13" s="98" t="s">
        <v>2</v>
      </c>
      <c r="B13" s="13" t="s">
        <v>12</v>
      </c>
      <c r="C13" s="7">
        <f>$C$12</f>
        <v>386.75</v>
      </c>
      <c r="D13" s="50">
        <v>30237.69</v>
      </c>
      <c r="E13" s="6">
        <v>2199</v>
      </c>
      <c r="F13" s="7">
        <f t="shared" ref="F13:F18" si="0">($B$12-D13-E13)/365</f>
        <v>273.32413698630137</v>
      </c>
      <c r="G13" s="7">
        <f t="shared" ref="G13:G17" si="1">ROUND(F13/(1-$E$5),2)</f>
        <v>291.86</v>
      </c>
      <c r="H13" s="7" t="s">
        <v>12</v>
      </c>
      <c r="I13" s="147"/>
    </row>
    <row r="14" spans="1:9" ht="15.9" customHeight="1" x14ac:dyDescent="0.25">
      <c r="A14" s="98" t="s">
        <v>1</v>
      </c>
      <c r="B14" s="13" t="s">
        <v>12</v>
      </c>
      <c r="C14" s="7">
        <f t="shared" ref="C14:C18" si="2">$C$12</f>
        <v>386.75</v>
      </c>
      <c r="D14" s="50">
        <v>41700.870000000003</v>
      </c>
      <c r="E14" s="6">
        <v>2199</v>
      </c>
      <c r="F14" s="7">
        <f t="shared" si="0"/>
        <v>241.91816438356165</v>
      </c>
      <c r="G14" s="7">
        <f t="shared" si="1"/>
        <v>258.32</v>
      </c>
      <c r="H14" s="7">
        <f>ROUND(MAX($C$12,1.5*G14),2)</f>
        <v>387.48</v>
      </c>
      <c r="I14" s="148" t="s">
        <v>45</v>
      </c>
    </row>
    <row r="15" spans="1:9" ht="15.9" customHeight="1" x14ac:dyDescent="0.25">
      <c r="A15" s="98" t="s">
        <v>5</v>
      </c>
      <c r="B15" s="13" t="s">
        <v>12</v>
      </c>
      <c r="C15" s="7">
        <f t="shared" si="2"/>
        <v>386.75</v>
      </c>
      <c r="D15" s="50">
        <v>35116.559999999998</v>
      </c>
      <c r="E15" s="6">
        <v>2199</v>
      </c>
      <c r="F15" s="7">
        <f t="shared" si="0"/>
        <v>259.9573698630137</v>
      </c>
      <c r="G15" s="7">
        <f t="shared" si="1"/>
        <v>277.58</v>
      </c>
      <c r="H15" s="7" t="s">
        <v>12</v>
      </c>
      <c r="I15" s="147"/>
    </row>
    <row r="16" spans="1:9" ht="15.9" customHeight="1" x14ac:dyDescent="0.25">
      <c r="A16" s="98" t="s">
        <v>112</v>
      </c>
      <c r="B16" s="13" t="s">
        <v>12</v>
      </c>
      <c r="C16" s="7">
        <f t="shared" si="2"/>
        <v>386.75</v>
      </c>
      <c r="D16" s="50">
        <v>31570.45</v>
      </c>
      <c r="E16" s="6">
        <v>2199</v>
      </c>
      <c r="F16" s="7">
        <f t="shared" si="0"/>
        <v>269.67273972602743</v>
      </c>
      <c r="G16" s="7">
        <f t="shared" si="1"/>
        <v>287.95999999999998</v>
      </c>
      <c r="H16" s="7" t="s">
        <v>12</v>
      </c>
      <c r="I16" s="147"/>
    </row>
    <row r="17" spans="1:10" ht="15.9" customHeight="1" x14ac:dyDescent="0.25">
      <c r="A17" s="98" t="s">
        <v>77</v>
      </c>
      <c r="B17" s="13" t="s">
        <v>12</v>
      </c>
      <c r="C17" s="7">
        <f t="shared" si="2"/>
        <v>386.75</v>
      </c>
      <c r="D17" s="50">
        <v>28139.67</v>
      </c>
      <c r="E17" s="6">
        <v>2199</v>
      </c>
      <c r="F17" s="7">
        <f t="shared" si="0"/>
        <v>279.07213698630136</v>
      </c>
      <c r="G17" s="7">
        <f t="shared" si="1"/>
        <v>297.99</v>
      </c>
      <c r="H17" s="7">
        <f>ROUND(MAX($C$12,1.5*G17),2)</f>
        <v>446.99</v>
      </c>
      <c r="I17" s="146" t="s">
        <v>216</v>
      </c>
    </row>
    <row r="18" spans="1:10" ht="15.9" customHeight="1" x14ac:dyDescent="0.25">
      <c r="A18" s="98" t="s">
        <v>40</v>
      </c>
      <c r="B18" s="13" t="s">
        <v>12</v>
      </c>
      <c r="C18" s="7">
        <f t="shared" si="2"/>
        <v>386.75</v>
      </c>
      <c r="D18" s="50">
        <v>29093.82</v>
      </c>
      <c r="E18" s="6">
        <v>2199</v>
      </c>
      <c r="F18" s="7">
        <f t="shared" si="0"/>
        <v>276.45802739726025</v>
      </c>
      <c r="G18" s="7">
        <f>ROUND(F18/(1-$E$5),2)</f>
        <v>295.2</v>
      </c>
      <c r="H18" s="7" t="s">
        <v>12</v>
      </c>
      <c r="I18" s="147"/>
    </row>
    <row r="19" spans="1:10" ht="15.9" customHeight="1" x14ac:dyDescent="0.25">
      <c r="A19" s="97" t="s">
        <v>16</v>
      </c>
      <c r="B19" s="13" t="s">
        <v>12</v>
      </c>
      <c r="C19" s="8"/>
      <c r="D19" s="50" t="s">
        <v>12</v>
      </c>
      <c r="E19" s="6" t="s">
        <v>12</v>
      </c>
      <c r="F19" s="7">
        <f>ROUND(G19*(1-$E$5),2)</f>
        <v>266.73</v>
      </c>
      <c r="G19" s="7">
        <f>ROUND(AVERAGE(G13:G18),2)</f>
        <v>284.82</v>
      </c>
      <c r="H19" s="7">
        <f t="shared" ref="H19" si="3">ROUND(MAX($C$12,1.5*G19),2)</f>
        <v>427.23</v>
      </c>
      <c r="I19" s="146" t="s">
        <v>16</v>
      </c>
    </row>
    <row r="20" spans="1:10" ht="15.9" customHeight="1" x14ac:dyDescent="0.3">
      <c r="A20" s="11" t="s">
        <v>55</v>
      </c>
      <c r="B20" s="13">
        <v>130300</v>
      </c>
      <c r="C20" s="7">
        <f>ROUND(B20/(365*(1-$E$5)),2)</f>
        <v>381.19</v>
      </c>
      <c r="D20" s="50"/>
      <c r="E20" s="6"/>
      <c r="F20" s="7"/>
      <c r="G20" s="8" t="s">
        <v>12</v>
      </c>
      <c r="H20" s="8" t="s">
        <v>12</v>
      </c>
      <c r="I20" s="147"/>
    </row>
    <row r="21" spans="1:10" ht="15.9" customHeight="1" x14ac:dyDescent="0.25">
      <c r="A21" s="98" t="s">
        <v>3</v>
      </c>
      <c r="B21" s="13" t="s">
        <v>12</v>
      </c>
      <c r="C21" s="7">
        <f>$C$20</f>
        <v>381.19</v>
      </c>
      <c r="D21" s="50">
        <v>47570.74</v>
      </c>
      <c r="E21" s="6">
        <v>2199</v>
      </c>
      <c r="F21" s="7">
        <f>($B$20-D21-E21)/365</f>
        <v>220.63084931506853</v>
      </c>
      <c r="G21" s="7">
        <f>ROUND(F21/(1-$E$5),2)</f>
        <v>235.59</v>
      </c>
      <c r="H21" s="7">
        <f>ROUND(MAX($C$20,1.5*G21),2)</f>
        <v>381.19</v>
      </c>
      <c r="I21" s="146" t="s">
        <v>3</v>
      </c>
    </row>
    <row r="22" spans="1:10" ht="15.9" customHeight="1" x14ac:dyDescent="0.25">
      <c r="A22" s="98" t="s">
        <v>7</v>
      </c>
      <c r="B22" s="13"/>
      <c r="C22" s="7">
        <f>$C$20</f>
        <v>381.19</v>
      </c>
      <c r="D22" s="50">
        <v>42390.95</v>
      </c>
      <c r="E22" s="6">
        <v>2199</v>
      </c>
      <c r="F22" s="7">
        <f>($B$20-D22-E22)/365</f>
        <v>234.82205479452057</v>
      </c>
      <c r="G22" s="7">
        <f>ROUND(F22/(1-$E$5),2)</f>
        <v>250.74</v>
      </c>
      <c r="H22" s="7">
        <f t="shared" ref="H22:H23" si="4">ROUND(MAX($C$20,1.5*G22),2)</f>
        <v>381.19</v>
      </c>
      <c r="I22" s="146" t="s">
        <v>7</v>
      </c>
    </row>
    <row r="23" spans="1:10" ht="15.9" customHeight="1" x14ac:dyDescent="0.25">
      <c r="A23" s="97" t="s">
        <v>14</v>
      </c>
      <c r="B23" s="13"/>
      <c r="C23" s="8"/>
      <c r="D23" s="50"/>
      <c r="E23" s="6" t="s">
        <v>12</v>
      </c>
      <c r="F23" s="7">
        <f>ROUND(G23*(1-$E$5),2)</f>
        <v>227.73</v>
      </c>
      <c r="G23" s="7">
        <f>ROUND(AVERAGE(G21:G22),2)</f>
        <v>243.17</v>
      </c>
      <c r="H23" s="7">
        <f t="shared" si="4"/>
        <v>381.19</v>
      </c>
      <c r="I23" s="146" t="s">
        <v>14</v>
      </c>
    </row>
    <row r="24" spans="1:10" ht="15.9" customHeight="1" x14ac:dyDescent="0.3">
      <c r="A24" s="11" t="s">
        <v>57</v>
      </c>
      <c r="B24" s="13">
        <v>130300</v>
      </c>
      <c r="C24" s="7">
        <f>ROUND(B24/(365*(1-$E$5)),2)</f>
        <v>381.19</v>
      </c>
      <c r="D24" s="50"/>
      <c r="E24" s="6" t="s">
        <v>12</v>
      </c>
      <c r="F24" s="7"/>
      <c r="G24" s="8"/>
      <c r="H24" s="8"/>
      <c r="I24" s="147"/>
    </row>
    <row r="25" spans="1:10" ht="15.9" customHeight="1" x14ac:dyDescent="0.25">
      <c r="A25" s="98" t="s">
        <v>21</v>
      </c>
      <c r="B25" s="13" t="s">
        <v>12</v>
      </c>
      <c r="C25" s="7">
        <f>$C$24</f>
        <v>381.19</v>
      </c>
      <c r="D25" s="50">
        <v>31279.759999999998</v>
      </c>
      <c r="E25" s="6">
        <v>2199</v>
      </c>
      <c r="F25" s="7">
        <f>($B$24-D25-E25)/365</f>
        <v>265.26367123287673</v>
      </c>
      <c r="G25" s="7">
        <f>ROUND(F25/(1-$E$5),2)</f>
        <v>283.25</v>
      </c>
      <c r="H25" s="7" t="s">
        <v>12</v>
      </c>
      <c r="I25" s="147"/>
    </row>
    <row r="26" spans="1:10" ht="15.9" customHeight="1" x14ac:dyDescent="0.25">
      <c r="A26" s="98" t="s">
        <v>78</v>
      </c>
      <c r="B26" s="13"/>
      <c r="C26" s="7">
        <f t="shared" ref="C26:C27" si="5">$C$24</f>
        <v>381.19</v>
      </c>
      <c r="D26" s="50">
        <v>51175.41</v>
      </c>
      <c r="E26" s="6">
        <v>2199</v>
      </c>
      <c r="F26" s="7">
        <f>($B$24-D26-E26)/365</f>
        <v>210.75504109589039</v>
      </c>
      <c r="G26" s="7">
        <f>ROUND(F26/(1-$E$5),2)</f>
        <v>225.05</v>
      </c>
      <c r="H26" s="7" t="s">
        <v>12</v>
      </c>
      <c r="I26" s="147"/>
    </row>
    <row r="27" spans="1:10" ht="15.9" customHeight="1" x14ac:dyDescent="0.25">
      <c r="A27" s="98" t="s">
        <v>76</v>
      </c>
      <c r="B27" s="13"/>
      <c r="C27" s="7">
        <f t="shared" si="5"/>
        <v>381.19</v>
      </c>
      <c r="D27" s="50">
        <v>30751.95</v>
      </c>
      <c r="E27" s="6">
        <v>2199</v>
      </c>
      <c r="F27" s="7">
        <f>($B$24-D27-E27)/365</f>
        <v>266.70972602739727</v>
      </c>
      <c r="G27" s="7">
        <f t="shared" ref="G27" si="6">ROUND(F27/(1-$E$5),2)</f>
        <v>284.79000000000002</v>
      </c>
      <c r="H27" s="7">
        <f t="shared" ref="H27" si="7">ROUND(MAX($C$24,1.5*G27),2)</f>
        <v>427.19</v>
      </c>
      <c r="I27" s="146" t="s">
        <v>76</v>
      </c>
    </row>
    <row r="28" spans="1:10" ht="15.9" customHeight="1" x14ac:dyDescent="0.25">
      <c r="A28" s="97" t="s">
        <v>17</v>
      </c>
      <c r="B28" s="13" t="s">
        <v>12</v>
      </c>
      <c r="C28" s="7">
        <f>ROUND(AVERAGE(C13,C14,C15,C16,C17,C18,C21,C22,C25,C26,C27),2)</f>
        <v>384.22</v>
      </c>
      <c r="D28" s="50"/>
      <c r="E28" s="6" t="s">
        <v>12</v>
      </c>
      <c r="F28" s="7">
        <f>ROUND(G28*(1-$E$5),2)</f>
        <v>254.42</v>
      </c>
      <c r="G28" s="7">
        <f>ROUND(AVERAGE(G13,G14,G15,G16,G17,G18,G21,G22,G25,G26,G27),2)</f>
        <v>271.67</v>
      </c>
      <c r="H28" s="7">
        <f>ROUND(MAX($C$28,1.5*G28),2)</f>
        <v>407.51</v>
      </c>
      <c r="I28" s="146" t="s">
        <v>17</v>
      </c>
      <c r="J28" s="143" t="s">
        <v>12</v>
      </c>
    </row>
    <row r="29" spans="1:10" ht="15.9" customHeight="1" x14ac:dyDescent="0.3">
      <c r="A29" s="11" t="s">
        <v>56</v>
      </c>
      <c r="B29" s="13">
        <v>128900</v>
      </c>
      <c r="C29" s="7">
        <f>ROUND(B29/(365*(1-$E$5)),2)</f>
        <v>377.1</v>
      </c>
      <c r="D29" s="50"/>
      <c r="E29" s="6" t="s">
        <v>12</v>
      </c>
      <c r="F29" s="7"/>
      <c r="G29" s="8"/>
      <c r="H29" s="8"/>
      <c r="I29" s="147"/>
    </row>
    <row r="30" spans="1:10" ht="15.9" customHeight="1" x14ac:dyDescent="0.25">
      <c r="A30" s="145" t="s">
        <v>66</v>
      </c>
      <c r="B30" s="13"/>
      <c r="C30" s="7"/>
      <c r="D30" s="50">
        <v>27932.34</v>
      </c>
      <c r="E30" s="6">
        <v>2199</v>
      </c>
      <c r="F30" s="7">
        <f t="shared" ref="F30:F35" si="8">($B$29-D30-E30)/365</f>
        <v>270.5990684931507</v>
      </c>
      <c r="G30" s="7">
        <f t="shared" ref="G30:G35" si="9">ROUND(F30/(1-$E$5),2)</f>
        <v>288.95</v>
      </c>
      <c r="H30" s="7" t="s">
        <v>12</v>
      </c>
      <c r="I30" s="147"/>
    </row>
    <row r="31" spans="1:10" ht="15.9" customHeight="1" x14ac:dyDescent="0.25">
      <c r="A31" s="145" t="s">
        <v>0</v>
      </c>
      <c r="B31" s="13"/>
      <c r="C31" s="7"/>
      <c r="D31" s="50">
        <v>36061.54</v>
      </c>
      <c r="E31" s="6">
        <v>2199</v>
      </c>
      <c r="F31" s="7">
        <f t="shared" si="8"/>
        <v>248.32728767123285</v>
      </c>
      <c r="G31" s="7">
        <f t="shared" si="9"/>
        <v>265.17</v>
      </c>
      <c r="H31" s="7" t="s">
        <v>12</v>
      </c>
      <c r="I31" s="147"/>
    </row>
    <row r="32" spans="1:10" ht="15.9" customHeight="1" x14ac:dyDescent="0.25">
      <c r="A32" s="98" t="s">
        <v>53</v>
      </c>
      <c r="B32" s="13" t="s">
        <v>12</v>
      </c>
      <c r="C32" s="8" t="s">
        <v>12</v>
      </c>
      <c r="D32" s="50">
        <v>33819.550000000003</v>
      </c>
      <c r="E32" s="6">
        <v>2199</v>
      </c>
      <c r="F32" s="7">
        <f t="shared" si="8"/>
        <v>254.46972602739726</v>
      </c>
      <c r="G32" s="7">
        <f t="shared" si="9"/>
        <v>271.72000000000003</v>
      </c>
      <c r="H32" s="7">
        <f t="shared" ref="H32:H33" si="10">ROUND(MAX($C$29,1.5*G32),2)</f>
        <v>407.58</v>
      </c>
      <c r="I32" s="146" t="s">
        <v>217</v>
      </c>
    </row>
    <row r="33" spans="1:9" ht="15.9" customHeight="1" x14ac:dyDescent="0.25">
      <c r="A33" s="98" t="s">
        <v>18</v>
      </c>
      <c r="B33" s="13"/>
      <c r="C33" s="8"/>
      <c r="D33" s="50">
        <v>17220.330000000002</v>
      </c>
      <c r="E33" s="6">
        <v>2199</v>
      </c>
      <c r="F33" s="7">
        <f t="shared" si="8"/>
        <v>299.94704109589043</v>
      </c>
      <c r="G33" s="7">
        <f t="shared" si="9"/>
        <v>320.29000000000002</v>
      </c>
      <c r="H33" s="7">
        <f t="shared" si="10"/>
        <v>480.44</v>
      </c>
      <c r="I33" s="146" t="s">
        <v>18</v>
      </c>
    </row>
    <row r="34" spans="1:9" ht="15.9" customHeight="1" x14ac:dyDescent="0.25">
      <c r="A34" s="98" t="s">
        <v>19</v>
      </c>
      <c r="B34" s="13"/>
      <c r="C34" s="8"/>
      <c r="D34" s="50">
        <v>30598.15</v>
      </c>
      <c r="E34" s="6">
        <v>2199</v>
      </c>
      <c r="F34" s="7">
        <f t="shared" si="8"/>
        <v>263.29547945205479</v>
      </c>
      <c r="G34" s="7">
        <f t="shared" si="9"/>
        <v>281.14999999999998</v>
      </c>
      <c r="H34" s="7" t="s">
        <v>12</v>
      </c>
      <c r="I34" s="147"/>
    </row>
    <row r="35" spans="1:9" ht="15.9" customHeight="1" x14ac:dyDescent="0.25">
      <c r="A35" s="98" t="s">
        <v>74</v>
      </c>
      <c r="B35" s="13"/>
      <c r="C35" s="8"/>
      <c r="D35" s="50">
        <v>26214.06</v>
      </c>
      <c r="E35" s="6">
        <v>2199</v>
      </c>
      <c r="F35" s="7">
        <f t="shared" si="8"/>
        <v>275.30668493150688</v>
      </c>
      <c r="G35" s="7">
        <f t="shared" si="9"/>
        <v>293.97000000000003</v>
      </c>
      <c r="H35" s="7" t="s">
        <v>12</v>
      </c>
      <c r="I35" s="147"/>
    </row>
    <row r="36" spans="1:9" ht="15.9" customHeight="1" x14ac:dyDescent="0.25">
      <c r="A36" s="98" t="s">
        <v>4</v>
      </c>
      <c r="B36" s="13"/>
      <c r="C36" s="8"/>
      <c r="D36" s="50">
        <v>28704.07</v>
      </c>
      <c r="E36" s="6">
        <v>2199</v>
      </c>
      <c r="F36" s="7">
        <f t="shared" ref="F36:F38" si="11">($B$29-D36-E36)/365</f>
        <v>268.48473972602739</v>
      </c>
      <c r="G36" s="7">
        <f t="shared" ref="G36:G38" si="12">ROUND(F36/(1-$E$5),2)</f>
        <v>286.69</v>
      </c>
      <c r="H36" s="7" t="s">
        <v>12</v>
      </c>
      <c r="I36" s="147"/>
    </row>
    <row r="37" spans="1:9" ht="15.9" customHeight="1" x14ac:dyDescent="0.25">
      <c r="A37" s="98" t="s">
        <v>20</v>
      </c>
      <c r="B37" s="13"/>
      <c r="C37" s="8"/>
      <c r="D37" s="50">
        <v>27255.94</v>
      </c>
      <c r="E37" s="6">
        <v>2199</v>
      </c>
      <c r="F37" s="7">
        <f t="shared" si="11"/>
        <v>272.4522191780822</v>
      </c>
      <c r="G37" s="7">
        <f t="shared" si="12"/>
        <v>290.93</v>
      </c>
      <c r="H37" s="7" t="s">
        <v>12</v>
      </c>
      <c r="I37" s="147"/>
    </row>
    <row r="38" spans="1:9" ht="15.9" customHeight="1" x14ac:dyDescent="0.25">
      <c r="A38" s="98" t="s">
        <v>82</v>
      </c>
      <c r="B38" s="13"/>
      <c r="C38" s="8"/>
      <c r="D38" s="50">
        <v>46685.96</v>
      </c>
      <c r="E38" s="6">
        <v>2199</v>
      </c>
      <c r="F38" s="7">
        <f t="shared" si="11"/>
        <v>219.21928767123291</v>
      </c>
      <c r="G38" s="7">
        <f t="shared" si="12"/>
        <v>234.08</v>
      </c>
      <c r="H38" s="7" t="s">
        <v>12</v>
      </c>
      <c r="I38" s="147"/>
    </row>
    <row r="39" spans="1:9" ht="15.9" customHeight="1" x14ac:dyDescent="0.25">
      <c r="A39" s="97" t="s">
        <v>13</v>
      </c>
      <c r="B39" s="13">
        <f>AVERAGE(B12,B20,B24,B29)</f>
        <v>130425</v>
      </c>
      <c r="C39" s="7">
        <f>ROUND(B39/(365*(1-$E$5)),2)</f>
        <v>381.56</v>
      </c>
      <c r="D39" s="50">
        <v>25483.54</v>
      </c>
      <c r="E39" s="6">
        <f>E32</f>
        <v>2199</v>
      </c>
      <c r="F39" s="7">
        <f>($B$39-D39-E39)/365</f>
        <v>281.48619178082191</v>
      </c>
      <c r="G39" s="7">
        <f>ROUND(F39/(1-$E$5),2)</f>
        <v>300.57</v>
      </c>
      <c r="H39" s="7">
        <f>ROUND(MAX($C$39,1.5*G39),2)</f>
        <v>450.86</v>
      </c>
      <c r="I39" s="146" t="s">
        <v>13</v>
      </c>
    </row>
    <row r="40" spans="1:9" x14ac:dyDescent="0.25">
      <c r="A40" s="193" t="s">
        <v>93</v>
      </c>
      <c r="B40" s="194"/>
      <c r="C40" s="194"/>
      <c r="D40" s="194"/>
      <c r="E40" s="194"/>
      <c r="F40" s="194"/>
      <c r="G40" s="194"/>
      <c r="H40" s="194"/>
    </row>
    <row r="44" spans="1:9" x14ac:dyDescent="0.25">
      <c r="E44" s="134"/>
      <c r="F44" s="134"/>
      <c r="I44" s="134"/>
    </row>
    <row r="45" spans="1:9" x14ac:dyDescent="0.25">
      <c r="B45" s="134"/>
      <c r="C45" s="134"/>
      <c r="E45" s="134"/>
      <c r="F45" s="134"/>
      <c r="I45" s="134"/>
    </row>
    <row r="46" spans="1:9" x14ac:dyDescent="0.25">
      <c r="B46" s="134"/>
      <c r="C46" s="134"/>
      <c r="E46" s="134"/>
      <c r="F46" s="134"/>
      <c r="I46" s="134"/>
    </row>
    <row r="47" spans="1:9" x14ac:dyDescent="0.25">
      <c r="B47" s="134"/>
      <c r="C47" s="134"/>
      <c r="E47" s="134"/>
      <c r="F47" s="134"/>
      <c r="I47" s="134"/>
    </row>
    <row r="48" spans="1:9" x14ac:dyDescent="0.25">
      <c r="B48" s="134"/>
      <c r="C48" s="134"/>
      <c r="E48" s="134"/>
      <c r="F48" s="134"/>
      <c r="I48" s="134"/>
    </row>
    <row r="49" spans="2:9" x14ac:dyDescent="0.25">
      <c r="B49" s="134"/>
      <c r="C49" s="134"/>
      <c r="E49" s="134"/>
      <c r="F49" s="134"/>
      <c r="I49" s="134"/>
    </row>
    <row r="50" spans="2:9" x14ac:dyDescent="0.25">
      <c r="B50" s="134"/>
      <c r="C50" s="134"/>
      <c r="E50" s="134"/>
      <c r="F50" s="134"/>
      <c r="I50" s="134"/>
    </row>
    <row r="51" spans="2:9" x14ac:dyDescent="0.25">
      <c r="B51" s="134"/>
      <c r="C51" s="134"/>
      <c r="E51" s="134"/>
      <c r="F51" s="134"/>
      <c r="I51" s="134"/>
    </row>
    <row r="52" spans="2:9" x14ac:dyDescent="0.25">
      <c r="B52" s="134"/>
      <c r="C52" s="134"/>
      <c r="E52" s="134"/>
      <c r="F52" s="134"/>
      <c r="I52" s="134"/>
    </row>
    <row r="53" spans="2:9" x14ac:dyDescent="0.25">
      <c r="B53" s="134"/>
      <c r="C53" s="134"/>
      <c r="E53" s="134"/>
      <c r="F53" s="134"/>
      <c r="I53" s="134"/>
    </row>
    <row r="54" spans="2:9" x14ac:dyDescent="0.25">
      <c r="B54" s="134"/>
      <c r="C54" s="134"/>
      <c r="E54" s="134"/>
      <c r="F54" s="134"/>
      <c r="I54" s="134"/>
    </row>
    <row r="55" spans="2:9" x14ac:dyDescent="0.25">
      <c r="B55" s="134"/>
      <c r="C55" s="134"/>
      <c r="E55" s="134"/>
      <c r="F55" s="134"/>
      <c r="I55" s="134"/>
    </row>
    <row r="56" spans="2:9" x14ac:dyDescent="0.25">
      <c r="B56" s="134"/>
      <c r="C56" s="134"/>
      <c r="E56" s="134"/>
      <c r="F56" s="134"/>
      <c r="I56" s="134"/>
    </row>
    <row r="57" spans="2:9" x14ac:dyDescent="0.25">
      <c r="B57" s="134"/>
      <c r="C57" s="134"/>
      <c r="E57" s="134"/>
      <c r="F57" s="134"/>
      <c r="I57" s="134"/>
    </row>
    <row r="58" spans="2:9" x14ac:dyDescent="0.25">
      <c r="B58" s="134"/>
      <c r="C58" s="134"/>
      <c r="E58" s="134"/>
      <c r="F58" s="134"/>
      <c r="I58" s="134"/>
    </row>
    <row r="59" spans="2:9" x14ac:dyDescent="0.25">
      <c r="B59" s="134"/>
      <c r="C59" s="134"/>
      <c r="E59" s="134"/>
      <c r="F59" s="134"/>
      <c r="I59" s="134"/>
    </row>
    <row r="60" spans="2:9" x14ac:dyDescent="0.25">
      <c r="B60" s="134"/>
      <c r="C60" s="134"/>
      <c r="E60" s="134"/>
      <c r="F60" s="134"/>
      <c r="I60" s="134"/>
    </row>
    <row r="61" spans="2:9" x14ac:dyDescent="0.25">
      <c r="B61" s="134"/>
      <c r="C61" s="134"/>
      <c r="E61" s="134"/>
      <c r="F61" s="134"/>
      <c r="I61" s="134"/>
    </row>
    <row r="62" spans="2:9" x14ac:dyDescent="0.25">
      <c r="B62" s="134"/>
      <c r="C62" s="134"/>
      <c r="E62" s="134"/>
      <c r="F62" s="134"/>
      <c r="I62" s="134"/>
    </row>
    <row r="63" spans="2:9" x14ac:dyDescent="0.25">
      <c r="B63" s="134"/>
      <c r="C63" s="134"/>
      <c r="E63" s="134"/>
      <c r="F63" s="134"/>
      <c r="I63" s="134"/>
    </row>
    <row r="64" spans="2:9" x14ac:dyDescent="0.25">
      <c r="B64" s="134"/>
      <c r="C64" s="134"/>
      <c r="E64" s="134"/>
      <c r="F64" s="134"/>
      <c r="I64" s="134"/>
    </row>
    <row r="65" spans="2:9" x14ac:dyDescent="0.25">
      <c r="B65" s="134"/>
      <c r="C65" s="134"/>
      <c r="E65" s="134"/>
      <c r="F65" s="134"/>
      <c r="I65" s="134"/>
    </row>
    <row r="66" spans="2:9" x14ac:dyDescent="0.25">
      <c r="B66" s="134"/>
      <c r="C66" s="134"/>
      <c r="E66" s="134"/>
      <c r="F66" s="134"/>
      <c r="I66" s="134"/>
    </row>
    <row r="67" spans="2:9" x14ac:dyDescent="0.25">
      <c r="B67" s="134"/>
      <c r="C67" s="134"/>
      <c r="E67" s="134"/>
      <c r="F67" s="134"/>
      <c r="I67" s="134"/>
    </row>
    <row r="68" spans="2:9" x14ac:dyDescent="0.25">
      <c r="B68" s="134"/>
      <c r="C68" s="134"/>
      <c r="E68" s="134"/>
      <c r="F68" s="134"/>
    </row>
    <row r="69" spans="2:9" x14ac:dyDescent="0.25">
      <c r="B69" s="134"/>
      <c r="C69" s="134"/>
      <c r="E69" s="134"/>
      <c r="F69" s="134"/>
    </row>
    <row r="70" spans="2:9" x14ac:dyDescent="0.25">
      <c r="B70" s="134"/>
      <c r="C70" s="134"/>
      <c r="E70" s="134"/>
      <c r="F70" s="134"/>
    </row>
    <row r="71" spans="2:9" x14ac:dyDescent="0.25">
      <c r="B71" s="134"/>
      <c r="C71" s="134"/>
      <c r="E71" s="134"/>
      <c r="F71" s="134"/>
    </row>
    <row r="72" spans="2:9" x14ac:dyDescent="0.25">
      <c r="B72" s="134"/>
      <c r="C72" s="134"/>
      <c r="E72" s="134"/>
      <c r="F72" s="134"/>
    </row>
  </sheetData>
  <mergeCells count="9">
    <mergeCell ref="A8:E8"/>
    <mergeCell ref="A9:E9"/>
    <mergeCell ref="A40:H40"/>
    <mergeCell ref="A1:E1"/>
    <mergeCell ref="A3:C3"/>
    <mergeCell ref="A4:E4"/>
    <mergeCell ref="A5:D5"/>
    <mergeCell ref="A6:E6"/>
    <mergeCell ref="A7:E7"/>
  </mergeCells>
  <pageMargins left="0.7" right="0.7" top="0.75" bottom="0.75" header="0.3" footer="0.3"/>
  <pageSetup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zoomScale="120" zoomScaleNormal="120" workbookViewId="0">
      <selection sqref="A1:C1"/>
    </sheetView>
  </sheetViews>
  <sheetFormatPr defaultRowHeight="13.2" x14ac:dyDescent="0.25"/>
  <cols>
    <col min="1" max="1" width="12.6640625" customWidth="1"/>
    <col min="2" max="2" width="100.6640625" customWidth="1"/>
    <col min="3" max="3" width="15.6640625" customWidth="1"/>
  </cols>
  <sheetData>
    <row r="1" spans="1:4" ht="20.100000000000001" customHeight="1" thickBot="1" x14ac:dyDescent="0.3">
      <c r="A1" s="197" t="s">
        <v>130</v>
      </c>
      <c r="B1" s="197"/>
      <c r="C1" s="197"/>
      <c r="D1" s="48" t="s">
        <v>12</v>
      </c>
    </row>
    <row r="2" spans="1:4" ht="30.9" customHeight="1" thickBot="1" x14ac:dyDescent="0.3">
      <c r="A2" s="46" t="s">
        <v>62</v>
      </c>
      <c r="B2" s="47" t="s">
        <v>63</v>
      </c>
      <c r="C2" s="91" t="s">
        <v>64</v>
      </c>
    </row>
    <row r="3" spans="1:4" ht="20.100000000000001" customHeight="1" x14ac:dyDescent="0.25">
      <c r="A3" s="126" t="s">
        <v>131</v>
      </c>
      <c r="B3" s="127" t="s">
        <v>132</v>
      </c>
      <c r="C3" s="128" t="s">
        <v>76</v>
      </c>
    </row>
    <row r="4" spans="1:4" ht="30" customHeight="1" x14ac:dyDescent="0.25">
      <c r="A4" s="121" t="s">
        <v>133</v>
      </c>
      <c r="B4" s="120" t="s">
        <v>134</v>
      </c>
      <c r="C4" s="122" t="s">
        <v>76</v>
      </c>
    </row>
    <row r="5" spans="1:4" ht="20.100000000000001" customHeight="1" x14ac:dyDescent="0.25">
      <c r="A5" s="121" t="s">
        <v>135</v>
      </c>
      <c r="B5" s="120" t="s">
        <v>136</v>
      </c>
      <c r="C5" s="122" t="s">
        <v>78</v>
      </c>
    </row>
    <row r="6" spans="1:4" ht="30" customHeight="1" x14ac:dyDescent="0.25">
      <c r="A6" s="121" t="s">
        <v>137</v>
      </c>
      <c r="B6" s="120" t="s">
        <v>138</v>
      </c>
      <c r="C6" s="122" t="s">
        <v>75</v>
      </c>
    </row>
    <row r="7" spans="1:4" ht="20.100000000000001" customHeight="1" x14ac:dyDescent="0.25">
      <c r="A7" s="121" t="s">
        <v>139</v>
      </c>
      <c r="B7" s="120" t="s">
        <v>140</v>
      </c>
      <c r="C7" s="122" t="s">
        <v>77</v>
      </c>
    </row>
    <row r="8" spans="1:4" ht="20.100000000000001" customHeight="1" x14ac:dyDescent="0.25">
      <c r="A8" s="121" t="s">
        <v>141</v>
      </c>
      <c r="B8" s="120" t="s">
        <v>142</v>
      </c>
      <c r="C8" s="122" t="s">
        <v>77</v>
      </c>
    </row>
    <row r="9" spans="1:4" ht="20.100000000000001" customHeight="1" x14ac:dyDescent="0.25">
      <c r="A9" s="121" t="s">
        <v>143</v>
      </c>
      <c r="B9" s="120" t="s">
        <v>144</v>
      </c>
      <c r="C9" s="122" t="s">
        <v>77</v>
      </c>
    </row>
    <row r="10" spans="1:4" ht="20.100000000000001" customHeight="1" x14ac:dyDescent="0.25">
      <c r="A10" s="121" t="s">
        <v>145</v>
      </c>
      <c r="B10" s="120" t="s">
        <v>146</v>
      </c>
      <c r="C10" s="122" t="s">
        <v>77</v>
      </c>
    </row>
    <row r="11" spans="1:4" ht="20.100000000000001" customHeight="1" x14ac:dyDescent="0.25">
      <c r="A11" s="121" t="s">
        <v>147</v>
      </c>
      <c r="B11" s="120" t="s">
        <v>148</v>
      </c>
      <c r="C11" s="122" t="s">
        <v>77</v>
      </c>
    </row>
    <row r="12" spans="1:4" ht="30" customHeight="1" x14ac:dyDescent="0.25">
      <c r="A12" s="121" t="s">
        <v>149</v>
      </c>
      <c r="B12" s="120" t="s">
        <v>150</v>
      </c>
      <c r="C12" s="122" t="s">
        <v>77</v>
      </c>
    </row>
    <row r="13" spans="1:4" ht="20.100000000000001" customHeight="1" x14ac:dyDescent="0.25">
      <c r="A13" s="121" t="s">
        <v>151</v>
      </c>
      <c r="B13" s="120" t="s">
        <v>152</v>
      </c>
      <c r="C13" s="122" t="s">
        <v>77</v>
      </c>
    </row>
    <row r="14" spans="1:4" ht="30" customHeight="1" x14ac:dyDescent="0.25">
      <c r="A14" s="121" t="s">
        <v>153</v>
      </c>
      <c r="B14" s="120" t="s">
        <v>154</v>
      </c>
      <c r="C14" s="122" t="s">
        <v>77</v>
      </c>
    </row>
    <row r="15" spans="1:4" ht="20.100000000000001" customHeight="1" x14ac:dyDescent="0.25">
      <c r="A15" s="121" t="s">
        <v>155</v>
      </c>
      <c r="B15" s="120" t="s">
        <v>156</v>
      </c>
      <c r="C15" s="122" t="s">
        <v>77</v>
      </c>
    </row>
    <row r="16" spans="1:4" ht="20.100000000000001" customHeight="1" x14ac:dyDescent="0.25">
      <c r="A16" s="121" t="s">
        <v>157</v>
      </c>
      <c r="B16" s="120" t="s">
        <v>158</v>
      </c>
      <c r="C16" s="122" t="s">
        <v>77</v>
      </c>
    </row>
    <row r="17" spans="1:3" ht="20.100000000000001" customHeight="1" x14ac:dyDescent="0.25">
      <c r="A17" s="121" t="s">
        <v>159</v>
      </c>
      <c r="B17" s="120" t="s">
        <v>160</v>
      </c>
      <c r="C17" s="122" t="s">
        <v>77</v>
      </c>
    </row>
    <row r="18" spans="1:3" ht="20.100000000000001" customHeight="1" x14ac:dyDescent="0.25">
      <c r="A18" s="121" t="s">
        <v>161</v>
      </c>
      <c r="B18" s="120" t="s">
        <v>162</v>
      </c>
      <c r="C18" s="122" t="s">
        <v>77</v>
      </c>
    </row>
    <row r="19" spans="1:3" ht="20.100000000000001" customHeight="1" x14ac:dyDescent="0.25">
      <c r="A19" s="121" t="s">
        <v>163</v>
      </c>
      <c r="B19" s="120" t="s">
        <v>164</v>
      </c>
      <c r="C19" s="122" t="s">
        <v>77</v>
      </c>
    </row>
    <row r="20" spans="1:3" ht="20.100000000000001" customHeight="1" x14ac:dyDescent="0.25">
      <c r="A20" s="121" t="s">
        <v>165</v>
      </c>
      <c r="B20" s="120" t="s">
        <v>166</v>
      </c>
      <c r="C20" s="122" t="s">
        <v>77</v>
      </c>
    </row>
    <row r="21" spans="1:3" ht="20.100000000000001" customHeight="1" x14ac:dyDescent="0.25">
      <c r="A21" s="121" t="s">
        <v>167</v>
      </c>
      <c r="B21" s="120" t="s">
        <v>168</v>
      </c>
      <c r="C21" s="122" t="s">
        <v>77</v>
      </c>
    </row>
    <row r="22" spans="1:3" ht="20.100000000000001" customHeight="1" x14ac:dyDescent="0.25">
      <c r="A22" s="121" t="s">
        <v>169</v>
      </c>
      <c r="B22" s="120" t="s">
        <v>170</v>
      </c>
      <c r="C22" s="122" t="s">
        <v>77</v>
      </c>
    </row>
    <row r="23" spans="1:3" ht="20.100000000000001" customHeight="1" x14ac:dyDescent="0.25">
      <c r="A23" s="121" t="s">
        <v>171</v>
      </c>
      <c r="B23" s="120" t="s">
        <v>172</v>
      </c>
      <c r="C23" s="122" t="s">
        <v>78</v>
      </c>
    </row>
    <row r="24" spans="1:3" ht="30" customHeight="1" x14ac:dyDescent="0.25">
      <c r="A24" s="121" t="s">
        <v>173</v>
      </c>
      <c r="B24" s="120" t="s">
        <v>174</v>
      </c>
      <c r="C24" s="122" t="s">
        <v>75</v>
      </c>
    </row>
    <row r="25" spans="1:3" ht="20.100000000000001" customHeight="1" x14ac:dyDescent="0.25">
      <c r="A25" s="121" t="s">
        <v>175</v>
      </c>
      <c r="B25" s="120" t="s">
        <v>176</v>
      </c>
      <c r="C25" s="122" t="s">
        <v>75</v>
      </c>
    </row>
    <row r="26" spans="1:3" ht="20.100000000000001" customHeight="1" x14ac:dyDescent="0.25">
      <c r="A26" s="121" t="s">
        <v>101</v>
      </c>
      <c r="B26" s="120" t="s">
        <v>102</v>
      </c>
      <c r="C26" s="122" t="s">
        <v>66</v>
      </c>
    </row>
    <row r="27" spans="1:3" ht="20.100000000000001" customHeight="1" x14ac:dyDescent="0.25">
      <c r="A27" s="121" t="s">
        <v>177</v>
      </c>
      <c r="B27" s="120" t="s">
        <v>178</v>
      </c>
      <c r="C27" s="122" t="s">
        <v>75</v>
      </c>
    </row>
    <row r="28" spans="1:3" ht="30" customHeight="1" x14ac:dyDescent="0.25">
      <c r="A28" s="121" t="s">
        <v>179</v>
      </c>
      <c r="B28" s="120" t="s">
        <v>180</v>
      </c>
      <c r="C28" s="122" t="s">
        <v>75</v>
      </c>
    </row>
    <row r="29" spans="1:3" ht="30" customHeight="1" thickBot="1" x14ac:dyDescent="0.3">
      <c r="A29" s="123" t="s">
        <v>181</v>
      </c>
      <c r="B29" s="124" t="s">
        <v>182</v>
      </c>
      <c r="C29" s="125" t="s">
        <v>99</v>
      </c>
    </row>
    <row r="30" spans="1:3" ht="20.100000000000001" customHeight="1" x14ac:dyDescent="0.25">
      <c r="A30" s="117"/>
      <c r="B30" s="118"/>
      <c r="C30" s="119"/>
    </row>
    <row r="31" spans="1:3" ht="15" customHeight="1" thickBot="1" x14ac:dyDescent="0.3">
      <c r="A31" s="49"/>
      <c r="B31" s="49"/>
      <c r="C31" s="49"/>
    </row>
    <row r="32" spans="1:3" ht="15" customHeight="1" thickBot="1" x14ac:dyDescent="0.3">
      <c r="A32" s="198" t="s">
        <v>129</v>
      </c>
      <c r="B32" s="199"/>
      <c r="C32" s="200"/>
    </row>
    <row r="33" spans="1:9" ht="30.9" customHeight="1" thickBot="1" x14ac:dyDescent="0.3">
      <c r="A33" s="46" t="s">
        <v>62</v>
      </c>
      <c r="B33" s="47" t="s">
        <v>63</v>
      </c>
      <c r="C33" s="91" t="s">
        <v>64</v>
      </c>
    </row>
    <row r="34" spans="1:9" ht="15" customHeight="1" thickBot="1" x14ac:dyDescent="0.3">
      <c r="A34" s="88" t="s">
        <v>100</v>
      </c>
      <c r="B34" s="89"/>
      <c r="C34" s="90"/>
    </row>
    <row r="35" spans="1:9" ht="15" customHeight="1" x14ac:dyDescent="0.25"/>
    <row r="36" spans="1:9" ht="15" customHeight="1" x14ac:dyDescent="0.25"/>
    <row r="37" spans="1:9" ht="15" customHeight="1" x14ac:dyDescent="0.25">
      <c r="E37" s="134"/>
      <c r="F37" s="134"/>
      <c r="I37" s="134"/>
    </row>
    <row r="38" spans="1:9" ht="30" customHeight="1" x14ac:dyDescent="0.25">
      <c r="B38" s="134"/>
      <c r="C38" s="134"/>
      <c r="E38" s="134"/>
      <c r="F38" s="134"/>
      <c r="I38" s="134"/>
    </row>
    <row r="39" spans="1:9" ht="15" customHeight="1" x14ac:dyDescent="0.25">
      <c r="B39" s="134"/>
      <c r="C39" s="134"/>
      <c r="E39" s="134"/>
      <c r="F39" s="134"/>
      <c r="I39" s="134"/>
    </row>
    <row r="40" spans="1:9" ht="15" customHeight="1" x14ac:dyDescent="0.25">
      <c r="B40" s="134"/>
      <c r="C40" s="134"/>
      <c r="E40" s="134"/>
      <c r="F40" s="134"/>
      <c r="I40" s="134"/>
    </row>
    <row r="41" spans="1:9" ht="15" customHeight="1" x14ac:dyDescent="0.25">
      <c r="B41" s="134"/>
      <c r="C41" s="134"/>
      <c r="E41" s="134"/>
      <c r="F41" s="134"/>
      <c r="I41" s="134"/>
    </row>
    <row r="42" spans="1:9" ht="15" customHeight="1" x14ac:dyDescent="0.25">
      <c r="B42" s="134"/>
      <c r="C42" s="134"/>
      <c r="E42" s="134"/>
      <c r="F42" s="134"/>
      <c r="I42" s="134"/>
    </row>
    <row r="43" spans="1:9" ht="15" customHeight="1" x14ac:dyDescent="0.25">
      <c r="B43" s="134"/>
      <c r="C43" s="134"/>
      <c r="E43" s="134"/>
      <c r="F43" s="134"/>
      <c r="I43" s="134"/>
    </row>
    <row r="44" spans="1:9" ht="15" customHeight="1" x14ac:dyDescent="0.25">
      <c r="B44" s="134"/>
      <c r="C44" s="134"/>
      <c r="E44" s="134"/>
      <c r="F44" s="134"/>
      <c r="I44" s="134"/>
    </row>
    <row r="45" spans="1:9" ht="15" customHeight="1" x14ac:dyDescent="0.25">
      <c r="B45" s="134"/>
      <c r="C45" s="134"/>
      <c r="E45" s="134"/>
      <c r="F45" s="134"/>
      <c r="I45" s="134"/>
    </row>
    <row r="46" spans="1:9" ht="15" customHeight="1" x14ac:dyDescent="0.25">
      <c r="B46" s="134"/>
      <c r="C46" s="134"/>
      <c r="E46" s="134"/>
      <c r="F46" s="134"/>
      <c r="I46" s="134"/>
    </row>
    <row r="47" spans="1:9" ht="15" customHeight="1" x14ac:dyDescent="0.25">
      <c r="B47" s="134"/>
      <c r="C47" s="134"/>
      <c r="E47" s="134"/>
      <c r="F47" s="134"/>
      <c r="I47" s="134"/>
    </row>
    <row r="48" spans="1:9" ht="15" customHeight="1" x14ac:dyDescent="0.25">
      <c r="B48" s="134"/>
      <c r="C48" s="134"/>
      <c r="E48" s="134"/>
      <c r="F48" s="134"/>
      <c r="I48" s="134"/>
    </row>
    <row r="49" spans="2:9" ht="15" customHeight="1" x14ac:dyDescent="0.25">
      <c r="B49" s="134"/>
      <c r="C49" s="134"/>
      <c r="E49" s="134"/>
      <c r="F49" s="134"/>
      <c r="I49" s="134"/>
    </row>
    <row r="50" spans="2:9" ht="15" customHeight="1" x14ac:dyDescent="0.25">
      <c r="B50" s="134"/>
      <c r="C50" s="134"/>
      <c r="E50" s="134"/>
      <c r="F50" s="134"/>
      <c r="I50" s="134"/>
    </row>
    <row r="51" spans="2:9" ht="15" customHeight="1" x14ac:dyDescent="0.25">
      <c r="B51" s="134"/>
      <c r="C51" s="134"/>
      <c r="E51" s="134"/>
      <c r="F51" s="134"/>
      <c r="I51" s="134"/>
    </row>
    <row r="52" spans="2:9" ht="15" customHeight="1" x14ac:dyDescent="0.25">
      <c r="B52" s="134"/>
      <c r="C52" s="134"/>
      <c r="E52" s="134"/>
      <c r="F52" s="134"/>
      <c r="I52" s="134"/>
    </row>
    <row r="53" spans="2:9" ht="15" customHeight="1" x14ac:dyDescent="0.25">
      <c r="B53" s="134"/>
      <c r="C53" s="134"/>
      <c r="E53" s="134"/>
      <c r="F53" s="134"/>
      <c r="I53" s="134"/>
    </row>
    <row r="54" spans="2:9" ht="15" customHeight="1" x14ac:dyDescent="0.25">
      <c r="B54" s="134"/>
      <c r="C54" s="134"/>
      <c r="E54" s="134"/>
      <c r="F54" s="134"/>
      <c r="I54" s="134"/>
    </row>
    <row r="55" spans="2:9" ht="15" customHeight="1" x14ac:dyDescent="0.25">
      <c r="B55" s="134"/>
      <c r="C55" s="134"/>
      <c r="E55" s="134"/>
      <c r="F55" s="134"/>
      <c r="I55" s="134"/>
    </row>
    <row r="56" spans="2:9" ht="15" customHeight="1" x14ac:dyDescent="0.25">
      <c r="B56" s="134"/>
      <c r="C56" s="134"/>
      <c r="E56" s="134"/>
      <c r="F56" s="134"/>
      <c r="I56" s="134"/>
    </row>
    <row r="57" spans="2:9" ht="15" customHeight="1" x14ac:dyDescent="0.25">
      <c r="B57" s="134"/>
      <c r="C57" s="134"/>
      <c r="E57" s="134"/>
      <c r="F57" s="134"/>
      <c r="I57" s="134"/>
    </row>
    <row r="58" spans="2:9" ht="15" customHeight="1" x14ac:dyDescent="0.25">
      <c r="B58" s="134"/>
      <c r="C58" s="134"/>
      <c r="E58" s="134"/>
      <c r="F58" s="134"/>
      <c r="I58" s="134"/>
    </row>
    <row r="59" spans="2:9" ht="30" customHeight="1" x14ac:dyDescent="0.25">
      <c r="B59" s="134"/>
      <c r="C59" s="134"/>
      <c r="E59" s="134"/>
      <c r="F59" s="134"/>
      <c r="I59" s="134"/>
    </row>
    <row r="60" spans="2:9" ht="15" customHeight="1" x14ac:dyDescent="0.25">
      <c r="B60" s="134"/>
      <c r="C60" s="134"/>
      <c r="E60" s="134"/>
      <c r="F60" s="134"/>
      <c r="I60" s="134"/>
    </row>
    <row r="61" spans="2:9" ht="15" customHeight="1" x14ac:dyDescent="0.25">
      <c r="B61" s="134"/>
      <c r="C61" s="134"/>
      <c r="E61" s="134"/>
      <c r="F61" s="134"/>
    </row>
    <row r="62" spans="2:9" ht="15" customHeight="1" x14ac:dyDescent="0.25">
      <c r="B62" s="134"/>
      <c r="C62" s="134"/>
      <c r="E62" s="134"/>
      <c r="F62" s="134"/>
    </row>
    <row r="63" spans="2:9" ht="15" customHeight="1" x14ac:dyDescent="0.25">
      <c r="B63" s="134"/>
      <c r="C63" s="134"/>
      <c r="E63" s="134"/>
      <c r="F63" s="134"/>
    </row>
    <row r="64" spans="2:9" ht="15" customHeight="1" x14ac:dyDescent="0.25">
      <c r="B64" s="134"/>
      <c r="C64" s="134"/>
      <c r="E64" s="134"/>
      <c r="F64" s="134"/>
    </row>
    <row r="65" spans="2:6" ht="15" customHeight="1" x14ac:dyDescent="0.25">
      <c r="B65" s="134"/>
      <c r="C65" s="134"/>
      <c r="E65" s="134"/>
      <c r="F65" s="134"/>
    </row>
    <row r="66" spans="2:6" ht="15" customHeight="1" x14ac:dyDescent="0.25"/>
    <row r="67" spans="2:6" ht="15" customHeight="1" x14ac:dyDescent="0.25"/>
  </sheetData>
  <mergeCells count="2">
    <mergeCell ref="A1:C1"/>
    <mergeCell ref="A32:C32"/>
  </mergeCells>
  <printOptions horizontalCentered="1" verticalCentered="1"/>
  <pageMargins left="0.45" right="0.45" top="0.5" bottom="0.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workbookViewId="0">
      <selection sqref="A1:B1"/>
    </sheetView>
  </sheetViews>
  <sheetFormatPr defaultRowHeight="13.2" x14ac:dyDescent="0.25"/>
  <cols>
    <col min="1" max="1" width="69.33203125" customWidth="1"/>
    <col min="2" max="14" width="15.6640625" customWidth="1"/>
  </cols>
  <sheetData>
    <row r="1" spans="1:14" ht="17.399999999999999" x14ac:dyDescent="0.25">
      <c r="A1" s="201" t="s">
        <v>118</v>
      </c>
      <c r="B1" s="202"/>
      <c r="C1" s="64"/>
      <c r="D1" s="113" t="s">
        <v>12</v>
      </c>
      <c r="E1" s="64"/>
      <c r="F1" s="64"/>
    </row>
    <row r="2" spans="1:14" ht="20.100000000000001" customHeight="1" x14ac:dyDescent="0.25">
      <c r="A2" s="84" t="s">
        <v>67</v>
      </c>
      <c r="B2" s="85">
        <f>'2018-2019 Parameters'!B6</f>
        <v>1.0834999999999999</v>
      </c>
      <c r="C2" s="15" t="s">
        <v>12</v>
      </c>
      <c r="D2" s="116" t="s">
        <v>12</v>
      </c>
      <c r="E2" s="16" t="s">
        <v>12</v>
      </c>
    </row>
    <row r="3" spans="1:14" ht="20.100000000000001" customHeight="1" x14ac:dyDescent="0.25">
      <c r="A3" s="86" t="s">
        <v>120</v>
      </c>
      <c r="B3" s="144">
        <f>'2018-2019 Parameters'!B5</f>
        <v>6.3500000000000001E-2</v>
      </c>
      <c r="C3" s="15"/>
      <c r="D3" s="116"/>
      <c r="E3" s="16"/>
    </row>
    <row r="4" spans="1:14" ht="20.100000000000001" customHeight="1" x14ac:dyDescent="0.25">
      <c r="A4" s="86" t="s">
        <v>68</v>
      </c>
      <c r="B4" s="87" t="str">
        <f>'2018-2019 Parameters'!B7</f>
        <v>NA</v>
      </c>
      <c r="C4" s="15"/>
      <c r="D4" s="16"/>
      <c r="E4" s="16"/>
      <c r="L4" s="61" t="s">
        <v>12</v>
      </c>
      <c r="M4" s="61"/>
      <c r="N4" s="61"/>
    </row>
    <row r="5" spans="1:14" ht="31.2" x14ac:dyDescent="0.25">
      <c r="A5" s="104" t="s">
        <v>85</v>
      </c>
      <c r="B5" s="105" t="s">
        <v>69</v>
      </c>
      <c r="C5" s="105" t="s">
        <v>17</v>
      </c>
      <c r="D5" s="105" t="s">
        <v>16</v>
      </c>
      <c r="E5" s="105" t="s">
        <v>14</v>
      </c>
      <c r="F5" s="105" t="s">
        <v>8</v>
      </c>
      <c r="G5" s="105" t="s">
        <v>44</v>
      </c>
      <c r="H5" s="105" t="s">
        <v>45</v>
      </c>
      <c r="I5" s="105" t="s">
        <v>7</v>
      </c>
      <c r="J5" s="105" t="s">
        <v>53</v>
      </c>
      <c r="K5" s="106" t="s">
        <v>83</v>
      </c>
      <c r="L5" s="69" t="s">
        <v>18</v>
      </c>
      <c r="M5" s="69" t="s">
        <v>3</v>
      </c>
      <c r="N5" s="69" t="s">
        <v>95</v>
      </c>
    </row>
    <row r="6" spans="1:14" ht="20.100000000000001" customHeight="1" x14ac:dyDescent="0.25">
      <c r="A6" s="107" t="s">
        <v>48</v>
      </c>
      <c r="B6" s="67">
        <f>'2018-2019 Parameters'!B18</f>
        <v>160607.4</v>
      </c>
      <c r="C6" s="67">
        <f>'2018-2019 Parameters'!C18</f>
        <v>69853.600000000006</v>
      </c>
      <c r="D6" s="67">
        <f>'2018-2019 Parameters'!D18</f>
        <v>38535.199999999997</v>
      </c>
      <c r="E6" s="67">
        <f>'2018-2019 Parameters'!E18</f>
        <v>16211.6</v>
      </c>
      <c r="F6" s="67">
        <f>'2018-2019 Parameters'!F18</f>
        <v>12416.1</v>
      </c>
      <c r="G6" s="67">
        <f>'2018-2019 Parameters'!G18</f>
        <v>6379.1</v>
      </c>
      <c r="H6" s="67">
        <f>'2018-2019 Parameters'!H18</f>
        <v>3149.7</v>
      </c>
      <c r="I6" s="67">
        <f>'2018-2019 Parameters'!I18</f>
        <v>8181.2</v>
      </c>
      <c r="J6" s="67">
        <f>'2018-2019 Parameters'!J18</f>
        <v>16048.1</v>
      </c>
      <c r="K6" s="67">
        <f>'2018-2019 Parameters'!K18</f>
        <v>6029.7</v>
      </c>
      <c r="L6" s="67">
        <f>'2018-2019 Parameters'!L18</f>
        <v>27704.675999999999</v>
      </c>
      <c r="M6" s="67">
        <f>'2018-2019 Parameters'!M18</f>
        <v>8706.7000000000007</v>
      </c>
      <c r="N6" s="67">
        <f>'2018-2019 Parameters'!N18</f>
        <v>10040.1</v>
      </c>
    </row>
    <row r="7" spans="1:14" ht="20.100000000000001" customHeight="1" x14ac:dyDescent="0.25">
      <c r="A7" s="103" t="s">
        <v>70</v>
      </c>
      <c r="B7" s="70">
        <f>'2018-2019 Parameters'!B8</f>
        <v>161418.4</v>
      </c>
      <c r="C7" s="70">
        <f>'2018-2019 Parameters'!F63</f>
        <v>58943</v>
      </c>
      <c r="D7" s="70">
        <f>'2018-2019 Parameters'!F60</f>
        <v>32213</v>
      </c>
      <c r="E7" s="70">
        <f>'2018-2019 Parameters'!F61</f>
        <v>13562</v>
      </c>
      <c r="F7" s="70">
        <f>'2018-2019 Parameters'!F57</f>
        <v>10146</v>
      </c>
      <c r="G7" s="70">
        <f>'2018-2019 Parameters'!F58</f>
        <v>4963.3999999999996</v>
      </c>
      <c r="H7" s="70">
        <f>'2018-2019 Parameters'!F49</f>
        <v>2396</v>
      </c>
      <c r="I7" s="70">
        <f>'2018-2019 Parameters'!F55</f>
        <v>6500</v>
      </c>
      <c r="J7" s="70">
        <f>'2018-2019 Parameters'!F40</f>
        <v>12924</v>
      </c>
      <c r="K7" s="70">
        <f>'2018-2019 Parameters'!F41</f>
        <v>4444.6000000000004</v>
      </c>
      <c r="L7" s="70">
        <f>'2018-2019 Parameters'!F43</f>
        <v>22959</v>
      </c>
      <c r="M7" s="70">
        <f>'2018-2019 Parameters'!F42</f>
        <v>7062</v>
      </c>
      <c r="N7" s="70">
        <f>'2018-2019 Parameters'!F56</f>
        <v>7287</v>
      </c>
    </row>
    <row r="8" spans="1:14" ht="20.100000000000001" customHeight="1" x14ac:dyDescent="0.25">
      <c r="A8" s="103" t="s">
        <v>71</v>
      </c>
      <c r="B8" s="70">
        <f>'2018-2019 Parameters'!B16</f>
        <v>13188.199999999999</v>
      </c>
      <c r="C8" s="70">
        <f>'2018-2019 Parameters'!C16</f>
        <v>0</v>
      </c>
      <c r="D8" s="70">
        <f>'2018-2019 Parameters'!D16</f>
        <v>0</v>
      </c>
      <c r="E8" s="70">
        <f>'2018-2019 Parameters'!E16</f>
        <v>0</v>
      </c>
      <c r="F8" s="70">
        <f>'2018-2019 Parameters'!F16</f>
        <v>0</v>
      </c>
      <c r="G8" s="70">
        <f>'2018-2019 Parameters'!G16</f>
        <v>0</v>
      </c>
      <c r="H8" s="70">
        <f>'2018-2019 Parameters'!H16</f>
        <v>0</v>
      </c>
      <c r="I8" s="70">
        <f>'2018-2019 Parameters'!I16</f>
        <v>0</v>
      </c>
      <c r="J8" s="70">
        <f>'2018-2019 Parameters'!J16</f>
        <v>0</v>
      </c>
      <c r="K8" s="70">
        <f>'2018-2019 Parameters'!K16</f>
        <v>0</v>
      </c>
      <c r="L8" s="70">
        <f>'2018-2019 Parameters'!L16</f>
        <v>343.3</v>
      </c>
      <c r="M8" s="70">
        <f>'2018-2019 Parameters'!M16</f>
        <v>0</v>
      </c>
      <c r="N8" s="70">
        <f>'2018-2019 Parameters'!N16</f>
        <v>0</v>
      </c>
    </row>
    <row r="9" spans="1:14" ht="20.100000000000001" customHeight="1" x14ac:dyDescent="0.25">
      <c r="A9" s="103" t="s">
        <v>72</v>
      </c>
      <c r="B9" s="70">
        <f>B7-B8</f>
        <v>148230.19999999998</v>
      </c>
      <c r="C9" s="70">
        <f>C7-C8</f>
        <v>58943</v>
      </c>
      <c r="D9" s="70">
        <f t="shared" ref="D9:I9" si="0">D7-D8</f>
        <v>32213</v>
      </c>
      <c r="E9" s="70">
        <f t="shared" si="0"/>
        <v>13562</v>
      </c>
      <c r="F9" s="70">
        <f t="shared" si="0"/>
        <v>10146</v>
      </c>
      <c r="G9" s="70">
        <f t="shared" si="0"/>
        <v>4963.3999999999996</v>
      </c>
      <c r="H9" s="70">
        <f t="shared" si="0"/>
        <v>2396</v>
      </c>
      <c r="I9" s="70">
        <f t="shared" si="0"/>
        <v>6500</v>
      </c>
      <c r="J9" s="70">
        <f>J7-J8</f>
        <v>12924</v>
      </c>
      <c r="K9" s="70">
        <f>K7-K8</f>
        <v>4444.6000000000004</v>
      </c>
      <c r="L9" s="70">
        <f>L7-L8</f>
        <v>22615.7</v>
      </c>
      <c r="M9" s="70">
        <f>M7-M8</f>
        <v>7062</v>
      </c>
      <c r="N9" s="70">
        <f>N7-N8</f>
        <v>7287</v>
      </c>
    </row>
    <row r="10" spans="1:14" ht="20.100000000000001" customHeight="1" x14ac:dyDescent="0.25">
      <c r="A10" s="44" t="s">
        <v>123</v>
      </c>
      <c r="B10" s="70"/>
      <c r="C10" s="70"/>
      <c r="D10" s="70"/>
      <c r="E10" s="70"/>
      <c r="F10" s="70"/>
      <c r="G10" s="70"/>
      <c r="H10" s="70"/>
      <c r="I10" s="70"/>
      <c r="J10" s="70"/>
      <c r="K10" s="70"/>
      <c r="L10" s="70"/>
      <c r="M10" s="70"/>
      <c r="N10" s="70"/>
    </row>
    <row r="11" spans="1:14" ht="20.100000000000001" customHeight="1" x14ac:dyDescent="0.25">
      <c r="A11" s="103" t="s">
        <v>73</v>
      </c>
      <c r="B11" s="71">
        <v>8.3000000000000004E-2</v>
      </c>
      <c r="C11" s="71">
        <v>0.184</v>
      </c>
      <c r="D11" s="71">
        <v>0.16200000000000001</v>
      </c>
      <c r="E11" s="71">
        <v>7.3999999999999996E-2</v>
      </c>
      <c r="F11" s="71">
        <v>0.11700000000000001</v>
      </c>
      <c r="G11" s="71">
        <v>4.4999999999999998E-2</v>
      </c>
      <c r="H11" s="71">
        <v>0.104</v>
      </c>
      <c r="I11" s="71">
        <v>7.0999999999999994E-2</v>
      </c>
      <c r="J11" s="71">
        <v>0.152</v>
      </c>
      <c r="K11" s="71">
        <v>0.155</v>
      </c>
      <c r="L11" s="71">
        <v>0.13300000000000001</v>
      </c>
      <c r="M11" s="71">
        <v>8.7999999999999995E-2</v>
      </c>
      <c r="N11" s="71">
        <v>0.13</v>
      </c>
    </row>
    <row r="12" spans="1:14" ht="20.100000000000001" customHeight="1" x14ac:dyDescent="0.25">
      <c r="A12" s="81" t="s">
        <v>124</v>
      </c>
      <c r="B12" s="70">
        <f>B9*B11*$B$2</f>
        <v>13330.416001099999</v>
      </c>
      <c r="C12" s="70">
        <f t="shared" ref="C12:N12" si="1">C9*C11*$B$2</f>
        <v>11751.112251999999</v>
      </c>
      <c r="D12" s="70">
        <f t="shared" si="1"/>
        <v>5654.2512509999997</v>
      </c>
      <c r="E12" s="70">
        <f t="shared" si="1"/>
        <v>1087.3875979999998</v>
      </c>
      <c r="F12" s="70">
        <f>F9*F11*$B$2</f>
        <v>1286.2033469999999</v>
      </c>
      <c r="G12" s="70">
        <f t="shared" si="1"/>
        <v>242.00297549999996</v>
      </c>
      <c r="H12" s="70">
        <f t="shared" si="1"/>
        <v>269.99086399999999</v>
      </c>
      <c r="I12" s="70">
        <f t="shared" si="1"/>
        <v>500.03524999999991</v>
      </c>
      <c r="J12" s="70">
        <f t="shared" si="1"/>
        <v>2128.4794079999997</v>
      </c>
      <c r="K12" s="70">
        <f t="shared" si="1"/>
        <v>746.43723549999993</v>
      </c>
      <c r="L12" s="70">
        <f t="shared" si="1"/>
        <v>3259.0467563499997</v>
      </c>
      <c r="M12" s="70">
        <f t="shared" si="1"/>
        <v>673.347576</v>
      </c>
      <c r="N12" s="70">
        <f t="shared" si="1"/>
        <v>1026.4103849999999</v>
      </c>
    </row>
    <row r="13" spans="1:14" ht="20.100000000000001" customHeight="1" x14ac:dyDescent="0.25">
      <c r="A13" s="44" t="s">
        <v>125</v>
      </c>
      <c r="B13" s="67"/>
      <c r="C13" s="67"/>
      <c r="D13" s="67"/>
      <c r="E13" s="67"/>
      <c r="F13" s="67"/>
      <c r="G13" s="67"/>
      <c r="H13" s="67"/>
      <c r="I13" s="67"/>
      <c r="J13" s="67"/>
      <c r="K13" s="67"/>
      <c r="L13" s="67"/>
      <c r="M13" s="67"/>
      <c r="N13" s="67"/>
    </row>
    <row r="14" spans="1:14" ht="20.100000000000001" customHeight="1" x14ac:dyDescent="0.25">
      <c r="A14" s="103" t="s">
        <v>73</v>
      </c>
      <c r="B14" s="71">
        <v>0.189</v>
      </c>
      <c r="C14" s="71">
        <v>0.30299999999999999</v>
      </c>
      <c r="D14" s="71">
        <v>0.44400000000000001</v>
      </c>
      <c r="E14" s="71">
        <v>0.222</v>
      </c>
      <c r="F14" s="71">
        <v>0.50700000000000001</v>
      </c>
      <c r="G14" s="71">
        <v>0.38800000000000001</v>
      </c>
      <c r="H14" s="71">
        <v>0.19500000000000001</v>
      </c>
      <c r="I14" s="71">
        <v>0.23499999999999999</v>
      </c>
      <c r="J14" s="71">
        <v>0.28699999999999998</v>
      </c>
      <c r="K14" s="71">
        <v>0.246</v>
      </c>
      <c r="L14" s="71">
        <v>0.52500000000000002</v>
      </c>
      <c r="M14" s="71">
        <v>0.221</v>
      </c>
      <c r="N14" s="71">
        <v>0.16800000000000001</v>
      </c>
    </row>
    <row r="15" spans="1:14" ht="20.100000000000001" customHeight="1" x14ac:dyDescent="0.25">
      <c r="A15" s="81" t="s">
        <v>126</v>
      </c>
      <c r="B15" s="67">
        <f>B9*B14*(1-$B$3)</f>
        <v>26236.523054699996</v>
      </c>
      <c r="C15" s="67">
        <f>C9*C14*(1-$B$3)</f>
        <v>16725.6362085</v>
      </c>
      <c r="D15" s="67">
        <f>D9*D14*(1-$B$3)</f>
        <v>13394.358678000001</v>
      </c>
      <c r="E15" s="67">
        <f t="shared" ref="E15:N15" si="2">E9*E14*(1-$B$3)</f>
        <v>2819.5804860000003</v>
      </c>
      <c r="F15" s="67">
        <f t="shared" si="2"/>
        <v>4817.3766029999997</v>
      </c>
      <c r="G15" s="67">
        <f>G9*G14*(1-$B$3)</f>
        <v>1803.5109507999998</v>
      </c>
      <c r="H15" s="67">
        <f t="shared" si="2"/>
        <v>437.55153000000001</v>
      </c>
      <c r="I15" s="67">
        <f t="shared" si="2"/>
        <v>1430.5037500000001</v>
      </c>
      <c r="J15" s="67">
        <f t="shared" si="2"/>
        <v>3473.6545619999997</v>
      </c>
      <c r="K15" s="67">
        <f t="shared" si="2"/>
        <v>1023.9425034000002</v>
      </c>
      <c r="L15" s="67">
        <f>L9*L14*(1-$B$3)</f>
        <v>11119.291601250001</v>
      </c>
      <c r="M15" s="67">
        <f t="shared" si="2"/>
        <v>1461.5974229999999</v>
      </c>
      <c r="N15" s="67">
        <f t="shared" si="2"/>
        <v>1146.478284</v>
      </c>
    </row>
    <row r="16" spans="1:14" ht="20.100000000000001" customHeight="1" x14ac:dyDescent="0.25">
      <c r="A16" s="44" t="s">
        <v>104</v>
      </c>
      <c r="B16" s="67"/>
      <c r="C16" s="67"/>
      <c r="D16" s="67"/>
      <c r="E16" s="72"/>
      <c r="F16" s="67"/>
      <c r="G16" s="67"/>
      <c r="H16" s="67"/>
      <c r="I16" s="72"/>
      <c r="J16" s="67"/>
      <c r="K16" s="67"/>
      <c r="L16" s="67"/>
      <c r="M16" s="67"/>
      <c r="N16" s="67"/>
    </row>
    <row r="17" spans="1:14" ht="20.100000000000001" customHeight="1" x14ac:dyDescent="0.25">
      <c r="A17" s="82" t="s">
        <v>123</v>
      </c>
      <c r="B17" s="83">
        <f>B11</f>
        <v>8.3000000000000004E-2</v>
      </c>
      <c r="C17" s="83">
        <f t="shared" ref="C17:M17" si="3">C11</f>
        <v>0.184</v>
      </c>
      <c r="D17" s="83">
        <f t="shared" si="3"/>
        <v>0.16200000000000001</v>
      </c>
      <c r="E17" s="83">
        <f t="shared" si="3"/>
        <v>7.3999999999999996E-2</v>
      </c>
      <c r="F17" s="83">
        <f t="shared" si="3"/>
        <v>0.11700000000000001</v>
      </c>
      <c r="G17" s="83">
        <f t="shared" si="3"/>
        <v>4.4999999999999998E-2</v>
      </c>
      <c r="H17" s="83">
        <f t="shared" si="3"/>
        <v>0.104</v>
      </c>
      <c r="I17" s="83">
        <f t="shared" si="3"/>
        <v>7.0999999999999994E-2</v>
      </c>
      <c r="J17" s="83">
        <f t="shared" si="3"/>
        <v>0.152</v>
      </c>
      <c r="K17" s="83">
        <f t="shared" si="3"/>
        <v>0.155</v>
      </c>
      <c r="L17" s="83">
        <f t="shared" si="3"/>
        <v>0.13300000000000001</v>
      </c>
      <c r="M17" s="83">
        <f t="shared" si="3"/>
        <v>8.7999999999999995E-2</v>
      </c>
      <c r="N17" s="83">
        <f>N11</f>
        <v>0.13</v>
      </c>
    </row>
    <row r="18" spans="1:14" ht="20.100000000000001" customHeight="1" x14ac:dyDescent="0.25">
      <c r="A18" s="82" t="s">
        <v>125</v>
      </c>
      <c r="B18" s="83">
        <f>B14</f>
        <v>0.189</v>
      </c>
      <c r="C18" s="83">
        <f t="shared" ref="C18:E18" si="4">C14</f>
        <v>0.30299999999999999</v>
      </c>
      <c r="D18" s="83">
        <f t="shared" si="4"/>
        <v>0.44400000000000001</v>
      </c>
      <c r="E18" s="83">
        <f t="shared" si="4"/>
        <v>0.222</v>
      </c>
      <c r="F18" s="83">
        <f>F14</f>
        <v>0.50700000000000001</v>
      </c>
      <c r="G18" s="83">
        <f t="shared" ref="G18:K18" si="5">G14</f>
        <v>0.38800000000000001</v>
      </c>
      <c r="H18" s="83">
        <f t="shared" si="5"/>
        <v>0.19500000000000001</v>
      </c>
      <c r="I18" s="83">
        <f t="shared" si="5"/>
        <v>0.23499999999999999</v>
      </c>
      <c r="J18" s="83">
        <f t="shared" si="5"/>
        <v>0.28699999999999998</v>
      </c>
      <c r="K18" s="83">
        <f t="shared" si="5"/>
        <v>0.246</v>
      </c>
      <c r="L18" s="83">
        <f>L14</f>
        <v>0.52500000000000002</v>
      </c>
      <c r="M18" s="83">
        <f>M14</f>
        <v>0.221</v>
      </c>
      <c r="N18" s="83">
        <f>N14</f>
        <v>0.16800000000000001</v>
      </c>
    </row>
    <row r="38" spans="2:9" x14ac:dyDescent="0.25">
      <c r="E38" s="134"/>
      <c r="F38" s="134"/>
      <c r="I38" s="134"/>
    </row>
    <row r="39" spans="2:9" x14ac:dyDescent="0.25">
      <c r="B39" s="134"/>
      <c r="C39" s="134"/>
      <c r="E39" s="134"/>
      <c r="F39" s="134"/>
      <c r="I39" s="134"/>
    </row>
    <row r="40" spans="2:9" x14ac:dyDescent="0.25">
      <c r="B40" s="134"/>
      <c r="C40" s="134"/>
      <c r="E40" s="134"/>
      <c r="F40" s="134"/>
      <c r="I40" s="134"/>
    </row>
    <row r="41" spans="2:9" x14ac:dyDescent="0.25">
      <c r="B41" s="134"/>
      <c r="C41" s="134"/>
      <c r="E41" s="134"/>
      <c r="F41" s="134"/>
      <c r="I41" s="134"/>
    </row>
    <row r="42" spans="2:9" x14ac:dyDescent="0.25">
      <c r="B42" s="134"/>
      <c r="C42" s="134"/>
      <c r="E42" s="134"/>
      <c r="F42" s="134"/>
      <c r="I42" s="134"/>
    </row>
    <row r="43" spans="2:9" x14ac:dyDescent="0.25">
      <c r="B43" s="134"/>
      <c r="C43" s="134"/>
      <c r="E43" s="134"/>
      <c r="F43" s="134"/>
      <c r="I43" s="134"/>
    </row>
    <row r="44" spans="2:9" x14ac:dyDescent="0.25">
      <c r="B44" s="134"/>
      <c r="C44" s="134"/>
      <c r="E44" s="134"/>
      <c r="F44" s="134"/>
      <c r="I44" s="134"/>
    </row>
    <row r="45" spans="2:9" x14ac:dyDescent="0.25">
      <c r="B45" s="134"/>
      <c r="C45" s="134"/>
      <c r="E45" s="134"/>
      <c r="F45" s="134"/>
      <c r="I45" s="134"/>
    </row>
    <row r="46" spans="2:9" x14ac:dyDescent="0.25">
      <c r="B46" s="134"/>
      <c r="C46" s="134"/>
      <c r="E46" s="134"/>
      <c r="F46" s="134"/>
      <c r="I46" s="134"/>
    </row>
    <row r="47" spans="2:9" x14ac:dyDescent="0.25">
      <c r="B47" s="134"/>
      <c r="C47" s="134"/>
      <c r="E47" s="134"/>
      <c r="F47" s="134"/>
      <c r="I47" s="134"/>
    </row>
    <row r="48" spans="2:9" x14ac:dyDescent="0.25">
      <c r="B48" s="134"/>
      <c r="C48" s="134"/>
      <c r="E48" s="134"/>
      <c r="F48" s="134"/>
      <c r="I48" s="134"/>
    </row>
    <row r="49" spans="2:9" x14ac:dyDescent="0.25">
      <c r="B49" s="134"/>
      <c r="C49" s="134"/>
      <c r="E49" s="134"/>
      <c r="F49" s="134"/>
      <c r="I49" s="134"/>
    </row>
    <row r="50" spans="2:9" x14ac:dyDescent="0.25">
      <c r="B50" s="134"/>
      <c r="C50" s="134"/>
      <c r="E50" s="134"/>
      <c r="F50" s="134"/>
      <c r="I50" s="134"/>
    </row>
    <row r="51" spans="2:9" x14ac:dyDescent="0.25">
      <c r="B51" s="134"/>
      <c r="C51" s="134"/>
      <c r="E51" s="134"/>
      <c r="F51" s="134"/>
      <c r="I51" s="134"/>
    </row>
    <row r="52" spans="2:9" x14ac:dyDescent="0.25">
      <c r="B52" s="134"/>
      <c r="C52" s="134"/>
      <c r="E52" s="134"/>
      <c r="F52" s="134"/>
      <c r="I52" s="134"/>
    </row>
    <row r="53" spans="2:9" x14ac:dyDescent="0.25">
      <c r="B53" s="134"/>
      <c r="C53" s="134"/>
      <c r="E53" s="134"/>
      <c r="F53" s="134"/>
      <c r="I53" s="134"/>
    </row>
    <row r="54" spans="2:9" x14ac:dyDescent="0.25">
      <c r="B54" s="134"/>
      <c r="C54" s="134"/>
      <c r="E54" s="134"/>
      <c r="F54" s="134"/>
      <c r="I54" s="134"/>
    </row>
    <row r="55" spans="2:9" x14ac:dyDescent="0.25">
      <c r="B55" s="134"/>
      <c r="C55" s="134"/>
      <c r="E55" s="134"/>
      <c r="F55" s="134"/>
      <c r="I55" s="134"/>
    </row>
    <row r="56" spans="2:9" x14ac:dyDescent="0.25">
      <c r="B56" s="134"/>
      <c r="C56" s="134"/>
      <c r="E56" s="134"/>
      <c r="F56" s="134"/>
      <c r="I56" s="134"/>
    </row>
    <row r="57" spans="2:9" x14ac:dyDescent="0.25">
      <c r="B57" s="134"/>
      <c r="C57" s="134"/>
      <c r="E57" s="134"/>
      <c r="F57" s="134"/>
      <c r="I57" s="134"/>
    </row>
    <row r="58" spans="2:9" x14ac:dyDescent="0.25">
      <c r="B58" s="134"/>
      <c r="C58" s="134"/>
      <c r="E58" s="134"/>
      <c r="F58" s="134"/>
      <c r="I58" s="134"/>
    </row>
    <row r="59" spans="2:9" x14ac:dyDescent="0.25">
      <c r="B59" s="134"/>
      <c r="C59" s="134"/>
      <c r="E59" s="134"/>
      <c r="F59" s="134"/>
      <c r="I59" s="134"/>
    </row>
    <row r="60" spans="2:9" x14ac:dyDescent="0.25">
      <c r="B60" s="134"/>
      <c r="C60" s="134"/>
      <c r="E60" s="134"/>
      <c r="F60" s="134"/>
      <c r="I60" s="134"/>
    </row>
    <row r="61" spans="2:9" x14ac:dyDescent="0.25">
      <c r="B61" s="134"/>
      <c r="C61" s="134"/>
      <c r="E61" s="134"/>
      <c r="F61" s="134"/>
      <c r="I61" s="134"/>
    </row>
    <row r="62" spans="2:9" x14ac:dyDescent="0.25">
      <c r="B62" s="134"/>
      <c r="C62" s="134"/>
      <c r="E62" s="134"/>
      <c r="F62" s="134"/>
    </row>
    <row r="63" spans="2:9" x14ac:dyDescent="0.25">
      <c r="B63" s="134"/>
      <c r="C63" s="134"/>
      <c r="E63" s="134"/>
      <c r="F63" s="134"/>
    </row>
    <row r="64" spans="2:9" x14ac:dyDescent="0.25">
      <c r="B64" s="134"/>
      <c r="C64" s="134"/>
      <c r="E64" s="134"/>
      <c r="F64" s="134"/>
    </row>
    <row r="65" spans="2:6" x14ac:dyDescent="0.25">
      <c r="B65" s="134"/>
      <c r="C65" s="134"/>
      <c r="E65" s="134"/>
      <c r="F65" s="134"/>
    </row>
    <row r="66" spans="2:6" x14ac:dyDescent="0.25">
      <c r="B66" s="134"/>
      <c r="C66" s="134"/>
      <c r="E66" s="134"/>
      <c r="F66" s="134"/>
    </row>
  </sheetData>
  <mergeCells count="1">
    <mergeCell ref="A1:B1"/>
  </mergeCells>
  <pageMargins left="0.45" right="0.45" top="0.5" bottom="0.5" header="0.3" footer="0.3"/>
  <pageSetup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workbookViewId="0">
      <selection sqref="A1:G1"/>
    </sheetView>
  </sheetViews>
  <sheetFormatPr defaultRowHeight="13.2" x14ac:dyDescent="0.25"/>
  <cols>
    <col min="1" max="1" width="80.6640625" customWidth="1"/>
    <col min="2" max="7" width="16.6640625" customWidth="1"/>
    <col min="8" max="8" width="15.6640625" customWidth="1"/>
  </cols>
  <sheetData>
    <row r="1" spans="1:8" ht="24.9" customHeight="1" x14ac:dyDescent="0.25">
      <c r="A1" s="203" t="s">
        <v>127</v>
      </c>
      <c r="B1" s="203"/>
      <c r="C1" s="203"/>
      <c r="D1" s="203"/>
      <c r="E1" s="203"/>
      <c r="F1" s="203"/>
      <c r="G1" s="203"/>
    </row>
    <row r="2" spans="1:8" ht="24.9" customHeight="1" x14ac:dyDescent="0.25">
      <c r="A2" s="132"/>
      <c r="B2" s="204" t="s">
        <v>128</v>
      </c>
      <c r="C2" s="204"/>
      <c r="D2" s="204"/>
      <c r="E2" s="204"/>
      <c r="F2" s="204"/>
      <c r="G2" s="204"/>
    </row>
    <row r="3" spans="1:8" ht="24.9" customHeight="1" x14ac:dyDescent="0.3">
      <c r="A3" s="131" t="s">
        <v>12</v>
      </c>
      <c r="B3" s="105" t="s">
        <v>193</v>
      </c>
      <c r="C3" s="105" t="s">
        <v>86</v>
      </c>
      <c r="D3" s="105" t="s">
        <v>87</v>
      </c>
      <c r="E3" s="105" t="s">
        <v>88</v>
      </c>
      <c r="F3" s="105" t="s">
        <v>89</v>
      </c>
      <c r="G3" s="105" t="s">
        <v>90</v>
      </c>
    </row>
    <row r="4" spans="1:8" ht="20.100000000000001" customHeight="1" x14ac:dyDescent="0.25">
      <c r="A4" s="141" t="s">
        <v>194</v>
      </c>
      <c r="B4" s="137">
        <v>7707</v>
      </c>
      <c r="C4" s="137">
        <v>168</v>
      </c>
      <c r="D4" s="137">
        <v>1276</v>
      </c>
      <c r="E4" s="137">
        <v>5193</v>
      </c>
      <c r="F4" s="137">
        <v>670</v>
      </c>
      <c r="G4" s="137">
        <v>362</v>
      </c>
    </row>
    <row r="5" spans="1:8" ht="20.100000000000001" customHeight="1" x14ac:dyDescent="0.25">
      <c r="A5" s="141" t="s">
        <v>195</v>
      </c>
      <c r="B5" s="137">
        <v>3500</v>
      </c>
      <c r="C5" s="137">
        <v>76</v>
      </c>
      <c r="D5" s="137">
        <v>579</v>
      </c>
      <c r="E5" s="137">
        <v>2358</v>
      </c>
      <c r="F5" s="137">
        <v>304</v>
      </c>
      <c r="G5" s="137">
        <v>164</v>
      </c>
    </row>
    <row r="6" spans="1:8" ht="20.100000000000001" customHeight="1" x14ac:dyDescent="0.25">
      <c r="A6" s="43" t="s">
        <v>213</v>
      </c>
      <c r="B6" s="140">
        <v>11740</v>
      </c>
      <c r="C6" s="140">
        <v>188</v>
      </c>
      <c r="D6" s="140">
        <v>3097</v>
      </c>
      <c r="E6" s="140">
        <v>5433</v>
      </c>
      <c r="F6" s="140">
        <v>2196</v>
      </c>
      <c r="G6" s="140">
        <v>826</v>
      </c>
    </row>
    <row r="7" spans="1:8" ht="20.100000000000001" customHeight="1" x14ac:dyDescent="0.25">
      <c r="A7" s="142" t="s">
        <v>196</v>
      </c>
      <c r="B7" s="140">
        <v>6029.3</v>
      </c>
      <c r="C7" s="140">
        <v>0</v>
      </c>
      <c r="D7" s="140">
        <v>2016</v>
      </c>
      <c r="E7" s="140">
        <v>3139</v>
      </c>
      <c r="F7" s="140">
        <v>603.29999999999995</v>
      </c>
      <c r="G7" s="140">
        <v>271</v>
      </c>
    </row>
    <row r="8" spans="1:8" ht="20.100000000000001" customHeight="1" x14ac:dyDescent="0.25">
      <c r="A8" s="130" t="s">
        <v>197</v>
      </c>
      <c r="B8" s="140">
        <f>IF(MIN(B4-B5-B7,B6-B5-B7)&lt;0,0,MIN(B4-B5-B7,B6-B5-B7))</f>
        <v>0</v>
      </c>
      <c r="C8" s="140">
        <f t="shared" ref="C8:G8" si="0">IF(MIN(C4-C5-C7,C6-C5-C7)&lt;0,0,MIN(C4-C5-C7,C6-C5-C7))</f>
        <v>92</v>
      </c>
      <c r="D8" s="140">
        <f t="shared" si="0"/>
        <v>0</v>
      </c>
      <c r="E8" s="140">
        <f t="shared" si="0"/>
        <v>0</v>
      </c>
      <c r="F8" s="140">
        <f t="shared" si="0"/>
        <v>0</v>
      </c>
      <c r="G8" s="140">
        <f t="shared" si="0"/>
        <v>0</v>
      </c>
    </row>
    <row r="9" spans="1:8" ht="15" x14ac:dyDescent="0.25">
      <c r="A9" s="100" t="s">
        <v>41</v>
      </c>
    </row>
    <row r="10" spans="1:8" ht="13.8" x14ac:dyDescent="0.25">
      <c r="A10" s="205" t="s">
        <v>226</v>
      </c>
      <c r="B10" s="205"/>
      <c r="C10" s="205"/>
      <c r="D10" s="205"/>
      <c r="E10" s="205"/>
      <c r="F10" s="205"/>
      <c r="G10" s="205"/>
    </row>
    <row r="11" spans="1:8" ht="50.1" customHeight="1" x14ac:dyDescent="0.25">
      <c r="A11" s="206" t="s">
        <v>220</v>
      </c>
      <c r="B11" s="206"/>
      <c r="C11" s="206"/>
      <c r="D11" s="206"/>
      <c r="E11" s="206"/>
      <c r="F11" s="206"/>
      <c r="G11" s="206"/>
      <c r="H11" s="149"/>
    </row>
    <row r="13" spans="1:8" x14ac:dyDescent="0.25">
      <c r="B13" s="136" t="s">
        <v>12</v>
      </c>
      <c r="C13" s="136" t="s">
        <v>12</v>
      </c>
      <c r="D13" s="136" t="s">
        <v>12</v>
      </c>
      <c r="E13" s="136" t="s">
        <v>12</v>
      </c>
      <c r="F13" s="136" t="s">
        <v>12</v>
      </c>
      <c r="G13" s="136" t="s">
        <v>12</v>
      </c>
      <c r="H13" s="136" t="s">
        <v>12</v>
      </c>
    </row>
    <row r="36" spans="2:9" x14ac:dyDescent="0.25">
      <c r="E36" s="134"/>
      <c r="F36" s="134"/>
      <c r="I36" s="134"/>
    </row>
    <row r="37" spans="2:9" x14ac:dyDescent="0.25">
      <c r="B37" s="134"/>
      <c r="C37" s="134"/>
      <c r="E37" s="134"/>
      <c r="F37" s="134"/>
      <c r="I37" s="134"/>
    </row>
    <row r="38" spans="2:9" x14ac:dyDescent="0.25">
      <c r="B38" s="134"/>
      <c r="C38" s="134"/>
      <c r="E38" s="134"/>
      <c r="F38" s="134"/>
      <c r="I38" s="134"/>
    </row>
    <row r="39" spans="2:9" x14ac:dyDescent="0.25">
      <c r="B39" s="134"/>
      <c r="C39" s="134"/>
      <c r="E39" s="134"/>
      <c r="F39" s="134"/>
      <c r="I39" s="134"/>
    </row>
    <row r="40" spans="2:9" x14ac:dyDescent="0.25">
      <c r="B40" s="134"/>
      <c r="C40" s="134"/>
      <c r="E40" s="134"/>
      <c r="F40" s="134"/>
      <c r="I40" s="134"/>
    </row>
    <row r="41" spans="2:9" x14ac:dyDescent="0.25">
      <c r="B41" s="134"/>
      <c r="C41" s="134"/>
      <c r="E41" s="134"/>
      <c r="F41" s="134"/>
      <c r="I41" s="134"/>
    </row>
    <row r="42" spans="2:9" x14ac:dyDescent="0.25">
      <c r="B42" s="134"/>
      <c r="C42" s="134"/>
      <c r="E42" s="134"/>
      <c r="F42" s="134"/>
      <c r="I42" s="134"/>
    </row>
    <row r="43" spans="2:9" x14ac:dyDescent="0.25">
      <c r="B43" s="134"/>
      <c r="C43" s="134"/>
      <c r="E43" s="134"/>
      <c r="F43" s="134"/>
      <c r="I43" s="134"/>
    </row>
    <row r="44" spans="2:9" x14ac:dyDescent="0.25">
      <c r="B44" s="134"/>
      <c r="C44" s="134"/>
      <c r="E44" s="134"/>
      <c r="F44" s="134"/>
      <c r="I44" s="134"/>
    </row>
    <row r="45" spans="2:9" x14ac:dyDescent="0.25">
      <c r="B45" s="134"/>
      <c r="C45" s="134"/>
      <c r="E45" s="134"/>
      <c r="F45" s="134"/>
      <c r="I45" s="134"/>
    </row>
    <row r="46" spans="2:9" x14ac:dyDescent="0.25">
      <c r="B46" s="134"/>
      <c r="C46" s="134"/>
      <c r="E46" s="134"/>
      <c r="F46" s="134"/>
      <c r="I46" s="134"/>
    </row>
    <row r="47" spans="2:9" x14ac:dyDescent="0.25">
      <c r="B47" s="134"/>
      <c r="C47" s="134"/>
      <c r="E47" s="134"/>
      <c r="F47" s="134"/>
      <c r="I47" s="134"/>
    </row>
    <row r="48" spans="2:9" x14ac:dyDescent="0.25">
      <c r="B48" s="134"/>
      <c r="C48" s="134"/>
      <c r="E48" s="134"/>
      <c r="F48" s="134"/>
      <c r="I48" s="134"/>
    </row>
    <row r="49" spans="2:9" x14ac:dyDescent="0.25">
      <c r="B49" s="134"/>
      <c r="C49" s="134"/>
      <c r="E49" s="134"/>
      <c r="F49" s="134"/>
      <c r="I49" s="134"/>
    </row>
    <row r="50" spans="2:9" x14ac:dyDescent="0.25">
      <c r="B50" s="134"/>
      <c r="C50" s="134"/>
      <c r="E50" s="134"/>
      <c r="F50" s="134"/>
      <c r="I50" s="134"/>
    </row>
    <row r="51" spans="2:9" x14ac:dyDescent="0.25">
      <c r="B51" s="134"/>
      <c r="C51" s="134"/>
      <c r="E51" s="134"/>
      <c r="F51" s="134"/>
      <c r="I51" s="134"/>
    </row>
    <row r="52" spans="2:9" x14ac:dyDescent="0.25">
      <c r="B52" s="134"/>
      <c r="C52" s="134"/>
      <c r="E52" s="134"/>
      <c r="F52" s="134"/>
      <c r="I52" s="134"/>
    </row>
    <row r="53" spans="2:9" x14ac:dyDescent="0.25">
      <c r="B53" s="134"/>
      <c r="C53" s="134"/>
      <c r="E53" s="134"/>
      <c r="F53" s="134"/>
      <c r="I53" s="134"/>
    </row>
    <row r="54" spans="2:9" x14ac:dyDescent="0.25">
      <c r="B54" s="134"/>
      <c r="C54" s="134"/>
      <c r="E54" s="134"/>
      <c r="F54" s="134"/>
      <c r="I54" s="134"/>
    </row>
    <row r="55" spans="2:9" x14ac:dyDescent="0.25">
      <c r="B55" s="134"/>
      <c r="C55" s="134"/>
      <c r="E55" s="134"/>
      <c r="F55" s="134"/>
      <c r="I55" s="134"/>
    </row>
    <row r="56" spans="2:9" x14ac:dyDescent="0.25">
      <c r="B56" s="134"/>
      <c r="C56" s="134"/>
      <c r="E56" s="134"/>
      <c r="F56" s="134"/>
      <c r="I56" s="134"/>
    </row>
    <row r="57" spans="2:9" x14ac:dyDescent="0.25">
      <c r="B57" s="134"/>
      <c r="C57" s="134"/>
      <c r="E57" s="134"/>
      <c r="F57" s="134"/>
      <c r="I57" s="134"/>
    </row>
    <row r="58" spans="2:9" x14ac:dyDescent="0.25">
      <c r="B58" s="134"/>
      <c r="C58" s="134"/>
      <c r="E58" s="134"/>
      <c r="F58" s="134"/>
      <c r="I58" s="134"/>
    </row>
    <row r="59" spans="2:9" x14ac:dyDescent="0.25">
      <c r="B59" s="134"/>
      <c r="C59" s="134"/>
      <c r="E59" s="134"/>
      <c r="F59" s="134"/>
      <c r="I59" s="134"/>
    </row>
    <row r="60" spans="2:9" x14ac:dyDescent="0.25">
      <c r="B60" s="134"/>
      <c r="C60" s="134"/>
      <c r="E60" s="134"/>
      <c r="F60" s="134"/>
    </row>
    <row r="61" spans="2:9" x14ac:dyDescent="0.25">
      <c r="B61" s="134"/>
      <c r="C61" s="134"/>
      <c r="E61" s="134"/>
      <c r="F61" s="134"/>
    </row>
    <row r="62" spans="2:9" x14ac:dyDescent="0.25">
      <c r="B62" s="134"/>
      <c r="C62" s="134"/>
      <c r="E62" s="134"/>
      <c r="F62" s="134"/>
    </row>
    <row r="63" spans="2:9" x14ac:dyDescent="0.25">
      <c r="B63" s="134"/>
      <c r="C63" s="134"/>
      <c r="E63" s="134"/>
      <c r="F63" s="134"/>
    </row>
    <row r="64" spans="2:9" x14ac:dyDescent="0.25">
      <c r="B64" s="134"/>
      <c r="C64" s="134"/>
      <c r="E64" s="134"/>
      <c r="F64" s="134"/>
    </row>
  </sheetData>
  <mergeCells count="4">
    <mergeCell ref="A1:G1"/>
    <mergeCell ref="B2:G2"/>
    <mergeCell ref="A10:G10"/>
    <mergeCell ref="A11:G11"/>
  </mergeCells>
  <pageMargins left="0.7" right="0.7" top="0.75" bottom="0.75" header="0.3" footer="0.3"/>
  <pageSetup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heetViews>
  <sheetFormatPr defaultRowHeight="13.2" x14ac:dyDescent="0.25"/>
  <cols>
    <col min="1" max="1" width="55.6640625" customWidth="1"/>
    <col min="2" max="10" width="15.6640625" customWidth="1"/>
    <col min="11" max="11" width="18.33203125" customWidth="1"/>
    <col min="12" max="14" width="15.6640625" customWidth="1"/>
  </cols>
  <sheetData>
    <row r="1" spans="1:14" ht="20.100000000000001" customHeight="1" x14ac:dyDescent="0.3">
      <c r="A1" s="160" t="s">
        <v>228</v>
      </c>
      <c r="B1" s="160"/>
      <c r="C1" s="160"/>
      <c r="D1" s="160"/>
      <c r="E1" s="160"/>
      <c r="F1" s="160"/>
      <c r="G1" s="160"/>
      <c r="H1" s="160"/>
      <c r="I1" s="160"/>
      <c r="J1" s="160"/>
      <c r="K1" s="160"/>
      <c r="L1" s="162"/>
      <c r="M1" s="162"/>
      <c r="N1" s="162"/>
    </row>
    <row r="2" spans="1:14" ht="20.100000000000001" customHeight="1" x14ac:dyDescent="0.3">
      <c r="A2" s="160"/>
      <c r="B2" s="160"/>
      <c r="C2" s="160"/>
      <c r="D2" s="160"/>
      <c r="E2" s="160"/>
      <c r="F2" s="160"/>
      <c r="G2" s="160"/>
      <c r="H2" s="160"/>
      <c r="I2" s="160"/>
      <c r="J2" s="160"/>
      <c r="K2" s="160"/>
      <c r="L2" s="162"/>
      <c r="M2" s="162"/>
      <c r="N2" s="162"/>
    </row>
    <row r="3" spans="1:14" ht="20.100000000000001" customHeight="1" x14ac:dyDescent="0.25">
      <c r="A3" s="157" t="s">
        <v>12</v>
      </c>
      <c r="B3" s="105" t="s">
        <v>13</v>
      </c>
      <c r="C3" s="105" t="s">
        <v>17</v>
      </c>
      <c r="D3" s="105" t="s">
        <v>16</v>
      </c>
      <c r="E3" s="105" t="s">
        <v>14</v>
      </c>
      <c r="F3" s="105" t="s">
        <v>8</v>
      </c>
      <c r="G3" s="105" t="s">
        <v>44</v>
      </c>
      <c r="H3" s="105" t="s">
        <v>45</v>
      </c>
      <c r="I3" s="105" t="s">
        <v>7</v>
      </c>
      <c r="J3" s="105" t="s">
        <v>53</v>
      </c>
      <c r="K3" s="105" t="s">
        <v>83</v>
      </c>
      <c r="L3" s="69" t="s">
        <v>18</v>
      </c>
      <c r="M3" s="69" t="s">
        <v>3</v>
      </c>
      <c r="N3" s="69" t="s">
        <v>95</v>
      </c>
    </row>
    <row r="4" spans="1:14" ht="20.100000000000001" customHeight="1" x14ac:dyDescent="0.25">
      <c r="A4" s="153" t="s">
        <v>49</v>
      </c>
      <c r="B4" s="7">
        <f>'2018-2019 Parameters'!B20</f>
        <v>300.57</v>
      </c>
      <c r="C4" s="7">
        <f>'2018-2019 Parameters'!C20</f>
        <v>271.67</v>
      </c>
      <c r="D4" s="7">
        <f>'2018-2019 Parameters'!D20</f>
        <v>284.82</v>
      </c>
      <c r="E4" s="7">
        <f>'2018-2019 Parameters'!E20</f>
        <v>243.17</v>
      </c>
      <c r="F4" s="7">
        <f>'2018-2019 Parameters'!F20</f>
        <v>297.99</v>
      </c>
      <c r="G4" s="7">
        <f>'2018-2019 Parameters'!G20</f>
        <v>297.99</v>
      </c>
      <c r="H4" s="7">
        <f>'2018-2019 Parameters'!H20</f>
        <v>258.32</v>
      </c>
      <c r="I4" s="7">
        <f>'2018-2019 Parameters'!I20</f>
        <v>250.74</v>
      </c>
      <c r="J4" s="7">
        <f>'2018-2019 Parameters'!J20</f>
        <v>271.72000000000003</v>
      </c>
      <c r="K4" s="7">
        <f>'2018-2019 Parameters'!K20</f>
        <v>271.72000000000003</v>
      </c>
      <c r="L4" s="7">
        <f>'2018-2019 Parameters'!L20</f>
        <v>320.29000000000002</v>
      </c>
      <c r="M4" s="7">
        <f>'2018-2019 Parameters'!M20</f>
        <v>235.59</v>
      </c>
      <c r="N4" s="7">
        <f>'2018-2019 Parameters'!N20</f>
        <v>284.79000000000002</v>
      </c>
    </row>
    <row r="5" spans="1:14" ht="20.100000000000001" customHeight="1" x14ac:dyDescent="0.25">
      <c r="A5" s="153" t="s">
        <v>232</v>
      </c>
      <c r="B5" s="96">
        <f>ROUND(MAX($B$4*0.3, 20)*365,2)</f>
        <v>32912.42</v>
      </c>
      <c r="C5" s="96">
        <f t="shared" ref="C5:N6" si="0">ROUND(MAX($B$4*0.3, 20)*365,2)</f>
        <v>32912.42</v>
      </c>
      <c r="D5" s="96">
        <f t="shared" si="0"/>
        <v>32912.42</v>
      </c>
      <c r="E5" s="96">
        <f t="shared" si="0"/>
        <v>32912.42</v>
      </c>
      <c r="F5" s="96">
        <f t="shared" si="0"/>
        <v>32912.42</v>
      </c>
      <c r="G5" s="96">
        <f t="shared" si="0"/>
        <v>32912.42</v>
      </c>
      <c r="H5" s="96">
        <f t="shared" si="0"/>
        <v>32912.42</v>
      </c>
      <c r="I5" s="96">
        <f t="shared" si="0"/>
        <v>32912.42</v>
      </c>
      <c r="J5" s="96">
        <f t="shared" si="0"/>
        <v>32912.42</v>
      </c>
      <c r="K5" s="96">
        <f t="shared" si="0"/>
        <v>32912.42</v>
      </c>
      <c r="L5" s="96">
        <f t="shared" si="0"/>
        <v>32912.42</v>
      </c>
      <c r="M5" s="96">
        <f t="shared" si="0"/>
        <v>32912.42</v>
      </c>
      <c r="N5" s="96">
        <f t="shared" si="0"/>
        <v>32912.42</v>
      </c>
    </row>
    <row r="6" spans="1:14" ht="20.100000000000001" customHeight="1" x14ac:dyDescent="0.25">
      <c r="A6" s="153" t="s">
        <v>233</v>
      </c>
      <c r="B6" s="96">
        <f t="shared" ref="B6" si="1">ROUND(MAX($B$4*0.3, 20)*365,2)</f>
        <v>32912.42</v>
      </c>
      <c r="C6" s="96">
        <f t="shared" si="0"/>
        <v>32912.42</v>
      </c>
      <c r="D6" s="96">
        <f t="shared" si="0"/>
        <v>32912.42</v>
      </c>
      <c r="E6" s="96">
        <f t="shared" si="0"/>
        <v>32912.42</v>
      </c>
      <c r="F6" s="96">
        <f t="shared" si="0"/>
        <v>32912.42</v>
      </c>
      <c r="G6" s="96">
        <f t="shared" si="0"/>
        <v>32912.42</v>
      </c>
      <c r="H6" s="96">
        <f t="shared" si="0"/>
        <v>32912.42</v>
      </c>
      <c r="I6" s="96">
        <f t="shared" si="0"/>
        <v>32912.42</v>
      </c>
      <c r="J6" s="96">
        <f t="shared" si="0"/>
        <v>32912.42</v>
      </c>
      <c r="K6" s="96">
        <f t="shared" si="0"/>
        <v>32912.42</v>
      </c>
      <c r="L6" s="96">
        <f t="shared" si="0"/>
        <v>32912.42</v>
      </c>
      <c r="M6" s="96">
        <f t="shared" si="0"/>
        <v>32912.42</v>
      </c>
      <c r="N6" s="96">
        <f t="shared" si="0"/>
        <v>32912.42</v>
      </c>
    </row>
    <row r="7" spans="1:14" ht="20.100000000000001" customHeight="1" x14ac:dyDescent="0.25">
      <c r="A7" s="153" t="s">
        <v>234</v>
      </c>
      <c r="B7" s="161">
        <f>ROUND(MAX(B$4*0.5, 20)*365,2)</f>
        <v>54854.03</v>
      </c>
      <c r="C7" s="161">
        <f t="shared" ref="C7:N7" si="2">ROUND(MAX(C$4*0.5, 20)*365,2)</f>
        <v>49579.78</v>
      </c>
      <c r="D7" s="161">
        <f t="shared" si="2"/>
        <v>51979.65</v>
      </c>
      <c r="E7" s="161">
        <f t="shared" si="2"/>
        <v>44378.53</v>
      </c>
      <c r="F7" s="161">
        <f t="shared" si="2"/>
        <v>54383.18</v>
      </c>
      <c r="G7" s="161">
        <f t="shared" si="2"/>
        <v>54383.18</v>
      </c>
      <c r="H7" s="161">
        <f t="shared" si="2"/>
        <v>47143.4</v>
      </c>
      <c r="I7" s="161">
        <f t="shared" si="2"/>
        <v>45760.05</v>
      </c>
      <c r="J7" s="161">
        <f t="shared" si="2"/>
        <v>49588.9</v>
      </c>
      <c r="K7" s="161">
        <f t="shared" si="2"/>
        <v>49588.9</v>
      </c>
      <c r="L7" s="161">
        <f t="shared" si="2"/>
        <v>58452.93</v>
      </c>
      <c r="M7" s="161">
        <f t="shared" si="2"/>
        <v>42995.18</v>
      </c>
      <c r="N7" s="161">
        <f t="shared" si="2"/>
        <v>51974.18</v>
      </c>
    </row>
    <row r="8" spans="1:14" ht="20.100000000000001" customHeight="1" x14ac:dyDescent="0.25"/>
    <row r="9" spans="1:14" ht="20.100000000000001" customHeight="1" x14ac:dyDescent="0.25"/>
    <row r="10" spans="1:14" ht="20.100000000000001" customHeight="1" x14ac:dyDescent="0.25"/>
    <row r="11" spans="1:14" ht="20.100000000000001" customHeight="1" x14ac:dyDescent="0.3">
      <c r="A11" s="207" t="s">
        <v>235</v>
      </c>
      <c r="B11" s="207"/>
      <c r="C11" s="207"/>
      <c r="D11" s="207"/>
      <c r="E11" s="207"/>
      <c r="F11" s="207"/>
      <c r="G11" s="207"/>
      <c r="H11" s="207"/>
      <c r="I11" s="207"/>
      <c r="J11" s="160"/>
    </row>
    <row r="12" spans="1:14" ht="20.100000000000001" customHeight="1" x14ac:dyDescent="0.3">
      <c r="A12" s="153" t="s">
        <v>36</v>
      </c>
      <c r="B12" s="30">
        <v>6.3500000000000001E-2</v>
      </c>
      <c r="C12" s="160"/>
      <c r="D12" s="160"/>
      <c r="E12" s="160"/>
      <c r="F12" s="160"/>
      <c r="G12" s="160"/>
      <c r="H12" s="160"/>
      <c r="I12" s="160"/>
      <c r="J12" s="160"/>
    </row>
    <row r="13" spans="1:14" ht="20.100000000000001" customHeight="1" x14ac:dyDescent="0.25">
      <c r="A13" s="157" t="s">
        <v>12</v>
      </c>
      <c r="B13" s="105" t="s">
        <v>13</v>
      </c>
      <c r="C13" s="105" t="s">
        <v>17</v>
      </c>
      <c r="D13" s="105" t="s">
        <v>16</v>
      </c>
      <c r="E13" s="105" t="s">
        <v>14</v>
      </c>
      <c r="F13" s="105" t="s">
        <v>8</v>
      </c>
      <c r="G13" s="105" t="s">
        <v>44</v>
      </c>
      <c r="H13" s="105" t="s">
        <v>45</v>
      </c>
      <c r="I13" s="105" t="s">
        <v>7</v>
      </c>
      <c r="J13" s="105" t="s">
        <v>53</v>
      </c>
      <c r="K13" s="105" t="s">
        <v>83</v>
      </c>
      <c r="L13" s="69" t="s">
        <v>18</v>
      </c>
      <c r="M13" s="69" t="s">
        <v>3</v>
      </c>
      <c r="N13" s="69" t="s">
        <v>95</v>
      </c>
    </row>
    <row r="14" spans="1:14" ht="20.100000000000001" customHeight="1" x14ac:dyDescent="0.25">
      <c r="A14" s="80" t="s">
        <v>49</v>
      </c>
      <c r="B14" s="7">
        <f>B4</f>
        <v>300.57</v>
      </c>
      <c r="C14" s="7">
        <f t="shared" ref="C14:N14" si="3">C4</f>
        <v>271.67</v>
      </c>
      <c r="D14" s="7">
        <f t="shared" si="3"/>
        <v>284.82</v>
      </c>
      <c r="E14" s="7">
        <f t="shared" si="3"/>
        <v>243.17</v>
      </c>
      <c r="F14" s="7">
        <f t="shared" si="3"/>
        <v>297.99</v>
      </c>
      <c r="G14" s="7">
        <f t="shared" si="3"/>
        <v>297.99</v>
      </c>
      <c r="H14" s="7">
        <f t="shared" si="3"/>
        <v>258.32</v>
      </c>
      <c r="I14" s="7">
        <f t="shared" si="3"/>
        <v>250.74</v>
      </c>
      <c r="J14" s="7">
        <f t="shared" si="3"/>
        <v>271.72000000000003</v>
      </c>
      <c r="K14" s="7">
        <f t="shared" si="3"/>
        <v>271.72000000000003</v>
      </c>
      <c r="L14" s="7">
        <f t="shared" si="3"/>
        <v>320.29000000000002</v>
      </c>
      <c r="M14" s="7">
        <f t="shared" si="3"/>
        <v>235.59</v>
      </c>
      <c r="N14" s="7">
        <f t="shared" si="3"/>
        <v>284.79000000000002</v>
      </c>
    </row>
    <row r="15" spans="1:14" ht="20.100000000000001" customHeight="1" x14ac:dyDescent="0.25">
      <c r="A15" s="154" t="s">
        <v>229</v>
      </c>
      <c r="B15" s="8"/>
      <c r="C15" s="8"/>
      <c r="D15" s="8"/>
      <c r="E15" s="8"/>
      <c r="F15" s="8"/>
      <c r="G15" s="8"/>
      <c r="H15" s="8"/>
      <c r="I15" s="8"/>
      <c r="J15" s="8"/>
      <c r="K15" s="8"/>
      <c r="L15" s="163"/>
      <c r="M15" s="163"/>
      <c r="N15" s="163"/>
    </row>
    <row r="16" spans="1:14" ht="20.100000000000001" customHeight="1" x14ac:dyDescent="0.25">
      <c r="A16" s="80" t="s">
        <v>236</v>
      </c>
      <c r="B16" s="7">
        <v>149.97999999999999</v>
      </c>
      <c r="C16" s="7">
        <v>149.97999999999999</v>
      </c>
      <c r="D16" s="7">
        <v>210.63</v>
      </c>
      <c r="E16" s="7">
        <v>59.95</v>
      </c>
      <c r="F16" s="7">
        <v>210.63</v>
      </c>
      <c r="G16" s="7">
        <v>210.63</v>
      </c>
      <c r="H16" s="7">
        <v>210.63</v>
      </c>
      <c r="I16" s="7">
        <v>41.09</v>
      </c>
      <c r="J16" s="7">
        <v>149.97999999999999</v>
      </c>
      <c r="K16" s="7">
        <v>149.97999999999999</v>
      </c>
      <c r="L16" s="164">
        <v>200.21</v>
      </c>
      <c r="M16" s="164">
        <v>59.95</v>
      </c>
      <c r="N16" s="164">
        <v>75</v>
      </c>
    </row>
    <row r="17" spans="1:15" ht="20.100000000000001" customHeight="1" x14ac:dyDescent="0.25">
      <c r="A17" s="80" t="s">
        <v>237</v>
      </c>
      <c r="B17" s="158">
        <f>ROUND(MAX(0.2*B16,20)*365,2)</f>
        <v>10948.54</v>
      </c>
      <c r="C17" s="158">
        <f t="shared" ref="C17:N17" si="4">ROUND(MAX(0.2*C16,20)*365,2)</f>
        <v>10948.54</v>
      </c>
      <c r="D17" s="158">
        <f t="shared" si="4"/>
        <v>15375.99</v>
      </c>
      <c r="E17" s="158">
        <f t="shared" si="4"/>
        <v>7300</v>
      </c>
      <c r="F17" s="158">
        <f t="shared" si="4"/>
        <v>15375.99</v>
      </c>
      <c r="G17" s="158">
        <f t="shared" si="4"/>
        <v>15375.99</v>
      </c>
      <c r="H17" s="158">
        <f t="shared" si="4"/>
        <v>15375.99</v>
      </c>
      <c r="I17" s="158">
        <f t="shared" si="4"/>
        <v>7300</v>
      </c>
      <c r="J17" s="158">
        <f t="shared" si="4"/>
        <v>10948.54</v>
      </c>
      <c r="K17" s="158">
        <f t="shared" si="4"/>
        <v>10948.54</v>
      </c>
      <c r="L17" s="158">
        <f t="shared" si="4"/>
        <v>14615.33</v>
      </c>
      <c r="M17" s="158">
        <f t="shared" si="4"/>
        <v>7300</v>
      </c>
      <c r="N17" s="158">
        <f t="shared" si="4"/>
        <v>7300</v>
      </c>
      <c r="O17" s="168" t="s">
        <v>12</v>
      </c>
    </row>
    <row r="18" spans="1:15" ht="20.100000000000001" customHeight="1" x14ac:dyDescent="0.25">
      <c r="A18" s="154" t="s">
        <v>230</v>
      </c>
      <c r="B18" s="159"/>
      <c r="C18" s="159"/>
      <c r="D18" s="159"/>
      <c r="E18" s="159"/>
      <c r="F18" s="159"/>
      <c r="G18" s="159"/>
      <c r="H18" s="159"/>
      <c r="I18" s="159"/>
      <c r="J18" s="159"/>
      <c r="K18" s="159"/>
      <c r="L18" s="163"/>
      <c r="M18" s="163"/>
      <c r="N18" s="163"/>
    </row>
    <row r="19" spans="1:15" ht="20.100000000000001" customHeight="1" x14ac:dyDescent="0.25">
      <c r="A19" s="80" t="s">
        <v>236</v>
      </c>
      <c r="B19" s="7">
        <v>149.97999999999999</v>
      </c>
      <c r="C19" s="7">
        <v>149.97999999999999</v>
      </c>
      <c r="D19" s="167">
        <v>210.63</v>
      </c>
      <c r="E19" s="7">
        <v>149.97999999999999</v>
      </c>
      <c r="F19" s="7">
        <v>210.63</v>
      </c>
      <c r="G19" s="7">
        <v>210.63</v>
      </c>
      <c r="H19" s="7">
        <v>210.63</v>
      </c>
      <c r="I19" s="7">
        <v>149.97999999999999</v>
      </c>
      <c r="J19" s="7">
        <v>149.97999999999999</v>
      </c>
      <c r="K19" s="7">
        <v>149.97999999999999</v>
      </c>
      <c r="L19" s="164">
        <v>200.21</v>
      </c>
      <c r="M19" s="7">
        <v>149.97999999999999</v>
      </c>
      <c r="N19" s="164">
        <v>75</v>
      </c>
    </row>
    <row r="20" spans="1:15" ht="20.100000000000001" customHeight="1" x14ac:dyDescent="0.25">
      <c r="A20" s="80" t="s">
        <v>237</v>
      </c>
      <c r="B20" s="158">
        <f>ROUND(MAX(0.2*B19,20)*365,2)</f>
        <v>10948.54</v>
      </c>
      <c r="C20" s="165">
        <f t="shared" ref="C20:N20" si="5">ROUND(MAX(0.2*C19,20)*365,2)</f>
        <v>10948.54</v>
      </c>
      <c r="D20" s="158">
        <f t="shared" si="5"/>
        <v>15375.99</v>
      </c>
      <c r="E20" s="166">
        <f t="shared" si="5"/>
        <v>10948.54</v>
      </c>
      <c r="F20" s="158">
        <f t="shared" si="5"/>
        <v>15375.99</v>
      </c>
      <c r="G20" s="158">
        <f t="shared" si="5"/>
        <v>15375.99</v>
      </c>
      <c r="H20" s="158">
        <f t="shared" si="5"/>
        <v>15375.99</v>
      </c>
      <c r="I20" s="158">
        <f t="shared" si="5"/>
        <v>10948.54</v>
      </c>
      <c r="J20" s="158">
        <f t="shared" si="5"/>
        <v>10948.54</v>
      </c>
      <c r="K20" s="158">
        <f t="shared" si="5"/>
        <v>10948.54</v>
      </c>
      <c r="L20" s="158">
        <f t="shared" si="5"/>
        <v>14615.33</v>
      </c>
      <c r="M20" s="158">
        <f t="shared" si="5"/>
        <v>10948.54</v>
      </c>
      <c r="N20" s="158">
        <f t="shared" si="5"/>
        <v>7300</v>
      </c>
      <c r="O20" s="168" t="s">
        <v>12</v>
      </c>
    </row>
    <row r="21" spans="1:15" ht="20.100000000000001" customHeight="1" x14ac:dyDescent="0.25">
      <c r="A21" s="154" t="s">
        <v>231</v>
      </c>
      <c r="B21" s="159"/>
      <c r="C21" s="159"/>
      <c r="D21" s="159"/>
      <c r="E21" s="159"/>
      <c r="F21" s="159"/>
      <c r="G21" s="159"/>
      <c r="H21" s="159"/>
      <c r="I21" s="159"/>
      <c r="J21" s="159"/>
      <c r="K21" s="159"/>
      <c r="L21" s="163"/>
      <c r="M21" s="163"/>
      <c r="N21" s="163"/>
    </row>
    <row r="22" spans="1:15" ht="20.100000000000001" customHeight="1" x14ac:dyDescent="0.25">
      <c r="A22" s="80" t="s">
        <v>236</v>
      </c>
      <c r="B22" s="7">
        <v>164.77</v>
      </c>
      <c r="C22" s="7">
        <v>164.77</v>
      </c>
      <c r="D22" s="7">
        <v>225.42</v>
      </c>
      <c r="E22" s="7">
        <v>164.77</v>
      </c>
      <c r="F22" s="7">
        <v>225.42</v>
      </c>
      <c r="G22" s="7">
        <v>225.42</v>
      </c>
      <c r="H22" s="7">
        <v>225.42</v>
      </c>
      <c r="I22" s="7">
        <v>164.77</v>
      </c>
      <c r="J22" s="7">
        <v>164.77</v>
      </c>
      <c r="K22" s="7">
        <v>164.77</v>
      </c>
      <c r="L22" s="7">
        <v>215</v>
      </c>
      <c r="M22" s="7">
        <v>164.77</v>
      </c>
      <c r="N22" s="7">
        <v>164.77</v>
      </c>
    </row>
    <row r="23" spans="1:15" ht="20.100000000000001" customHeight="1" x14ac:dyDescent="0.25">
      <c r="A23" s="80" t="s">
        <v>237</v>
      </c>
      <c r="B23" s="158">
        <f>ROUND(MAX(20,0.2*B22,MIN(0.5*B14,1.5*B14*(1-$B$12)-B22)*365),2)</f>
        <v>54854.03</v>
      </c>
      <c r="C23" s="158">
        <f t="shared" ref="C23:N23" si="6">ROUND(MAX(20,0.2*C22,MIN(0.5*C14,1.5*C14*(1-$B$12)-C22)*365),2)</f>
        <v>49579.78</v>
      </c>
      <c r="D23" s="158">
        <f t="shared" si="6"/>
        <v>51979.65</v>
      </c>
      <c r="E23" s="158">
        <f t="shared" si="6"/>
        <v>44378.53</v>
      </c>
      <c r="F23" s="158">
        <f t="shared" si="6"/>
        <v>54383.18</v>
      </c>
      <c r="G23" s="158">
        <f t="shared" si="6"/>
        <v>54383.18</v>
      </c>
      <c r="H23" s="158">
        <f t="shared" si="6"/>
        <v>47143.4</v>
      </c>
      <c r="I23" s="158">
        <f t="shared" si="6"/>
        <v>45760.05</v>
      </c>
      <c r="J23" s="158">
        <f t="shared" si="6"/>
        <v>49588.9</v>
      </c>
      <c r="K23" s="158">
        <f t="shared" si="6"/>
        <v>49588.9</v>
      </c>
      <c r="L23" s="158">
        <f t="shared" si="6"/>
        <v>58452.93</v>
      </c>
      <c r="M23" s="158">
        <f t="shared" si="6"/>
        <v>42995.18</v>
      </c>
      <c r="N23" s="158">
        <f t="shared" si="6"/>
        <v>51974.18</v>
      </c>
    </row>
  </sheetData>
  <mergeCells count="1">
    <mergeCell ref="A11:I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2018-2019 Parameters</vt:lpstr>
      <vt:lpstr>Net CONE</vt:lpstr>
      <vt:lpstr>Key Transmission Upgrades</vt:lpstr>
      <vt:lpstr>Base Capacity Constraints</vt:lpstr>
      <vt:lpstr>Cap Import Limits</vt:lpstr>
      <vt:lpstr>Credit Rates</vt:lpstr>
      <vt:lpstr>'2018-2019 Parameters'!Print_Area</vt:lpstr>
      <vt:lpstr>'Base Capacity Constraints'!Print_Area</vt:lpstr>
      <vt:lpstr>'Cap Import Limits'!Print_Area</vt:lpstr>
      <vt:lpstr>'Key Transmission Upgrades'!Print_Area</vt:lpstr>
      <vt:lpstr>'Net CONE'!Print_Area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Bernstein, Jared</cp:lastModifiedBy>
  <cp:lastPrinted>2015-06-23T20:46:37Z</cp:lastPrinted>
  <dcterms:created xsi:type="dcterms:W3CDTF">2007-01-26T13:56:48Z</dcterms:created>
  <dcterms:modified xsi:type="dcterms:W3CDTF">2015-08-27T13:57:27Z</dcterms:modified>
</cp:coreProperties>
</file>