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5" yWindow="120" windowWidth="15450" windowHeight="11760"/>
  </bookViews>
  <sheets>
    <sheet name="2018-19 Excess Commit MW" sheetId="13" r:id="rId1"/>
    <sheet name="Calculation of Excess Commit MW" sheetId="14" r:id="rId2"/>
  </sheets>
  <definedNames>
    <definedName name="_xlnm.Print_Area" localSheetId="0">'2018-19 Excess Commit MW'!$A$1:$H$48</definedName>
    <definedName name="_xlnm.Print_Area" localSheetId="1">'Calculation of Excess Commit MW'!$A$1:$I$70</definedName>
  </definedNames>
  <calcPr calcId="145621"/>
</workbook>
</file>

<file path=xl/calcChain.xml><?xml version="1.0" encoding="utf-8"?>
<calcChain xmlns="http://schemas.openxmlformats.org/spreadsheetml/2006/main">
  <c r="C23" i="13" l="1"/>
  <c r="E26" i="14"/>
  <c r="E24" i="14"/>
  <c r="E23" i="14"/>
  <c r="E33" i="14"/>
  <c r="E32" i="14"/>
  <c r="E34" i="14"/>
  <c r="E28" i="14"/>
  <c r="B69" i="14"/>
  <c r="B68" i="14"/>
  <c r="B67" i="14"/>
  <c r="B66" i="14"/>
  <c r="B65" i="14"/>
  <c r="B64" i="14"/>
  <c r="B63" i="14"/>
  <c r="B62" i="14"/>
  <c r="B61" i="14"/>
  <c r="B60" i="14"/>
  <c r="B59" i="14"/>
  <c r="B58" i="14"/>
  <c r="B57" i="14"/>
  <c r="G40" i="14"/>
  <c r="F53" i="14"/>
  <c r="F40" i="14"/>
  <c r="E53" i="14"/>
  <c r="E41" i="14"/>
  <c r="E40" i="14"/>
  <c r="H53" i="14" l="1"/>
  <c r="H41" i="14" l="1"/>
  <c r="H42" i="14"/>
  <c r="H43" i="14"/>
  <c r="H44" i="14"/>
  <c r="H45" i="14"/>
  <c r="H46" i="14"/>
  <c r="H47" i="14"/>
  <c r="H48" i="14"/>
  <c r="H49" i="14"/>
  <c r="H50" i="14"/>
  <c r="H51" i="14"/>
  <c r="H52" i="14"/>
  <c r="H40" i="14"/>
  <c r="G7" i="14" l="1"/>
  <c r="F7" i="14"/>
  <c r="E7" i="14"/>
  <c r="H7" i="14" s="1"/>
  <c r="G6" i="14"/>
  <c r="F6" i="14"/>
  <c r="E6" i="14"/>
  <c r="H6" i="14" s="1"/>
  <c r="C35" i="14" l="1"/>
  <c r="C32" i="14"/>
  <c r="C23" i="14"/>
  <c r="C15" i="14"/>
  <c r="B35" i="14"/>
  <c r="B32" i="14"/>
  <c r="B23" i="14"/>
  <c r="B15" i="14"/>
  <c r="B42" i="14"/>
  <c r="B41" i="14"/>
  <c r="B40" i="14"/>
  <c r="G8" i="14" l="1"/>
  <c r="F8" i="14"/>
  <c r="E8" i="14"/>
  <c r="H8" i="14" l="1"/>
  <c r="F51" i="14"/>
  <c r="F17" i="14" s="1"/>
  <c r="D9" i="13" s="1"/>
  <c r="F47" i="14"/>
  <c r="F30" i="14" s="1"/>
  <c r="D21" i="13" s="1"/>
  <c r="F43" i="14"/>
  <c r="F50" i="14"/>
  <c r="F18" i="14" s="1"/>
  <c r="D10" i="13" s="1"/>
  <c r="F46" i="14"/>
  <c r="F24" i="14" s="1"/>
  <c r="D37" i="13" s="1"/>
  <c r="F42" i="14"/>
  <c r="F49" i="14"/>
  <c r="F16" i="14" s="1"/>
  <c r="D32" i="13" s="1"/>
  <c r="F45" i="14"/>
  <c r="F33" i="14" s="1"/>
  <c r="D42" i="13" s="1"/>
  <c r="F41" i="14"/>
  <c r="F52" i="14"/>
  <c r="F31" i="14" s="1"/>
  <c r="F48" i="14"/>
  <c r="F15" i="14" s="1"/>
  <c r="D31" i="13" s="1"/>
  <c r="D8" i="13" s="1"/>
  <c r="F44" i="14"/>
  <c r="F32" i="14" s="1"/>
  <c r="D41" i="13" s="1"/>
  <c r="D23" i="13" s="1"/>
  <c r="G51" i="14"/>
  <c r="G17" i="14" s="1"/>
  <c r="E9" i="13" s="1"/>
  <c r="G47" i="14"/>
  <c r="G30" i="14" s="1"/>
  <c r="E21" i="13" s="1"/>
  <c r="G43" i="14"/>
  <c r="G50" i="14"/>
  <c r="G18" i="14" s="1"/>
  <c r="E10" i="13" s="1"/>
  <c r="G46" i="14"/>
  <c r="G24" i="14" s="1"/>
  <c r="E37" i="13" s="1"/>
  <c r="G42" i="14"/>
  <c r="G49" i="14"/>
  <c r="G16" i="14" s="1"/>
  <c r="E32" i="13" s="1"/>
  <c r="G45" i="14"/>
  <c r="G33" i="14" s="1"/>
  <c r="E42" i="13" s="1"/>
  <c r="G41" i="14"/>
  <c r="G52" i="14"/>
  <c r="G31" i="14" s="1"/>
  <c r="G48" i="14"/>
  <c r="G15" i="14" s="1"/>
  <c r="E31" i="13" s="1"/>
  <c r="E8" i="13" s="1"/>
  <c r="G44" i="14"/>
  <c r="G32" i="14" s="1"/>
  <c r="E41" i="13" s="1"/>
  <c r="E23" i="13" s="1"/>
  <c r="G28" i="14" l="1"/>
  <c r="E19" i="13" s="1"/>
  <c r="G12" i="14"/>
  <c r="G23" i="14"/>
  <c r="E36" i="13" s="1"/>
  <c r="E15" i="13" s="1"/>
  <c r="G34" i="14"/>
  <c r="E24" i="13" s="1"/>
  <c r="G26" i="14"/>
  <c r="E17" i="13" s="1"/>
  <c r="E19" i="14"/>
  <c r="E22" i="14"/>
  <c r="E14" i="14"/>
  <c r="E25" i="14"/>
  <c r="E21" i="14"/>
  <c r="E13" i="14"/>
  <c r="E20" i="14"/>
  <c r="G29" i="14"/>
  <c r="E20" i="13" s="1"/>
  <c r="G27" i="14"/>
  <c r="E18" i="13" s="1"/>
  <c r="F28" i="14"/>
  <c r="D19" i="13" s="1"/>
  <c r="F12" i="14"/>
  <c r="F23" i="14"/>
  <c r="D36" i="13" s="1"/>
  <c r="D15" i="13" s="1"/>
  <c r="F34" i="14"/>
  <c r="D24" i="13" s="1"/>
  <c r="F26" i="14"/>
  <c r="D17" i="13" s="1"/>
  <c r="G25" i="14"/>
  <c r="E16" i="13" s="1"/>
  <c r="G21" i="14"/>
  <c r="E13" i="13" s="1"/>
  <c r="G13" i="14"/>
  <c r="G20" i="14"/>
  <c r="E12" i="13" s="1"/>
  <c r="G19" i="14"/>
  <c r="E11" i="13" s="1"/>
  <c r="G22" i="14"/>
  <c r="E14" i="13" s="1"/>
  <c r="G14" i="14"/>
  <c r="E7" i="13" s="1"/>
  <c r="F27" i="14"/>
  <c r="D18" i="13" s="1"/>
  <c r="F29" i="14"/>
  <c r="D20" i="13" s="1"/>
  <c r="F20" i="14"/>
  <c r="D12" i="13" s="1"/>
  <c r="F19" i="14"/>
  <c r="D11" i="13" s="1"/>
  <c r="F22" i="14"/>
  <c r="D14" i="13" s="1"/>
  <c r="F14" i="14"/>
  <c r="D7" i="13" s="1"/>
  <c r="F25" i="14"/>
  <c r="D16" i="13" s="1"/>
  <c r="F21" i="14"/>
  <c r="D13" i="13" s="1"/>
  <c r="F13" i="14"/>
  <c r="D6" i="13" s="1"/>
  <c r="E69" i="14"/>
  <c r="E68" i="14"/>
  <c r="E67" i="14"/>
  <c r="E59" i="14"/>
  <c r="E58" i="14"/>
  <c r="E57" i="14"/>
  <c r="B44" i="14"/>
  <c r="B45" i="14"/>
  <c r="B46" i="14"/>
  <c r="B47" i="14"/>
  <c r="B48" i="14"/>
  <c r="B49" i="14"/>
  <c r="B50" i="14"/>
  <c r="B51" i="14"/>
  <c r="B52" i="14"/>
  <c r="F35" i="14" l="1"/>
  <c r="D5" i="13"/>
  <c r="D25" i="13" s="1"/>
  <c r="B53" i="14"/>
  <c r="E61" i="14"/>
  <c r="E60" i="14"/>
  <c r="C52" i="14" l="1"/>
  <c r="D52" i="14" s="1"/>
  <c r="C51" i="14"/>
  <c r="D51" i="14" s="1"/>
  <c r="C50" i="14"/>
  <c r="C49" i="14"/>
  <c r="C47" i="14"/>
  <c r="C46" i="14"/>
  <c r="C45" i="14"/>
  <c r="C41" i="14"/>
  <c r="D41" i="14" s="1"/>
  <c r="C40" i="14"/>
  <c r="D40" i="14" s="1"/>
  <c r="D14" i="14"/>
  <c r="D13" i="14"/>
  <c r="D12" i="14"/>
  <c r="C44" i="14"/>
  <c r="C42" i="14"/>
  <c r="C48" i="14"/>
  <c r="C53" i="14" l="1"/>
  <c r="D50" i="14"/>
  <c r="D45" i="14" l="1"/>
  <c r="E66" i="14"/>
  <c r="E65" i="14"/>
  <c r="D16" i="14"/>
  <c r="D25" i="14"/>
  <c r="D20" i="14"/>
  <c r="D44" i="14"/>
  <c r="D23" i="14"/>
  <c r="D15" i="14"/>
  <c r="E64" i="14"/>
  <c r="E63" i="14"/>
  <c r="E62" i="14"/>
  <c r="D34" i="14"/>
  <c r="D33" i="14"/>
  <c r="D31" i="14"/>
  <c r="D30" i="14"/>
  <c r="D29" i="14"/>
  <c r="D28" i="14"/>
  <c r="D27" i="14"/>
  <c r="D26" i="14"/>
  <c r="D24" i="14"/>
  <c r="D22" i="14"/>
  <c r="D21" i="14"/>
  <c r="D19" i="14"/>
  <c r="D18" i="14"/>
  <c r="D17" i="14"/>
  <c r="D47" i="14"/>
  <c r="D46" i="14" l="1"/>
  <c r="D43" i="14"/>
  <c r="D49" i="14"/>
  <c r="D42" i="14"/>
  <c r="D32" i="14"/>
  <c r="D35" i="14" s="1"/>
  <c r="D48" i="14"/>
  <c r="D53" i="14" l="1"/>
  <c r="E46" i="14" l="1"/>
  <c r="E50" i="14"/>
  <c r="E18" i="14" s="1"/>
  <c r="E51" i="14"/>
  <c r="E17" i="14" s="1"/>
  <c r="E52" i="14"/>
  <c r="E31" i="14" s="1"/>
  <c r="E45" i="14"/>
  <c r="E47" i="14"/>
  <c r="E30" i="14" s="1"/>
  <c r="E44" i="14"/>
  <c r="E49" i="14"/>
  <c r="E16" i="14" s="1"/>
  <c r="E42" i="14"/>
  <c r="E48" i="14"/>
  <c r="E15" i="14" s="1"/>
  <c r="E43" i="14"/>
  <c r="E27" i="14" l="1"/>
  <c r="E29" i="14"/>
  <c r="C19" i="13"/>
  <c r="E12" i="14"/>
  <c r="C37" i="13"/>
  <c r="E5" i="13"/>
  <c r="C17" i="13"/>
  <c r="C24" i="13"/>
  <c r="C36" i="13"/>
  <c r="C42" i="13"/>
  <c r="C10" i="13"/>
  <c r="C20" i="13"/>
  <c r="C18" i="13"/>
  <c r="C32" i="13"/>
  <c r="C41" i="13"/>
  <c r="C31" i="13"/>
  <c r="C21" i="13"/>
  <c r="C9" i="13"/>
  <c r="C13" i="13" l="1"/>
  <c r="C16" i="13"/>
  <c r="C14" i="13"/>
  <c r="C6" i="13"/>
  <c r="E6" i="13"/>
  <c r="E25" i="13" s="1"/>
  <c r="C11" i="13"/>
  <c r="C7" i="13"/>
  <c r="C12" i="13"/>
  <c r="C15" i="13"/>
  <c r="C8" i="13"/>
  <c r="E35" i="14"/>
  <c r="C5" i="13"/>
  <c r="G35" i="14" l="1"/>
  <c r="C25" i="13"/>
  <c r="G53" i="14"/>
</calcChain>
</file>

<file path=xl/sharedStrings.xml><?xml version="1.0" encoding="utf-8"?>
<sst xmlns="http://schemas.openxmlformats.org/spreadsheetml/2006/main" count="206" uniqueCount="75">
  <si>
    <t>Zone</t>
  </si>
  <si>
    <t>PECO</t>
  </si>
  <si>
    <t>BGE</t>
  </si>
  <si>
    <t>JCPL</t>
  </si>
  <si>
    <t>METED</t>
  </si>
  <si>
    <t>PEPCO</t>
  </si>
  <si>
    <t>RECO</t>
  </si>
  <si>
    <t>APS</t>
  </si>
  <si>
    <t xml:space="preserve"> </t>
  </si>
  <si>
    <t>DOM</t>
  </si>
  <si>
    <t>AEP</t>
  </si>
  <si>
    <t>COMED</t>
  </si>
  <si>
    <t>PENELEC</t>
  </si>
  <si>
    <t>PPL</t>
  </si>
  <si>
    <t>PSEG</t>
  </si>
  <si>
    <t>Reduction in Peak Load Forecast [MW]</t>
  </si>
  <si>
    <t>DLCO</t>
  </si>
  <si>
    <t>Reduction in Reliability Requirement [MW]</t>
  </si>
  <si>
    <t>Final Reliability Requirement [MW]</t>
  </si>
  <si>
    <t>RTO</t>
  </si>
  <si>
    <t>MAAC</t>
  </si>
  <si>
    <t>EMAAC</t>
  </si>
  <si>
    <t>SWMAAC</t>
  </si>
  <si>
    <t>PSNORTH</t>
  </si>
  <si>
    <t>LDA</t>
  </si>
  <si>
    <t>Total</t>
  </si>
  <si>
    <t>DPLSOUTH</t>
  </si>
  <si>
    <t>Rest of DPL</t>
  </si>
  <si>
    <t>Rest of PSEG</t>
  </si>
  <si>
    <t>Location</t>
  </si>
  <si>
    <t>Rest of RTO</t>
  </si>
  <si>
    <t>Rest of EMAAC</t>
  </si>
  <si>
    <t>Rest of MAAC</t>
  </si>
  <si>
    <t>Excess Commitment Credits Allocation to Zone or Sub-Zone [MW]</t>
  </si>
  <si>
    <t>Excess Commitment Credits [MW]</t>
  </si>
  <si>
    <t xml:space="preserve">NOTE: All LSEs in each zone will receive a pro-rata share of the Excess Commitment Credits assigned to the zone. </t>
  </si>
  <si>
    <t>Allocation of Excess Commitment Credit to LDA [MW]</t>
  </si>
  <si>
    <t xml:space="preserve">Confirmation that Amount Allocated to LDA does not exceed Reduction in LDA Reliability Requirement </t>
  </si>
  <si>
    <t>Excess Commitment Credit Allocation to each LDA</t>
  </si>
  <si>
    <t>Excess Commitment Credits Allocation based on Reduction in LDA Peak Load Forecast</t>
  </si>
  <si>
    <t xml:space="preserve"> Allocation of Excess Comitment Credit [MW]</t>
  </si>
  <si>
    <t>ATSI</t>
  </si>
  <si>
    <t>AE</t>
  </si>
  <si>
    <t>DAYTON</t>
  </si>
  <si>
    <t>Rest of  SWMAAC</t>
  </si>
  <si>
    <t>BRA Reliability Requirement    [MW]</t>
  </si>
  <si>
    <t>DEOK</t>
  </si>
  <si>
    <t>EKPC</t>
  </si>
  <si>
    <t>ATSI-C</t>
  </si>
  <si>
    <t>Rest of ATSI</t>
  </si>
  <si>
    <t>ATSI *</t>
  </si>
  <si>
    <t>DPL **</t>
  </si>
  <si>
    <t>PSEG ***</t>
  </si>
  <si>
    <t>Zone/ Subzone</t>
  </si>
  <si>
    <t>ATSI Subzones*</t>
  </si>
  <si>
    <t>DPL Subzones**</t>
  </si>
  <si>
    <t>PSEG Subzones***</t>
  </si>
  <si>
    <t>Excess Comitment Credits for Allocation (1) - (2)</t>
  </si>
  <si>
    <t>Preliminary Zonal Peak Load Forecast less FRR Load [MW]</t>
  </si>
  <si>
    <t>Final Zonal Peak Load Forecast less FRR Load [MW]</t>
  </si>
  <si>
    <t>ATSI-CLEVELAND</t>
  </si>
  <si>
    <t>RTO Total</t>
  </si>
  <si>
    <t>CP, MW</t>
  </si>
  <si>
    <t>Base Gen, MW</t>
  </si>
  <si>
    <t>Base DR/EE, MW</t>
  </si>
  <si>
    <t>Total, MW</t>
  </si>
  <si>
    <t>Zonal Allocation of 2018/2019 Excess Commitment Credits</t>
  </si>
  <si>
    <t>* ALL LSEs in ATSI Zone will receive a pro-rata share (based on Daily UCAP obligation as of 6/1/2018) of the Excess Commitment Credits assigned to both the ATSI-CLEVELAND subzone and the Rest of ATSI subzone. Resources located in the ATSI-CLEVELAND LDA may only be replaced by Excess Commitment Credits assigned to the ATSI-CLEVELAND subzone.</t>
  </si>
  <si>
    <t>PJM Sell Offers less PJM Buy Bids in 3rd Incremental Auction (1)</t>
  </si>
  <si>
    <t>Cleared PJM Sell Offers less Cleared PJM Buy Bids in 3rd Incremental Auction (2)</t>
  </si>
  <si>
    <t>** ALL LSEs in DPL Zone will receive a pro-rata share (based on Daily UCAP obligation as of 6/1/2018) of the Excess Commitment Credits assigned to both the DPLSOUTH subzone and the Rest of DPL subzone. Resources located in the DPLSOUTH LDA may only be replaced by Excess Commitment Credits assigned to the DPLSOUTH subzone.</t>
  </si>
  <si>
    <t>*** ALL LSEs in PSEG Zone will receive a pro-rata share (based on Daily UCAP obligation as of 6/1/2018) of the Excess Commitment Credits assigned to both the PSNORTH subzone and the Rest of PSEG subzone. Resources located in the PSNORTH LDA may only be replaced by Excess Commitment Credits assigned to the PSNORTH subzone.</t>
  </si>
  <si>
    <t xml:space="preserve">* Set PPL Excess Commitment Credits to zero as its Reliability Requirement increased. </t>
  </si>
  <si>
    <t>PPL *</t>
  </si>
  <si>
    <t>Zonal Allocation of 2018/2019 Excess Commitment Credits (67000128)         4/18/2018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</si>
</sst>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
    <numFmt numFmtId="165" formatCode="&quot;$&quot;#,##0.00"/>
    <numFmt numFmtId="166" formatCode="#,##0.0"/>
    <numFmt numFmtId="167" formatCode="_(* #,##0.0_);_(* \(#,##0.0\);_(* &quot;-&quot;??_);_(@_)"/>
  </numFmts>
  <fonts count="10" x14ac:knownFonts="1">
    <font>
      <sz val="10"/>
      <name val="Arial"/>
    </font>
    <font>
      <sz val="10"/>
      <name val="Arial"/>
      <family val="2"/>
    </font>
    <font>
      <b/>
      <sz val="10"/>
      <name val="Arial"/>
      <family val="2"/>
    </font>
    <font>
      <b/>
      <sz val="12"/>
      <name val="Arial"/>
      <family val="2"/>
    </font>
    <font>
      <b/>
      <sz val="20"/>
      <name val="Arial"/>
      <family val="2"/>
    </font>
    <font>
      <sz val="10"/>
      <name val="Arial"/>
      <family val="2"/>
    </font>
    <font>
      <b/>
      <sz val="14"/>
      <name val="Arial"/>
      <family val="2"/>
    </font>
    <font>
      <b/>
      <sz val="12"/>
      <color rgb="FFFF0000"/>
      <name val="Arial"/>
      <family val="2"/>
    </font>
    <font>
      <sz val="10"/>
      <color rgb="FFFF0000"/>
      <name val="Arial"/>
      <family val="2"/>
    </font>
    <font>
      <b/>
      <sz val="10"/>
      <color rgb="FFFF000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5" fillId="0" borderId="0" applyFont="0" applyFill="0" applyBorder="0" applyAlignment="0" applyProtection="0"/>
  </cellStyleXfs>
  <cellXfs count="66">
    <xf numFmtId="0" fontId="0" fillId="0" borderId="0" xfId="0"/>
    <xf numFmtId="0" fontId="2" fillId="0" borderId="0" xfId="0" applyFont="1"/>
    <xf numFmtId="0" fontId="1" fillId="0" borderId="0" xfId="0" applyFont="1"/>
    <xf numFmtId="164" fontId="2" fillId="0" borderId="0" xfId="0" applyNumberFormat="1" applyFont="1" applyBorder="1"/>
    <xf numFmtId="165" fontId="2" fillId="0" borderId="0" xfId="0" applyNumberFormat="1" applyFont="1"/>
    <xf numFmtId="164" fontId="2" fillId="0" borderId="0" xfId="0" applyNumberFormat="1" applyFont="1"/>
    <xf numFmtId="165" fontId="2" fillId="0" borderId="0" xfId="0" applyNumberFormat="1" applyFont="1" applyBorder="1"/>
    <xf numFmtId="164" fontId="1" fillId="0" borderId="0" xfId="0" applyNumberFormat="1" applyFont="1"/>
    <xf numFmtId="0" fontId="2" fillId="0" borderId="0" xfId="0" applyFont="1" applyAlignment="1">
      <alignment horizontal="right"/>
    </xf>
    <xf numFmtId="164" fontId="2" fillId="0" borderId="0" xfId="0" applyNumberFormat="1" applyFont="1" applyAlignment="1">
      <alignment horizontal="right"/>
    </xf>
    <xf numFmtId="166" fontId="2" fillId="0" borderId="0" xfId="0" applyNumberFormat="1" applyFont="1"/>
    <xf numFmtId="0" fontId="1" fillId="0" borderId="0" xfId="0" applyFont="1" applyAlignment="1">
      <alignment horizontal="centerContinuous"/>
    </xf>
    <xf numFmtId="0" fontId="3" fillId="0" borderId="0" xfId="0" applyFont="1"/>
    <xf numFmtId="0" fontId="3" fillId="0" borderId="0" xfId="0" applyFont="1" applyAlignment="1">
      <alignment horizontal="left"/>
    </xf>
    <xf numFmtId="0" fontId="4" fillId="0" borderId="0" xfId="0" applyFont="1" applyBorder="1" applyAlignment="1">
      <alignment horizontal="center" vertical="center" wrapText="1"/>
    </xf>
    <xf numFmtId="0" fontId="1" fillId="0" borderId="0" xfId="0" applyFont="1" applyAlignment="1">
      <alignment vertical="center"/>
    </xf>
    <xf numFmtId="166" fontId="1" fillId="4" borderId="1" xfId="0" applyNumberFormat="1" applyFont="1" applyFill="1" applyBorder="1" applyAlignment="1">
      <alignment vertical="center"/>
    </xf>
    <xf numFmtId="166" fontId="2" fillId="4" borderId="1" xfId="0" applyNumberFormat="1" applyFont="1" applyFill="1" applyBorder="1" applyAlignment="1">
      <alignment vertical="center"/>
    </xf>
    <xf numFmtId="0" fontId="3" fillId="3"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xf>
    <xf numFmtId="167" fontId="1" fillId="0" borderId="1" xfId="1" applyNumberFormat="1" applyFont="1" applyBorder="1" applyAlignment="1">
      <alignment vertical="center"/>
    </xf>
    <xf numFmtId="167" fontId="1" fillId="0" borderId="1" xfId="1" applyNumberFormat="1" applyFont="1" applyFill="1" applyBorder="1" applyAlignment="1">
      <alignment horizontal="center" vertical="center" wrapText="1"/>
    </xf>
    <xf numFmtId="167" fontId="2" fillId="0" borderId="1" xfId="1" applyNumberFormat="1" applyFont="1" applyBorder="1" applyAlignment="1">
      <alignment vertical="center"/>
    </xf>
    <xf numFmtId="0" fontId="2" fillId="3"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166" fontId="1" fillId="0" borderId="1" xfId="0" applyNumberFormat="1" applyFont="1" applyFill="1" applyBorder="1" applyAlignment="1">
      <alignment horizontal="center" vertical="center"/>
    </xf>
    <xf numFmtId="166" fontId="2" fillId="0"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164" fontId="1" fillId="0" borderId="1" xfId="0" applyNumberFormat="1" applyFont="1" applyBorder="1" applyAlignment="1">
      <alignment vertical="center"/>
    </xf>
    <xf numFmtId="0" fontId="1" fillId="4" borderId="3" xfId="0" applyFont="1" applyFill="1" applyBorder="1" applyAlignment="1">
      <alignment horizontal="right" vertical="center"/>
    </xf>
    <xf numFmtId="0" fontId="1" fillId="4" borderId="4" xfId="0" applyFont="1" applyFill="1" applyBorder="1" applyAlignment="1">
      <alignment horizontal="right" vertical="center"/>
    </xf>
    <xf numFmtId="164" fontId="1" fillId="4" borderId="2" xfId="0" applyNumberFormat="1" applyFont="1" applyFill="1" applyBorder="1" applyAlignment="1">
      <alignment horizontal="right" vertical="center"/>
    </xf>
    <xf numFmtId="164" fontId="1" fillId="4" borderId="3" xfId="0" applyNumberFormat="1" applyFont="1" applyFill="1" applyBorder="1" applyAlignment="1">
      <alignment horizontal="right" vertical="center"/>
    </xf>
    <xf numFmtId="0" fontId="6" fillId="0" borderId="0" xfId="0" applyFont="1" applyBorder="1" applyAlignment="1">
      <alignment horizontal="center" vertical="center" wrapText="1"/>
    </xf>
    <xf numFmtId="166" fontId="2" fillId="4" borderId="1" xfId="0" applyNumberFormat="1" applyFont="1" applyFill="1" applyBorder="1" applyAlignment="1">
      <alignment horizontal="center" vertical="center"/>
    </xf>
    <xf numFmtId="0" fontId="2" fillId="0" borderId="0" xfId="0" applyFont="1" applyFill="1" applyBorder="1" applyAlignment="1">
      <alignment horizontal="center" vertical="center" wrapText="1"/>
    </xf>
    <xf numFmtId="167" fontId="8" fillId="0" borderId="1" xfId="1" applyNumberFormat="1" applyFont="1" applyFill="1" applyBorder="1" applyAlignment="1">
      <alignment horizontal="center" vertical="center" wrapText="1"/>
    </xf>
    <xf numFmtId="0" fontId="1" fillId="0" borderId="0" xfId="0" applyFont="1" applyAlignment="1">
      <alignment horizontal="right" vertical="center"/>
    </xf>
    <xf numFmtId="0" fontId="2" fillId="2" borderId="1" xfId="0" applyFont="1" applyFill="1" applyBorder="1" applyAlignment="1">
      <alignment horizontal="center" vertical="center" wrapText="1"/>
    </xf>
    <xf numFmtId="0" fontId="1" fillId="0" borderId="1" xfId="0" applyFont="1" applyBorder="1"/>
    <xf numFmtId="164" fontId="1" fillId="0" borderId="1" xfId="0" applyNumberFormat="1" applyFont="1" applyBorder="1"/>
    <xf numFmtId="164" fontId="2" fillId="0" borderId="1" xfId="0" applyNumberFormat="1" applyFont="1" applyBorder="1"/>
    <xf numFmtId="164" fontId="1" fillId="0" borderId="0" xfId="0" applyNumberFormat="1" applyFont="1" applyBorder="1" applyAlignment="1">
      <alignment horizontal="center"/>
    </xf>
    <xf numFmtId="0" fontId="8" fillId="0" borderId="0" xfId="0" applyFont="1" applyBorder="1"/>
    <xf numFmtId="0" fontId="1" fillId="5" borderId="0" xfId="0" applyFont="1" applyFill="1" applyBorder="1"/>
    <xf numFmtId="0" fontId="2" fillId="5" borderId="0" xfId="0" applyFont="1" applyFill="1" applyBorder="1" applyAlignment="1">
      <alignment horizontal="center" vertical="center" wrapText="1"/>
    </xf>
    <xf numFmtId="164" fontId="1" fillId="5" borderId="0" xfId="0" applyNumberFormat="1" applyFont="1" applyFill="1" applyBorder="1" applyAlignment="1">
      <alignment horizontal="center"/>
    </xf>
    <xf numFmtId="0" fontId="9" fillId="0" borderId="0" xfId="0" applyFont="1" applyBorder="1" applyAlignment="1">
      <alignment horizontal="center" vertical="center"/>
    </xf>
    <xf numFmtId="164" fontId="9" fillId="0" borderId="0" xfId="0" applyNumberFormat="1" applyFont="1" applyBorder="1" applyAlignment="1">
      <alignment vertical="center"/>
    </xf>
    <xf numFmtId="164" fontId="1" fillId="0" borderId="1" xfId="1" applyNumberFormat="1" applyFont="1" applyBorder="1" applyAlignment="1">
      <alignment vertical="center"/>
    </xf>
    <xf numFmtId="167" fontId="1" fillId="0" borderId="0" xfId="0" applyNumberFormat="1" applyFont="1"/>
    <xf numFmtId="0" fontId="1"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6" fillId="0" borderId="1" xfId="0" applyFont="1" applyBorder="1" applyAlignment="1">
      <alignment horizontal="left" vertical="center" wrapText="1"/>
    </xf>
    <xf numFmtId="164" fontId="3" fillId="0" borderId="1" xfId="0" applyNumberFormat="1" applyFont="1" applyBorder="1" applyAlignment="1">
      <alignment horizontal="center"/>
    </xf>
    <xf numFmtId="0" fontId="6" fillId="0" borderId="0" xfId="0" applyFont="1" applyBorder="1" applyAlignment="1">
      <alignment horizontal="center" vertical="center" wrapText="1"/>
    </xf>
    <xf numFmtId="0" fontId="2" fillId="4" borderId="1" xfId="0" applyFont="1" applyFill="1" applyBorder="1" applyAlignment="1">
      <alignment horizontal="center" vertical="center" wrapText="1"/>
    </xf>
    <xf numFmtId="0" fontId="7" fillId="0" borderId="0" xfId="0" applyFont="1" applyBorder="1" applyAlignment="1">
      <alignment horizontal="center" vertical="center" wrapText="1"/>
    </xf>
    <xf numFmtId="0" fontId="2" fillId="2" borderId="1"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tabSelected="1" zoomScaleNormal="100" workbookViewId="0">
      <selection sqref="A1:H1"/>
    </sheetView>
  </sheetViews>
  <sheetFormatPr defaultColWidth="9.140625" defaultRowHeight="12.75" x14ac:dyDescent="0.2"/>
  <cols>
    <col min="1" max="1" width="5.7109375" style="2" customWidth="1"/>
    <col min="2" max="2" width="20.42578125" style="2" customWidth="1"/>
    <col min="3" max="5" width="17.7109375" style="2" customWidth="1"/>
    <col min="6" max="7" width="17.85546875" style="2" customWidth="1"/>
    <col min="8" max="8" width="7.85546875" style="2" customWidth="1"/>
    <col min="9" max="9" width="17.85546875" style="2" customWidth="1"/>
    <col min="10" max="10" width="20.42578125" style="2" customWidth="1"/>
    <col min="11" max="11" width="20.7109375" style="2" customWidth="1"/>
    <col min="12" max="12" width="15.7109375" style="2" customWidth="1"/>
    <col min="13" max="13" width="16.7109375" style="2" customWidth="1"/>
    <col min="14" max="14" width="15.7109375" style="2" customWidth="1"/>
    <col min="15" max="16384" width="9.140625" style="2"/>
  </cols>
  <sheetData>
    <row r="1" spans="1:13" ht="30" customHeight="1" x14ac:dyDescent="0.2">
      <c r="A1" s="59" t="s">
        <v>74</v>
      </c>
      <c r="B1" s="59"/>
      <c r="C1" s="59"/>
      <c r="D1" s="59"/>
      <c r="E1" s="59"/>
      <c r="F1" s="59"/>
      <c r="G1" s="59"/>
      <c r="H1" s="59"/>
      <c r="I1" s="14"/>
      <c r="J1" s="14"/>
      <c r="K1" s="11"/>
      <c r="L1" s="11"/>
      <c r="M1" s="11"/>
    </row>
    <row r="2" spans="1:13" x14ac:dyDescent="0.2">
      <c r="B2" s="8"/>
      <c r="C2" s="9"/>
      <c r="D2" s="10"/>
    </row>
    <row r="3" spans="1:13" ht="15.75" x14ac:dyDescent="0.25">
      <c r="B3" s="8"/>
      <c r="C3" s="60" t="s">
        <v>34</v>
      </c>
      <c r="D3" s="60"/>
      <c r="E3" s="60"/>
    </row>
    <row r="4" spans="1:13" ht="31.5" x14ac:dyDescent="0.2">
      <c r="B4" s="18" t="s">
        <v>0</v>
      </c>
      <c r="C4" s="31" t="s">
        <v>62</v>
      </c>
      <c r="D4" s="31" t="s">
        <v>63</v>
      </c>
      <c r="E4" s="31" t="s">
        <v>64</v>
      </c>
    </row>
    <row r="5" spans="1:13" ht="15" customHeight="1" x14ac:dyDescent="0.2">
      <c r="B5" s="20" t="s">
        <v>42</v>
      </c>
      <c r="C5" s="21">
        <f>'Calculation of Excess Commit MW'!E12</f>
        <v>44.707896951561636</v>
      </c>
      <c r="D5" s="21">
        <f>'Calculation of Excess Commit MW'!F12</f>
        <v>57.057228352347103</v>
      </c>
      <c r="E5" s="21">
        <f>'Calculation of Excess Commit MW'!G12</f>
        <v>1.2726295118758186</v>
      </c>
    </row>
    <row r="6" spans="1:13" ht="15" customHeight="1" x14ac:dyDescent="0.2">
      <c r="B6" s="20" t="s">
        <v>10</v>
      </c>
      <c r="C6" s="21">
        <f>'Calculation of Excess Commit MW'!E13</f>
        <v>126.30847320927653</v>
      </c>
      <c r="D6" s="21">
        <f>'Calculation of Excess Commit MW'!F13</f>
        <v>161.19772769777475</v>
      </c>
      <c r="E6" s="21">
        <f>'Calculation of Excess Commit MW'!G13</f>
        <v>3.5954250046755263</v>
      </c>
    </row>
    <row r="7" spans="1:13" ht="15" customHeight="1" x14ac:dyDescent="0.2">
      <c r="B7" s="20" t="s">
        <v>7</v>
      </c>
      <c r="C7" s="21">
        <f>'Calculation of Excess Commit MW'!E14</f>
        <v>34.483998036282038</v>
      </c>
      <c r="D7" s="21">
        <f>'Calculation of Excess Commit MW'!F14</f>
        <v>44.009257527585561</v>
      </c>
      <c r="E7" s="21">
        <f>'Calculation of Excess Commit MW'!G14</f>
        <v>0.98160183280344127</v>
      </c>
    </row>
    <row r="8" spans="1:13" ht="15" customHeight="1" x14ac:dyDescent="0.2">
      <c r="B8" s="20" t="s">
        <v>50</v>
      </c>
      <c r="C8" s="21">
        <f>C31+C32</f>
        <v>84.73706050121551</v>
      </c>
      <c r="D8" s="21">
        <f t="shared" ref="D8:E8" si="0">D31+D32</f>
        <v>108.14335141200652</v>
      </c>
      <c r="E8" s="21">
        <f t="shared" si="0"/>
        <v>2.4120768655320703</v>
      </c>
    </row>
    <row r="9" spans="1:13" ht="15" customHeight="1" x14ac:dyDescent="0.2">
      <c r="B9" s="20" t="s">
        <v>2</v>
      </c>
      <c r="C9" s="21">
        <f>'Calculation of Excess Commit MW'!E17</f>
        <v>90.628798859173386</v>
      </c>
      <c r="D9" s="21">
        <f>'Calculation of Excess Commit MW'!F17</f>
        <v>115.66252103983543</v>
      </c>
      <c r="E9" s="21">
        <f>'Calculation of Excess Commit MW'!G17</f>
        <v>2.5797877314381901</v>
      </c>
    </row>
    <row r="10" spans="1:13" ht="15" customHeight="1" x14ac:dyDescent="0.2">
      <c r="B10" s="20" t="s">
        <v>11</v>
      </c>
      <c r="C10" s="21">
        <f>'Calculation of Excess Commit MW'!E18</f>
        <v>277.13697517299414</v>
      </c>
      <c r="D10" s="21">
        <f>'Calculation of Excess Commit MW'!F18</f>
        <v>353.68847017018874</v>
      </c>
      <c r="E10" s="21">
        <f>'Calculation of Excess Commit MW'!G18</f>
        <v>7.888823171872076</v>
      </c>
    </row>
    <row r="11" spans="1:13" ht="15" customHeight="1" x14ac:dyDescent="0.2">
      <c r="B11" s="20" t="s">
        <v>43</v>
      </c>
      <c r="C11" s="21">
        <f>'Calculation of Excess Commit MW'!E19</f>
        <v>39.509304282775403</v>
      </c>
      <c r="D11" s="21">
        <f>'Calculation of Excess Commit MW'!F19</f>
        <v>50.422666916027673</v>
      </c>
      <c r="E11" s="21">
        <f>'Calculation of Excess Commit MW'!G19</f>
        <v>1.1246493360763046</v>
      </c>
    </row>
    <row r="12" spans="1:13" ht="15" customHeight="1" x14ac:dyDescent="0.2">
      <c r="B12" s="20" t="s">
        <v>46</v>
      </c>
      <c r="C12" s="21">
        <f>'Calculation of Excess Commit MW'!E20</f>
        <v>23.029765522722965</v>
      </c>
      <c r="D12" s="21">
        <f>'Calculation of Excess Commit MW'!F20</f>
        <v>29.391107162894997</v>
      </c>
      <c r="E12" s="21">
        <f>'Calculation of Excess Commit MW'!G20</f>
        <v>0.65555217879184424</v>
      </c>
    </row>
    <row r="13" spans="1:13" ht="15" customHeight="1" x14ac:dyDescent="0.2">
      <c r="B13" s="20" t="s">
        <v>16</v>
      </c>
      <c r="C13" s="21">
        <f>'Calculation of Excess Commit MW'!E21</f>
        <v>26.51282261080981</v>
      </c>
      <c r="D13" s="21">
        <f>'Calculation of Excess Commit MW'!F21</f>
        <v>33.836263325229098</v>
      </c>
      <c r="E13" s="21">
        <f>'Calculation of Excess Commit MW'!G21</f>
        <v>0.75469889657752032</v>
      </c>
    </row>
    <row r="14" spans="1:13" ht="15" customHeight="1" x14ac:dyDescent="0.2">
      <c r="B14" s="20" t="s">
        <v>9</v>
      </c>
      <c r="C14" s="21">
        <f>'Calculation of Excess Commit MW'!E22</f>
        <v>286.61574247241452</v>
      </c>
      <c r="D14" s="21">
        <f>'Calculation of Excess Commit MW'!F22</f>
        <v>365.78548718907797</v>
      </c>
      <c r="E14" s="21">
        <f>'Calculation of Excess Commit MW'!G22</f>
        <v>8.1586403590798593</v>
      </c>
    </row>
    <row r="15" spans="1:13" ht="15" customHeight="1" x14ac:dyDescent="0.2">
      <c r="B15" s="20" t="s">
        <v>51</v>
      </c>
      <c r="C15" s="21">
        <f>C36+C37</f>
        <v>64.809121937535082</v>
      </c>
      <c r="D15" s="21">
        <f t="shared" ref="D15:E15" si="1">D36+D37</f>
        <v>82.710865906115572</v>
      </c>
      <c r="E15" s="21">
        <f t="shared" si="1"/>
        <v>1.8448195249672719</v>
      </c>
      <c r="F15" s="7" t="s">
        <v>8</v>
      </c>
    </row>
    <row r="16" spans="1:13" ht="15" customHeight="1" x14ac:dyDescent="0.2">
      <c r="B16" s="20" t="s">
        <v>47</v>
      </c>
      <c r="C16" s="21">
        <f>'Calculation of Excess Commit MW'!E25</f>
        <v>13.880242425659317</v>
      </c>
      <c r="D16" s="21">
        <f>'Calculation of Excess Commit MW'!F25</f>
        <v>17.714279034972961</v>
      </c>
      <c r="E16" s="21">
        <f>'Calculation of Excess Commit MW'!G25</f>
        <v>0.39510706938470352</v>
      </c>
      <c r="F16" s="7"/>
    </row>
    <row r="17" spans="1:8" ht="15" customHeight="1" x14ac:dyDescent="0.2">
      <c r="B17" s="20" t="s">
        <v>3</v>
      </c>
      <c r="C17" s="21">
        <f>'Calculation of Excess Commit MW'!E26</f>
        <v>86.989783991023046</v>
      </c>
      <c r="D17" s="21">
        <f>'Calculation of Excess Commit MW'!F26</f>
        <v>111.01832803441181</v>
      </c>
      <c r="E17" s="21">
        <f>'Calculation of Excess Commit MW'!G26</f>
        <v>2.4762016083785308</v>
      </c>
    </row>
    <row r="18" spans="1:8" ht="15" customHeight="1" x14ac:dyDescent="0.2">
      <c r="B18" s="20" t="s">
        <v>4</v>
      </c>
      <c r="C18" s="21">
        <f>'Calculation of Excess Commit MW'!E27</f>
        <v>17.155355806994582</v>
      </c>
      <c r="D18" s="21">
        <f>'Calculation of Excess Commit MW'!F27</f>
        <v>21.894052739854125</v>
      </c>
      <c r="E18" s="21">
        <f>'Calculation of Excess Commit MW'!G27</f>
        <v>0.48833458013839542</v>
      </c>
    </row>
    <row r="19" spans="1:8" ht="15" customHeight="1" x14ac:dyDescent="0.2">
      <c r="B19" s="20" t="s">
        <v>1</v>
      </c>
      <c r="C19" s="21">
        <f>'Calculation of Excess Commit MW'!E28</f>
        <v>45.747615485318889</v>
      </c>
      <c r="D19" s="21">
        <f>'Calculation of Excess Commit MW'!F28</f>
        <v>58.38414063961099</v>
      </c>
      <c r="E19" s="21">
        <f>'Calculation of Excess Commit MW'!G28</f>
        <v>1.3022255470357214</v>
      </c>
    </row>
    <row r="20" spans="1:8" ht="15" customHeight="1" x14ac:dyDescent="0.2">
      <c r="B20" s="20" t="s">
        <v>12</v>
      </c>
      <c r="C20" s="21">
        <f>'Calculation of Excess Commit MW'!E29</f>
        <v>26.339536188516934</v>
      </c>
      <c r="D20" s="21">
        <f>'Calculation of Excess Commit MW'!F29</f>
        <v>33.615111277351787</v>
      </c>
      <c r="E20" s="21">
        <f>'Calculation of Excess Commit MW'!G29</f>
        <v>0.74976622405086979</v>
      </c>
    </row>
    <row r="21" spans="1:8" ht="15" customHeight="1" x14ac:dyDescent="0.2">
      <c r="B21" s="20" t="s">
        <v>5</v>
      </c>
      <c r="C21" s="21">
        <f>'Calculation of Excess Commit MW'!E30</f>
        <v>48.000338975126255</v>
      </c>
      <c r="D21" s="21">
        <f>'Calculation of Excess Commit MW'!F30</f>
        <v>61.259117262016076</v>
      </c>
      <c r="E21" s="21">
        <f>'Calculation of Excess Commit MW'!G30</f>
        <v>1.3663502898821773</v>
      </c>
    </row>
    <row r="22" spans="1:8" ht="15" customHeight="1" x14ac:dyDescent="0.2">
      <c r="B22" s="20" t="s">
        <v>13</v>
      </c>
      <c r="C22" s="53">
        <v>0</v>
      </c>
      <c r="D22" s="53">
        <v>0</v>
      </c>
      <c r="E22" s="53">
        <v>0</v>
      </c>
      <c r="F22" s="52" t="s">
        <v>8</v>
      </c>
    </row>
    <row r="23" spans="1:8" ht="15" customHeight="1" x14ac:dyDescent="0.2">
      <c r="B23" s="20" t="s">
        <v>52</v>
      </c>
      <c r="C23" s="21">
        <f>C41+C42</f>
        <v>99.639692818402864</v>
      </c>
      <c r="D23" s="21">
        <f t="shared" ref="D23:E23" si="2">D41+D42</f>
        <v>127.16242752945577</v>
      </c>
      <c r="E23" s="21">
        <f t="shared" si="2"/>
        <v>2.836286702824014</v>
      </c>
    </row>
    <row r="24" spans="1:8" ht="15" customHeight="1" x14ac:dyDescent="0.2">
      <c r="B24" s="20" t="s">
        <v>6</v>
      </c>
      <c r="C24" s="21">
        <f>'Calculation of Excess Commit MW'!E34</f>
        <v>4.8520198242004877</v>
      </c>
      <c r="D24" s="21">
        <f>'Calculation of Excess Commit MW'!F34</f>
        <v>6.1922573405648027</v>
      </c>
      <c r="E24" s="21">
        <f>'Calculation of Excess Commit MW'!G34</f>
        <v>0.13811483074621286</v>
      </c>
    </row>
    <row r="25" spans="1:8" ht="15" customHeight="1" x14ac:dyDescent="0.2">
      <c r="B25" s="15"/>
      <c r="C25" s="23">
        <f>SUM(C5:C24)</f>
        <v>1441.084545072003</v>
      </c>
      <c r="D25" s="23">
        <f t="shared" ref="D25:E25" si="3">SUM(D5:D24)</f>
        <v>1839.1446605573215</v>
      </c>
      <c r="E25" s="23">
        <f t="shared" si="3"/>
        <v>41.02109126613054</v>
      </c>
    </row>
    <row r="26" spans="1:8" x14ac:dyDescent="0.2">
      <c r="D26" s="7" t="s">
        <v>8</v>
      </c>
      <c r="E26" s="7"/>
    </row>
    <row r="27" spans="1:8" ht="20.100000000000001" customHeight="1" x14ac:dyDescent="0.2">
      <c r="A27" s="56" t="s">
        <v>35</v>
      </c>
      <c r="B27" s="57"/>
      <c r="C27" s="57"/>
      <c r="D27" s="57"/>
      <c r="E27" s="57"/>
      <c r="F27" s="57"/>
      <c r="G27" s="57"/>
      <c r="H27" s="58"/>
    </row>
    <row r="28" spans="1:8" x14ac:dyDescent="0.2">
      <c r="A28" s="1"/>
    </row>
    <row r="29" spans="1:8" ht="15.75" x14ac:dyDescent="0.25">
      <c r="A29" s="1"/>
      <c r="C29" s="60" t="s">
        <v>34</v>
      </c>
      <c r="D29" s="60"/>
      <c r="E29" s="60"/>
    </row>
    <row r="30" spans="1:8" ht="31.5" x14ac:dyDescent="0.2">
      <c r="B30" s="18" t="s">
        <v>54</v>
      </c>
      <c r="C30" s="31" t="s">
        <v>62</v>
      </c>
      <c r="D30" s="31" t="s">
        <v>63</v>
      </c>
      <c r="E30" s="31" t="s">
        <v>64</v>
      </c>
    </row>
    <row r="31" spans="1:8" ht="15" customHeight="1" x14ac:dyDescent="0.2">
      <c r="B31" s="20" t="s">
        <v>49</v>
      </c>
      <c r="C31" s="32">
        <f>'Calculation of Excess Commit MW'!E15</f>
        <v>38.677529455769417</v>
      </c>
      <c r="D31" s="32">
        <f>'Calculation of Excess Commit MW'!F15</f>
        <v>49.361137086216331</v>
      </c>
      <c r="E31" s="32">
        <f>'Calculation of Excess Commit MW'!G15</f>
        <v>1.1009725079483772</v>
      </c>
    </row>
    <row r="32" spans="1:8" ht="15" customHeight="1" x14ac:dyDescent="0.2">
      <c r="B32" s="20" t="s">
        <v>60</v>
      </c>
      <c r="C32" s="32">
        <f>'Calculation of Excess Commit MW'!E16</f>
        <v>46.059531045446093</v>
      </c>
      <c r="D32" s="32">
        <f>'Calculation of Excess Commit MW'!F16</f>
        <v>58.7822143257902</v>
      </c>
      <c r="E32" s="32">
        <f>'Calculation of Excess Commit MW'!G16</f>
        <v>1.3111043575836931</v>
      </c>
    </row>
    <row r="33" spans="1:8" x14ac:dyDescent="0.2">
      <c r="B33" s="15"/>
      <c r="C33" s="15"/>
    </row>
    <row r="34" spans="1:8" ht="15.75" x14ac:dyDescent="0.25">
      <c r="B34" s="15"/>
      <c r="C34" s="60" t="s">
        <v>34</v>
      </c>
      <c r="D34" s="60"/>
      <c r="E34" s="60"/>
    </row>
    <row r="35" spans="1:8" ht="31.5" x14ac:dyDescent="0.2">
      <c r="A35" s="7"/>
      <c r="B35" s="18" t="s">
        <v>55</v>
      </c>
      <c r="C35" s="31" t="s">
        <v>62</v>
      </c>
      <c r="D35" s="31" t="s">
        <v>63</v>
      </c>
      <c r="E35" s="31" t="s">
        <v>64</v>
      </c>
    </row>
    <row r="36" spans="1:8" ht="15" customHeight="1" x14ac:dyDescent="0.2">
      <c r="A36" s="7"/>
      <c r="B36" s="20" t="s">
        <v>27</v>
      </c>
      <c r="C36" s="32">
        <f>'Calculation of Excess Commit MW'!E23</f>
        <v>41.294154432392041</v>
      </c>
      <c r="D36" s="32">
        <f>'Calculation of Excess Commit MW'!F23</f>
        <v>52.700533009164047</v>
      </c>
      <c r="E36" s="32">
        <f>'Calculation of Excess Commit MW'!G23</f>
        <v>1.1754558631008054</v>
      </c>
    </row>
    <row r="37" spans="1:8" ht="15" customHeight="1" x14ac:dyDescent="0.2">
      <c r="B37" s="20" t="s">
        <v>26</v>
      </c>
      <c r="C37" s="32">
        <f>'Calculation of Excess Commit MW'!E24</f>
        <v>23.514967505143048</v>
      </c>
      <c r="D37" s="32">
        <f>'Calculation of Excess Commit MW'!F24</f>
        <v>30.010332896951521</v>
      </c>
      <c r="E37" s="32">
        <f>'Calculation of Excess Commit MW'!G24</f>
        <v>0.66936366186646645</v>
      </c>
    </row>
    <row r="38" spans="1:8" x14ac:dyDescent="0.2">
      <c r="B38" s="15"/>
      <c r="C38" s="15"/>
    </row>
    <row r="39" spans="1:8" ht="15.75" x14ac:dyDescent="0.25">
      <c r="B39" s="15"/>
      <c r="C39" s="60" t="s">
        <v>34</v>
      </c>
      <c r="D39" s="60"/>
      <c r="E39" s="60"/>
    </row>
    <row r="40" spans="1:8" ht="31.5" x14ac:dyDescent="0.2">
      <c r="B40" s="18" t="s">
        <v>56</v>
      </c>
      <c r="C40" s="31" t="s">
        <v>62</v>
      </c>
      <c r="D40" s="31" t="s">
        <v>63</v>
      </c>
      <c r="E40" s="31" t="s">
        <v>64</v>
      </c>
    </row>
    <row r="41" spans="1:8" ht="15" customHeight="1" x14ac:dyDescent="0.2">
      <c r="B41" s="20" t="s">
        <v>28</v>
      </c>
      <c r="C41" s="32">
        <f>'Calculation of Excess Commit MW'!E32</f>
        <v>78.498749298672166</v>
      </c>
      <c r="D41" s="32">
        <f>'Calculation of Excess Commit MW'!F32</f>
        <v>100.18187768842341</v>
      </c>
      <c r="E41" s="32">
        <f>'Calculation of Excess Commit MW'!G32</f>
        <v>2.234500654572658</v>
      </c>
    </row>
    <row r="42" spans="1:8" ht="15" customHeight="1" x14ac:dyDescent="0.2">
      <c r="B42" s="20" t="s">
        <v>23</v>
      </c>
      <c r="C42" s="32">
        <f>'Calculation of Excess Commit MW'!E33</f>
        <v>21.140943519730698</v>
      </c>
      <c r="D42" s="32">
        <f>'Calculation of Excess Commit MW'!F33</f>
        <v>26.980549841032353</v>
      </c>
      <c r="E42" s="32">
        <f>'Calculation of Excess Commit MW'!G33</f>
        <v>0.60178604825135606</v>
      </c>
    </row>
    <row r="44" spans="1:8" ht="45" customHeight="1" x14ac:dyDescent="0.2">
      <c r="A44" s="55" t="s">
        <v>67</v>
      </c>
      <c r="B44" s="55"/>
      <c r="C44" s="55"/>
      <c r="D44" s="55"/>
      <c r="E44" s="55"/>
      <c r="F44" s="55"/>
      <c r="G44" s="55"/>
      <c r="H44" s="55"/>
    </row>
    <row r="46" spans="1:8" ht="45" customHeight="1" x14ac:dyDescent="0.2">
      <c r="A46" s="55" t="s">
        <v>70</v>
      </c>
      <c r="B46" s="55"/>
      <c r="C46" s="55"/>
      <c r="D46" s="55"/>
      <c r="E46" s="55"/>
      <c r="F46" s="55"/>
      <c r="G46" s="55"/>
      <c r="H46" s="55"/>
    </row>
    <row r="48" spans="1:8" ht="45" customHeight="1" x14ac:dyDescent="0.2">
      <c r="A48" s="55" t="s">
        <v>71</v>
      </c>
      <c r="B48" s="55"/>
      <c r="C48" s="55"/>
      <c r="D48" s="55"/>
      <c r="E48" s="55"/>
      <c r="F48" s="55"/>
      <c r="G48" s="55"/>
      <c r="H48" s="55"/>
    </row>
    <row r="53" spans="1:1" x14ac:dyDescent="0.2">
      <c r="A53" s="2" t="s">
        <v>8</v>
      </c>
    </row>
  </sheetData>
  <mergeCells count="9">
    <mergeCell ref="A46:H46"/>
    <mergeCell ref="A48:H48"/>
    <mergeCell ref="A44:H44"/>
    <mergeCell ref="A27:H27"/>
    <mergeCell ref="A1:H1"/>
    <mergeCell ref="C3:E3"/>
    <mergeCell ref="C29:E29"/>
    <mergeCell ref="C34:E34"/>
    <mergeCell ref="C39:E39"/>
  </mergeCells>
  <pageMargins left="0.5" right="0.5" top="0.5" bottom="0.5" header="0" footer="0"/>
  <pageSetup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0"/>
  <sheetViews>
    <sheetView showGridLines="0" showWhiteSpace="0" zoomScaleNormal="100" workbookViewId="0">
      <selection sqref="A1:F2"/>
    </sheetView>
  </sheetViews>
  <sheetFormatPr defaultColWidth="2.28515625" defaultRowHeight="12.75" x14ac:dyDescent="0.2"/>
  <cols>
    <col min="1" max="1" width="16.7109375" style="2" customWidth="1"/>
    <col min="2" max="2" width="18" style="2" customWidth="1"/>
    <col min="3" max="3" width="17.7109375" style="2" customWidth="1"/>
    <col min="4" max="4" width="15.7109375" style="2" customWidth="1"/>
    <col min="5" max="7" width="18.7109375" style="2" customWidth="1"/>
    <col min="8" max="9" width="17.7109375" style="2" customWidth="1"/>
    <col min="10" max="17" width="10.7109375" style="2" customWidth="1"/>
    <col min="18" max="16384" width="2.28515625" style="2"/>
  </cols>
  <sheetData>
    <row r="1" spans="1:10" ht="15" customHeight="1" x14ac:dyDescent="0.2">
      <c r="A1" s="61" t="s">
        <v>66</v>
      </c>
      <c r="B1" s="61"/>
      <c r="C1" s="61"/>
      <c r="D1" s="61"/>
      <c r="E1" s="61"/>
      <c r="F1" s="61"/>
      <c r="G1" s="63" t="s">
        <v>8</v>
      </c>
      <c r="H1" s="63"/>
      <c r="I1" s="63"/>
    </row>
    <row r="2" spans="1:10" ht="15" customHeight="1" x14ac:dyDescent="0.2">
      <c r="A2" s="61"/>
      <c r="B2" s="61"/>
      <c r="C2" s="61"/>
      <c r="D2" s="61"/>
      <c r="E2" s="61"/>
      <c r="F2" s="61"/>
      <c r="G2" s="14"/>
    </row>
    <row r="3" spans="1:10" ht="15" customHeight="1" x14ac:dyDescent="0.2">
      <c r="A3" s="37"/>
      <c r="B3" s="37"/>
      <c r="C3" s="37"/>
      <c r="D3" s="37"/>
      <c r="E3" s="37"/>
      <c r="F3" s="37"/>
      <c r="G3" s="14"/>
    </row>
    <row r="4" spans="1:10" ht="20.100000000000001" customHeight="1" x14ac:dyDescent="0.2">
      <c r="A4" s="14"/>
      <c r="B4" s="14"/>
      <c r="C4" s="14"/>
      <c r="D4" s="14"/>
      <c r="E4" s="62" t="s">
        <v>61</v>
      </c>
      <c r="F4" s="62"/>
      <c r="G4" s="62"/>
      <c r="H4" s="62"/>
      <c r="J4" s="39" t="s">
        <v>8</v>
      </c>
    </row>
    <row r="5" spans="1:10" ht="15" customHeight="1" x14ac:dyDescent="0.2">
      <c r="A5" s="15"/>
      <c r="B5" s="15"/>
      <c r="C5" s="15"/>
      <c r="D5" s="41" t="s">
        <v>8</v>
      </c>
      <c r="E5" s="38" t="s">
        <v>62</v>
      </c>
      <c r="F5" s="38" t="s">
        <v>63</v>
      </c>
      <c r="G5" s="38" t="s">
        <v>64</v>
      </c>
      <c r="H5" s="38" t="s">
        <v>65</v>
      </c>
    </row>
    <row r="6" spans="1:10" ht="15" customHeight="1" x14ac:dyDescent="0.2">
      <c r="A6" s="33"/>
      <c r="B6" s="33"/>
      <c r="C6" s="33"/>
      <c r="D6" s="34" t="s">
        <v>68</v>
      </c>
      <c r="E6" s="16">
        <f>1814.4-483.6</f>
        <v>1330.8000000000002</v>
      </c>
      <c r="F6" s="16">
        <f>2069.7-0</f>
        <v>2069.6999999999998</v>
      </c>
      <c r="G6" s="16">
        <f>44.9-26.8</f>
        <v>18.099999999999998</v>
      </c>
      <c r="H6" s="16">
        <f>E6+F6+G6</f>
        <v>3418.6</v>
      </c>
    </row>
    <row r="7" spans="1:10" ht="15" customHeight="1" x14ac:dyDescent="0.2">
      <c r="A7" s="33"/>
      <c r="B7" s="33"/>
      <c r="C7" s="33"/>
      <c r="D7" s="34" t="s">
        <v>69</v>
      </c>
      <c r="E7" s="16">
        <f>331.9-483.6</f>
        <v>-151.70000000000005</v>
      </c>
      <c r="F7" s="16">
        <f>177.7-0</f>
        <v>177.7</v>
      </c>
      <c r="G7" s="16">
        <f>2.7-26.8</f>
        <v>-24.1</v>
      </c>
      <c r="H7" s="16">
        <f>E7+F7+G7</f>
        <v>1.8999999999999417</v>
      </c>
    </row>
    <row r="8" spans="1:10" ht="15" customHeight="1" x14ac:dyDescent="0.2">
      <c r="A8" s="36"/>
      <c r="B8" s="36"/>
      <c r="C8" s="36"/>
      <c r="D8" s="35" t="s">
        <v>57</v>
      </c>
      <c r="E8" s="17">
        <f>E6-E7</f>
        <v>1482.5000000000002</v>
      </c>
      <c r="F8" s="17">
        <f>F6-F7</f>
        <v>1891.9999999999998</v>
      </c>
      <c r="G8" s="17">
        <f>G6-G7</f>
        <v>42.2</v>
      </c>
      <c r="H8" s="17">
        <f>E8+F8+G8</f>
        <v>3416.7</v>
      </c>
    </row>
    <row r="9" spans="1:10" x14ac:dyDescent="0.2">
      <c r="B9" s="8"/>
      <c r="C9" s="9"/>
      <c r="D9" s="10"/>
    </row>
    <row r="10" spans="1:10" ht="15.75" x14ac:dyDescent="0.25">
      <c r="A10" s="12" t="s">
        <v>39</v>
      </c>
    </row>
    <row r="11" spans="1:10" ht="69.95" customHeight="1" x14ac:dyDescent="0.2">
      <c r="A11" s="18" t="s">
        <v>53</v>
      </c>
      <c r="B11" s="19" t="s">
        <v>58</v>
      </c>
      <c r="C11" s="19" t="s">
        <v>59</v>
      </c>
      <c r="D11" s="19" t="s">
        <v>15</v>
      </c>
      <c r="E11" s="19" t="s">
        <v>33</v>
      </c>
      <c r="F11" s="19" t="s">
        <v>33</v>
      </c>
      <c r="G11" s="19" t="s">
        <v>33</v>
      </c>
      <c r="H11" s="19" t="s">
        <v>29</v>
      </c>
    </row>
    <row r="12" spans="1:10" ht="15" customHeight="1" x14ac:dyDescent="0.2">
      <c r="A12" s="20" t="s">
        <v>42</v>
      </c>
      <c r="B12" s="43">
        <v>2634</v>
      </c>
      <c r="C12" s="21">
        <v>2376</v>
      </c>
      <c r="D12" s="22">
        <f>B12-C12</f>
        <v>258</v>
      </c>
      <c r="E12" s="21">
        <f>E$42*$D12/$D$42</f>
        <v>44.707896951561636</v>
      </c>
      <c r="F12" s="21">
        <f>F$42*$D12/$D$42</f>
        <v>57.057228352347103</v>
      </c>
      <c r="G12" s="21">
        <f>G$42*$D12/$D$42</f>
        <v>1.2726295118758186</v>
      </c>
      <c r="H12" s="20" t="s">
        <v>31</v>
      </c>
    </row>
    <row r="13" spans="1:10" ht="15" customHeight="1" x14ac:dyDescent="0.2">
      <c r="A13" s="20" t="s">
        <v>10</v>
      </c>
      <c r="B13" s="43">
        <v>11278.7</v>
      </c>
      <c r="C13" s="21">
        <v>10549.8</v>
      </c>
      <c r="D13" s="22">
        <f>B13-C13</f>
        <v>728.90000000000146</v>
      </c>
      <c r="E13" s="21">
        <f t="shared" ref="E13:G14" si="0">E$40*$D13/$D$40</f>
        <v>126.30847320927653</v>
      </c>
      <c r="F13" s="21">
        <f t="shared" si="0"/>
        <v>161.19772769777475</v>
      </c>
      <c r="G13" s="21">
        <f t="shared" si="0"/>
        <v>3.5954250046755263</v>
      </c>
      <c r="H13" s="20" t="s">
        <v>30</v>
      </c>
    </row>
    <row r="14" spans="1:10" ht="15" customHeight="1" x14ac:dyDescent="0.2">
      <c r="A14" s="20" t="s">
        <v>7</v>
      </c>
      <c r="B14" s="43">
        <v>8713</v>
      </c>
      <c r="C14" s="21">
        <v>8514</v>
      </c>
      <c r="D14" s="22">
        <f>B14-C14</f>
        <v>199</v>
      </c>
      <c r="E14" s="21">
        <f t="shared" si="0"/>
        <v>34.483998036282038</v>
      </c>
      <c r="F14" s="21">
        <f t="shared" si="0"/>
        <v>44.009257527585561</v>
      </c>
      <c r="G14" s="21">
        <f t="shared" si="0"/>
        <v>0.98160183280344127</v>
      </c>
      <c r="H14" s="20" t="s">
        <v>30</v>
      </c>
    </row>
    <row r="15" spans="1:10" ht="15" customHeight="1" x14ac:dyDescent="0.2">
      <c r="A15" s="20" t="s">
        <v>49</v>
      </c>
      <c r="B15" s="43">
        <f>12924-B16</f>
        <v>8479.4</v>
      </c>
      <c r="C15" s="21">
        <f>12435-C16</f>
        <v>8256.2000000000007</v>
      </c>
      <c r="D15" s="22">
        <f>B15-C15</f>
        <v>223.19999999999891</v>
      </c>
      <c r="E15" s="21">
        <f>E$48*$D15/$D$48</f>
        <v>38.677529455769417</v>
      </c>
      <c r="F15" s="21">
        <f>F$48*$D15/$D$48</f>
        <v>49.361137086216331</v>
      </c>
      <c r="G15" s="21">
        <f>G$48*$D15/$D$48</f>
        <v>1.1009725079483772</v>
      </c>
      <c r="H15" s="20" t="s">
        <v>49</v>
      </c>
    </row>
    <row r="16" spans="1:10" ht="15" customHeight="1" x14ac:dyDescent="0.2">
      <c r="A16" s="20" t="s">
        <v>60</v>
      </c>
      <c r="B16" s="43">
        <v>4444.6000000000004</v>
      </c>
      <c r="C16" s="21">
        <v>4178.8</v>
      </c>
      <c r="D16" s="22">
        <f>B16-C16</f>
        <v>265.80000000000018</v>
      </c>
      <c r="E16" s="21">
        <f>E$49*$D16/$D$49</f>
        <v>46.059531045446093</v>
      </c>
      <c r="F16" s="21">
        <f>F$49*$D16/$D$49</f>
        <v>58.7822143257902</v>
      </c>
      <c r="G16" s="21">
        <f>G$49*$D16/$D$49</f>
        <v>1.3111043575836931</v>
      </c>
      <c r="H16" s="20" t="s">
        <v>48</v>
      </c>
    </row>
    <row r="17" spans="1:9" ht="15" customHeight="1" x14ac:dyDescent="0.2">
      <c r="A17" s="20" t="s">
        <v>2</v>
      </c>
      <c r="B17" s="43">
        <v>7062</v>
      </c>
      <c r="C17" s="21">
        <v>6539</v>
      </c>
      <c r="D17" s="22">
        <f t="shared" ref="D17:D34" si="1">B17-C17</f>
        <v>523</v>
      </c>
      <c r="E17" s="21">
        <f>E$51*$D17/$D$51</f>
        <v>90.628798859173386</v>
      </c>
      <c r="F17" s="21">
        <f>F$51*$D17/$D$51</f>
        <v>115.66252103983543</v>
      </c>
      <c r="G17" s="21">
        <f>G$51*$D17/$D$51</f>
        <v>2.5797877314381901</v>
      </c>
      <c r="H17" s="20" t="s">
        <v>2</v>
      </c>
    </row>
    <row r="18" spans="1:9" ht="15" customHeight="1" x14ac:dyDescent="0.2">
      <c r="A18" s="20" t="s">
        <v>11</v>
      </c>
      <c r="B18" s="43">
        <v>22615.7</v>
      </c>
      <c r="C18" s="21">
        <v>21016.400000000001</v>
      </c>
      <c r="D18" s="22">
        <f t="shared" si="1"/>
        <v>1599.2999999999993</v>
      </c>
      <c r="E18" s="21">
        <f>E$50*$D18/$D$50</f>
        <v>277.13697517299414</v>
      </c>
      <c r="F18" s="21">
        <f>F$50*$D18/$D$50</f>
        <v>353.68847017018874</v>
      </c>
      <c r="G18" s="21">
        <f>G$50*$D18/$D$50</f>
        <v>7.888823171872076</v>
      </c>
      <c r="H18" s="20" t="s">
        <v>11</v>
      </c>
    </row>
    <row r="19" spans="1:9" ht="15" customHeight="1" x14ac:dyDescent="0.2">
      <c r="A19" s="20" t="s">
        <v>43</v>
      </c>
      <c r="B19" s="43">
        <v>3506</v>
      </c>
      <c r="C19" s="21">
        <v>3278</v>
      </c>
      <c r="D19" s="22">
        <f t="shared" si="1"/>
        <v>228</v>
      </c>
      <c r="E19" s="21">
        <f t="shared" ref="E19:G22" si="2">E$40*$D19/$D$40</f>
        <v>39.509304282775403</v>
      </c>
      <c r="F19" s="21">
        <f t="shared" si="2"/>
        <v>50.422666916027673</v>
      </c>
      <c r="G19" s="21">
        <f t="shared" si="2"/>
        <v>1.1246493360763046</v>
      </c>
      <c r="H19" s="20" t="s">
        <v>30</v>
      </c>
    </row>
    <row r="20" spans="1:9" ht="15" customHeight="1" x14ac:dyDescent="0.2">
      <c r="A20" s="20" t="s">
        <v>46</v>
      </c>
      <c r="B20" s="43">
        <v>4547</v>
      </c>
      <c r="C20" s="21">
        <v>4414.1000000000004</v>
      </c>
      <c r="D20" s="22">
        <f t="shared" si="1"/>
        <v>132.89999999999964</v>
      </c>
      <c r="E20" s="21">
        <f t="shared" si="2"/>
        <v>23.029765522722965</v>
      </c>
      <c r="F20" s="21">
        <f t="shared" si="2"/>
        <v>29.391107162894997</v>
      </c>
      <c r="G20" s="21">
        <f t="shared" si="2"/>
        <v>0.65555217879184424</v>
      </c>
      <c r="H20" s="20" t="s">
        <v>30</v>
      </c>
    </row>
    <row r="21" spans="1:9" ht="15" customHeight="1" x14ac:dyDescent="0.2">
      <c r="A21" s="20" t="s">
        <v>16</v>
      </c>
      <c r="B21" s="43">
        <v>2908</v>
      </c>
      <c r="C21" s="21">
        <v>2755</v>
      </c>
      <c r="D21" s="22">
        <f t="shared" si="1"/>
        <v>153</v>
      </c>
      <c r="E21" s="21">
        <f t="shared" si="2"/>
        <v>26.51282261080981</v>
      </c>
      <c r="F21" s="21">
        <f t="shared" si="2"/>
        <v>33.836263325229098</v>
      </c>
      <c r="G21" s="21">
        <f t="shared" si="2"/>
        <v>0.75469889657752032</v>
      </c>
      <c r="H21" s="20" t="s">
        <v>30</v>
      </c>
    </row>
    <row r="22" spans="1:9" ht="15" customHeight="1" x14ac:dyDescent="0.2">
      <c r="A22" s="20" t="s">
        <v>9</v>
      </c>
      <c r="B22" s="43">
        <v>20557</v>
      </c>
      <c r="C22" s="21">
        <v>18903</v>
      </c>
      <c r="D22" s="22">
        <f t="shared" si="1"/>
        <v>1654</v>
      </c>
      <c r="E22" s="21">
        <f t="shared" si="2"/>
        <v>286.61574247241452</v>
      </c>
      <c r="F22" s="21">
        <f t="shared" si="2"/>
        <v>365.78548718907797</v>
      </c>
      <c r="G22" s="21">
        <f t="shared" si="2"/>
        <v>8.1586403590798593</v>
      </c>
      <c r="H22" s="20" t="s">
        <v>30</v>
      </c>
    </row>
    <row r="23" spans="1:9" ht="15" customHeight="1" x14ac:dyDescent="0.2">
      <c r="A23" s="20" t="s">
        <v>27</v>
      </c>
      <c r="B23" s="43">
        <f>4164-B24</f>
        <v>1768</v>
      </c>
      <c r="C23" s="21">
        <f>3790-C24</f>
        <v>1529.6999999999998</v>
      </c>
      <c r="D23" s="22">
        <f t="shared" si="1"/>
        <v>238.30000000000018</v>
      </c>
      <c r="E23" s="21">
        <f>E$42*$D23/$D$42</f>
        <v>41.294154432392041</v>
      </c>
      <c r="F23" s="21">
        <f>F$42*$D23/$D$42</f>
        <v>52.700533009164047</v>
      </c>
      <c r="G23" s="21">
        <f>G$42*$D23/$D$42</f>
        <v>1.1754558631008054</v>
      </c>
      <c r="H23" s="20" t="s">
        <v>31</v>
      </c>
    </row>
    <row r="24" spans="1:9" ht="15" customHeight="1" x14ac:dyDescent="0.2">
      <c r="A24" s="20" t="s">
        <v>26</v>
      </c>
      <c r="B24" s="43">
        <v>2396</v>
      </c>
      <c r="C24" s="21">
        <v>2260.3000000000002</v>
      </c>
      <c r="D24" s="22">
        <f t="shared" si="1"/>
        <v>135.69999999999982</v>
      </c>
      <c r="E24" s="21">
        <f>E$46*$D24/$D$46</f>
        <v>23.514967505143048</v>
      </c>
      <c r="F24" s="21">
        <f>F$46*$D24/$D$46</f>
        <v>30.010332896951521</v>
      </c>
      <c r="G24" s="21">
        <f>G$46*$D24/$D$46</f>
        <v>0.66936366186646645</v>
      </c>
      <c r="H24" s="20" t="s">
        <v>26</v>
      </c>
    </row>
    <row r="25" spans="1:9" ht="15" customHeight="1" x14ac:dyDescent="0.2">
      <c r="A25" s="20" t="s">
        <v>47</v>
      </c>
      <c r="B25" s="43">
        <v>2237.8000000000002</v>
      </c>
      <c r="C25" s="21">
        <v>2157.6999999999998</v>
      </c>
      <c r="D25" s="22">
        <f t="shared" si="1"/>
        <v>80.100000000000364</v>
      </c>
      <c r="E25" s="21">
        <f>E$40*$D25/$D$40</f>
        <v>13.880242425659317</v>
      </c>
      <c r="F25" s="21">
        <f>F$40*$D25/$D$40</f>
        <v>17.714279034972961</v>
      </c>
      <c r="G25" s="21">
        <f>G$40*$D25/$D$40</f>
        <v>0.39510706938470352</v>
      </c>
      <c r="H25" s="20" t="s">
        <v>30</v>
      </c>
    </row>
    <row r="26" spans="1:9" ht="15" customHeight="1" x14ac:dyDescent="0.2">
      <c r="A26" s="20" t="s">
        <v>3</v>
      </c>
      <c r="B26" s="43">
        <v>6236</v>
      </c>
      <c r="C26" s="21">
        <v>5734</v>
      </c>
      <c r="D26" s="22">
        <f t="shared" si="1"/>
        <v>502</v>
      </c>
      <c r="E26" s="21">
        <f>E$42*$D26/$D$42</f>
        <v>86.989783991023046</v>
      </c>
      <c r="F26" s="21">
        <f>F$42*$D26/$D$42</f>
        <v>111.01832803441181</v>
      </c>
      <c r="G26" s="21">
        <f>G$42*$D26/$D$42</f>
        <v>2.4762016083785308</v>
      </c>
      <c r="H26" s="20" t="s">
        <v>31</v>
      </c>
    </row>
    <row r="27" spans="1:9" ht="15" customHeight="1" x14ac:dyDescent="0.2">
      <c r="A27" s="20" t="s">
        <v>4</v>
      </c>
      <c r="B27" s="43">
        <v>2958</v>
      </c>
      <c r="C27" s="21">
        <v>2859</v>
      </c>
      <c r="D27" s="22">
        <f t="shared" si="1"/>
        <v>99</v>
      </c>
      <c r="E27" s="21">
        <f>E$41*$D27/$D$41</f>
        <v>17.155355806994582</v>
      </c>
      <c r="F27" s="21">
        <f>F$41*$D27/$D$41</f>
        <v>21.894052739854125</v>
      </c>
      <c r="G27" s="21">
        <f>G$41*$D27/$D$41</f>
        <v>0.48833458013839542</v>
      </c>
      <c r="H27" s="20" t="s">
        <v>32</v>
      </c>
    </row>
    <row r="28" spans="1:9" ht="15" customHeight="1" x14ac:dyDescent="0.2">
      <c r="A28" s="20" t="s">
        <v>1</v>
      </c>
      <c r="B28" s="43">
        <v>8622</v>
      </c>
      <c r="C28" s="21">
        <v>8358</v>
      </c>
      <c r="D28" s="22">
        <f t="shared" si="1"/>
        <v>264</v>
      </c>
      <c r="E28" s="21">
        <f>E$42*$D28/$D$42</f>
        <v>45.747615485318889</v>
      </c>
      <c r="F28" s="21">
        <f>F$42*$D28/$D$42</f>
        <v>58.38414063961099</v>
      </c>
      <c r="G28" s="21">
        <f>G$42*$D28/$D$42</f>
        <v>1.3022255470357214</v>
      </c>
      <c r="H28" s="20" t="s">
        <v>31</v>
      </c>
    </row>
    <row r="29" spans="1:9" ht="15" customHeight="1" x14ac:dyDescent="0.2">
      <c r="A29" s="20" t="s">
        <v>12</v>
      </c>
      <c r="B29" s="43">
        <v>2923</v>
      </c>
      <c r="C29" s="21">
        <v>2771</v>
      </c>
      <c r="D29" s="22">
        <f t="shared" si="1"/>
        <v>152</v>
      </c>
      <c r="E29" s="21">
        <f>E$41*$D29/$D$41</f>
        <v>26.339536188516934</v>
      </c>
      <c r="F29" s="21">
        <f>F$41*$D29/$D$41</f>
        <v>33.615111277351787</v>
      </c>
      <c r="G29" s="21">
        <f>G$41*$D29/$D$41</f>
        <v>0.74976622405086979</v>
      </c>
      <c r="H29" s="20" t="s">
        <v>32</v>
      </c>
    </row>
    <row r="30" spans="1:9" ht="15" customHeight="1" x14ac:dyDescent="0.2">
      <c r="A30" s="20" t="s">
        <v>5</v>
      </c>
      <c r="B30" s="43">
        <v>6500</v>
      </c>
      <c r="C30" s="21">
        <v>6223</v>
      </c>
      <c r="D30" s="22">
        <f t="shared" si="1"/>
        <v>277</v>
      </c>
      <c r="E30" s="21">
        <f>E$47*$D30/$D$47</f>
        <v>48.000338975126255</v>
      </c>
      <c r="F30" s="21">
        <f>F$47*$D30/$D$47</f>
        <v>61.259117262016076</v>
      </c>
      <c r="G30" s="21">
        <f>G$47*$D30/$D$47</f>
        <v>1.3663502898821773</v>
      </c>
      <c r="H30" s="20" t="s">
        <v>5</v>
      </c>
    </row>
    <row r="31" spans="1:9" ht="15" customHeight="1" x14ac:dyDescent="0.2">
      <c r="A31" s="20" t="s">
        <v>13</v>
      </c>
      <c r="B31" s="43">
        <v>7287</v>
      </c>
      <c r="C31" s="21">
        <v>7048</v>
      </c>
      <c r="D31" s="22">
        <f t="shared" si="1"/>
        <v>239</v>
      </c>
      <c r="E31" s="21">
        <f>E$52*$D31/$D$52</f>
        <v>41.415454927997018</v>
      </c>
      <c r="F31" s="21">
        <f>F$52*$D31/$D$52</f>
        <v>52.855339442678137</v>
      </c>
      <c r="G31" s="21">
        <f>G$52*$D31/$D$52</f>
        <v>1.1789087338694597</v>
      </c>
      <c r="H31" s="20" t="s">
        <v>13</v>
      </c>
      <c r="I31" s="51" t="s">
        <v>8</v>
      </c>
    </row>
    <row r="32" spans="1:9" ht="15" customHeight="1" x14ac:dyDescent="0.2">
      <c r="A32" s="20" t="s">
        <v>28</v>
      </c>
      <c r="B32" s="43">
        <f>10146-B33</f>
        <v>5182.6000000000004</v>
      </c>
      <c r="C32" s="21">
        <f>9571-C33</f>
        <v>4729.6000000000004</v>
      </c>
      <c r="D32" s="22">
        <f t="shared" si="1"/>
        <v>453</v>
      </c>
      <c r="E32" s="21">
        <f>E$44*$D32/$D$44</f>
        <v>78.498749298672166</v>
      </c>
      <c r="F32" s="21">
        <f>F$44*$D32/$D$44</f>
        <v>100.18187768842341</v>
      </c>
      <c r="G32" s="21">
        <f>G$44*$D32/$D$44</f>
        <v>2.234500654572658</v>
      </c>
      <c r="H32" s="20" t="s">
        <v>28</v>
      </c>
    </row>
    <row r="33" spans="1:12" ht="15" customHeight="1" x14ac:dyDescent="0.2">
      <c r="A33" s="20" t="s">
        <v>23</v>
      </c>
      <c r="B33" s="43">
        <v>4963.3999999999996</v>
      </c>
      <c r="C33" s="21">
        <v>4841.3999999999996</v>
      </c>
      <c r="D33" s="22">
        <f t="shared" si="1"/>
        <v>122</v>
      </c>
      <c r="E33" s="21">
        <f>E$45*$D33/$D$45</f>
        <v>21.140943519730698</v>
      </c>
      <c r="F33" s="21">
        <f>F$45*$D33/$D$45</f>
        <v>26.980549841032353</v>
      </c>
      <c r="G33" s="21">
        <f>G$45*$D33/$D$45</f>
        <v>0.60178604825135606</v>
      </c>
      <c r="H33" s="20" t="s">
        <v>23</v>
      </c>
    </row>
    <row r="34" spans="1:12" ht="15" customHeight="1" x14ac:dyDescent="0.2">
      <c r="A34" s="20" t="s">
        <v>6</v>
      </c>
      <c r="B34" s="43">
        <v>411</v>
      </c>
      <c r="C34" s="21">
        <v>383</v>
      </c>
      <c r="D34" s="22">
        <f t="shared" si="1"/>
        <v>28</v>
      </c>
      <c r="E34" s="21">
        <f>E$42*$D34/$D$42</f>
        <v>4.8520198242004877</v>
      </c>
      <c r="F34" s="21">
        <f>F$42*$D34/$D$42</f>
        <v>6.1922573405648027</v>
      </c>
      <c r="G34" s="21">
        <f>G$42*$D34/$D$42</f>
        <v>0.13811483074621286</v>
      </c>
      <c r="H34" s="20" t="s">
        <v>31</v>
      </c>
    </row>
    <row r="35" spans="1:12" ht="15" customHeight="1" x14ac:dyDescent="0.2">
      <c r="A35" s="15"/>
      <c r="B35" s="23">
        <f>SUM(B12:B34)</f>
        <v>148230.20000000001</v>
      </c>
      <c r="C35" s="23">
        <f>SUM(C12:C34)</f>
        <v>139675</v>
      </c>
      <c r="D35" s="23">
        <f>SUM(D12:D34)</f>
        <v>8555.2000000000007</v>
      </c>
      <c r="E35" s="23">
        <f>SUM(E12:E34)</f>
        <v>1482.5</v>
      </c>
      <c r="F35" s="23">
        <f>SUM(F12:F34)</f>
        <v>1891.9999999999998</v>
      </c>
      <c r="G35" s="23">
        <f t="shared" ref="G35" si="3">SUM(G12:G34)</f>
        <v>42.2</v>
      </c>
      <c r="I35" s="54" t="s">
        <v>8</v>
      </c>
      <c r="J35" s="54" t="s">
        <v>8</v>
      </c>
      <c r="K35" s="54" t="s">
        <v>8</v>
      </c>
      <c r="L35" s="54" t="s">
        <v>8</v>
      </c>
    </row>
    <row r="36" spans="1:12" x14ac:dyDescent="0.2">
      <c r="B36" s="6"/>
      <c r="C36" s="4" t="s">
        <v>8</v>
      </c>
      <c r="D36" s="5" t="s">
        <v>8</v>
      </c>
      <c r="E36" s="3"/>
    </row>
    <row r="37" spans="1:12" ht="15.75" x14ac:dyDescent="0.25">
      <c r="A37" s="13" t="s">
        <v>38</v>
      </c>
      <c r="G37" s="11"/>
    </row>
    <row r="38" spans="1:12" ht="20.100000000000001" customHeight="1" x14ac:dyDescent="0.25">
      <c r="A38" s="13"/>
      <c r="E38" s="64" t="s">
        <v>36</v>
      </c>
      <c r="F38" s="64"/>
      <c r="G38" s="64"/>
      <c r="H38" s="64"/>
    </row>
    <row r="39" spans="1:12" ht="60" customHeight="1" x14ac:dyDescent="0.2">
      <c r="A39" s="24" t="s">
        <v>24</v>
      </c>
      <c r="B39" s="19" t="s">
        <v>58</v>
      </c>
      <c r="C39" s="19" t="s">
        <v>59</v>
      </c>
      <c r="D39" s="19" t="s">
        <v>15</v>
      </c>
      <c r="E39" s="19" t="s">
        <v>62</v>
      </c>
      <c r="F39" s="19" t="s">
        <v>63</v>
      </c>
      <c r="G39" s="19" t="s">
        <v>64</v>
      </c>
      <c r="H39" s="42" t="s">
        <v>65</v>
      </c>
    </row>
    <row r="40" spans="1:12" ht="15" customHeight="1" x14ac:dyDescent="0.2">
      <c r="A40" s="25" t="s">
        <v>30</v>
      </c>
      <c r="B40" s="26">
        <f>B13+B14+B19+B20+B21+B22+B25</f>
        <v>53747.5</v>
      </c>
      <c r="C40" s="26">
        <f>C13+C14+C19+C20+C21+C22+C25</f>
        <v>50571.6</v>
      </c>
      <c r="D40" s="26">
        <f>B40-C40</f>
        <v>3175.9000000000015</v>
      </c>
      <c r="E40" s="27">
        <f>$E$8*D40/$D$53</f>
        <v>550.34034855994059</v>
      </c>
      <c r="F40" s="27">
        <f>$F$8*D40/$D$53</f>
        <v>702.35678885356299</v>
      </c>
      <c r="G40" s="27">
        <f>$G$8*D40/$D$53</f>
        <v>15.6656746773892</v>
      </c>
      <c r="H40" s="44">
        <f>E40+F40+G40</f>
        <v>1268.3628120908929</v>
      </c>
    </row>
    <row r="41" spans="1:12" ht="15" customHeight="1" x14ac:dyDescent="0.2">
      <c r="A41" s="25" t="s">
        <v>32</v>
      </c>
      <c r="B41" s="26">
        <f>B27+B29</f>
        <v>5881</v>
      </c>
      <c r="C41" s="26">
        <f>C27+C29</f>
        <v>5630</v>
      </c>
      <c r="D41" s="26">
        <f>B41-C41</f>
        <v>251</v>
      </c>
      <c r="E41" s="27">
        <f>$E$8*D41/$D$53</f>
        <v>43.494891995511516</v>
      </c>
      <c r="F41" s="27">
        <f t="shared" ref="F41:F52" si="4">$F$8*D41/$D$53</f>
        <v>55.509164017205912</v>
      </c>
      <c r="G41" s="27">
        <f t="shared" ref="G41:G52" si="5">$G$8*D41/$D$53</f>
        <v>1.2381008041892652</v>
      </c>
      <c r="H41" s="44">
        <f t="shared" ref="H41:H52" si="6">E41+F41+G41</f>
        <v>100.24215681690669</v>
      </c>
    </row>
    <row r="42" spans="1:12" ht="15" customHeight="1" x14ac:dyDescent="0.2">
      <c r="A42" s="25" t="s">
        <v>31</v>
      </c>
      <c r="B42" s="26">
        <f>B12+B23+B26+B28+B34</f>
        <v>19671</v>
      </c>
      <c r="C42" s="26">
        <f>C12+C23+C26+C28+C34</f>
        <v>18380.7</v>
      </c>
      <c r="D42" s="26">
        <f t="shared" ref="D42:D47" si="7">B42-C42</f>
        <v>1290.2999999999993</v>
      </c>
      <c r="E42" s="27">
        <f t="shared" ref="E42:E52" si="8">$E$8*D42/$D$53</f>
        <v>223.59147068449593</v>
      </c>
      <c r="F42" s="27">
        <f t="shared" si="4"/>
        <v>285.35248737609857</v>
      </c>
      <c r="G42" s="27">
        <f t="shared" si="5"/>
        <v>6.3646273611370843</v>
      </c>
      <c r="H42" s="44">
        <f t="shared" si="6"/>
        <v>515.30858542173155</v>
      </c>
    </row>
    <row r="43" spans="1:12" ht="15" customHeight="1" x14ac:dyDescent="0.2">
      <c r="A43" s="25" t="s">
        <v>44</v>
      </c>
      <c r="B43" s="26">
        <v>0</v>
      </c>
      <c r="C43" s="26">
        <v>0</v>
      </c>
      <c r="D43" s="26">
        <f t="shared" si="7"/>
        <v>0</v>
      </c>
      <c r="E43" s="27">
        <f t="shared" si="8"/>
        <v>0</v>
      </c>
      <c r="F43" s="27">
        <f t="shared" si="4"/>
        <v>0</v>
      </c>
      <c r="G43" s="27">
        <f t="shared" si="5"/>
        <v>0</v>
      </c>
      <c r="H43" s="44">
        <f t="shared" si="6"/>
        <v>0</v>
      </c>
    </row>
    <row r="44" spans="1:12" ht="15" customHeight="1" x14ac:dyDescent="0.2">
      <c r="A44" s="25" t="s">
        <v>28</v>
      </c>
      <c r="B44" s="26">
        <f>B32</f>
        <v>5182.6000000000004</v>
      </c>
      <c r="C44" s="26">
        <f>C32</f>
        <v>4729.6000000000004</v>
      </c>
      <c r="D44" s="26">
        <f t="shared" si="7"/>
        <v>453</v>
      </c>
      <c r="E44" s="27">
        <f t="shared" si="8"/>
        <v>78.49874929867218</v>
      </c>
      <c r="F44" s="27">
        <f t="shared" si="4"/>
        <v>100.18187768842341</v>
      </c>
      <c r="G44" s="27">
        <f t="shared" si="5"/>
        <v>2.234500654572658</v>
      </c>
      <c r="H44" s="44">
        <f t="shared" si="6"/>
        <v>180.91512764166825</v>
      </c>
    </row>
    <row r="45" spans="1:12" ht="15" customHeight="1" x14ac:dyDescent="0.2">
      <c r="A45" s="25" t="s">
        <v>23</v>
      </c>
      <c r="B45" s="26">
        <f>B33</f>
        <v>4963.3999999999996</v>
      </c>
      <c r="C45" s="26">
        <f>C33</f>
        <v>4841.3999999999996</v>
      </c>
      <c r="D45" s="26">
        <f t="shared" si="7"/>
        <v>122</v>
      </c>
      <c r="E45" s="27">
        <f t="shared" si="8"/>
        <v>21.140943519730698</v>
      </c>
      <c r="F45" s="27">
        <f t="shared" si="4"/>
        <v>26.980549841032353</v>
      </c>
      <c r="G45" s="27">
        <f t="shared" si="5"/>
        <v>0.60178604825135606</v>
      </c>
      <c r="H45" s="44">
        <f t="shared" si="6"/>
        <v>48.72327940901441</v>
      </c>
    </row>
    <row r="46" spans="1:12" ht="15" customHeight="1" x14ac:dyDescent="0.2">
      <c r="A46" s="28" t="s">
        <v>26</v>
      </c>
      <c r="B46" s="29">
        <f>B24</f>
        <v>2396</v>
      </c>
      <c r="C46" s="29">
        <f>C24</f>
        <v>2260.3000000000002</v>
      </c>
      <c r="D46" s="26">
        <f t="shared" si="7"/>
        <v>135.69999999999982</v>
      </c>
      <c r="E46" s="27">
        <f t="shared" si="8"/>
        <v>23.514967505143048</v>
      </c>
      <c r="F46" s="27">
        <f t="shared" si="4"/>
        <v>30.010332896951521</v>
      </c>
      <c r="G46" s="27">
        <f t="shared" si="5"/>
        <v>0.66936366186646645</v>
      </c>
      <c r="H46" s="44">
        <f t="shared" si="6"/>
        <v>54.194664063961042</v>
      </c>
    </row>
    <row r="47" spans="1:12" ht="15" customHeight="1" x14ac:dyDescent="0.2">
      <c r="A47" s="28" t="s">
        <v>5</v>
      </c>
      <c r="B47" s="29">
        <f>B30</f>
        <v>6500</v>
      </c>
      <c r="C47" s="29">
        <f>C30</f>
        <v>6223</v>
      </c>
      <c r="D47" s="26">
        <f t="shared" si="7"/>
        <v>277</v>
      </c>
      <c r="E47" s="27">
        <f t="shared" si="8"/>
        <v>48.000338975126255</v>
      </c>
      <c r="F47" s="27">
        <f t="shared" si="4"/>
        <v>61.259117262016083</v>
      </c>
      <c r="G47" s="27">
        <f t="shared" si="5"/>
        <v>1.3663502898821773</v>
      </c>
      <c r="H47" s="44">
        <f t="shared" si="6"/>
        <v>110.62580652702451</v>
      </c>
    </row>
    <row r="48" spans="1:12" ht="15" customHeight="1" x14ac:dyDescent="0.2">
      <c r="A48" s="28" t="s">
        <v>49</v>
      </c>
      <c r="B48" s="29">
        <f>B15</f>
        <v>8479.4</v>
      </c>
      <c r="C48" s="29">
        <f>C15</f>
        <v>8256.2000000000007</v>
      </c>
      <c r="D48" s="26">
        <f>B48-C48</f>
        <v>223.19999999999891</v>
      </c>
      <c r="E48" s="27">
        <f t="shared" si="8"/>
        <v>38.67752945576941</v>
      </c>
      <c r="F48" s="27">
        <f t="shared" si="4"/>
        <v>49.361137086216324</v>
      </c>
      <c r="G48" s="27">
        <f t="shared" si="5"/>
        <v>1.1009725079483772</v>
      </c>
      <c r="H48" s="44">
        <f t="shared" si="6"/>
        <v>89.139639049934118</v>
      </c>
    </row>
    <row r="49" spans="1:18" ht="15" customHeight="1" x14ac:dyDescent="0.2">
      <c r="A49" s="28" t="s">
        <v>60</v>
      </c>
      <c r="B49" s="29">
        <f>B16</f>
        <v>4444.6000000000004</v>
      </c>
      <c r="C49" s="29">
        <f>C16</f>
        <v>4178.8</v>
      </c>
      <c r="D49" s="26">
        <f>B49-C49</f>
        <v>265.80000000000018</v>
      </c>
      <c r="E49" s="27">
        <f t="shared" si="8"/>
        <v>46.059531045446093</v>
      </c>
      <c r="F49" s="27">
        <f t="shared" si="4"/>
        <v>58.7822143257902</v>
      </c>
      <c r="G49" s="27">
        <f t="shared" si="5"/>
        <v>1.3111043575836931</v>
      </c>
      <c r="H49" s="44">
        <f t="shared" si="6"/>
        <v>106.15284972881999</v>
      </c>
    </row>
    <row r="50" spans="1:18" ht="15" customHeight="1" x14ac:dyDescent="0.2">
      <c r="A50" s="28" t="s">
        <v>11</v>
      </c>
      <c r="B50" s="29">
        <f>B18</f>
        <v>22615.7</v>
      </c>
      <c r="C50" s="29">
        <f>C18</f>
        <v>21016.400000000001</v>
      </c>
      <c r="D50" s="26">
        <f t="shared" ref="D50:D52" si="9">B50-C50</f>
        <v>1599.2999999999993</v>
      </c>
      <c r="E50" s="27">
        <f t="shared" si="8"/>
        <v>277.13697517299414</v>
      </c>
      <c r="F50" s="27">
        <f t="shared" si="4"/>
        <v>353.68847017018874</v>
      </c>
      <c r="G50" s="27">
        <f t="shared" si="5"/>
        <v>7.888823171872076</v>
      </c>
      <c r="H50" s="44">
        <f t="shared" si="6"/>
        <v>638.71426851505498</v>
      </c>
    </row>
    <row r="51" spans="1:18" ht="15" customHeight="1" x14ac:dyDescent="0.2">
      <c r="A51" s="28" t="s">
        <v>2</v>
      </c>
      <c r="B51" s="29">
        <f>B17</f>
        <v>7062</v>
      </c>
      <c r="C51" s="29">
        <f>C17</f>
        <v>6539</v>
      </c>
      <c r="D51" s="26">
        <f t="shared" si="9"/>
        <v>523</v>
      </c>
      <c r="E51" s="27">
        <f t="shared" si="8"/>
        <v>90.628798859173386</v>
      </c>
      <c r="F51" s="27">
        <f t="shared" si="4"/>
        <v>115.66252103983543</v>
      </c>
      <c r="G51" s="27">
        <f t="shared" si="5"/>
        <v>2.5797877314381901</v>
      </c>
      <c r="H51" s="44">
        <f t="shared" si="6"/>
        <v>208.871107630447</v>
      </c>
    </row>
    <row r="52" spans="1:18" ht="15" customHeight="1" x14ac:dyDescent="0.2">
      <c r="A52" s="28" t="s">
        <v>13</v>
      </c>
      <c r="B52" s="29">
        <f>B31</f>
        <v>7287</v>
      </c>
      <c r="C52" s="29">
        <f>C31</f>
        <v>7048</v>
      </c>
      <c r="D52" s="26">
        <f t="shared" si="9"/>
        <v>239</v>
      </c>
      <c r="E52" s="27">
        <f t="shared" si="8"/>
        <v>41.415454927997018</v>
      </c>
      <c r="F52" s="27">
        <f t="shared" si="4"/>
        <v>52.855339442678137</v>
      </c>
      <c r="G52" s="27">
        <f t="shared" si="5"/>
        <v>1.1789087338694597</v>
      </c>
      <c r="H52" s="44">
        <f t="shared" si="6"/>
        <v>95.449703104544625</v>
      </c>
      <c r="I52" s="51" t="s">
        <v>8</v>
      </c>
    </row>
    <row r="53" spans="1:18" ht="15" customHeight="1" x14ac:dyDescent="0.2">
      <c r="A53" s="28" t="s">
        <v>25</v>
      </c>
      <c r="B53" s="30">
        <f>SUM(B40:B52)</f>
        <v>148230.20000000001</v>
      </c>
      <c r="C53" s="30">
        <f>SUM(C40:C52)</f>
        <v>139675</v>
      </c>
      <c r="D53" s="30">
        <f>SUM(D40:D52)</f>
        <v>8555.1999999999989</v>
      </c>
      <c r="E53" s="30">
        <f>SUM(E40:E52)</f>
        <v>1482.5000000000005</v>
      </c>
      <c r="F53" s="30">
        <f>SUM(F40:F52)</f>
        <v>1891.9999999999995</v>
      </c>
      <c r="G53" s="30">
        <f t="shared" ref="G53" si="10">SUM(G40:G52)</f>
        <v>42.2</v>
      </c>
      <c r="H53" s="45">
        <f>SUM(H40:H52)</f>
        <v>3416.7000000000007</v>
      </c>
    </row>
    <row r="55" spans="1:18" ht="15.75" x14ac:dyDescent="0.25">
      <c r="A55" s="13" t="s">
        <v>37</v>
      </c>
      <c r="G55" s="11"/>
      <c r="H55" s="48"/>
    </row>
    <row r="56" spans="1:18" ht="60" customHeight="1" x14ac:dyDescent="0.2">
      <c r="A56" s="24" t="s">
        <v>24</v>
      </c>
      <c r="B56" s="19" t="s">
        <v>40</v>
      </c>
      <c r="C56" s="19" t="s">
        <v>45</v>
      </c>
      <c r="D56" s="19" t="s">
        <v>18</v>
      </c>
      <c r="E56" s="19" t="s">
        <v>17</v>
      </c>
      <c r="H56" s="49"/>
    </row>
    <row r="57" spans="1:18" ht="15" customHeight="1" x14ac:dyDescent="0.2">
      <c r="A57" s="25" t="s">
        <v>19</v>
      </c>
      <c r="B57" s="27">
        <f>H53</f>
        <v>3416.7000000000007</v>
      </c>
      <c r="C57" s="21">
        <v>160607.4</v>
      </c>
      <c r="D57" s="21">
        <v>152561.70000000001</v>
      </c>
      <c r="E57" s="22">
        <f>C57-D57</f>
        <v>8045.6999999999825</v>
      </c>
      <c r="F57" s="2" t="s">
        <v>8</v>
      </c>
      <c r="H57" s="50"/>
      <c r="I57" s="7"/>
      <c r="J57" s="7"/>
      <c r="K57" s="2" t="s">
        <v>8</v>
      </c>
      <c r="L57" s="2" t="s">
        <v>8</v>
      </c>
      <c r="M57" s="2" t="s">
        <v>8</v>
      </c>
      <c r="N57" s="2" t="s">
        <v>8</v>
      </c>
      <c r="O57" s="2" t="s">
        <v>8</v>
      </c>
      <c r="P57" s="2" t="s">
        <v>8</v>
      </c>
      <c r="Q57" s="2" t="s">
        <v>8</v>
      </c>
      <c r="R57" s="2" t="s">
        <v>8</v>
      </c>
    </row>
    <row r="58" spans="1:18" ht="15" customHeight="1" x14ac:dyDescent="0.2">
      <c r="A58" s="25" t="s">
        <v>20</v>
      </c>
      <c r="B58" s="27">
        <f>H41+H42+H43+H44+H45+H46+H47+H51+H52</f>
        <v>1314.3304306152979</v>
      </c>
      <c r="C58" s="21">
        <v>69853.600000000006</v>
      </c>
      <c r="D58" s="21">
        <v>65358.1</v>
      </c>
      <c r="E58" s="22">
        <f>C58-D58</f>
        <v>4495.5000000000073</v>
      </c>
      <c r="F58" s="2" t="s">
        <v>8</v>
      </c>
      <c r="H58" s="46"/>
      <c r="I58" s="2" t="s">
        <v>8</v>
      </c>
      <c r="J58" s="2" t="s">
        <v>8</v>
      </c>
      <c r="K58" s="2" t="s">
        <v>8</v>
      </c>
      <c r="L58" s="2" t="s">
        <v>8</v>
      </c>
      <c r="M58" s="2" t="s">
        <v>8</v>
      </c>
      <c r="N58" s="2" t="s">
        <v>8</v>
      </c>
      <c r="O58" s="2" t="s">
        <v>8</v>
      </c>
      <c r="P58" s="2" t="s">
        <v>8</v>
      </c>
      <c r="Q58" s="2" t="s">
        <v>8</v>
      </c>
      <c r="R58" s="2" t="s">
        <v>8</v>
      </c>
    </row>
    <row r="59" spans="1:18" ht="15" customHeight="1" x14ac:dyDescent="0.2">
      <c r="A59" s="25" t="s">
        <v>21</v>
      </c>
      <c r="B59" s="27">
        <f>H42+H44+H45+H46</f>
        <v>799.14165653637519</v>
      </c>
      <c r="C59" s="21">
        <v>38535.199999999997</v>
      </c>
      <c r="D59" s="21">
        <v>36358.1</v>
      </c>
      <c r="E59" s="22">
        <f>C59-D59</f>
        <v>2177.0999999999985</v>
      </c>
      <c r="F59" s="2" t="s">
        <v>8</v>
      </c>
      <c r="H59" s="46"/>
    </row>
    <row r="60" spans="1:18" ht="15" customHeight="1" x14ac:dyDescent="0.2">
      <c r="A60" s="25" t="s">
        <v>22</v>
      </c>
      <c r="B60" s="27">
        <f>H43+H47+H51</f>
        <v>319.49691415747151</v>
      </c>
      <c r="C60" s="21">
        <v>16211.6</v>
      </c>
      <c r="D60" s="21">
        <v>15433.7</v>
      </c>
      <c r="E60" s="22">
        <f>C60-D60</f>
        <v>777.89999999999964</v>
      </c>
      <c r="F60" s="2" t="s">
        <v>8</v>
      </c>
      <c r="H60" s="46"/>
    </row>
    <row r="61" spans="1:18" ht="15" customHeight="1" x14ac:dyDescent="0.2">
      <c r="A61" s="25" t="s">
        <v>14</v>
      </c>
      <c r="B61" s="27">
        <f>H44+H45</f>
        <v>229.63840705068264</v>
      </c>
      <c r="C61" s="21">
        <v>12416.1</v>
      </c>
      <c r="D61" s="21">
        <v>11690.4</v>
      </c>
      <c r="E61" s="22">
        <f>C61-D61</f>
        <v>725.70000000000073</v>
      </c>
      <c r="F61" s="2" t="s">
        <v>8</v>
      </c>
      <c r="H61" s="46"/>
    </row>
    <row r="62" spans="1:18" ht="15" customHeight="1" x14ac:dyDescent="0.2">
      <c r="A62" s="25" t="s">
        <v>23</v>
      </c>
      <c r="B62" s="27">
        <f>H45</f>
        <v>48.72327940901441</v>
      </c>
      <c r="C62" s="21">
        <v>6379.1</v>
      </c>
      <c r="D62" s="21">
        <v>5995.7</v>
      </c>
      <c r="E62" s="22">
        <f t="shared" ref="E62:E63" si="11">C62-D62</f>
        <v>383.40000000000055</v>
      </c>
      <c r="F62" s="2" t="s">
        <v>8</v>
      </c>
      <c r="H62" s="46"/>
    </row>
    <row r="63" spans="1:18" ht="15" customHeight="1" x14ac:dyDescent="0.2">
      <c r="A63" s="28" t="s">
        <v>26</v>
      </c>
      <c r="B63" s="27">
        <f>H46</f>
        <v>54.194664063961042</v>
      </c>
      <c r="C63" s="21">
        <v>3149.7</v>
      </c>
      <c r="D63" s="21">
        <v>2910</v>
      </c>
      <c r="E63" s="22">
        <f t="shared" si="11"/>
        <v>239.69999999999982</v>
      </c>
      <c r="F63" s="2" t="s">
        <v>8</v>
      </c>
      <c r="H63" s="46"/>
    </row>
    <row r="64" spans="1:18" ht="15" customHeight="1" x14ac:dyDescent="0.2">
      <c r="A64" s="28" t="s">
        <v>5</v>
      </c>
      <c r="B64" s="27">
        <f>H47</f>
        <v>110.62580652702451</v>
      </c>
      <c r="C64" s="21">
        <v>8181.2</v>
      </c>
      <c r="D64" s="21">
        <v>7981.2</v>
      </c>
      <c r="E64" s="22">
        <f t="shared" ref="E64:E69" si="12">C64-D64</f>
        <v>200</v>
      </c>
      <c r="F64" s="2" t="s">
        <v>8</v>
      </c>
      <c r="H64" s="46"/>
    </row>
    <row r="65" spans="1:8" ht="15" customHeight="1" x14ac:dyDescent="0.2">
      <c r="A65" s="28" t="s">
        <v>41</v>
      </c>
      <c r="B65" s="27">
        <f>H48+H49</f>
        <v>195.29248877875409</v>
      </c>
      <c r="C65" s="21">
        <v>16048.1</v>
      </c>
      <c r="D65" s="21">
        <v>15674.1</v>
      </c>
      <c r="E65" s="22">
        <f t="shared" si="12"/>
        <v>374</v>
      </c>
      <c r="F65" s="2" t="s">
        <v>8</v>
      </c>
      <c r="H65" s="46"/>
    </row>
    <row r="66" spans="1:8" ht="15" customHeight="1" x14ac:dyDescent="0.2">
      <c r="A66" s="28" t="s">
        <v>60</v>
      </c>
      <c r="B66" s="27">
        <f>H49</f>
        <v>106.15284972881999</v>
      </c>
      <c r="C66" s="21">
        <v>6029.7</v>
      </c>
      <c r="D66" s="21">
        <v>5816.1</v>
      </c>
      <c r="E66" s="22">
        <f t="shared" si="12"/>
        <v>213.59999999999945</v>
      </c>
      <c r="F66" s="2" t="s">
        <v>8</v>
      </c>
      <c r="H66" s="46"/>
    </row>
    <row r="67" spans="1:8" ht="15" customHeight="1" x14ac:dyDescent="0.2">
      <c r="A67" s="28" t="s">
        <v>11</v>
      </c>
      <c r="B67" s="27">
        <f>H50</f>
        <v>638.71426851505498</v>
      </c>
      <c r="C67" s="21">
        <v>27704.400000000001</v>
      </c>
      <c r="D67" s="21">
        <v>25665</v>
      </c>
      <c r="E67" s="22">
        <f t="shared" si="12"/>
        <v>2039.4000000000015</v>
      </c>
      <c r="F67" s="2" t="s">
        <v>8</v>
      </c>
      <c r="H67" s="46"/>
    </row>
    <row r="68" spans="1:8" ht="15" customHeight="1" x14ac:dyDescent="0.2">
      <c r="A68" s="28" t="s">
        <v>2</v>
      </c>
      <c r="B68" s="27">
        <f>H51</f>
        <v>208.871107630447</v>
      </c>
      <c r="C68" s="21">
        <v>8706.7000000000007</v>
      </c>
      <c r="D68" s="21">
        <v>8105.6</v>
      </c>
      <c r="E68" s="22">
        <f t="shared" si="12"/>
        <v>601.10000000000036</v>
      </c>
      <c r="F68" s="2" t="s">
        <v>8</v>
      </c>
      <c r="H68" s="46"/>
    </row>
    <row r="69" spans="1:8" ht="15" customHeight="1" x14ac:dyDescent="0.2">
      <c r="A69" s="28" t="s">
        <v>73</v>
      </c>
      <c r="B69" s="27">
        <f>H52</f>
        <v>95.449703104544625</v>
      </c>
      <c r="C69" s="21">
        <v>10040.1</v>
      </c>
      <c r="D69" s="21">
        <v>10205.299999999999</v>
      </c>
      <c r="E69" s="40">
        <f t="shared" si="12"/>
        <v>-165.19999999999891</v>
      </c>
      <c r="F69" s="51" t="s">
        <v>8</v>
      </c>
      <c r="H69" s="46"/>
    </row>
    <row r="70" spans="1:8" ht="20.100000000000001" customHeight="1" x14ac:dyDescent="0.2">
      <c r="A70" s="65" t="s">
        <v>72</v>
      </c>
      <c r="B70" s="65"/>
      <c r="C70" s="65"/>
      <c r="D70" s="65"/>
      <c r="E70" s="65"/>
      <c r="G70" s="2" t="s">
        <v>8</v>
      </c>
      <c r="H70" s="47"/>
    </row>
  </sheetData>
  <mergeCells count="5">
    <mergeCell ref="A1:F2"/>
    <mergeCell ref="E4:H4"/>
    <mergeCell ref="G1:I1"/>
    <mergeCell ref="E38:H38"/>
    <mergeCell ref="A70:E70"/>
  </mergeCells>
  <pageMargins left="0.45" right="0.45" top="0.5" bottom="0.5" header="0" footer="0.05"/>
  <pageSetup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2018-19 Excess Commit MW</vt:lpstr>
      <vt:lpstr>Calculation of Excess Commit MW</vt:lpstr>
      <vt:lpstr>'2018-19 Excess Commit MW'!Print_Area</vt:lpstr>
      <vt:lpstr>'Calculation of Excess Commit MW'!Print_Area</vt:lpstr>
    </vt:vector>
  </TitlesOfParts>
  <Company>PJM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Keech</dc:creator>
  <cp:lastModifiedBy>Bhavaraju, Murty P.</cp:lastModifiedBy>
  <cp:lastPrinted>2018-04-17T21:48:51Z</cp:lastPrinted>
  <dcterms:created xsi:type="dcterms:W3CDTF">2007-03-21T19:37:11Z</dcterms:created>
  <dcterms:modified xsi:type="dcterms:W3CDTF">2018-04-17T22:01:30Z</dcterms:modified>
</cp:coreProperties>
</file>