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15" windowWidth="14940" windowHeight="9090"/>
  </bookViews>
  <sheets>
    <sheet name="PJM Buy Bids-Sell Offers" sheetId="18" r:id="rId1"/>
    <sheet name="1st IA Configuration" sheetId="17" r:id="rId2"/>
    <sheet name="1st IA Parameters" sheetId="16" r:id="rId3"/>
    <sheet name="BRA Parameters" sheetId="1" r:id="rId4"/>
    <sheet name="Base Capacity Constraints" sheetId="13" r:id="rId5"/>
    <sheet name="Cap Import Limits" sheetId="5" r:id="rId6"/>
    <sheet name="Credit Rates" sheetId="14" r:id="rId7"/>
    <sheet name="Non-Viable DR" sheetId="22" r:id="rId8"/>
  </sheets>
  <definedNames>
    <definedName name="_xlnm.Print_Area" localSheetId="1">'1st IA Configuration'!$A$1:$N$14</definedName>
    <definedName name="_xlnm.Print_Area" localSheetId="2">'1st IA Parameters'!$A$1:$N$32</definedName>
    <definedName name="_xlnm.Print_Area" localSheetId="4">'Base Capacity Constraints'!$A$1:$N$26</definedName>
    <definedName name="_xlnm.Print_Area" localSheetId="3">'BRA Parameters'!$A$1:$N$32</definedName>
    <definedName name="_xlnm.Print_Area" localSheetId="5">'Cap Import Limits'!$A$1:$G$11</definedName>
    <definedName name="_xlnm.Print_Area" localSheetId="6">'Credit Rates'!$A$1:$N$9</definedName>
    <definedName name="_xlnm.Print_Area" localSheetId="0">'PJM Buy Bids-Sell Offers'!$A$1:$N$23</definedName>
  </definedNames>
  <calcPr calcId="145621"/>
</workbook>
</file>

<file path=xl/calcChain.xml><?xml version="1.0" encoding="utf-8"?>
<calcChain xmlns="http://schemas.openxmlformats.org/spreadsheetml/2006/main">
  <c r="N23" i="14" l="1"/>
  <c r="M23" i="14"/>
  <c r="L23" i="14"/>
  <c r="K23" i="14"/>
  <c r="J23" i="14"/>
  <c r="I23" i="14"/>
  <c r="H23" i="14"/>
  <c r="G23" i="14"/>
  <c r="F23" i="14"/>
  <c r="E23" i="14"/>
  <c r="D23" i="14"/>
  <c r="C23" i="14"/>
  <c r="B23" i="14"/>
  <c r="N17" i="14"/>
  <c r="M17" i="14"/>
  <c r="L17" i="14"/>
  <c r="K17" i="14"/>
  <c r="J17" i="14"/>
  <c r="I17" i="14"/>
  <c r="H17" i="14"/>
  <c r="G17" i="14"/>
  <c r="F17" i="14"/>
  <c r="E17" i="14"/>
  <c r="D17" i="14"/>
  <c r="C17" i="14"/>
  <c r="B17" i="14"/>
  <c r="N22" i="14"/>
  <c r="M22" i="14"/>
  <c r="L22" i="14"/>
  <c r="K22" i="14"/>
  <c r="J22" i="14"/>
  <c r="I22" i="14"/>
  <c r="H22" i="14"/>
  <c r="G22" i="14"/>
  <c r="F22" i="14"/>
  <c r="E22" i="14"/>
  <c r="D22" i="14"/>
  <c r="C22" i="14"/>
  <c r="N21" i="14"/>
  <c r="M21" i="14"/>
  <c r="L21" i="14"/>
  <c r="K21" i="14"/>
  <c r="J21" i="14"/>
  <c r="I21" i="14"/>
  <c r="H21" i="14"/>
  <c r="G21" i="14"/>
  <c r="F21" i="14"/>
  <c r="E21" i="14"/>
  <c r="D21" i="14"/>
  <c r="C21" i="14"/>
  <c r="B22" i="14"/>
  <c r="B21" i="14"/>
  <c r="D21" i="16" l="1"/>
  <c r="C21" i="16"/>
  <c r="B21" i="16"/>
  <c r="L21" i="16"/>
  <c r="L18" i="16"/>
  <c r="L32" i="16"/>
  <c r="I7" i="18" l="1"/>
  <c r="N15" i="13"/>
  <c r="M15" i="13"/>
  <c r="L15" i="13"/>
  <c r="K15" i="13"/>
  <c r="J15" i="13"/>
  <c r="I15" i="13"/>
  <c r="H15" i="13"/>
  <c r="G15" i="13"/>
  <c r="F15" i="13"/>
  <c r="E15" i="13"/>
  <c r="D15" i="13"/>
  <c r="C15" i="13"/>
  <c r="B15" i="13"/>
  <c r="N12" i="13"/>
  <c r="M12" i="13"/>
  <c r="L12" i="13"/>
  <c r="K12" i="13"/>
  <c r="J12" i="13"/>
  <c r="I12" i="13"/>
  <c r="H12" i="13"/>
  <c r="G12" i="13"/>
  <c r="F12" i="13"/>
  <c r="E12" i="13"/>
  <c r="D12" i="13"/>
  <c r="C12" i="13"/>
  <c r="B12" i="13"/>
  <c r="N9" i="13"/>
  <c r="M9" i="13"/>
  <c r="L9" i="13"/>
  <c r="K9" i="13"/>
  <c r="J9" i="13"/>
  <c r="I9" i="13"/>
  <c r="H9" i="13"/>
  <c r="G9" i="13"/>
  <c r="F9" i="13"/>
  <c r="E9" i="13"/>
  <c r="D9" i="13"/>
  <c r="C9" i="13"/>
  <c r="B9" i="13"/>
  <c r="B7" i="5" l="1"/>
  <c r="B6" i="5"/>
  <c r="G8" i="5" l="1"/>
  <c r="B8" i="17"/>
  <c r="N29" i="16"/>
  <c r="N27" i="16"/>
  <c r="N25" i="16"/>
  <c r="B25" i="16"/>
  <c r="B22" i="16"/>
  <c r="B24" i="16" l="1"/>
  <c r="N7" i="13"/>
  <c r="M7" i="13"/>
  <c r="L7" i="13"/>
  <c r="K7" i="13"/>
  <c r="J7" i="13"/>
  <c r="I7" i="13"/>
  <c r="H7" i="13"/>
  <c r="G7" i="13"/>
  <c r="F7" i="13"/>
  <c r="E7" i="13"/>
  <c r="D7" i="13"/>
  <c r="C7" i="13"/>
  <c r="B7" i="13"/>
  <c r="B6" i="13"/>
  <c r="C18" i="13"/>
  <c r="C17" i="13"/>
  <c r="N9" i="17"/>
  <c r="M9" i="17"/>
  <c r="L9" i="17"/>
  <c r="K9" i="17"/>
  <c r="J9" i="17"/>
  <c r="I9" i="17"/>
  <c r="H9" i="17"/>
  <c r="G9" i="17"/>
  <c r="F9" i="17"/>
  <c r="E9" i="17"/>
  <c r="D9" i="17"/>
  <c r="C9" i="17"/>
  <c r="N7" i="17"/>
  <c r="M7" i="17"/>
  <c r="L7" i="17"/>
  <c r="K7" i="17"/>
  <c r="J7" i="17"/>
  <c r="I7" i="17"/>
  <c r="H7" i="17"/>
  <c r="G7" i="17"/>
  <c r="F7" i="17"/>
  <c r="E7" i="17"/>
  <c r="D7" i="17"/>
  <c r="C7" i="17"/>
  <c r="B7" i="17"/>
  <c r="B15" i="16"/>
  <c r="B4" i="13" l="1"/>
  <c r="B3" i="13"/>
  <c r="B2" i="13"/>
  <c r="D25" i="13"/>
  <c r="C25" i="13"/>
  <c r="B25" i="13"/>
  <c r="N25" i="13" l="1"/>
  <c r="M25" i="13"/>
  <c r="L25" i="13"/>
  <c r="K25" i="13"/>
  <c r="J25" i="13"/>
  <c r="I25" i="13"/>
  <c r="H25" i="13"/>
  <c r="G25" i="13"/>
  <c r="F25" i="13"/>
  <c r="E25" i="13"/>
  <c r="D26" i="13"/>
  <c r="C26" i="13"/>
  <c r="B26" i="13"/>
  <c r="B25" i="1"/>
  <c r="N24" i="16"/>
  <c r="M24" i="16"/>
  <c r="L24" i="16"/>
  <c r="K24" i="16"/>
  <c r="J24" i="16"/>
  <c r="I24" i="16"/>
  <c r="H24" i="16"/>
  <c r="G24" i="16"/>
  <c r="F24" i="16"/>
  <c r="E24" i="16"/>
  <c r="D24" i="16"/>
  <c r="C24" i="16"/>
  <c r="N22" i="16"/>
  <c r="M22" i="16"/>
  <c r="L22" i="16"/>
  <c r="K22" i="16"/>
  <c r="J22" i="16"/>
  <c r="I22" i="16"/>
  <c r="H22" i="16"/>
  <c r="G22" i="16"/>
  <c r="F22" i="16"/>
  <c r="E22" i="16"/>
  <c r="D22" i="16"/>
  <c r="C22" i="16"/>
  <c r="L17" i="16"/>
  <c r="D29" i="1"/>
  <c r="C29" i="1"/>
  <c r="B29" i="1"/>
  <c r="B23" i="1"/>
  <c r="E26" i="13" l="1"/>
  <c r="I26" i="13"/>
  <c r="F26" i="13"/>
  <c r="J26" i="13"/>
  <c r="N26" i="13"/>
  <c r="G26" i="13"/>
  <c r="K26" i="13"/>
  <c r="H26" i="13"/>
  <c r="L26" i="13"/>
  <c r="M26" i="13"/>
  <c r="C25" i="16"/>
  <c r="C4" i="14"/>
  <c r="K25" i="16"/>
  <c r="K4" i="14"/>
  <c r="H25" i="16"/>
  <c r="H4" i="14"/>
  <c r="L25" i="16"/>
  <c r="L4" i="14"/>
  <c r="B4" i="14"/>
  <c r="B16" i="14" s="1"/>
  <c r="F25" i="16"/>
  <c r="F4" i="14"/>
  <c r="J25" i="16"/>
  <c r="J4" i="14"/>
  <c r="N4" i="14"/>
  <c r="G25" i="16"/>
  <c r="G4" i="14"/>
  <c r="D25" i="16"/>
  <c r="D4" i="14"/>
  <c r="E25" i="16"/>
  <c r="E4" i="14"/>
  <c r="I25" i="16"/>
  <c r="I4" i="14"/>
  <c r="M25" i="16"/>
  <c r="M4" i="14"/>
  <c r="D19" i="18"/>
  <c r="G9" i="16"/>
  <c r="E9" i="16"/>
  <c r="N17" i="16"/>
  <c r="N18" i="16" s="1"/>
  <c r="N21" i="16" s="1"/>
  <c r="M17" i="16"/>
  <c r="M18" i="16" s="1"/>
  <c r="M21" i="16" s="1"/>
  <c r="K17" i="16"/>
  <c r="K18" i="16" s="1"/>
  <c r="K21" i="16" s="1"/>
  <c r="J17" i="16"/>
  <c r="J18" i="16" s="1"/>
  <c r="J21" i="16" s="1"/>
  <c r="I17" i="16"/>
  <c r="I18" i="16" s="1"/>
  <c r="I21" i="16" s="1"/>
  <c r="H17" i="16"/>
  <c r="H18" i="16" s="1"/>
  <c r="H21" i="16" s="1"/>
  <c r="G17" i="16"/>
  <c r="G18" i="16" s="1"/>
  <c r="G21" i="16" s="1"/>
  <c r="F17" i="16"/>
  <c r="F18" i="16" s="1"/>
  <c r="F21" i="16" s="1"/>
  <c r="E17" i="16"/>
  <c r="E18" i="16" s="1"/>
  <c r="E21" i="16" s="1"/>
  <c r="D17" i="16"/>
  <c r="D18" i="16" s="1"/>
  <c r="C17" i="16"/>
  <c r="C18" i="16" s="1"/>
  <c r="B17" i="16"/>
  <c r="B18" i="16" s="1"/>
  <c r="G10" i="16"/>
  <c r="E10" i="16"/>
  <c r="H9" i="16"/>
  <c r="F9" i="16"/>
  <c r="D9" i="16"/>
  <c r="J9" i="14" l="1"/>
  <c r="J16" i="14"/>
  <c r="M9" i="14"/>
  <c r="M16" i="14"/>
  <c r="G9" i="14"/>
  <c r="G16" i="14"/>
  <c r="K9" i="14"/>
  <c r="K16" i="14"/>
  <c r="F9" i="14"/>
  <c r="F16" i="14"/>
  <c r="E9" i="14"/>
  <c r="E16" i="14"/>
  <c r="L9" i="14"/>
  <c r="L16" i="14"/>
  <c r="I9" i="14"/>
  <c r="I16" i="14"/>
  <c r="D9" i="14"/>
  <c r="D16" i="14"/>
  <c r="N9" i="14"/>
  <c r="N16" i="14"/>
  <c r="H9" i="14"/>
  <c r="H16" i="14"/>
  <c r="C9" i="14"/>
  <c r="C16" i="14"/>
  <c r="B9" i="14"/>
  <c r="B8" i="14"/>
  <c r="B7" i="14"/>
  <c r="D27" i="16"/>
  <c r="D28" i="16"/>
  <c r="D29" i="16"/>
  <c r="D6" i="17"/>
  <c r="D8" i="17" s="1"/>
  <c r="B27" i="16"/>
  <c r="B6" i="17"/>
  <c r="B29" i="16"/>
  <c r="B28" i="16"/>
  <c r="F29" i="16"/>
  <c r="F6" i="17"/>
  <c r="F8" i="17" s="1"/>
  <c r="F27" i="16"/>
  <c r="F28" i="16"/>
  <c r="J29" i="16"/>
  <c r="J6" i="17"/>
  <c r="J8" i="17" s="1"/>
  <c r="J27" i="16"/>
  <c r="J28" i="16"/>
  <c r="C27" i="16"/>
  <c r="C28" i="16"/>
  <c r="C29" i="16"/>
  <c r="C6" i="17"/>
  <c r="C8" i="17" s="1"/>
  <c r="G27" i="16"/>
  <c r="G28" i="16"/>
  <c r="G29" i="16"/>
  <c r="G6" i="17"/>
  <c r="G8" i="17" s="1"/>
  <c r="B11" i="18" s="1"/>
  <c r="K27" i="16"/>
  <c r="K28" i="16"/>
  <c r="K29" i="16"/>
  <c r="K6" i="17"/>
  <c r="K8" i="17" s="1"/>
  <c r="B15" i="18" s="1"/>
  <c r="L27" i="16"/>
  <c r="L28" i="16"/>
  <c r="L29" i="16"/>
  <c r="L6" i="17"/>
  <c r="L8" i="17" s="1"/>
  <c r="B16" i="18" s="1"/>
  <c r="H27" i="16"/>
  <c r="H28" i="16"/>
  <c r="H29" i="16"/>
  <c r="H6" i="17"/>
  <c r="H8" i="17" s="1"/>
  <c r="B12" i="18" s="1"/>
  <c r="M28" i="16"/>
  <c r="M29" i="16"/>
  <c r="M6" i="17"/>
  <c r="M8" i="17" s="1"/>
  <c r="B17" i="18" s="1"/>
  <c r="M27" i="16"/>
  <c r="N6" i="17"/>
  <c r="N8" i="17" s="1"/>
  <c r="B18" i="18" s="1"/>
  <c r="N28" i="16"/>
  <c r="E28" i="16"/>
  <c r="E29" i="16"/>
  <c r="E6" i="17"/>
  <c r="E8" i="17" s="1"/>
  <c r="E27" i="16"/>
  <c r="I28" i="16"/>
  <c r="I29" i="16"/>
  <c r="I6" i="17"/>
  <c r="I8" i="17" s="1"/>
  <c r="B13" i="18" s="1"/>
  <c r="I27" i="16"/>
  <c r="M8" i="14"/>
  <c r="I8" i="14"/>
  <c r="E8" i="14"/>
  <c r="N7" i="14"/>
  <c r="J7" i="14"/>
  <c r="F7" i="14"/>
  <c r="L8" i="14"/>
  <c r="H8" i="14"/>
  <c r="D8" i="14"/>
  <c r="M7" i="14"/>
  <c r="I7" i="14"/>
  <c r="E7" i="14"/>
  <c r="K8" i="14"/>
  <c r="G8" i="14"/>
  <c r="C8" i="14"/>
  <c r="L7" i="14"/>
  <c r="H7" i="14"/>
  <c r="D7" i="14"/>
  <c r="N8" i="14"/>
  <c r="J8" i="14"/>
  <c r="F8" i="14"/>
  <c r="K7" i="14"/>
  <c r="G7" i="14"/>
  <c r="C7" i="14"/>
  <c r="F10" i="16"/>
  <c r="D10" i="16"/>
  <c r="H10" i="16"/>
  <c r="E13" i="18" l="1"/>
  <c r="I13" i="18" s="1"/>
  <c r="E17" i="18"/>
  <c r="I17" i="18" s="1"/>
  <c r="E12" i="18"/>
  <c r="K12" i="18" s="1"/>
  <c r="E16" i="18"/>
  <c r="I16" i="18" s="1"/>
  <c r="E11" i="18"/>
  <c r="I11" i="18" s="1"/>
  <c r="E15" i="18"/>
  <c r="I15" i="18"/>
  <c r="B7" i="18"/>
  <c r="B8" i="18"/>
  <c r="B9" i="18"/>
  <c r="B14" i="18"/>
  <c r="B10" i="18"/>
  <c r="B6" i="18"/>
  <c r="E10" i="18" l="1"/>
  <c r="I10" i="18" s="1"/>
  <c r="E14" i="18"/>
  <c r="E8" i="18"/>
  <c r="I8" i="18" s="1"/>
  <c r="I14" i="18"/>
  <c r="B19" i="18"/>
  <c r="E19" i="18" l="1"/>
  <c r="B8" i="5" l="1"/>
  <c r="N18" i="13" l="1"/>
  <c r="N17" i="13"/>
  <c r="B17" i="13"/>
  <c r="L29" i="1" l="1"/>
  <c r="L16" i="1"/>
  <c r="K16" i="1"/>
  <c r="J16" i="1"/>
  <c r="I16" i="1"/>
  <c r="H16" i="1"/>
  <c r="G16" i="1"/>
  <c r="F16" i="1"/>
  <c r="H64" i="1"/>
  <c r="H36" i="1"/>
  <c r="B16" i="1" s="1"/>
  <c r="F8" i="5" l="1"/>
  <c r="E8" i="5"/>
  <c r="D8" i="5"/>
  <c r="C8" i="5"/>
  <c r="F58" i="1" l="1"/>
  <c r="F49" i="1"/>
  <c r="F41" i="1"/>
  <c r="B18" i="13" l="1"/>
  <c r="M18" i="13"/>
  <c r="L18" i="13"/>
  <c r="K18" i="13"/>
  <c r="J18" i="13"/>
  <c r="I18" i="13"/>
  <c r="H18" i="13"/>
  <c r="G18" i="13"/>
  <c r="F18" i="13"/>
  <c r="E18" i="13"/>
  <c r="D18" i="13"/>
  <c r="M17" i="13"/>
  <c r="L17" i="13"/>
  <c r="K17" i="13"/>
  <c r="J17" i="13"/>
  <c r="I17" i="13"/>
  <c r="H17" i="13"/>
  <c r="G17" i="13"/>
  <c r="F17" i="13"/>
  <c r="E17" i="13"/>
  <c r="D17" i="13"/>
  <c r="L8" i="13"/>
  <c r="M8" i="13" l="1"/>
  <c r="H29" i="1" l="1"/>
  <c r="F64" i="1"/>
  <c r="K8" i="13"/>
  <c r="F56" i="1"/>
  <c r="N8" i="13" s="1"/>
  <c r="E56" i="1"/>
  <c r="E36" i="1" s="1"/>
  <c r="N23" i="1" l="1"/>
  <c r="N29" i="1"/>
  <c r="I29" i="1"/>
  <c r="E29" i="1"/>
  <c r="M29" i="1"/>
  <c r="B6" i="1"/>
  <c r="L23" i="1"/>
  <c r="H23" i="1"/>
  <c r="I23" i="1" l="1"/>
  <c r="D23" i="1"/>
  <c r="G23" i="1"/>
  <c r="G29" i="1"/>
  <c r="J23" i="1"/>
  <c r="J29" i="1"/>
  <c r="B10" i="1"/>
  <c r="K23" i="1"/>
  <c r="K29" i="1"/>
  <c r="E23" i="1"/>
  <c r="M23" i="1"/>
  <c r="F23" i="1"/>
  <c r="F29" i="1"/>
  <c r="B17" i="1"/>
  <c r="C23" i="1" l="1"/>
  <c r="F61" i="1"/>
  <c r="F60" i="1"/>
  <c r="N14" i="1"/>
  <c r="N32" i="1" s="1"/>
  <c r="N13" i="1"/>
  <c r="N17" i="1"/>
  <c r="N18" i="1" s="1"/>
  <c r="I49" i="1"/>
  <c r="G50" i="1"/>
  <c r="D43" i="1"/>
  <c r="D42" i="1"/>
  <c r="D40" i="1"/>
  <c r="M14" i="1"/>
  <c r="M32" i="1" s="1"/>
  <c r="L14" i="1"/>
  <c r="L32" i="1" s="1"/>
  <c r="M13" i="1"/>
  <c r="L13" i="1"/>
  <c r="M17" i="1"/>
  <c r="M18" i="1" s="1"/>
  <c r="L17" i="1"/>
  <c r="G56" i="1"/>
  <c r="G45" i="1"/>
  <c r="K17" i="1"/>
  <c r="K18" i="1" s="1"/>
  <c r="K14" i="1"/>
  <c r="K32" i="1" s="1"/>
  <c r="D41" i="1"/>
  <c r="K13" i="1"/>
  <c r="I50" i="1"/>
  <c r="I38" i="1"/>
  <c r="D61" i="1"/>
  <c r="J17" i="1"/>
  <c r="J18" i="1" s="1"/>
  <c r="D49" i="1"/>
  <c r="J14" i="1"/>
  <c r="J32" i="1" s="1"/>
  <c r="J13" i="1"/>
  <c r="H62" i="1"/>
  <c r="H61" i="1"/>
  <c r="H60" i="1"/>
  <c r="D16" i="1" s="1"/>
  <c r="I37" i="1"/>
  <c r="G59" i="1"/>
  <c r="G57" i="1"/>
  <c r="G55" i="1"/>
  <c r="G54" i="1"/>
  <c r="G53" i="1"/>
  <c r="G52" i="1"/>
  <c r="G51" i="1"/>
  <c r="G48" i="1"/>
  <c r="G47" i="1"/>
  <c r="G46" i="1"/>
  <c r="G44" i="1"/>
  <c r="G43" i="1"/>
  <c r="G42" i="1"/>
  <c r="G40" i="1"/>
  <c r="G39" i="1"/>
  <c r="G38" i="1"/>
  <c r="G37" i="1"/>
  <c r="J8" i="13"/>
  <c r="G8" i="13"/>
  <c r="G17" i="1"/>
  <c r="G18" i="1" s="1"/>
  <c r="F8" i="13"/>
  <c r="I59" i="1"/>
  <c r="I57" i="1"/>
  <c r="I55" i="1"/>
  <c r="I54" i="1"/>
  <c r="I53" i="1"/>
  <c r="I52" i="1"/>
  <c r="I51" i="1"/>
  <c r="I48" i="1"/>
  <c r="I47" i="1"/>
  <c r="I46" i="1"/>
  <c r="I44" i="1"/>
  <c r="I43" i="1"/>
  <c r="I42" i="1"/>
  <c r="I40" i="1"/>
  <c r="I39" i="1"/>
  <c r="D60" i="1"/>
  <c r="D58" i="1"/>
  <c r="D57" i="1"/>
  <c r="D55" i="1"/>
  <c r="I14" i="1"/>
  <c r="I32" i="1" s="1"/>
  <c r="H14" i="1"/>
  <c r="H32" i="1" s="1"/>
  <c r="G13" i="1"/>
  <c r="H13" i="1"/>
  <c r="I13" i="1"/>
  <c r="G14" i="1"/>
  <c r="G32" i="1" s="1"/>
  <c r="F14" i="1"/>
  <c r="F32" i="1" s="1"/>
  <c r="F13" i="1"/>
  <c r="E14" i="1"/>
  <c r="E13" i="1"/>
  <c r="D14" i="1"/>
  <c r="D13" i="1"/>
  <c r="C13" i="1"/>
  <c r="C14" i="1"/>
  <c r="I45" i="1"/>
  <c r="F36" i="1"/>
  <c r="I58" i="1"/>
  <c r="I56" i="1"/>
  <c r="I41" i="1"/>
  <c r="F62" i="1"/>
  <c r="E16" i="1" l="1"/>
  <c r="E8" i="13" s="1"/>
  <c r="L18" i="1"/>
  <c r="L27" i="1" s="1"/>
  <c r="D32" i="1"/>
  <c r="N26" i="1"/>
  <c r="E32" i="1"/>
  <c r="I17" i="1"/>
  <c r="I18" i="1" s="1"/>
  <c r="H8" i="13"/>
  <c r="I8" i="13"/>
  <c r="D17" i="1"/>
  <c r="D18" i="1" s="1"/>
  <c r="D8" i="13"/>
  <c r="H63" i="1"/>
  <c r="F17" i="1"/>
  <c r="F18" i="1" s="1"/>
  <c r="N27" i="1"/>
  <c r="N25" i="1"/>
  <c r="G27" i="1"/>
  <c r="G26" i="1"/>
  <c r="G25" i="1"/>
  <c r="K27" i="1"/>
  <c r="K26" i="1"/>
  <c r="K25" i="1"/>
  <c r="M27" i="1"/>
  <c r="M26" i="1"/>
  <c r="M25" i="1"/>
  <c r="H17" i="1"/>
  <c r="H18" i="1" s="1"/>
  <c r="B8" i="1"/>
  <c r="B15" i="1" s="1"/>
  <c r="B18" i="1" s="1"/>
  <c r="J27" i="1"/>
  <c r="J26" i="1"/>
  <c r="J25" i="1"/>
  <c r="I36" i="1"/>
  <c r="F63" i="1"/>
  <c r="I26" i="1" l="1"/>
  <c r="E17" i="1"/>
  <c r="E18" i="1" s="1"/>
  <c r="L25" i="1"/>
  <c r="C16" i="1"/>
  <c r="C8" i="13" s="1"/>
  <c r="L26" i="1"/>
  <c r="F27" i="1"/>
  <c r="C17" i="1"/>
  <c r="C18" i="1" s="1"/>
  <c r="C32" i="1"/>
  <c r="I27" i="1"/>
  <c r="I25" i="1"/>
  <c r="D27" i="1"/>
  <c r="F26" i="1"/>
  <c r="D26" i="1"/>
  <c r="B8" i="13"/>
  <c r="F25" i="1"/>
  <c r="D25" i="1"/>
  <c r="H27" i="1"/>
  <c r="H26" i="1"/>
  <c r="H25" i="1"/>
  <c r="E25" i="1"/>
  <c r="E26" i="1" l="1"/>
  <c r="C26" i="1"/>
  <c r="E27" i="1"/>
  <c r="C27" i="1"/>
  <c r="C25" i="1"/>
  <c r="B26" i="1"/>
  <c r="B27" i="1"/>
</calcChain>
</file>

<file path=xl/sharedStrings.xml><?xml version="1.0" encoding="utf-8"?>
<sst xmlns="http://schemas.openxmlformats.org/spreadsheetml/2006/main" count="722" uniqueCount="216">
  <si>
    <t>APS</t>
  </si>
  <si>
    <t>DPL</t>
  </si>
  <si>
    <t>AE</t>
  </si>
  <si>
    <t>BGE</t>
  </si>
  <si>
    <t>DLCO</t>
  </si>
  <si>
    <t>JCPL</t>
  </si>
  <si>
    <t>PECO</t>
  </si>
  <si>
    <t>PEPCO</t>
  </si>
  <si>
    <t>PS</t>
  </si>
  <si>
    <t>CETO</t>
  </si>
  <si>
    <t>Reliability Requirement</t>
  </si>
  <si>
    <t>CETL</t>
  </si>
  <si>
    <t xml:space="preserve"> </t>
  </si>
  <si>
    <t>RTO</t>
  </si>
  <si>
    <t>SWMAAC</t>
  </si>
  <si>
    <t>Western MAAC</t>
  </si>
  <si>
    <t>EMAAC</t>
  </si>
  <si>
    <t>MAAC</t>
  </si>
  <si>
    <t>COMED</t>
  </si>
  <si>
    <t>DAYTON</t>
  </si>
  <si>
    <t>DOM</t>
  </si>
  <si>
    <t>METED</t>
  </si>
  <si>
    <t>PENLC</t>
  </si>
  <si>
    <t>DPLSOUTH</t>
  </si>
  <si>
    <t>NA</t>
  </si>
  <si>
    <t>Point (a) UCAP Price, $/MW-Day</t>
  </si>
  <si>
    <t>Point (b) UCAP Price, $/MW-Day</t>
  </si>
  <si>
    <t>Point (c) UCAP Price, $/MW-Day</t>
  </si>
  <si>
    <t>Point (a) UCAP Level, MW</t>
  </si>
  <si>
    <t>Point (b) UCAP Level, MW</t>
  </si>
  <si>
    <t>Point (c) UCAP Level, MW</t>
  </si>
  <si>
    <t>Preliminary Zonal Peak Load Forecast</t>
  </si>
  <si>
    <t>Base Zonal FRR Scaling Factor</t>
  </si>
  <si>
    <t>PL (incl. UGI)</t>
  </si>
  <si>
    <t>Western PJM</t>
  </si>
  <si>
    <t xml:space="preserve">Installed Reserve Margin (IRM) </t>
  </si>
  <si>
    <t>Pool-Wide Average EFORd</t>
  </si>
  <si>
    <t>Forecast Pool Requirement (FPR)</t>
  </si>
  <si>
    <t>Preliminary Forecast Peak Load</t>
  </si>
  <si>
    <t>LDA/Zone</t>
  </si>
  <si>
    <t>RECO</t>
  </si>
  <si>
    <t>Notes:</t>
  </si>
  <si>
    <t>Demand Resource (DR) Factor</t>
  </si>
  <si>
    <t>Short-Term Resource Procurement Target</t>
  </si>
  <si>
    <t>PS NORTH</t>
  </si>
  <si>
    <t>DPL SOUTH</t>
  </si>
  <si>
    <t>Preliminary FRR Obligation</t>
  </si>
  <si>
    <t>Total Peak Load of FRR Entities</t>
  </si>
  <si>
    <t>Reliability Requirement adjusted for FRR</t>
  </si>
  <si>
    <t>Net CONE, $/MW-Day (UCAP Price)</t>
  </si>
  <si>
    <t>Variable Resource Requirement Curve:</t>
  </si>
  <si>
    <t>&gt; 115%</t>
  </si>
  <si>
    <t>Participant-Funded ICTRs Awarded</t>
  </si>
  <si>
    <t>ATSI</t>
  </si>
  <si>
    <t xml:space="preserve">FRR Portion of the Preliminary Peak Load Forecast       </t>
  </si>
  <si>
    <t>AEP</t>
  </si>
  <si>
    <t>Forecast Pool Requirement</t>
  </si>
  <si>
    <t>Demand Resource Factor</t>
  </si>
  <si>
    <t>PJM Region</t>
  </si>
  <si>
    <t>FRR Peak Load</t>
  </si>
  <si>
    <t>Peak Load Forecast adjusted for FRR</t>
  </si>
  <si>
    <t>DEOK</t>
  </si>
  <si>
    <t>PENELEC</t>
  </si>
  <si>
    <t>Limiting conditions at the CETL for modeled LDAs:</t>
  </si>
  <si>
    <t>PSNORTH</t>
  </si>
  <si>
    <t>ATSI-CLEVELAND</t>
  </si>
  <si>
    <t>EKPC</t>
  </si>
  <si>
    <t>ATSI-Cleveland</t>
  </si>
  <si>
    <t>*</t>
  </si>
  <si>
    <t>Quantities are in Unforced Capacity Megawatts</t>
  </si>
  <si>
    <t>North</t>
  </si>
  <si>
    <t>West 1</t>
  </si>
  <si>
    <t>West 2</t>
  </si>
  <si>
    <t>South 1</t>
  </si>
  <si>
    <t>South 2</t>
  </si>
  <si>
    <t>CETL to CETO Ratio %</t>
  </si>
  <si>
    <t>PL</t>
  </si>
  <si>
    <t>Minimum Internal Resource Requirement</t>
  </si>
  <si>
    <t>FRR Load Requirement (% Obligation):</t>
  </si>
  <si>
    <t xml:space="preserve">LDA      </t>
  </si>
  <si>
    <t>* LDA has adequate internal resources to meet the reliability criterion.</t>
  </si>
  <si>
    <t xml:space="preserve">DR Constraints for FRR Load (ICAP as % of peak load) </t>
  </si>
  <si>
    <t>2018-2019 RPM Base Residual Auction Planning Parameters</t>
  </si>
  <si>
    <t>Load data: from 2015 Load Report with adjustments due to load served outside PJM.</t>
  </si>
  <si>
    <t>From 2014 Reserve Requirement Study.</t>
  </si>
  <si>
    <t>2014 Zonal W/N Coincident Peak Loads</t>
  </si>
  <si>
    <t>Pool-Wide Average EFORd for 2018/2019 including OMC outages</t>
  </si>
  <si>
    <t>LDA CETO/CETL Data; Zonal Peak Loads, Base Zonal FRR Scaling Factors, and FRR load.</t>
  </si>
  <si>
    <t xml:space="preserve">  Violation/Limiting Facility</t>
  </si>
  <si>
    <t>Base Capacity DR Constraint</t>
  </si>
  <si>
    <t>Base Capacity DR Constraint as Unforced Capacity</t>
  </si>
  <si>
    <t>Base Capacity Constraint</t>
  </si>
  <si>
    <t>Base Capacity Constraint as Unforced Capacity</t>
  </si>
  <si>
    <t>2018/2019 Capacity Import Limits in Megawatts</t>
  </si>
  <si>
    <t>External Source Zone</t>
  </si>
  <si>
    <t xml:space="preserve">  Thermal / Sandy Spring - High Ridge 230 kV</t>
  </si>
  <si>
    <t xml:space="preserve">  Voltage / Low voltage magnitude at Cochranville 230 kV</t>
  </si>
  <si>
    <t xml:space="preserve">  Thermal / Conastone - Northwest '2322' 230 kV</t>
  </si>
  <si>
    <t xml:space="preserve">  Thermal / Red Lion - Cedar Creek 230 kV</t>
  </si>
  <si>
    <t xml:space="preserve">  Thermal / Burches Hill -Talbert '068' 230 kV</t>
  </si>
  <si>
    <t xml:space="preserve">  Thermal / Tidd - Collier 345 kV</t>
  </si>
  <si>
    <t xml:space="preserve">  Turned off all internal generation</t>
  </si>
  <si>
    <t xml:space="preserve">  Thermal / Pumphrey 230/115 kV transformer</t>
  </si>
  <si>
    <t xml:space="preserve">  Thermal / Wescoville 500/138 kV transformer</t>
  </si>
  <si>
    <t xml:space="preserve">  Thermal / Roseland - Cedar Grove 230 kV</t>
  </si>
  <si>
    <t>Simultaneous</t>
  </si>
  <si>
    <t>First Contingency Total Transfer Capability (FCTTC)</t>
  </si>
  <si>
    <t>Capacity Benefit Margin (CBM)</t>
  </si>
  <si>
    <t>Approved CIL Exception Requests*</t>
  </si>
  <si>
    <t>Capacity Import Limit (CIL) for use in BRA **</t>
  </si>
  <si>
    <t>Preliminary Zonal Peak Load Forecast less FRR load</t>
  </si>
  <si>
    <t xml:space="preserve">  Thermal / Loretto - Wilton 345 kV Blue line</t>
  </si>
  <si>
    <t>#4368641</t>
  </si>
  <si>
    <t>&gt; 736</t>
  </si>
  <si>
    <t>&gt; 1967</t>
  </si>
  <si>
    <t>&gt; 2898</t>
  </si>
  <si>
    <t>&gt; 1058</t>
  </si>
  <si>
    <t>&gt; 4750</t>
  </si>
  <si>
    <t>&gt; 1829</t>
  </si>
  <si>
    <t>&gt; 1185</t>
  </si>
  <si>
    <t>&gt; 725</t>
  </si>
  <si>
    <t>&gt; 3772</t>
  </si>
  <si>
    <t>&gt; 1369</t>
  </si>
  <si>
    <t>&gt; 3278</t>
  </si>
  <si>
    <t>&gt; 265</t>
  </si>
  <si>
    <t xml:space="preserve">Confirmed NEDTS* </t>
  </si>
  <si>
    <t>&gt; 5520</t>
  </si>
  <si>
    <t>Base Capacity Resource Pre-Clearing BRA Credit Rate, $/MW</t>
  </si>
  <si>
    <t>Capacity Performance Resource Pre-Clearing BRA Credit Rate, $/MW</t>
  </si>
  <si>
    <r>
      <t xml:space="preserve">  ** In addition to ensuring that the CIL used in the auction plus the granted exceptions to not exceed the granted Network External Designated (NED) transmission service less the CBM, PJM is also ensuring that the CIL used in the auction plus the granted exceptions does not exceed the FCTTC less the CBM.  </t>
    </r>
    <r>
      <rPr>
        <b/>
        <sz val="11"/>
        <color theme="1"/>
        <rFont val="Arial"/>
        <family val="2"/>
      </rPr>
      <t>Because the simultaneous limit is zero, no imports will be cleared in the auction other than those for which a CIL exception was granted.</t>
    </r>
  </si>
  <si>
    <t>Based on Pool-Wide EFORd including OMC outages</t>
  </si>
  <si>
    <t xml:space="preserve">Includes OMC outages </t>
  </si>
  <si>
    <t>DR Factor eliminated</t>
  </si>
  <si>
    <t>STRPT eliminated</t>
  </si>
  <si>
    <t>Capacity Performance Resource Credit Rates are based on the Net CONE of the modeled LDA in which the planned resource is located (see pre-clearing credit rate applicable to each modeled LDA below)</t>
  </si>
  <si>
    <t xml:space="preserve">Added Post-Clearing BRA Credit Rates </t>
  </si>
  <si>
    <t>Base Capacity DR/EE Resources Credit Rate, $/MW</t>
  </si>
  <si>
    <t>Base Capacity Resources Credit Rate, $/MW</t>
  </si>
  <si>
    <t>Capacity Performance Resources Credit Rate, $/MW</t>
  </si>
  <si>
    <t>LOCATIONAL DELIVERABILITY AREA (LDA)</t>
  </si>
  <si>
    <t>LDA</t>
  </si>
  <si>
    <t>ATSI-C</t>
  </si>
  <si>
    <t>Change in Reliability Requirement *</t>
  </si>
  <si>
    <t>Change in CETL</t>
  </si>
  <si>
    <t>Capacity Import Limit Margin **</t>
  </si>
  <si>
    <t>** Capacity Import Limit Margin indicates the capacity import capability remaining into the LDA.</t>
  </si>
  <si>
    <t>PJM Buy Bids &amp; Sell Offers</t>
  </si>
  <si>
    <t>Price Points for PJM Buy Bids and PJM Sell Offers ***</t>
  </si>
  <si>
    <t>Location</t>
  </si>
  <si>
    <t>Change in Reliability Requirement (MW)</t>
  </si>
  <si>
    <t>Uncleared PJM Buy Bids from Prior IA</t>
  </si>
  <si>
    <t>Additional Buy Bids *</t>
  </si>
  <si>
    <t>PJM Buy Bid (MW) **</t>
  </si>
  <si>
    <t>Capacity Type</t>
  </si>
  <si>
    <t>Point 1 x-axis (MW)</t>
  </si>
  <si>
    <t>Point 1 y-axis ($/MW-Day)</t>
  </si>
  <si>
    <t>Point 2 x-axis (MW)</t>
  </si>
  <si>
    <t>Point 2 y-axis ($/MW-Day)</t>
  </si>
  <si>
    <t>Point 3 x-axis (MW)</t>
  </si>
  <si>
    <t>Point 3 y-axis ($/MW-Day)</t>
  </si>
  <si>
    <t>Point 4 x-axis (MW)</t>
  </si>
  <si>
    <t>Point 4 y-axis ($/MW-Day)</t>
  </si>
  <si>
    <t>RTO (Rest of)</t>
  </si>
  <si>
    <t xml:space="preserve"> --</t>
  </si>
  <si>
    <t>MAAC (Rest of)</t>
  </si>
  <si>
    <t>EMAAC (Rest of)</t>
  </si>
  <si>
    <t>SWMAAC (Rest of)</t>
  </si>
  <si>
    <t>PS (Rest of)</t>
  </si>
  <si>
    <t>ATSI (Rest of)</t>
  </si>
  <si>
    <t>TOTAL</t>
  </si>
  <si>
    <t xml:space="preserve"> *** The price of a PJM buy bid is based on the Updated VRR Curve Increment which is the portion of the Updated VRR Curve remaining beyond the point representing all capacity already procured in prior auctions for the Delivery Year. The price of a PJM Sell Offer is based on the Updated VRR Curve Decrement which is the portion of the Updated VRR Curve to the left of the point representing all capacity already procured in prior auctions for the Delivery Year. </t>
  </si>
  <si>
    <t xml:space="preserve">Configuration of 1st Incremental Auction for 2018/2019 Delivery Year </t>
  </si>
  <si>
    <t>No requests received for this auction.</t>
  </si>
  <si>
    <t>Zone/Sub Zone</t>
  </si>
  <si>
    <t>Annual DR</t>
  </si>
  <si>
    <t>Extended Summer DR</t>
  </si>
  <si>
    <t>Limited DR</t>
  </si>
  <si>
    <t>Total</t>
  </si>
  <si>
    <t>Rest of LDA</t>
  </si>
  <si>
    <t>Cumulative-Annual DR</t>
  </si>
  <si>
    <t>Cumulative-Extended Summer DR</t>
  </si>
  <si>
    <t>Cumulative-Limited DR</t>
  </si>
  <si>
    <t>Total-Rest of LDA</t>
  </si>
  <si>
    <t>Total-Cumulative</t>
  </si>
  <si>
    <t>Previously Committed Capacity (Cleared in BRA)</t>
  </si>
  <si>
    <t>Total Resources</t>
  </si>
  <si>
    <t>Base Capacity DR/EE</t>
  </si>
  <si>
    <t>Base Capacity</t>
  </si>
  <si>
    <t>CP Resources</t>
  </si>
  <si>
    <t>Base Capacity Generation</t>
  </si>
  <si>
    <t>2018-2019 RPM First Incremental Auction Planning Parameters</t>
  </si>
  <si>
    <t>2018-2019 Pre-Clearing 1st IA Credit Rates</t>
  </si>
  <si>
    <t>BRA Base Capacity Resource Clearing Price, $/MW-day</t>
  </si>
  <si>
    <t>BRA Base Capacity DR/EE Resource Clearing Price, $/MW-day</t>
  </si>
  <si>
    <t xml:space="preserve">Load forecast from 2016 Load Report adjusted for Non-Zone Load.. </t>
  </si>
  <si>
    <t>EE Cleared in Prior Auction (UCAP)</t>
  </si>
  <si>
    <t>Reliability Requirement with EE Addback</t>
  </si>
  <si>
    <t>1st IA Reliability Requirement</t>
  </si>
  <si>
    <t>BRA Reliability Requirement</t>
  </si>
  <si>
    <t>2018-2019 1st Incremental Auction Configuration</t>
  </si>
  <si>
    <t>Updated Peak Load Forecast</t>
  </si>
  <si>
    <t>2018/2019 Base Capacity Constraints</t>
  </si>
  <si>
    <t>BaseGen</t>
  </si>
  <si>
    <t>Percent of Updated Forecast Peak Load</t>
  </si>
  <si>
    <t xml:space="preserve">   * As per Section 5.4.(c) of the PJM OATT, the reliability requirement for the RTO and each LDA will be updated since the change in reliability requirement for the RTO and each LDA or parent of the LDA exceeds the lesser of the 500 MW or 1% threshold.</t>
  </si>
  <si>
    <t>--</t>
  </si>
  <si>
    <t>EE Addback to Peak Load Forecast</t>
  </si>
  <si>
    <t xml:space="preserve">   * Additional Buy Bids to account for Non-Viable DR commitments related to DR Legacy DLC Transition Provision. None for this auction.</t>
  </si>
  <si>
    <t xml:space="preserve">   ** A PJM Sell Offer is indicated by a negative PJM Buy Bid. The 777.3 MW MAAC Sell Offer reflects the net of a 1,544.7 MW MAAC Sell Offer with a 80.2 MW RTO Buy Bid, 618.9 MW PL Buy Bid, and 68.3 MW SWMAAC Buy Bid. </t>
  </si>
  <si>
    <t>2018/2019 1st IA Non-Viable DR Commitments Related to DR Legacy DLC Transition Provision</t>
  </si>
  <si>
    <t xml:space="preserve">   *  Updated on 9/13/2016 to reflect updated approved CIL exception requests as of 9/13/2016.  Confirmed NEDTS values as of 9/6/2016.  </t>
  </si>
  <si>
    <t>1st IA Base Capacity DR/EE Resource Clearing Price, $/MW-day</t>
  </si>
  <si>
    <t>1st IA Base Capacity Resource Clearing Price, $/MW-day</t>
  </si>
  <si>
    <t>1st IA Capacity Performance Resource Clearing Price, $/MW-day</t>
  </si>
  <si>
    <t>Net CONE, $/MW-Day (ICAP Price)</t>
  </si>
  <si>
    <t>2018-2019 Post-Clearing 1st IA Credit 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</si>
</sst>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_(&quot;$&quot;* \(#,##0.00\);_(&quot;$&quot;* &quot;-&quot;??_);_(@_)"/>
    <numFmt numFmtId="43" formatCode="_(* #,##0.00_);_(* \(#,##0.00\);_(* &quot;-&quot;??_);_(@_)"/>
    <numFmt numFmtId="164" formatCode="0.000"/>
    <numFmt numFmtId="165" formatCode="0.0000"/>
    <numFmt numFmtId="166" formatCode="0.0%"/>
    <numFmt numFmtId="167" formatCode="0.0"/>
    <numFmt numFmtId="168" formatCode="&quot;$&quot;#,##0.00"/>
    <numFmt numFmtId="169" formatCode="#,##0.0"/>
    <numFmt numFmtId="170" formatCode="0.00000"/>
    <numFmt numFmtId="171" formatCode="&quot;$&quot;#,##0"/>
    <numFmt numFmtId="172" formatCode="_(* #,##0.0_);_(* \(#,##0.0\);_(* &quot;-&quot;??_);_(@_)"/>
    <numFmt numFmtId="173" formatCode="0.000000"/>
  </numFmts>
  <fonts count="26"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4"/>
      <name val="Arial"/>
      <family val="2"/>
    </font>
    <font>
      <b/>
      <sz val="12"/>
      <name val="Arial"/>
      <family val="2"/>
    </font>
    <font>
      <sz val="12"/>
      <name val="Arial"/>
      <family val="2"/>
    </font>
    <font>
      <sz val="10"/>
      <name val="Arial"/>
      <family val="2"/>
    </font>
    <font>
      <sz val="10"/>
      <name val="Arial"/>
      <family val="2"/>
    </font>
    <font>
      <sz val="11"/>
      <name val="Arial"/>
      <family val="2"/>
    </font>
    <font>
      <sz val="11"/>
      <color theme="1"/>
      <name val="Calibri"/>
      <family val="2"/>
      <scheme val="minor"/>
    </font>
    <font>
      <sz val="10"/>
      <color rgb="FFFF0000"/>
      <name val="Arial"/>
      <family val="2"/>
    </font>
    <font>
      <sz val="12"/>
      <color rgb="FFFF0000"/>
      <name val="Arial"/>
      <family val="2"/>
    </font>
    <font>
      <b/>
      <sz val="12"/>
      <color rgb="FFFF0000"/>
      <name val="Arial"/>
      <family val="2"/>
    </font>
    <font>
      <sz val="12"/>
      <color rgb="FF002060"/>
      <name val="Arial"/>
      <family val="2"/>
    </font>
    <font>
      <b/>
      <sz val="14"/>
      <color rgb="FFFF0000"/>
      <name val="Arial"/>
      <family val="2"/>
    </font>
    <font>
      <sz val="10"/>
      <color theme="1"/>
      <name val="Arial"/>
      <family val="2"/>
    </font>
    <font>
      <sz val="11"/>
      <color rgb="FF1F497D"/>
      <name val="Calibri"/>
      <family val="2"/>
    </font>
    <font>
      <b/>
      <sz val="11"/>
      <color theme="1"/>
      <name val="Arial"/>
      <family val="2"/>
    </font>
    <font>
      <b/>
      <sz val="10"/>
      <color theme="1"/>
      <name val="Arial"/>
      <family val="2"/>
    </font>
    <font>
      <sz val="12"/>
      <color theme="1"/>
      <name val="Arial"/>
      <family val="2"/>
    </font>
    <font>
      <b/>
      <sz val="11"/>
      <color theme="1"/>
      <name val="Calibri"/>
      <family val="2"/>
      <scheme val="minor"/>
    </font>
    <font>
      <sz val="14"/>
      <color rgb="FFFF0000"/>
      <name val="Arial"/>
      <family val="2"/>
    </font>
    <font>
      <sz val="11"/>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bottom/>
      <diagonal/>
    </border>
    <border>
      <left style="hair">
        <color indexed="64"/>
      </left>
      <right style="medium">
        <color indexed="64"/>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s>
  <cellStyleXfs count="15">
    <xf numFmtId="0" fontId="0" fillId="0" borderId="0"/>
    <xf numFmtId="43" fontId="3" fillId="0" borderId="0" applyFont="0" applyFill="0" applyBorder="0" applyAlignment="0" applyProtection="0"/>
    <xf numFmtId="43" fontId="12" fillId="0" borderId="0" applyFont="0" applyFill="0" applyBorder="0" applyAlignment="0" applyProtection="0"/>
    <xf numFmtId="0" fontId="10" fillId="0" borderId="0"/>
    <xf numFmtId="0" fontId="9" fillId="0" borderId="0">
      <alignment wrapText="1"/>
    </xf>
    <xf numFmtId="0" fontId="9" fillId="0" borderId="0"/>
    <xf numFmtId="0" fontId="12" fillId="0" borderId="0"/>
    <xf numFmtId="9"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0" fontId="9" fillId="0" borderId="0"/>
    <xf numFmtId="0" fontId="2" fillId="0" borderId="0"/>
    <xf numFmtId="9" fontId="9" fillId="0" borderId="0" applyFont="0" applyFill="0" applyBorder="0" applyAlignment="0" applyProtection="0"/>
    <xf numFmtId="0" fontId="18" fillId="0" borderId="0"/>
  </cellStyleXfs>
  <cellXfs count="311">
    <xf numFmtId="0" fontId="0" fillId="0" borderId="0" xfId="0"/>
    <xf numFmtId="0" fontId="0" fillId="0" borderId="0" xfId="0" applyAlignment="1">
      <alignment horizontal="center"/>
    </xf>
    <xf numFmtId="0" fontId="8" fillId="0" borderId="0" xfId="0" applyFont="1" applyBorder="1"/>
    <xf numFmtId="0" fontId="5" fillId="0" borderId="0" xfId="0" applyFont="1" applyAlignment="1">
      <alignment wrapText="1"/>
    </xf>
    <xf numFmtId="0" fontId="9" fillId="0" borderId="0" xfId="0" applyFont="1"/>
    <xf numFmtId="169" fontId="8" fillId="0" borderId="1" xfId="0" applyNumberFormat="1" applyFont="1" applyBorder="1" applyAlignment="1">
      <alignment horizontal="center" vertical="center" wrapText="1"/>
    </xf>
    <xf numFmtId="168" fontId="8" fillId="0" borderId="1" xfId="0" applyNumberFormat="1" applyFont="1" applyBorder="1" applyAlignment="1">
      <alignment horizontal="center" vertical="center" wrapText="1"/>
    </xf>
    <xf numFmtId="0" fontId="5" fillId="0" borderId="0" xfId="0" applyFont="1" applyBorder="1"/>
    <xf numFmtId="0" fontId="9" fillId="0" borderId="0" xfId="0" applyFont="1" applyBorder="1"/>
    <xf numFmtId="166" fontId="8" fillId="0" borderId="1" xfId="7" applyNumberFormat="1" applyFont="1" applyBorder="1" applyAlignment="1">
      <alignment horizontal="right" vertical="center"/>
    </xf>
    <xf numFmtId="166" fontId="8" fillId="0" borderId="1" xfId="0" applyNumberFormat="1" applyFont="1" applyBorder="1" applyAlignment="1">
      <alignment horizontal="right" vertical="center"/>
    </xf>
    <xf numFmtId="168" fontId="8" fillId="0" borderId="1" xfId="0" applyNumberFormat="1" applyFont="1" applyBorder="1" applyAlignment="1">
      <alignment horizontal="right" vertical="center" wrapText="1"/>
    </xf>
    <xf numFmtId="169" fontId="8" fillId="0" borderId="1" xfId="0" applyNumberFormat="1" applyFont="1" applyBorder="1" applyAlignment="1">
      <alignment horizontal="right" vertical="center" wrapText="1"/>
    </xf>
    <xf numFmtId="167" fontId="8" fillId="0" borderId="1" xfId="0" applyNumberFormat="1" applyFont="1" applyBorder="1" applyAlignment="1">
      <alignment horizontal="right" vertical="center"/>
    </xf>
    <xf numFmtId="0" fontId="8" fillId="0" borderId="1" xfId="0" applyFont="1" applyBorder="1" applyAlignment="1">
      <alignment horizontal="right" vertical="center"/>
    </xf>
    <xf numFmtId="168" fontId="7" fillId="0" borderId="1" xfId="0" applyNumberFormat="1" applyFont="1" applyBorder="1" applyAlignment="1">
      <alignment horizontal="right" vertical="center" wrapText="1"/>
    </xf>
    <xf numFmtId="0" fontId="7" fillId="0" borderId="0" xfId="0" applyFont="1" applyBorder="1" applyAlignment="1">
      <alignment horizontal="center"/>
    </xf>
    <xf numFmtId="0" fontId="6" fillId="0" borderId="1" xfId="0" applyFont="1" applyBorder="1" applyAlignment="1">
      <alignment horizontal="left"/>
    </xf>
    <xf numFmtId="0" fontId="6" fillId="0" borderId="1" xfId="0" applyFont="1" applyBorder="1" applyAlignment="1">
      <alignment horizontal="center"/>
    </xf>
    <xf numFmtId="0" fontId="8" fillId="0" borderId="1" xfId="0" applyFont="1" applyBorder="1" applyAlignment="1">
      <alignment horizontal="left" vertical="center"/>
    </xf>
    <xf numFmtId="166"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166" fontId="8" fillId="0" borderId="1" xfId="7" applyNumberFormat="1" applyFont="1" applyBorder="1" applyAlignment="1">
      <alignment horizontal="center" vertical="center"/>
    </xf>
    <xf numFmtId="0" fontId="7" fillId="0" borderId="1" xfId="0" applyFont="1" applyBorder="1" applyAlignment="1">
      <alignment horizontal="center" vertical="center"/>
    </xf>
    <xf numFmtId="166" fontId="8" fillId="0" borderId="1" xfId="0" applyNumberFormat="1" applyFont="1" applyBorder="1" applyAlignment="1">
      <alignment horizontal="right" vertical="center" wrapText="1"/>
    </xf>
    <xf numFmtId="0" fontId="7" fillId="0" borderId="2" xfId="0" applyFont="1" applyBorder="1" applyAlignment="1">
      <alignment horizontal="center" vertical="center"/>
    </xf>
    <xf numFmtId="0" fontId="8"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right" vertical="center" wrapText="1"/>
    </xf>
    <xf numFmtId="0" fontId="8" fillId="0" borderId="1" xfId="0" applyFont="1" applyBorder="1" applyAlignment="1">
      <alignment horizontal="right" vertical="center" wrapText="1"/>
    </xf>
    <xf numFmtId="0" fontId="8" fillId="0" borderId="1" xfId="0" applyFont="1" applyFill="1" applyBorder="1" applyAlignment="1">
      <alignment horizontal="right" vertical="center"/>
    </xf>
    <xf numFmtId="0" fontId="7" fillId="0" borderId="1" xfId="0" applyFont="1" applyFill="1" applyBorder="1" applyAlignment="1">
      <alignment horizontal="left" vertical="center"/>
    </xf>
    <xf numFmtId="169" fontId="8" fillId="0" borderId="1" xfId="7" applyNumberFormat="1" applyFont="1" applyBorder="1" applyAlignment="1">
      <alignment horizontal="right" vertical="center"/>
    </xf>
    <xf numFmtId="0" fontId="13" fillId="0" borderId="0" xfId="0" applyFont="1"/>
    <xf numFmtId="0" fontId="0" fillId="0" borderId="0" xfId="0" applyFill="1"/>
    <xf numFmtId="167" fontId="8" fillId="0" borderId="1" xfId="0" applyNumberFormat="1" applyFont="1" applyBorder="1" applyAlignment="1">
      <alignment horizontal="right" vertical="center" wrapText="1"/>
    </xf>
    <xf numFmtId="170" fontId="8" fillId="0" borderId="1" xfId="7" applyNumberFormat="1" applyFont="1" applyBorder="1" applyAlignment="1">
      <alignment horizontal="right" vertical="center"/>
    </xf>
    <xf numFmtId="169" fontId="8" fillId="0" borderId="1" xfId="7" applyNumberFormat="1" applyFont="1" applyFill="1" applyBorder="1" applyAlignment="1">
      <alignment horizontal="right" vertical="center"/>
    </xf>
    <xf numFmtId="167" fontId="8" fillId="0" borderId="1" xfId="7" applyNumberFormat="1" applyFont="1" applyBorder="1" applyAlignment="1">
      <alignment horizontal="right" vertical="center"/>
    </xf>
    <xf numFmtId="9" fontId="8" fillId="0" borderId="1" xfId="7" applyFont="1" applyFill="1" applyBorder="1" applyAlignment="1">
      <alignment horizontal="right" vertical="center"/>
    </xf>
    <xf numFmtId="9" fontId="8" fillId="0" borderId="1" xfId="7" applyNumberFormat="1" applyFont="1" applyFill="1" applyBorder="1" applyAlignment="1">
      <alignment horizontal="right" vertical="center"/>
    </xf>
    <xf numFmtId="0" fontId="7" fillId="0" borderId="0" xfId="0" applyFont="1" applyBorder="1" applyAlignment="1">
      <alignment horizontal="left"/>
    </xf>
    <xf numFmtId="0" fontId="8" fillId="0" borderId="0" xfId="0" applyFont="1" applyBorder="1" applyAlignment="1">
      <alignment vertical="center"/>
    </xf>
    <xf numFmtId="0" fontId="8" fillId="0" borderId="0" xfId="0" applyFont="1" applyBorder="1" applyAlignment="1">
      <alignment horizontal="left" vertical="center"/>
    </xf>
    <xf numFmtId="0" fontId="13" fillId="0" borderId="0" xfId="0" applyFont="1" applyBorder="1" applyAlignment="1">
      <alignment horizontal="center" vertical="center"/>
    </xf>
    <xf numFmtId="0" fontId="5" fillId="0" borderId="0" xfId="0" applyFont="1" applyAlignment="1">
      <alignment horizontal="right" wrapText="1"/>
    </xf>
    <xf numFmtId="0" fontId="14" fillId="0" borderId="0" xfId="0" applyFont="1" applyBorder="1"/>
    <xf numFmtId="0" fontId="6" fillId="0" borderId="0" xfId="0" applyFont="1" applyBorder="1" applyAlignment="1">
      <alignment horizontal="left" vertical="center"/>
    </xf>
    <xf numFmtId="169" fontId="8" fillId="0" borderId="1" xfId="0" applyNumberFormat="1" applyFont="1" applyBorder="1" applyAlignment="1">
      <alignment horizontal="center" vertical="center"/>
    </xf>
    <xf numFmtId="169" fontId="7" fillId="0" borderId="1" xfId="0" applyNumberFormat="1" applyFont="1" applyBorder="1" applyAlignment="1">
      <alignment horizontal="right" vertical="center" wrapText="1"/>
    </xf>
    <xf numFmtId="169" fontId="8" fillId="0" borderId="1" xfId="0" applyNumberFormat="1" applyFont="1" applyFill="1" applyBorder="1" applyAlignment="1">
      <alignment horizontal="right" vertical="center"/>
    </xf>
    <xf numFmtId="169" fontId="8" fillId="0" borderId="0" xfId="0" applyNumberFormat="1" applyFont="1" applyBorder="1" applyAlignment="1">
      <alignment horizontal="left" vertical="center"/>
    </xf>
    <xf numFmtId="0" fontId="7" fillId="0" borderId="1" xfId="0" applyFont="1" applyFill="1" applyBorder="1" applyAlignment="1">
      <alignment horizontal="center" vertical="center"/>
    </xf>
    <xf numFmtId="169" fontId="8" fillId="0" borderId="1" xfId="1" applyNumberFormat="1" applyFont="1" applyFill="1" applyBorder="1" applyAlignment="1">
      <alignment horizontal="right" vertical="center"/>
    </xf>
    <xf numFmtId="166" fontId="7" fillId="0" borderId="1" xfId="7" applyNumberFormat="1" applyFont="1" applyFill="1" applyBorder="1" applyAlignment="1">
      <alignment horizontal="right" vertical="center"/>
    </xf>
    <xf numFmtId="169" fontId="16" fillId="0" borderId="1" xfId="0" applyNumberFormat="1" applyFont="1" applyFill="1" applyBorder="1" applyAlignment="1">
      <alignment horizontal="right" vertical="center"/>
    </xf>
    <xf numFmtId="0" fontId="7" fillId="0" borderId="0" xfId="0" applyFont="1" applyFill="1" applyBorder="1" applyAlignment="1">
      <alignment horizontal="left" vertical="center"/>
    </xf>
    <xf numFmtId="166" fontId="8" fillId="0" borderId="0" xfId="7" applyNumberFormat="1" applyFont="1" applyBorder="1"/>
    <xf numFmtId="0" fontId="8" fillId="0" borderId="16" xfId="0" applyFont="1" applyFill="1" applyBorder="1" applyAlignment="1">
      <alignment horizontal="right" vertical="center"/>
    </xf>
    <xf numFmtId="0" fontId="15" fillId="0" borderId="0" xfId="0" applyFont="1" applyBorder="1" applyAlignment="1">
      <alignment vertical="center"/>
    </xf>
    <xf numFmtId="0" fontId="15" fillId="0" borderId="0" xfId="0" applyFont="1" applyBorder="1" applyAlignment="1">
      <alignment horizontal="left" vertical="center"/>
    </xf>
    <xf numFmtId="1" fontId="7" fillId="0" borderId="3" xfId="0" applyNumberFormat="1" applyFont="1" applyBorder="1" applyAlignment="1">
      <alignment horizontal="left"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2" borderId="1" xfId="0" applyFont="1" applyFill="1" applyBorder="1" applyAlignment="1">
      <alignment vertical="center"/>
    </xf>
    <xf numFmtId="0" fontId="8" fillId="3" borderId="1" xfId="0" applyFont="1" applyFill="1" applyBorder="1" applyAlignment="1">
      <alignment vertical="center"/>
    </xf>
    <xf numFmtId="166" fontId="7" fillId="3" borderId="1" xfId="7" applyNumberFormat="1" applyFont="1" applyFill="1" applyBorder="1" applyAlignment="1">
      <alignment horizontal="right" vertical="center"/>
    </xf>
    <xf numFmtId="0" fontId="8" fillId="4" borderId="1" xfId="0" applyFont="1" applyFill="1" applyBorder="1" applyAlignment="1">
      <alignment horizontal="left" vertical="center"/>
    </xf>
    <xf numFmtId="0" fontId="8" fillId="4" borderId="1" xfId="0" applyFont="1" applyFill="1" applyBorder="1" applyAlignment="1">
      <alignment horizontal="right" vertical="center"/>
    </xf>
    <xf numFmtId="0" fontId="8" fillId="4" borderId="9" xfId="0" applyFont="1" applyFill="1" applyBorder="1" applyAlignment="1">
      <alignment horizontal="left" vertical="center"/>
    </xf>
    <xf numFmtId="0" fontId="8" fillId="4" borderId="9" xfId="0" applyFont="1" applyFill="1" applyBorder="1" applyAlignment="1">
      <alignment horizontal="righ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0" fillId="0" borderId="7" xfId="0" applyBorder="1" applyAlignment="1">
      <alignment horizontal="left"/>
    </xf>
    <xf numFmtId="0" fontId="8" fillId="0" borderId="1" xfId="0" applyFont="1" applyBorder="1" applyAlignment="1">
      <alignment horizontal="left" vertical="center"/>
    </xf>
    <xf numFmtId="168" fontId="8" fillId="0" borderId="1" xfId="0" applyNumberFormat="1" applyFont="1" applyBorder="1" applyAlignment="1">
      <alignment horizontal="center" vertical="center"/>
    </xf>
    <xf numFmtId="0" fontId="8" fillId="0" borderId="0" xfId="0" applyFont="1" applyFill="1" applyBorder="1" applyAlignment="1">
      <alignment horizontal="left" vertical="center"/>
    </xf>
    <xf numFmtId="0" fontId="8" fillId="0" borderId="1" xfId="0" applyFont="1" applyFill="1" applyBorder="1" applyAlignment="1">
      <alignment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0" xfId="0" applyBorder="1" applyAlignment="1">
      <alignment horizontal="left"/>
    </xf>
    <xf numFmtId="0" fontId="7" fillId="0" borderId="0" xfId="0" applyFont="1" applyBorder="1" applyAlignment="1">
      <alignment horizontal="center" vertical="center"/>
    </xf>
    <xf numFmtId="0" fontId="8" fillId="0" borderId="0" xfId="0" applyFont="1" applyFill="1" applyBorder="1" applyAlignment="1">
      <alignment vertical="center"/>
    </xf>
    <xf numFmtId="0" fontId="13" fillId="0" borderId="0" xfId="0" applyFont="1" applyBorder="1" applyAlignment="1">
      <alignment vertical="center"/>
    </xf>
    <xf numFmtId="0" fontId="17" fillId="0" borderId="0" xfId="0" applyFont="1" applyBorder="1" applyAlignment="1">
      <alignment horizontal="left" vertical="center"/>
    </xf>
    <xf numFmtId="0" fontId="7" fillId="0" borderId="1" xfId="0" applyFont="1" applyBorder="1" applyAlignment="1">
      <alignment horizontal="center" vertical="center" wrapText="1"/>
    </xf>
    <xf numFmtId="0" fontId="8" fillId="0" borderId="0" xfId="5" applyFont="1" applyFill="1" applyBorder="1" applyAlignment="1">
      <alignment vertical="center"/>
    </xf>
    <xf numFmtId="0" fontId="13" fillId="0" borderId="0" xfId="0" applyFont="1" applyBorder="1"/>
    <xf numFmtId="0" fontId="19" fillId="0" borderId="0" xfId="0" applyFont="1" applyAlignment="1">
      <alignment vertical="center"/>
    </xf>
    <xf numFmtId="0" fontId="7" fillId="0" borderId="1" xfId="0" applyFont="1" applyFill="1" applyBorder="1" applyAlignment="1">
      <alignment horizontal="right" vertical="center"/>
    </xf>
    <xf numFmtId="0" fontId="7" fillId="0" borderId="1" xfId="0" applyFont="1" applyBorder="1" applyAlignment="1">
      <alignment horizontal="left"/>
    </xf>
    <xf numFmtId="0" fontId="6" fillId="0" borderId="1" xfId="0" applyFont="1" applyBorder="1" applyAlignment="1">
      <alignment horizontal="center" vertical="center"/>
    </xf>
    <xf numFmtId="3" fontId="8" fillId="0" borderId="1" xfId="0" applyNumberFormat="1" applyFont="1" applyBorder="1" applyAlignment="1">
      <alignment horizontal="right" vertical="center"/>
    </xf>
    <xf numFmtId="3" fontId="0" fillId="0" borderId="0" xfId="0" applyNumberFormat="1"/>
    <xf numFmtId="1" fontId="8" fillId="0" borderId="1" xfId="0" applyNumberFormat="1" applyFont="1" applyBorder="1" applyAlignment="1">
      <alignment horizontal="right" vertical="center"/>
    </xf>
    <xf numFmtId="169" fontId="0" fillId="0" borderId="0" xfId="0" applyNumberFormat="1"/>
    <xf numFmtId="169" fontId="8" fillId="0" borderId="1" xfId="0" applyNumberFormat="1" applyFont="1" applyBorder="1" applyAlignment="1">
      <alignment horizontal="right" vertical="center"/>
    </xf>
    <xf numFmtId="169" fontId="7" fillId="0" borderId="1" xfId="1" applyNumberFormat="1" applyFont="1" applyBorder="1" applyAlignment="1">
      <alignment horizontal="right" vertical="center"/>
    </xf>
    <xf numFmtId="169" fontId="7" fillId="0" borderId="1" xfId="0" applyNumberFormat="1" applyFont="1" applyBorder="1" applyAlignment="1">
      <alignment horizontal="right" vertical="center"/>
    </xf>
    <xf numFmtId="169" fontId="8" fillId="0" borderId="1" xfId="1" applyNumberFormat="1" applyFont="1" applyFill="1" applyBorder="1" applyAlignment="1">
      <alignment vertical="center"/>
    </xf>
    <xf numFmtId="0" fontId="8" fillId="0" borderId="1" xfId="0" applyFont="1" applyBorder="1" applyAlignment="1">
      <alignment horizontal="right"/>
    </xf>
    <xf numFmtId="0" fontId="8" fillId="0" borderId="8" xfId="0" applyFont="1" applyFill="1" applyBorder="1" applyAlignment="1">
      <alignment horizontal="right" vertical="center"/>
    </xf>
    <xf numFmtId="10" fontId="8" fillId="4" borderId="9" xfId="0" applyNumberFormat="1" applyFont="1" applyFill="1" applyBorder="1" applyAlignment="1">
      <alignment horizontal="right" vertical="center"/>
    </xf>
    <xf numFmtId="0" fontId="11" fillId="0" borderId="0" xfId="0" applyFont="1" applyBorder="1" applyAlignment="1">
      <alignment vertical="top" wrapText="1"/>
    </xf>
    <xf numFmtId="14" fontId="6" fillId="0" borderId="1" xfId="0" applyNumberFormat="1" applyFont="1" applyBorder="1" applyAlignment="1">
      <alignment horizontal="center" vertical="center"/>
    </xf>
    <xf numFmtId="0" fontId="6" fillId="0" borderId="1" xfId="0" applyFont="1" applyBorder="1" applyAlignment="1">
      <alignment horizontal="left" vertical="center"/>
    </xf>
    <xf numFmtId="0" fontId="21" fillId="0" borderId="0" xfId="0" applyFont="1" applyFill="1"/>
    <xf numFmtId="0" fontId="8" fillId="0" borderId="1" xfId="0" applyFont="1" applyBorder="1" applyAlignment="1">
      <alignment horizontal="left" vertical="center"/>
    </xf>
    <xf numFmtId="0" fontId="22" fillId="0" borderId="1" xfId="0" applyFont="1" applyFill="1" applyBorder="1" applyAlignment="1">
      <alignment horizontal="left" vertical="center" wrapText="1"/>
    </xf>
    <xf numFmtId="168" fontId="22" fillId="0" borderId="1" xfId="0" applyNumberFormat="1" applyFont="1" applyFill="1" applyBorder="1" applyAlignment="1">
      <alignment horizontal="right" vertical="center"/>
    </xf>
    <xf numFmtId="0" fontId="5" fillId="0" borderId="1" xfId="0" applyFont="1" applyBorder="1" applyAlignment="1">
      <alignment horizontal="center" vertical="center" wrapText="1"/>
    </xf>
    <xf numFmtId="0" fontId="6" fillId="0" borderId="0" xfId="0" applyFont="1" applyBorder="1" applyAlignment="1">
      <alignment horizontal="left"/>
    </xf>
    <xf numFmtId="168" fontId="22" fillId="0" borderId="1" xfId="0" applyNumberFormat="1" applyFont="1" applyFill="1" applyBorder="1" applyAlignment="1">
      <alignment horizontal="center" vertical="center"/>
    </xf>
    <xf numFmtId="0" fontId="0" fillId="0" borderId="0" xfId="0" applyBorder="1"/>
    <xf numFmtId="0" fontId="8" fillId="0" borderId="1" xfId="0" applyFont="1" applyBorder="1" applyAlignment="1">
      <alignment horizontal="left" vertical="center"/>
    </xf>
    <xf numFmtId="0" fontId="7" fillId="0" borderId="1" xfId="0" applyFont="1" applyBorder="1" applyAlignment="1">
      <alignment horizontal="left" vertical="center" wrapText="1"/>
    </xf>
    <xf numFmtId="168" fontId="15" fillId="0" borderId="0" xfId="0" applyNumberFormat="1" applyFont="1" applyBorder="1" applyAlignment="1">
      <alignment vertical="center"/>
    </xf>
    <xf numFmtId="169" fontId="8" fillId="0" borderId="1" xfId="0" applyNumberFormat="1" applyFont="1" applyFill="1" applyBorder="1" applyAlignment="1">
      <alignment horizontal="center" vertical="center"/>
    </xf>
    <xf numFmtId="4" fontId="8" fillId="0" borderId="0" xfId="0" applyNumberFormat="1" applyFont="1" applyFill="1" applyBorder="1" applyAlignment="1">
      <alignment horizontal="left" vertical="center"/>
    </xf>
    <xf numFmtId="166" fontId="8" fillId="0" borderId="1" xfId="7" applyNumberFormat="1" applyFont="1" applyFill="1" applyBorder="1" applyAlignment="1">
      <alignment horizontal="center" vertical="center"/>
    </xf>
    <xf numFmtId="168" fontId="7" fillId="0" borderId="1" xfId="0" applyNumberFormat="1" applyFont="1" applyFill="1" applyBorder="1" applyAlignment="1">
      <alignment horizontal="center" vertical="center"/>
    </xf>
    <xf numFmtId="0" fontId="14" fillId="0" borderId="0" xfId="0" applyFont="1" applyFill="1" applyBorder="1" applyAlignment="1">
      <alignment vertical="center"/>
    </xf>
    <xf numFmtId="171" fontId="15" fillId="0" borderId="1" xfId="0" applyNumberFormat="1" applyFont="1" applyFill="1" applyBorder="1" applyAlignment="1">
      <alignment horizontal="center" vertical="center"/>
    </xf>
    <xf numFmtId="0" fontId="7" fillId="0" borderId="2" xfId="0" applyFont="1" applyFill="1" applyBorder="1" applyAlignment="1">
      <alignment horizontal="center" vertical="center"/>
    </xf>
    <xf numFmtId="169" fontId="8" fillId="0" borderId="1" xfId="0" applyNumberFormat="1" applyFont="1" applyFill="1" applyBorder="1" applyAlignment="1">
      <alignment horizontal="right" vertical="center" wrapText="1"/>
    </xf>
    <xf numFmtId="169" fontId="7" fillId="0" borderId="1" xfId="0" applyNumberFormat="1" applyFont="1" applyFill="1" applyBorder="1" applyAlignment="1">
      <alignment horizontal="right" vertical="center" wrapText="1"/>
    </xf>
    <xf numFmtId="0" fontId="7" fillId="0" borderId="0" xfId="5" applyFont="1" applyBorder="1" applyAlignment="1">
      <alignment horizontal="left"/>
    </xf>
    <xf numFmtId="14" fontId="7" fillId="0" borderId="0" xfId="5" applyNumberFormat="1" applyFont="1" applyBorder="1" applyAlignment="1">
      <alignment horizontal="left"/>
    </xf>
    <xf numFmtId="0" fontId="7" fillId="0" borderId="0" xfId="5" applyFont="1" applyBorder="1" applyAlignment="1">
      <alignment horizontal="center"/>
    </xf>
    <xf numFmtId="0" fontId="8" fillId="0" borderId="0" xfId="5" applyFont="1" applyBorder="1"/>
    <xf numFmtId="0" fontId="8" fillId="0" borderId="0" xfId="5" applyFont="1" applyFill="1" applyBorder="1" applyAlignment="1">
      <alignment horizontal="left"/>
    </xf>
    <xf numFmtId="171" fontId="15" fillId="0" borderId="0" xfId="5" applyNumberFormat="1" applyFont="1" applyFill="1" applyBorder="1" applyAlignment="1">
      <alignment horizontal="center"/>
    </xf>
    <xf numFmtId="0" fontId="7" fillId="0" borderId="1" xfId="5" applyFont="1" applyBorder="1" applyAlignment="1">
      <alignment horizontal="center" vertical="center" wrapText="1"/>
    </xf>
    <xf numFmtId="0" fontId="7" fillId="0" borderId="1" xfId="5" applyFont="1" applyBorder="1" applyAlignment="1">
      <alignment horizontal="center" vertical="center"/>
    </xf>
    <xf numFmtId="1" fontId="8" fillId="0" borderId="1" xfId="5" applyNumberFormat="1" applyFont="1" applyBorder="1" applyAlignment="1">
      <alignment horizontal="left" vertical="center" wrapText="1"/>
    </xf>
    <xf numFmtId="169" fontId="8" fillId="0" borderId="1" xfId="5" applyNumberFormat="1" applyFont="1" applyBorder="1" applyAlignment="1">
      <alignment horizontal="center" vertical="center" wrapText="1"/>
    </xf>
    <xf numFmtId="0" fontId="8" fillId="0" borderId="1" xfId="5" applyFont="1" applyBorder="1" applyAlignment="1">
      <alignment horizontal="left" vertical="center" wrapText="1"/>
    </xf>
    <xf numFmtId="166" fontId="8" fillId="0" borderId="1" xfId="5" applyNumberFormat="1" applyFont="1" applyBorder="1" applyAlignment="1">
      <alignment horizontal="center" vertical="center" wrapText="1"/>
    </xf>
    <xf numFmtId="169" fontId="8" fillId="0" borderId="1" xfId="5" applyNumberFormat="1" applyFont="1" applyBorder="1" applyAlignment="1">
      <alignment horizontal="center" vertical="center"/>
    </xf>
    <xf numFmtId="0" fontId="8" fillId="0" borderId="0" xfId="5" applyFont="1" applyBorder="1" applyAlignment="1"/>
    <xf numFmtId="0" fontId="8" fillId="0" borderId="0" xfId="5" applyFont="1" applyAlignment="1">
      <alignment horizontal="center"/>
    </xf>
    <xf numFmtId="169" fontId="8" fillId="0" borderId="0" xfId="5" applyNumberFormat="1" applyFont="1" applyAlignment="1">
      <alignment horizontal="center"/>
    </xf>
    <xf numFmtId="0" fontId="8" fillId="0" borderId="0" xfId="5" applyFont="1" applyBorder="1" applyAlignment="1">
      <alignment vertical="center"/>
    </xf>
    <xf numFmtId="0" fontId="8" fillId="0" borderId="0" xfId="5" applyFont="1" applyAlignment="1"/>
    <xf numFmtId="0" fontId="9" fillId="0" borderId="0" xfId="5" applyAlignment="1"/>
    <xf numFmtId="14" fontId="6" fillId="0" borderId="0" xfId="0" applyNumberFormat="1" applyFont="1" applyBorder="1" applyAlignment="1">
      <alignment horizontal="center" vertical="center"/>
    </xf>
    <xf numFmtId="0" fontId="9" fillId="0" borderId="0" xfId="5"/>
    <xf numFmtId="0" fontId="6" fillId="0" borderId="0" xfId="5" applyFont="1" applyFill="1" applyBorder="1" applyAlignment="1">
      <alignment horizontal="left" vertical="center"/>
    </xf>
    <xf numFmtId="14" fontId="15" fillId="0" borderId="0" xfId="5" applyNumberFormat="1" applyFont="1" applyAlignment="1">
      <alignment horizontal="left"/>
    </xf>
    <xf numFmtId="0" fontId="9" fillId="0" borderId="0" xfId="5" applyAlignment="1">
      <alignment horizontal="center"/>
    </xf>
    <xf numFmtId="0" fontId="9" fillId="0" borderId="0" xfId="5" applyBorder="1"/>
    <xf numFmtId="0" fontId="6" fillId="0" borderId="21" xfId="5" applyFont="1" applyBorder="1" applyAlignment="1">
      <alignment horizontal="center"/>
    </xf>
    <xf numFmtId="0" fontId="7" fillId="0" borderId="20" xfId="5" applyFont="1" applyBorder="1" applyAlignment="1">
      <alignment horizontal="right" wrapText="1"/>
    </xf>
    <xf numFmtId="0" fontId="7" fillId="0" borderId="25" xfId="5" applyFont="1" applyBorder="1" applyAlignment="1">
      <alignment horizontal="center" vertical="center" wrapText="1"/>
    </xf>
    <xf numFmtId="169" fontId="7" fillId="0" borderId="26" xfId="5" applyNumberFormat="1" applyFont="1" applyBorder="1" applyAlignment="1">
      <alignment horizontal="center" vertical="center" wrapText="1"/>
    </xf>
    <xf numFmtId="169" fontId="7" fillId="0" borderId="24" xfId="5" applyNumberFormat="1" applyFont="1" applyBorder="1" applyAlignment="1">
      <alignment horizontal="center" vertical="center" wrapText="1"/>
    </xf>
    <xf numFmtId="0" fontId="7" fillId="0" borderId="20" xfId="5" applyFont="1" applyBorder="1" applyAlignment="1">
      <alignment horizontal="center" vertical="center" wrapText="1"/>
    </xf>
    <xf numFmtId="0" fontId="7" fillId="0" borderId="22" xfId="5" applyFont="1" applyBorder="1" applyAlignment="1">
      <alignment horizontal="center" vertical="center" wrapText="1"/>
    </xf>
    <xf numFmtId="4" fontId="8" fillId="0" borderId="27" xfId="5" applyNumberFormat="1" applyFont="1" applyBorder="1" applyAlignment="1">
      <alignment horizontal="right"/>
    </xf>
    <xf numFmtId="169" fontId="8" fillId="0" borderId="28" xfId="5" applyNumberFormat="1" applyFont="1" applyBorder="1" applyAlignment="1">
      <alignment horizontal="center" vertical="center" wrapText="1"/>
    </xf>
    <xf numFmtId="169" fontId="8" fillId="0" borderId="29" xfId="5" applyNumberFormat="1" applyFont="1" applyFill="1" applyBorder="1" applyAlignment="1">
      <alignment horizontal="center" vertical="center"/>
    </xf>
    <xf numFmtId="169" fontId="8" fillId="0" borderId="30" xfId="5" applyNumberFormat="1" applyFont="1" applyFill="1" applyBorder="1" applyAlignment="1">
      <alignment horizontal="center" vertical="center"/>
    </xf>
    <xf numFmtId="169" fontId="7" fillId="0" borderId="27" xfId="5" applyNumberFormat="1" applyFont="1" applyFill="1" applyBorder="1" applyAlignment="1">
      <alignment horizontal="center" vertical="center"/>
    </xf>
    <xf numFmtId="167" fontId="7" fillId="0" borderId="33" xfId="5" applyNumberFormat="1" applyFont="1" applyBorder="1" applyAlignment="1">
      <alignment horizontal="center" vertical="center"/>
    </xf>
    <xf numFmtId="168" fontId="7" fillId="0" borderId="34" xfId="5" applyNumberFormat="1" applyFont="1" applyBorder="1" applyAlignment="1">
      <alignment horizontal="center" vertical="center"/>
    </xf>
    <xf numFmtId="4" fontId="8" fillId="0" borderId="35" xfId="5" applyNumberFormat="1" applyFont="1" applyBorder="1" applyAlignment="1">
      <alignment horizontal="right"/>
    </xf>
    <xf numFmtId="169" fontId="8" fillId="0" borderId="35" xfId="5" applyNumberFormat="1" applyFont="1" applyBorder="1" applyAlignment="1">
      <alignment horizontal="center" vertical="center" wrapText="1"/>
    </xf>
    <xf numFmtId="169" fontId="8" fillId="0" borderId="34" xfId="5" applyNumberFormat="1" applyFont="1" applyFill="1" applyBorder="1" applyAlignment="1">
      <alignment horizontal="center" vertical="center"/>
    </xf>
    <xf numFmtId="169" fontId="8" fillId="0" borderId="36" xfId="5" applyNumberFormat="1" applyFont="1" applyFill="1" applyBorder="1" applyAlignment="1">
      <alignment horizontal="center" vertical="center"/>
    </xf>
    <xf numFmtId="169" fontId="7" fillId="0" borderId="37" xfId="5" applyNumberFormat="1" applyFont="1" applyFill="1" applyBorder="1" applyAlignment="1">
      <alignment horizontal="center" vertical="center"/>
    </xf>
    <xf numFmtId="169" fontId="7" fillId="0" borderId="35" xfId="5" applyNumberFormat="1" applyFont="1" applyFill="1" applyBorder="1" applyAlignment="1">
      <alignment horizontal="center" vertical="center"/>
    </xf>
    <xf numFmtId="169" fontId="8" fillId="0" borderId="38" xfId="5" applyNumberFormat="1" applyFont="1" applyBorder="1" applyAlignment="1">
      <alignment horizontal="center" vertical="center" wrapText="1"/>
    </xf>
    <xf numFmtId="4" fontId="8" fillId="0" borderId="37" xfId="5" applyNumberFormat="1" applyFont="1" applyBorder="1" applyAlignment="1">
      <alignment horizontal="right"/>
    </xf>
    <xf numFmtId="168" fontId="7" fillId="0" borderId="39" xfId="5" applyNumberFormat="1" applyFont="1" applyBorder="1" applyAlignment="1">
      <alignment horizontal="center" vertical="center"/>
    </xf>
    <xf numFmtId="4" fontId="8" fillId="0" borderId="40" xfId="5" applyNumberFormat="1" applyFont="1" applyBorder="1" applyAlignment="1">
      <alignment horizontal="right"/>
    </xf>
    <xf numFmtId="169" fontId="8" fillId="0" borderId="39" xfId="5" applyNumberFormat="1" applyFont="1" applyFill="1" applyBorder="1" applyAlignment="1">
      <alignment horizontal="center" vertical="center"/>
    </xf>
    <xf numFmtId="169" fontId="8" fillId="0" borderId="41" xfId="5" applyNumberFormat="1" applyFont="1" applyFill="1" applyBorder="1" applyAlignment="1">
      <alignment horizontal="center" vertical="center"/>
    </xf>
    <xf numFmtId="167" fontId="7" fillId="0" borderId="42" xfId="5" applyNumberFormat="1" applyFont="1" applyBorder="1" applyAlignment="1">
      <alignment horizontal="center" vertical="center"/>
    </xf>
    <xf numFmtId="4" fontId="8" fillId="0" borderId="43" xfId="5" applyNumberFormat="1" applyFont="1" applyBorder="1" applyAlignment="1">
      <alignment horizontal="right"/>
    </xf>
    <xf numFmtId="169" fontId="8" fillId="0" borderId="44" xfId="13" applyNumberFormat="1" applyFont="1" applyBorder="1" applyAlignment="1">
      <alignment horizontal="center" vertical="center"/>
    </xf>
    <xf numFmtId="169" fontId="8" fillId="0" borderId="45" xfId="5" applyNumberFormat="1" applyFont="1" applyFill="1" applyBorder="1" applyAlignment="1">
      <alignment horizontal="center" vertical="center"/>
    </xf>
    <xf numFmtId="169" fontId="8" fillId="0" borderId="46" xfId="5" applyNumberFormat="1" applyFont="1" applyFill="1" applyBorder="1" applyAlignment="1">
      <alignment horizontal="center" vertical="center"/>
    </xf>
    <xf numFmtId="169" fontId="7" fillId="0" borderId="43" xfId="5" applyNumberFormat="1" applyFont="1" applyFill="1" applyBorder="1" applyAlignment="1">
      <alignment horizontal="center" vertical="center"/>
    </xf>
    <xf numFmtId="167" fontId="7" fillId="0" borderId="44" xfId="5" applyNumberFormat="1" applyFont="1" applyBorder="1" applyAlignment="1">
      <alignment horizontal="center" vertical="center"/>
    </xf>
    <xf numFmtId="168" fontId="7" fillId="0" borderId="45" xfId="5" applyNumberFormat="1" applyFont="1" applyBorder="1" applyAlignment="1">
      <alignment horizontal="center" vertical="center"/>
    </xf>
    <xf numFmtId="4" fontId="7" fillId="0" borderId="0" xfId="5" applyNumberFormat="1" applyFont="1" applyBorder="1" applyAlignment="1">
      <alignment horizontal="right"/>
    </xf>
    <xf numFmtId="169" fontId="7" fillId="0" borderId="0" xfId="13" applyNumberFormat="1" applyFont="1" applyBorder="1" applyAlignment="1">
      <alignment horizontal="center"/>
    </xf>
    <xf numFmtId="169" fontId="7" fillId="0" borderId="0" xfId="5" applyNumberFormat="1" applyFont="1" applyBorder="1" applyAlignment="1">
      <alignment horizontal="center"/>
    </xf>
    <xf numFmtId="4" fontId="15" fillId="0" borderId="0" xfId="5" applyNumberFormat="1" applyFont="1" applyBorder="1" applyAlignment="1">
      <alignment horizontal="left"/>
    </xf>
    <xf numFmtId="4" fontId="14" fillId="0" borderId="0" xfId="5" applyNumberFormat="1" applyFont="1" applyFill="1" applyBorder="1" applyAlignment="1">
      <alignment horizontal="left"/>
    </xf>
    <xf numFmtId="4" fontId="7" fillId="0" borderId="0" xfId="5" applyNumberFormat="1" applyFont="1" applyFill="1" applyBorder="1" applyAlignment="1">
      <alignment horizontal="left"/>
    </xf>
    <xf numFmtId="4" fontId="8" fillId="0" borderId="0" xfId="5" applyNumberFormat="1" applyFont="1" applyFill="1" applyBorder="1" applyAlignment="1">
      <alignment horizontal="left"/>
    </xf>
    <xf numFmtId="0" fontId="23" fillId="0" borderId="48" xfId="5" applyFont="1" applyBorder="1" applyAlignment="1">
      <alignment vertical="center" wrapText="1"/>
    </xf>
    <xf numFmtId="0" fontId="23" fillId="0" borderId="18" xfId="5" applyFont="1" applyBorder="1" applyAlignment="1">
      <alignment horizontal="center" vertical="center" wrapText="1"/>
    </xf>
    <xf numFmtId="0" fontId="23" fillId="0" borderId="19" xfId="5" applyFont="1" applyBorder="1" applyAlignment="1">
      <alignment horizontal="center" vertical="center"/>
    </xf>
    <xf numFmtId="0" fontId="23" fillId="0" borderId="0" xfId="5" applyFont="1" applyBorder="1" applyAlignment="1">
      <alignment horizontal="center" vertical="center"/>
    </xf>
    <xf numFmtId="0" fontId="23" fillId="0" borderId="0" xfId="5" applyFont="1" applyBorder="1"/>
    <xf numFmtId="0" fontId="23" fillId="0" borderId="0" xfId="5" applyFont="1" applyBorder="1" applyAlignment="1">
      <alignment wrapText="1"/>
    </xf>
    <xf numFmtId="0" fontId="23" fillId="0" borderId="0" xfId="5" applyFont="1" applyBorder="1" applyAlignment="1">
      <alignment vertical="center" wrapText="1"/>
    </xf>
    <xf numFmtId="0" fontId="18" fillId="0" borderId="3" xfId="5" applyFont="1" applyBorder="1" applyAlignment="1">
      <alignment vertical="center" wrapText="1"/>
    </xf>
    <xf numFmtId="167" fontId="3" fillId="0" borderId="1" xfId="5" applyNumberFormat="1" applyFont="1" applyBorder="1" applyAlignment="1">
      <alignment horizontal="center"/>
    </xf>
    <xf numFmtId="167" fontId="1" fillId="0" borderId="13" xfId="5" applyNumberFormat="1" applyFont="1" applyBorder="1" applyAlignment="1">
      <alignment horizontal="center" vertical="center"/>
    </xf>
    <xf numFmtId="167" fontId="1" fillId="0" borderId="0" xfId="5" applyNumberFormat="1" applyFont="1" applyBorder="1" applyAlignment="1">
      <alignment horizontal="center" vertical="center"/>
    </xf>
    <xf numFmtId="0" fontId="3" fillId="0" borderId="3" xfId="5" applyFont="1" applyBorder="1"/>
    <xf numFmtId="0" fontId="3" fillId="0" borderId="0" xfId="5" applyFont="1" applyBorder="1"/>
    <xf numFmtId="0" fontId="3" fillId="0" borderId="49" xfId="5" applyFont="1" applyBorder="1"/>
    <xf numFmtId="0" fontId="23" fillId="0" borderId="10" xfId="5" applyFont="1" applyBorder="1"/>
    <xf numFmtId="167" fontId="23" fillId="0" borderId="11" xfId="5" applyNumberFormat="1" applyFont="1" applyBorder="1" applyAlignment="1">
      <alignment horizontal="center"/>
    </xf>
    <xf numFmtId="167" fontId="23" fillId="0" borderId="14" xfId="5" applyNumberFormat="1" applyFont="1" applyBorder="1" applyAlignment="1">
      <alignment horizontal="center"/>
    </xf>
    <xf numFmtId="167" fontId="23" fillId="0" borderId="0" xfId="5" applyNumberFormat="1" applyFont="1" applyBorder="1" applyAlignment="1">
      <alignment horizontal="center"/>
    </xf>
    <xf numFmtId="173" fontId="23" fillId="0" borderId="0" xfId="5" applyNumberFormat="1" applyFont="1" applyBorder="1"/>
    <xf numFmtId="0" fontId="3" fillId="0" borderId="0" xfId="5" applyFont="1"/>
    <xf numFmtId="0" fontId="23" fillId="0" borderId="48" xfId="5" applyFont="1" applyFill="1" applyBorder="1" applyAlignment="1">
      <alignment horizontal="left" vertical="center"/>
    </xf>
    <xf numFmtId="0" fontId="23" fillId="0" borderId="50" xfId="5" applyFont="1" applyBorder="1" applyAlignment="1">
      <alignment horizontal="center" vertical="center"/>
    </xf>
    <xf numFmtId="0" fontId="23" fillId="0" borderId="18" xfId="5" applyFont="1" applyFill="1" applyBorder="1" applyAlignment="1">
      <alignment horizontal="center" vertical="center" wrapText="1"/>
    </xf>
    <xf numFmtId="0" fontId="23" fillId="0" borderId="19" xfId="5" applyFont="1" applyFill="1" applyBorder="1" applyAlignment="1">
      <alignment horizontal="center" vertical="center" wrapText="1"/>
    </xf>
    <xf numFmtId="0" fontId="23" fillId="0" borderId="3" xfId="5" applyFont="1" applyFill="1" applyBorder="1" applyAlignment="1">
      <alignment horizontal="left" wrapText="1"/>
    </xf>
    <xf numFmtId="167" fontId="9" fillId="0" borderId="1" xfId="5" applyNumberFormat="1" applyBorder="1" applyAlignment="1">
      <alignment horizontal="center"/>
    </xf>
    <xf numFmtId="167" fontId="9" fillId="0" borderId="13" xfId="5" applyNumberFormat="1" applyBorder="1" applyAlignment="1">
      <alignment horizontal="center"/>
    </xf>
    <xf numFmtId="0" fontId="23" fillId="0" borderId="49" xfId="5" applyFont="1" applyFill="1" applyBorder="1" applyAlignment="1">
      <alignment horizontal="left" wrapText="1"/>
    </xf>
    <xf numFmtId="167" fontId="9" fillId="0" borderId="9" xfId="5" applyNumberFormat="1" applyBorder="1" applyAlignment="1">
      <alignment horizontal="center"/>
    </xf>
    <xf numFmtId="0" fontId="23" fillId="0" borderId="10" xfId="5" applyFont="1" applyFill="1" applyBorder="1" applyAlignment="1">
      <alignment horizontal="left"/>
    </xf>
    <xf numFmtId="167" fontId="9" fillId="0" borderId="11" xfId="5" applyNumberFormat="1" applyBorder="1" applyAlignment="1">
      <alignment horizontal="center"/>
    </xf>
    <xf numFmtId="167" fontId="9" fillId="0" borderId="14" xfId="5" applyNumberFormat="1" applyBorder="1" applyAlignment="1">
      <alignment horizontal="center"/>
    </xf>
    <xf numFmtId="0" fontId="8"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1" xfId="5" applyFont="1" applyFill="1" applyBorder="1" applyAlignment="1">
      <alignment horizontal="center" vertical="center"/>
    </xf>
    <xf numFmtId="0" fontId="8" fillId="0" borderId="1" xfId="5" applyFont="1" applyBorder="1" applyAlignment="1">
      <alignment horizontal="right" vertical="center" wrapText="1"/>
    </xf>
    <xf numFmtId="172" fontId="8" fillId="0" borderId="1" xfId="8" applyNumberFormat="1" applyFont="1" applyBorder="1" applyAlignment="1">
      <alignment vertical="center"/>
    </xf>
    <xf numFmtId="0" fontId="8" fillId="0" borderId="1" xfId="5" applyFont="1" applyFill="1" applyBorder="1" applyAlignment="1">
      <alignment horizontal="right" vertical="center"/>
    </xf>
    <xf numFmtId="0" fontId="8" fillId="0" borderId="1" xfId="5" applyFont="1" applyBorder="1" applyAlignment="1">
      <alignment horizontal="right" vertical="center"/>
    </xf>
    <xf numFmtId="172" fontId="8" fillId="0" borderId="1" xfId="8" applyNumberFormat="1" applyFont="1" applyBorder="1" applyAlignment="1">
      <alignment horizontal="right" vertical="center"/>
    </xf>
    <xf numFmtId="0" fontId="6" fillId="0" borderId="21" xfId="5" applyFont="1" applyBorder="1" applyAlignment="1">
      <alignment horizontal="center"/>
    </xf>
    <xf numFmtId="0" fontId="13" fillId="0" borderId="0" xfId="0" applyFont="1" applyAlignment="1">
      <alignment horizontal="center" vertical="center"/>
    </xf>
    <xf numFmtId="167" fontId="8" fillId="0" borderId="1" xfId="8" applyNumberFormat="1" applyFont="1" applyBorder="1" applyAlignment="1">
      <alignment vertical="center"/>
    </xf>
    <xf numFmtId="0" fontId="13" fillId="0" borderId="0" xfId="0" applyFont="1" applyAlignment="1">
      <alignment vertical="center"/>
    </xf>
    <xf numFmtId="1" fontId="8" fillId="0" borderId="15" xfId="0" applyNumberFormat="1" applyFont="1" applyBorder="1" applyAlignment="1">
      <alignment horizontal="left" vertical="center" wrapText="1"/>
    </xf>
    <xf numFmtId="1" fontId="8" fillId="0" borderId="3" xfId="0" applyNumberFormat="1" applyFont="1" applyBorder="1" applyAlignment="1">
      <alignment horizontal="left" vertical="center"/>
    </xf>
    <xf numFmtId="172" fontId="8" fillId="0" borderId="1" xfId="1" applyNumberFormat="1" applyFont="1" applyBorder="1" applyAlignment="1">
      <alignment horizontal="center" vertical="center"/>
    </xf>
    <xf numFmtId="0" fontId="8" fillId="0" borderId="16" xfId="5" applyFont="1" applyFill="1" applyBorder="1" applyAlignment="1">
      <alignment horizontal="left" vertical="center"/>
    </xf>
    <xf numFmtId="169" fontId="8" fillId="0" borderId="1" xfId="5" applyNumberFormat="1" applyFont="1" applyFill="1" applyBorder="1" applyAlignment="1">
      <alignment horizontal="center" vertical="center"/>
    </xf>
    <xf numFmtId="166" fontId="8" fillId="0" borderId="1" xfId="7" applyNumberFormat="1" applyFont="1" applyFill="1" applyBorder="1" applyAlignment="1">
      <alignment horizontal="right" vertical="center"/>
    </xf>
    <xf numFmtId="0" fontId="7" fillId="0" borderId="26" xfId="5" applyFont="1" applyBorder="1" applyAlignment="1">
      <alignment horizontal="center" vertical="center" wrapText="1"/>
    </xf>
    <xf numFmtId="0" fontId="15" fillId="0" borderId="0" xfId="5" applyFont="1" applyFill="1" applyBorder="1" applyAlignment="1">
      <alignment horizontal="left" vertical="center"/>
    </xf>
    <xf numFmtId="0" fontId="15" fillId="0" borderId="0" xfId="5" applyFont="1" applyAlignment="1">
      <alignment horizontal="center" vertical="center"/>
    </xf>
    <xf numFmtId="169" fontId="7" fillId="0" borderId="47" xfId="5" quotePrefix="1" applyNumberFormat="1" applyFont="1" applyFill="1" applyBorder="1" applyAlignment="1">
      <alignment horizontal="center" vertical="center"/>
    </xf>
    <xf numFmtId="169" fontId="7" fillId="0" borderId="35" xfId="5" quotePrefix="1" applyNumberFormat="1" applyFont="1" applyFill="1" applyBorder="1" applyAlignment="1">
      <alignment horizontal="center" vertical="center"/>
    </xf>
    <xf numFmtId="169" fontId="3" fillId="0" borderId="0" xfId="5" applyNumberFormat="1" applyFont="1" applyAlignment="1">
      <alignment horizontal="center"/>
    </xf>
    <xf numFmtId="169" fontId="7" fillId="0" borderId="31" xfId="5" quotePrefix="1" applyNumberFormat="1" applyFont="1" applyFill="1" applyBorder="1" applyAlignment="1">
      <alignment horizontal="center" vertical="center"/>
    </xf>
    <xf numFmtId="167" fontId="7" fillId="0" borderId="32" xfId="5" quotePrefix="1" applyNumberFormat="1" applyFont="1" applyBorder="1" applyAlignment="1">
      <alignment horizontal="center" vertical="center"/>
    </xf>
    <xf numFmtId="168" fontId="7" fillId="0" borderId="29" xfId="5" quotePrefix="1" applyNumberFormat="1" applyFont="1" applyBorder="1" applyAlignment="1">
      <alignment horizontal="center" vertical="center"/>
    </xf>
    <xf numFmtId="4" fontId="7" fillId="0" borderId="0" xfId="5" applyNumberFormat="1" applyFont="1" applyFill="1" applyBorder="1" applyAlignment="1">
      <alignment horizontal="left"/>
    </xf>
    <xf numFmtId="0" fontId="8" fillId="0" borderId="1" xfId="0" applyFont="1" applyBorder="1" applyAlignment="1">
      <alignment horizontal="left" vertical="center"/>
    </xf>
    <xf numFmtId="0" fontId="6" fillId="0" borderId="0" xfId="0" applyFont="1" applyBorder="1" applyAlignment="1">
      <alignment horizontal="left"/>
    </xf>
    <xf numFmtId="168" fontId="0" fillId="0" borderId="0" xfId="0" applyNumberFormat="1"/>
    <xf numFmtId="0" fontId="8" fillId="0" borderId="1" xfId="5" applyFont="1" applyBorder="1" applyAlignment="1">
      <alignment vertical="top" wrapText="1"/>
    </xf>
    <xf numFmtId="0" fontId="6" fillId="0" borderId="0" xfId="5" applyFont="1" applyFill="1" applyBorder="1" applyAlignment="1">
      <alignment horizontal="left" vertical="center"/>
    </xf>
    <xf numFmtId="1" fontId="15" fillId="0" borderId="0" xfId="5" quotePrefix="1" applyNumberFormat="1" applyFont="1" applyBorder="1" applyAlignment="1">
      <alignment horizontal="left"/>
    </xf>
    <xf numFmtId="1" fontId="15" fillId="0" borderId="0" xfId="5" applyNumberFormat="1" applyFont="1" applyBorder="1" applyAlignment="1">
      <alignment horizontal="left"/>
    </xf>
    <xf numFmtId="0" fontId="6" fillId="0" borderId="22" xfId="5" applyFont="1" applyBorder="1" applyAlignment="1">
      <alignment horizontal="center"/>
    </xf>
    <xf numFmtId="0" fontId="6" fillId="0" borderId="23" xfId="5" applyFont="1" applyBorder="1" applyAlignment="1">
      <alignment horizontal="center"/>
    </xf>
    <xf numFmtId="0" fontId="6" fillId="0" borderId="24" xfId="5" applyFont="1" applyBorder="1" applyAlignment="1">
      <alignment horizontal="center"/>
    </xf>
    <xf numFmtId="4" fontId="8" fillId="0" borderId="1" xfId="0" applyNumberFormat="1" applyFont="1" applyFill="1" applyBorder="1" applyAlignment="1">
      <alignment horizontal="left" vertical="center"/>
    </xf>
    <xf numFmtId="4" fontId="8" fillId="0" borderId="8" xfId="5" applyNumberFormat="1" applyFont="1" applyFill="1" applyBorder="1" applyAlignment="1">
      <alignment horizontal="left" vertical="top" wrapText="1"/>
    </xf>
    <xf numFmtId="4" fontId="8" fillId="0" borderId="17" xfId="5" applyNumberFormat="1" applyFont="1" applyFill="1" applyBorder="1" applyAlignment="1">
      <alignment horizontal="left" vertical="top" wrapText="1"/>
    </xf>
    <xf numFmtId="4" fontId="8" fillId="0" borderId="15" xfId="5" applyNumberFormat="1" applyFont="1" applyFill="1" applyBorder="1" applyAlignment="1">
      <alignment horizontal="left" vertical="top" wrapText="1"/>
    </xf>
    <xf numFmtId="0" fontId="6" fillId="0" borderId="8" xfId="5" applyFont="1" applyBorder="1" applyAlignment="1">
      <alignment horizontal="left" vertical="center"/>
    </xf>
    <xf numFmtId="0" fontId="6" fillId="0" borderId="17" xfId="5" applyFont="1" applyBorder="1" applyAlignment="1">
      <alignment horizontal="left" vertical="center"/>
    </xf>
    <xf numFmtId="0" fontId="6" fillId="0" borderId="15" xfId="5" applyFont="1" applyBorder="1" applyAlignment="1">
      <alignment horizontal="left" vertical="center"/>
    </xf>
    <xf numFmtId="0" fontId="7" fillId="0" borderId="1" xfId="5" applyFont="1" applyBorder="1" applyAlignment="1">
      <alignment horizontal="center" wrapText="1"/>
    </xf>
    <xf numFmtId="0" fontId="7" fillId="0" borderId="5" xfId="0" applyFont="1" applyBorder="1" applyAlignment="1">
      <alignment horizontal="left" vertical="center" wrapText="1"/>
    </xf>
    <xf numFmtId="0" fontId="7" fillId="0" borderId="17" xfId="0" applyFont="1" applyBorder="1" applyAlignment="1">
      <alignment horizontal="left" vertical="center" wrapText="1"/>
    </xf>
    <xf numFmtId="0" fontId="7" fillId="0" borderId="15" xfId="0" applyFont="1" applyBorder="1" applyAlignment="1">
      <alignment horizontal="left" vertical="center" wrapText="1"/>
    </xf>
    <xf numFmtId="0" fontId="8" fillId="0" borderId="1"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15" xfId="0" applyFont="1" applyBorder="1" applyAlignment="1">
      <alignment horizontal="left" vertical="center"/>
    </xf>
    <xf numFmtId="0" fontId="15" fillId="0" borderId="9" xfId="0" applyFont="1" applyFill="1" applyBorder="1" applyAlignment="1">
      <alignment vertical="center"/>
    </xf>
    <xf numFmtId="0" fontId="7"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14" fillId="0" borderId="1" xfId="0" applyFont="1" applyBorder="1" applyAlignment="1">
      <alignment vertical="center"/>
    </xf>
    <xf numFmtId="0" fontId="6" fillId="0" borderId="1" xfId="0" applyFont="1" applyBorder="1" applyAlignment="1">
      <alignment horizontal="left" vertical="center"/>
    </xf>
    <xf numFmtId="0" fontId="24" fillId="0" borderId="1" xfId="0" applyFont="1" applyBorder="1" applyAlignment="1">
      <alignment horizontal="left"/>
    </xf>
    <xf numFmtId="0" fontId="14" fillId="0" borderId="8" xfId="0" applyFont="1" applyBorder="1" applyAlignment="1">
      <alignment horizontal="left" vertical="center"/>
    </xf>
    <xf numFmtId="0" fontId="14" fillId="0" borderId="17" xfId="0" applyFont="1" applyBorder="1" applyAlignment="1">
      <alignment horizontal="left" vertical="center"/>
    </xf>
    <xf numFmtId="0" fontId="14" fillId="0" borderId="15" xfId="0" applyFont="1" applyBorder="1" applyAlignment="1">
      <alignment horizontal="left" vertical="center"/>
    </xf>
    <xf numFmtId="169" fontId="8" fillId="0" borderId="1" xfId="0" applyNumberFormat="1" applyFont="1" applyFill="1" applyBorder="1" applyAlignment="1">
      <alignment horizontal="left" vertical="center"/>
    </xf>
    <xf numFmtId="0" fontId="8" fillId="0" borderId="1" xfId="5" applyFont="1" applyFill="1" applyBorder="1" applyAlignment="1">
      <alignment vertical="center"/>
    </xf>
    <xf numFmtId="0" fontId="7" fillId="0" borderId="1" xfId="0" applyFont="1" applyBorder="1" applyAlignment="1">
      <alignment horizontal="left" vertical="center"/>
    </xf>
    <xf numFmtId="169" fontId="11" fillId="0" borderId="9" xfId="7" applyNumberFormat="1" applyFont="1" applyBorder="1" applyAlignment="1">
      <alignment horizontal="center" vertical="center" wrapText="1"/>
    </xf>
    <xf numFmtId="169" fontId="11" fillId="0" borderId="12" xfId="0" applyNumberFormat="1" applyFont="1" applyBorder="1" applyAlignment="1">
      <alignment horizontal="center" vertical="center" wrapText="1"/>
    </xf>
    <xf numFmtId="169" fontId="11" fillId="0" borderId="2" xfId="0" applyNumberFormat="1" applyFont="1" applyBorder="1" applyAlignment="1">
      <alignment horizontal="center" vertical="center" wrapText="1"/>
    </xf>
    <xf numFmtId="0" fontId="8" fillId="0" borderId="1" xfId="0" applyFont="1" applyBorder="1" applyAlignment="1">
      <alignment vertical="center"/>
    </xf>
    <xf numFmtId="0" fontId="7" fillId="0" borderId="1" xfId="0" applyFont="1" applyBorder="1" applyAlignment="1">
      <alignment horizontal="left"/>
    </xf>
    <xf numFmtId="0" fontId="8" fillId="0" borderId="8" xfId="0" applyFont="1" applyBorder="1" applyAlignment="1">
      <alignment vertical="center" wrapText="1"/>
    </xf>
    <xf numFmtId="0" fontId="8" fillId="0" borderId="17" xfId="0" applyFont="1" applyBorder="1" applyAlignment="1">
      <alignment vertical="center" wrapText="1"/>
    </xf>
    <xf numFmtId="0" fontId="8" fillId="0" borderId="15" xfId="0" applyFont="1" applyBorder="1" applyAlignment="1">
      <alignment vertical="center" wrapText="1"/>
    </xf>
    <xf numFmtId="0" fontId="7" fillId="0" borderId="1" xfId="0" applyFont="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6" fillId="0" borderId="8" xfId="0" applyFont="1" applyBorder="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4" borderId="1" xfId="0" applyFont="1" applyFill="1" applyBorder="1" applyAlignment="1">
      <alignment horizontal="center" vertical="center"/>
    </xf>
    <xf numFmtId="0" fontId="25" fillId="0" borderId="1" xfId="0" applyFont="1" applyFill="1" applyBorder="1" applyAlignment="1">
      <alignment horizontal="left" vertical="center"/>
    </xf>
    <xf numFmtId="0" fontId="11" fillId="0" borderId="1" xfId="0" applyFont="1" applyBorder="1" applyAlignment="1">
      <alignment vertical="top" wrapText="1"/>
    </xf>
  </cellXfs>
  <cellStyles count="15">
    <cellStyle name="Comma" xfId="1" builtinId="3"/>
    <cellStyle name="Comma 2" xfId="2"/>
    <cellStyle name="Comma 2 2" xfId="9"/>
    <cellStyle name="Comma 3" xfId="8"/>
    <cellStyle name="Currency 2" xfId="10"/>
    <cellStyle name="Normal" xfId="0" builtinId="0"/>
    <cellStyle name="Normal 2" xfId="3"/>
    <cellStyle name="Normal 2 2" xfId="4"/>
    <cellStyle name="Normal 2 3" xfId="11"/>
    <cellStyle name="Normal 3" xfId="14"/>
    <cellStyle name="Normal 4 3" xfId="5"/>
    <cellStyle name="Normal 6" xfId="6"/>
    <cellStyle name="Normal 6 2" xfId="12"/>
    <cellStyle name="Percent" xfId="7" builtinId="5"/>
    <cellStyle name="Percent 2"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tabSelected="1" workbookViewId="0">
      <selection sqref="A1:I1"/>
    </sheetView>
  </sheetViews>
  <sheetFormatPr defaultRowHeight="12.75" x14ac:dyDescent="0.2"/>
  <cols>
    <col min="1" max="1" width="20.7109375" customWidth="1"/>
    <col min="2" max="7" width="15.7109375" customWidth="1"/>
    <col min="8" max="15" width="16.7109375" customWidth="1"/>
  </cols>
  <sheetData>
    <row r="1" spans="1:15" ht="18" x14ac:dyDescent="0.2">
      <c r="A1" s="261" t="s">
        <v>171</v>
      </c>
      <c r="B1" s="261"/>
      <c r="C1" s="261"/>
      <c r="D1" s="261"/>
      <c r="E1" s="261"/>
      <c r="F1" s="261"/>
      <c r="G1" s="261"/>
      <c r="H1" s="261"/>
      <c r="I1" s="261"/>
      <c r="J1" s="150">
        <v>42639</v>
      </c>
      <c r="K1" s="249" t="s">
        <v>12</v>
      </c>
      <c r="L1" s="249" t="s">
        <v>12</v>
      </c>
      <c r="M1" s="151"/>
      <c r="N1" s="151"/>
      <c r="O1" s="151"/>
    </row>
    <row r="2" spans="1:15" ht="18" x14ac:dyDescent="0.25">
      <c r="A2" s="152" t="s">
        <v>146</v>
      </c>
      <c r="B2" s="152"/>
      <c r="C2" s="152"/>
      <c r="D2" s="248" t="s">
        <v>12</v>
      </c>
      <c r="E2" s="152"/>
      <c r="F2" s="152"/>
      <c r="G2" s="152"/>
      <c r="H2" s="152"/>
      <c r="I2" s="152"/>
      <c r="J2" s="153"/>
      <c r="K2" s="154"/>
      <c r="L2" s="151"/>
      <c r="M2" s="151"/>
      <c r="N2" s="151"/>
      <c r="O2" s="151"/>
    </row>
    <row r="3" spans="1:15" ht="16.5" thickBot="1" x14ac:dyDescent="0.3">
      <c r="A3" s="262">
        <v>37209166</v>
      </c>
      <c r="B3" s="263"/>
      <c r="C3" s="154"/>
      <c r="D3" s="154"/>
      <c r="E3" s="252" t="s">
        <v>12</v>
      </c>
      <c r="F3" s="154"/>
      <c r="G3" s="154"/>
      <c r="H3" s="154"/>
      <c r="I3" s="154"/>
      <c r="J3" s="154"/>
      <c r="K3" s="154"/>
      <c r="L3" s="151"/>
      <c r="M3" s="151"/>
      <c r="N3" s="151"/>
      <c r="O3" s="151"/>
    </row>
    <row r="4" spans="1:15" ht="18.75" thickBot="1" x14ac:dyDescent="0.3">
      <c r="A4" s="155"/>
      <c r="B4" s="237"/>
      <c r="C4" s="237"/>
      <c r="D4" s="237"/>
      <c r="E4" s="237"/>
      <c r="F4" s="156"/>
      <c r="G4" s="264" t="s">
        <v>147</v>
      </c>
      <c r="H4" s="265"/>
      <c r="I4" s="265"/>
      <c r="J4" s="265"/>
      <c r="K4" s="265"/>
      <c r="L4" s="265"/>
      <c r="M4" s="265"/>
      <c r="N4" s="266"/>
    </row>
    <row r="5" spans="1:15" ht="69.95" customHeight="1" thickBot="1" x14ac:dyDescent="0.3">
      <c r="A5" s="157" t="s">
        <v>148</v>
      </c>
      <c r="B5" s="158" t="s">
        <v>149</v>
      </c>
      <c r="C5" s="159" t="s">
        <v>150</v>
      </c>
      <c r="D5" s="160" t="s">
        <v>151</v>
      </c>
      <c r="E5" s="161" t="s">
        <v>152</v>
      </c>
      <c r="F5" s="162" t="s">
        <v>153</v>
      </c>
      <c r="G5" s="158" t="s">
        <v>154</v>
      </c>
      <c r="H5" s="247" t="s">
        <v>155</v>
      </c>
      <c r="I5" s="158" t="s">
        <v>156</v>
      </c>
      <c r="J5" s="247" t="s">
        <v>157</v>
      </c>
      <c r="K5" s="158" t="s">
        <v>158</v>
      </c>
      <c r="L5" s="247" t="s">
        <v>159</v>
      </c>
      <c r="M5" s="158" t="s">
        <v>160</v>
      </c>
      <c r="N5" s="247" t="s">
        <v>161</v>
      </c>
    </row>
    <row r="6" spans="1:15" ht="20.100000000000001" customHeight="1" x14ac:dyDescent="0.2">
      <c r="A6" s="163" t="s">
        <v>162</v>
      </c>
      <c r="B6" s="164">
        <f>'1st IA Configuration'!B8-'1st IA Configuration'!C8-'1st IA Configuration'!J8-'1st IA Configuration'!L8</f>
        <v>80.249399999998786</v>
      </c>
      <c r="C6" s="165" t="s">
        <v>24</v>
      </c>
      <c r="D6" s="166">
        <v>0</v>
      </c>
      <c r="E6" s="167">
        <v>0</v>
      </c>
      <c r="F6" s="253" t="s">
        <v>205</v>
      </c>
      <c r="G6" s="254" t="s">
        <v>205</v>
      </c>
      <c r="H6" s="255" t="s">
        <v>205</v>
      </c>
      <c r="I6" s="254" t="s">
        <v>205</v>
      </c>
      <c r="J6" s="255" t="s">
        <v>205</v>
      </c>
      <c r="K6" s="168" t="s">
        <v>163</v>
      </c>
      <c r="L6" s="169" t="s">
        <v>163</v>
      </c>
      <c r="M6" s="168" t="s">
        <v>163</v>
      </c>
      <c r="N6" s="169" t="s">
        <v>163</v>
      </c>
    </row>
    <row r="7" spans="1:15" ht="20.100000000000001" customHeight="1" x14ac:dyDescent="0.2">
      <c r="A7" s="170" t="s">
        <v>164</v>
      </c>
      <c r="B7" s="171">
        <f>'1st IA Configuration'!C8-'1st IA Configuration'!D8-'1st IA Configuration'!E8-'1st IA Configuration'!N8</f>
        <v>-1544.7000000000044</v>
      </c>
      <c r="C7" s="172" t="s">
        <v>24</v>
      </c>
      <c r="D7" s="173">
        <v>0</v>
      </c>
      <c r="E7" s="174">
        <v>-777.3</v>
      </c>
      <c r="F7" s="175" t="s">
        <v>202</v>
      </c>
      <c r="G7" s="168">
        <v>0</v>
      </c>
      <c r="H7" s="169">
        <v>17.39</v>
      </c>
      <c r="I7" s="168">
        <f>-E7</f>
        <v>777.3</v>
      </c>
      <c r="J7" s="169">
        <v>63.84</v>
      </c>
      <c r="K7" s="168" t="s">
        <v>163</v>
      </c>
      <c r="L7" s="169" t="s">
        <v>163</v>
      </c>
      <c r="M7" s="168" t="s">
        <v>163</v>
      </c>
      <c r="N7" s="169" t="s">
        <v>163</v>
      </c>
    </row>
    <row r="8" spans="1:15" ht="20.100000000000001" customHeight="1" x14ac:dyDescent="0.2">
      <c r="A8" s="170" t="s">
        <v>165</v>
      </c>
      <c r="B8" s="176">
        <f>'1st IA Configuration'!D8-'1st IA Configuration'!F8-'1st IA Configuration'!H8</f>
        <v>-793.19999999999436</v>
      </c>
      <c r="C8" s="172" t="s">
        <v>24</v>
      </c>
      <c r="D8" s="173">
        <v>0</v>
      </c>
      <c r="E8" s="174">
        <f t="shared" ref="E8:E17" si="0">ROUND(SUM(B8:D8),1)</f>
        <v>-793.2</v>
      </c>
      <c r="F8" s="175" t="s">
        <v>202</v>
      </c>
      <c r="G8" s="168">
        <v>0</v>
      </c>
      <c r="H8" s="169">
        <v>74.459999999999994</v>
      </c>
      <c r="I8" s="168">
        <f>-E8</f>
        <v>793.2</v>
      </c>
      <c r="J8" s="169">
        <v>164.42</v>
      </c>
      <c r="K8" s="168" t="s">
        <v>163</v>
      </c>
      <c r="L8" s="169" t="s">
        <v>163</v>
      </c>
      <c r="M8" s="168" t="s">
        <v>163</v>
      </c>
      <c r="N8" s="169" t="s">
        <v>163</v>
      </c>
    </row>
    <row r="9" spans="1:15" ht="20.100000000000001" customHeight="1" x14ac:dyDescent="0.2">
      <c r="A9" s="170" t="s">
        <v>166</v>
      </c>
      <c r="B9" s="171">
        <f>'1st IA Configuration'!E8-'1st IA Configuration'!I8-'1st IA Configuration'!M8</f>
        <v>68.300000000000182</v>
      </c>
      <c r="C9" s="172" t="s">
        <v>24</v>
      </c>
      <c r="D9" s="173">
        <v>0</v>
      </c>
      <c r="E9" s="174">
        <v>0</v>
      </c>
      <c r="F9" s="251" t="s">
        <v>205</v>
      </c>
      <c r="G9" s="168" t="s">
        <v>163</v>
      </c>
      <c r="H9" s="169" t="s">
        <v>163</v>
      </c>
      <c r="I9" s="168" t="s">
        <v>163</v>
      </c>
      <c r="J9" s="169" t="s">
        <v>163</v>
      </c>
      <c r="K9" s="168" t="s">
        <v>163</v>
      </c>
      <c r="L9" s="169" t="s">
        <v>163</v>
      </c>
      <c r="M9" s="168" t="s">
        <v>163</v>
      </c>
      <c r="N9" s="169" t="s">
        <v>163</v>
      </c>
    </row>
    <row r="10" spans="1:15" ht="20.100000000000001" customHeight="1" x14ac:dyDescent="0.2">
      <c r="A10" s="170" t="s">
        <v>167</v>
      </c>
      <c r="B10" s="171">
        <f>'1st IA Configuration'!F8-'1st IA Configuration'!G8</f>
        <v>-259.69999999999982</v>
      </c>
      <c r="C10" s="172" t="s">
        <v>24</v>
      </c>
      <c r="D10" s="173">
        <v>0</v>
      </c>
      <c r="E10" s="174">
        <f t="shared" si="0"/>
        <v>-259.7</v>
      </c>
      <c r="F10" s="175" t="s">
        <v>202</v>
      </c>
      <c r="G10" s="168">
        <v>0</v>
      </c>
      <c r="H10" s="169">
        <v>104.76</v>
      </c>
      <c r="I10" s="168">
        <f>-E10</f>
        <v>259.7</v>
      </c>
      <c r="J10" s="169">
        <v>199.72</v>
      </c>
      <c r="K10" s="168" t="s">
        <v>163</v>
      </c>
      <c r="L10" s="169" t="s">
        <v>163</v>
      </c>
      <c r="M10" s="168" t="s">
        <v>163</v>
      </c>
      <c r="N10" s="169" t="s">
        <v>163</v>
      </c>
    </row>
    <row r="11" spans="1:15" ht="20.100000000000001" customHeight="1" x14ac:dyDescent="0.2">
      <c r="A11" s="170" t="s">
        <v>44</v>
      </c>
      <c r="B11" s="171">
        <f>'1st IA Configuration'!G8</f>
        <v>-59.300000000000182</v>
      </c>
      <c r="C11" s="172" t="s">
        <v>24</v>
      </c>
      <c r="D11" s="173">
        <v>0</v>
      </c>
      <c r="E11" s="174">
        <f t="shared" si="0"/>
        <v>-59.3</v>
      </c>
      <c r="F11" s="175" t="s">
        <v>202</v>
      </c>
      <c r="G11" s="168">
        <v>0</v>
      </c>
      <c r="H11" s="169">
        <v>181.77</v>
      </c>
      <c r="I11" s="168">
        <f>-E11</f>
        <v>59.3</v>
      </c>
      <c r="J11" s="169">
        <v>223.27</v>
      </c>
      <c r="K11" s="168" t="s">
        <v>163</v>
      </c>
      <c r="L11" s="169" t="s">
        <v>163</v>
      </c>
      <c r="M11" s="168" t="s">
        <v>163</v>
      </c>
      <c r="N11" s="169" t="s">
        <v>163</v>
      </c>
    </row>
    <row r="12" spans="1:15" ht="20.100000000000001" customHeight="1" x14ac:dyDescent="0.2">
      <c r="A12" s="177" t="s">
        <v>45</v>
      </c>
      <c r="B12" s="171">
        <f>'1st IA Configuration'!H8</f>
        <v>-138.69999999999982</v>
      </c>
      <c r="C12" s="172" t="s">
        <v>24</v>
      </c>
      <c r="D12" s="173">
        <v>0</v>
      </c>
      <c r="E12" s="174">
        <f t="shared" si="0"/>
        <v>-138.69999999999999</v>
      </c>
      <c r="F12" s="175" t="s">
        <v>202</v>
      </c>
      <c r="G12" s="168">
        <v>0</v>
      </c>
      <c r="H12" s="169">
        <v>30.08</v>
      </c>
      <c r="I12" s="168">
        <v>128.80000000000001</v>
      </c>
      <c r="J12" s="169">
        <v>194.22</v>
      </c>
      <c r="K12" s="168">
        <f>-E12</f>
        <v>138.69999999999999</v>
      </c>
      <c r="L12" s="169">
        <v>218.19</v>
      </c>
      <c r="M12" s="168" t="s">
        <v>163</v>
      </c>
      <c r="N12" s="169" t="s">
        <v>163</v>
      </c>
    </row>
    <row r="13" spans="1:15" ht="20.100000000000001" customHeight="1" x14ac:dyDescent="0.2">
      <c r="A13" s="179" t="s">
        <v>7</v>
      </c>
      <c r="B13" s="171">
        <f>'1st IA Configuration'!I8</f>
        <v>-15.800000000000182</v>
      </c>
      <c r="C13" s="180" t="s">
        <v>24</v>
      </c>
      <c r="D13" s="181">
        <v>0</v>
      </c>
      <c r="E13" s="174">
        <f t="shared" si="0"/>
        <v>-15.8</v>
      </c>
      <c r="F13" s="175" t="s">
        <v>202</v>
      </c>
      <c r="G13" s="168">
        <v>0</v>
      </c>
      <c r="H13" s="169">
        <v>156.93</v>
      </c>
      <c r="I13" s="168">
        <f t="shared" ref="I13:I17" si="1">-E13</f>
        <v>15.8</v>
      </c>
      <c r="J13" s="169">
        <v>164.13</v>
      </c>
      <c r="K13" s="168" t="s">
        <v>163</v>
      </c>
      <c r="L13" s="169" t="s">
        <v>163</v>
      </c>
      <c r="M13" s="168" t="s">
        <v>163</v>
      </c>
      <c r="N13" s="169" t="s">
        <v>163</v>
      </c>
    </row>
    <row r="14" spans="1:15" ht="20.100000000000001" customHeight="1" x14ac:dyDescent="0.2">
      <c r="A14" s="179" t="s">
        <v>168</v>
      </c>
      <c r="B14" s="171">
        <f>'1st IA Configuration'!J8-'1st IA Configuration'!K8</f>
        <v>-252.20000000000164</v>
      </c>
      <c r="C14" s="180" t="s">
        <v>24</v>
      </c>
      <c r="D14" s="181">
        <v>0</v>
      </c>
      <c r="E14" s="174">
        <f t="shared" si="0"/>
        <v>-252.2</v>
      </c>
      <c r="F14" s="175" t="s">
        <v>202</v>
      </c>
      <c r="G14" s="182">
        <v>0</v>
      </c>
      <c r="H14" s="178">
        <v>76.760000000000005</v>
      </c>
      <c r="I14" s="182">
        <f t="shared" si="1"/>
        <v>252.2</v>
      </c>
      <c r="J14" s="178">
        <v>141.49</v>
      </c>
      <c r="K14" s="168" t="s">
        <v>163</v>
      </c>
      <c r="L14" s="169" t="s">
        <v>163</v>
      </c>
      <c r="M14" s="168" t="s">
        <v>163</v>
      </c>
      <c r="N14" s="169" t="s">
        <v>163</v>
      </c>
    </row>
    <row r="15" spans="1:15" ht="20.100000000000001" customHeight="1" x14ac:dyDescent="0.2">
      <c r="A15" s="179" t="s">
        <v>65</v>
      </c>
      <c r="B15" s="171">
        <f>'1st IA Configuration'!K8</f>
        <v>-77.099999999999454</v>
      </c>
      <c r="C15" s="180" t="s">
        <v>24</v>
      </c>
      <c r="D15" s="181">
        <v>0</v>
      </c>
      <c r="E15" s="174">
        <f t="shared" si="0"/>
        <v>-77.099999999999994</v>
      </c>
      <c r="F15" s="175" t="s">
        <v>202</v>
      </c>
      <c r="G15" s="182">
        <v>0</v>
      </c>
      <c r="H15" s="178">
        <v>110.14</v>
      </c>
      <c r="I15" s="182">
        <f t="shared" si="1"/>
        <v>77.099999999999994</v>
      </c>
      <c r="J15" s="178">
        <v>162.4</v>
      </c>
      <c r="K15" s="168" t="s">
        <v>163</v>
      </c>
      <c r="L15" s="169" t="s">
        <v>163</v>
      </c>
      <c r="M15" s="168" t="s">
        <v>163</v>
      </c>
      <c r="N15" s="169" t="s">
        <v>163</v>
      </c>
    </row>
    <row r="16" spans="1:15" ht="20.100000000000001" customHeight="1" x14ac:dyDescent="0.2">
      <c r="A16" s="179" t="s">
        <v>18</v>
      </c>
      <c r="B16" s="171">
        <f>'1st IA Configuration'!L8</f>
        <v>-1043.4493999999977</v>
      </c>
      <c r="C16" s="180" t="s">
        <v>24</v>
      </c>
      <c r="D16" s="181">
        <v>0</v>
      </c>
      <c r="E16" s="174">
        <f t="shared" si="0"/>
        <v>-1043.4000000000001</v>
      </c>
      <c r="F16" s="175" t="s">
        <v>202</v>
      </c>
      <c r="G16" s="182">
        <v>0</v>
      </c>
      <c r="H16" s="178">
        <v>22.78</v>
      </c>
      <c r="I16" s="182">
        <f t="shared" si="1"/>
        <v>1043.4000000000001</v>
      </c>
      <c r="J16" s="178">
        <v>208.87</v>
      </c>
      <c r="K16" s="168" t="s">
        <v>163</v>
      </c>
      <c r="L16" s="169" t="s">
        <v>163</v>
      </c>
      <c r="M16" s="168" t="s">
        <v>163</v>
      </c>
      <c r="N16" s="169" t="s">
        <v>163</v>
      </c>
    </row>
    <row r="17" spans="1:15" ht="20.100000000000001" customHeight="1" x14ac:dyDescent="0.2">
      <c r="A17" s="179" t="s">
        <v>3</v>
      </c>
      <c r="B17" s="171">
        <f>'1st IA Configuration'!M8</f>
        <v>-249.80000000000109</v>
      </c>
      <c r="C17" s="180" t="s">
        <v>24</v>
      </c>
      <c r="D17" s="181">
        <v>0</v>
      </c>
      <c r="E17" s="174">
        <f t="shared" si="0"/>
        <v>-249.8</v>
      </c>
      <c r="F17" s="175" t="s">
        <v>202</v>
      </c>
      <c r="G17" s="182">
        <v>0</v>
      </c>
      <c r="H17" s="178">
        <v>58.23</v>
      </c>
      <c r="I17" s="182">
        <f t="shared" si="1"/>
        <v>249.8</v>
      </c>
      <c r="J17" s="178">
        <v>161.54</v>
      </c>
      <c r="K17" s="168" t="s">
        <v>163</v>
      </c>
      <c r="L17" s="169" t="s">
        <v>163</v>
      </c>
      <c r="M17" s="168" t="s">
        <v>163</v>
      </c>
      <c r="N17" s="169" t="s">
        <v>163</v>
      </c>
    </row>
    <row r="18" spans="1:15" ht="20.100000000000001" customHeight="1" thickBot="1" x14ac:dyDescent="0.25">
      <c r="A18" s="183" t="s">
        <v>76</v>
      </c>
      <c r="B18" s="184">
        <f>'1st IA Configuration'!N8</f>
        <v>618.89999999999964</v>
      </c>
      <c r="C18" s="185" t="s">
        <v>24</v>
      </c>
      <c r="D18" s="186">
        <v>0</v>
      </c>
      <c r="E18" s="187">
        <v>0</v>
      </c>
      <c r="F18" s="250" t="s">
        <v>205</v>
      </c>
      <c r="G18" s="188" t="s">
        <v>163</v>
      </c>
      <c r="H18" s="189" t="s">
        <v>163</v>
      </c>
      <c r="I18" s="188" t="s">
        <v>163</v>
      </c>
      <c r="J18" s="189" t="s">
        <v>163</v>
      </c>
      <c r="K18" s="188" t="s">
        <v>163</v>
      </c>
      <c r="L18" s="189" t="s">
        <v>163</v>
      </c>
      <c r="M18" s="188" t="s">
        <v>163</v>
      </c>
      <c r="N18" s="189" t="s">
        <v>163</v>
      </c>
    </row>
    <row r="19" spans="1:15" ht="20.100000000000001" customHeight="1" x14ac:dyDescent="0.25">
      <c r="A19" s="190" t="s">
        <v>169</v>
      </c>
      <c r="B19" s="191">
        <f>SUM(B6:B18)</f>
        <v>-3666.5</v>
      </c>
      <c r="C19" s="192" t="s">
        <v>24</v>
      </c>
      <c r="D19" s="191">
        <f>SUM(D6:D18)</f>
        <v>0</v>
      </c>
      <c r="E19" s="191">
        <f>SUM(E6:E18)</f>
        <v>-3666.5</v>
      </c>
      <c r="F19" s="192"/>
      <c r="G19" s="252" t="s">
        <v>12</v>
      </c>
      <c r="H19" s="154"/>
      <c r="I19" s="154"/>
      <c r="J19" s="151"/>
      <c r="K19" s="151"/>
      <c r="L19" s="151"/>
      <c r="M19" s="151"/>
      <c r="N19" s="151"/>
    </row>
    <row r="20" spans="1:15" ht="20.100000000000001" customHeight="1" x14ac:dyDescent="0.25">
      <c r="A20" s="193" t="s">
        <v>12</v>
      </c>
      <c r="B20" s="191"/>
      <c r="C20" s="192"/>
      <c r="D20" s="192"/>
      <c r="E20" s="192"/>
      <c r="F20" s="192"/>
      <c r="G20" s="192"/>
      <c r="H20" s="154"/>
      <c r="I20" s="154"/>
      <c r="J20" s="154"/>
      <c r="K20" s="151"/>
    </row>
    <row r="21" spans="1:15" ht="20.100000000000001" customHeight="1" x14ac:dyDescent="0.2">
      <c r="A21" s="267" t="s">
        <v>207</v>
      </c>
      <c r="B21" s="267"/>
      <c r="C21" s="267"/>
      <c r="D21" s="267"/>
      <c r="E21" s="267"/>
      <c r="F21" s="267"/>
      <c r="G21" s="267"/>
      <c r="H21" s="267"/>
      <c r="I21" s="267"/>
      <c r="J21" s="267"/>
      <c r="K21" s="267"/>
      <c r="L21" s="267"/>
      <c r="M21" s="267"/>
      <c r="N21" s="267"/>
    </row>
    <row r="22" spans="1:15" ht="20.100000000000001" customHeight="1" x14ac:dyDescent="0.2">
      <c r="A22" s="268" t="s">
        <v>208</v>
      </c>
      <c r="B22" s="269"/>
      <c r="C22" s="269"/>
      <c r="D22" s="269"/>
      <c r="E22" s="269"/>
      <c r="F22" s="269"/>
      <c r="G22" s="269"/>
      <c r="H22" s="269"/>
      <c r="I22" s="269"/>
      <c r="J22" s="269"/>
      <c r="K22" s="269"/>
      <c r="L22" s="269"/>
      <c r="M22" s="269"/>
      <c r="N22" s="269"/>
      <c r="O22" s="270"/>
    </row>
    <row r="23" spans="1:15" ht="35.1" customHeight="1" x14ac:dyDescent="0.2">
      <c r="A23" s="260" t="s">
        <v>170</v>
      </c>
      <c r="B23" s="260"/>
      <c r="C23" s="260"/>
      <c r="D23" s="260"/>
      <c r="E23" s="260"/>
      <c r="F23" s="260"/>
      <c r="G23" s="260"/>
      <c r="H23" s="260"/>
      <c r="I23" s="260"/>
      <c r="J23" s="260"/>
      <c r="K23" s="260"/>
      <c r="L23" s="260"/>
      <c r="M23" s="260"/>
      <c r="N23" s="260"/>
    </row>
  </sheetData>
  <mergeCells count="6">
    <mergeCell ref="A23:N23"/>
    <mergeCell ref="A1:I1"/>
    <mergeCell ref="A3:B3"/>
    <mergeCell ref="G4:N4"/>
    <mergeCell ref="A21:N21"/>
    <mergeCell ref="A22:O22"/>
  </mergeCells>
  <pageMargins left="0.7" right="0.7" top="0.75" bottom="0.75" header="0.3" footer="0.3"/>
  <pageSetup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workbookViewId="0">
      <selection sqref="A1:N1"/>
    </sheetView>
  </sheetViews>
  <sheetFormatPr defaultRowHeight="12.75" x14ac:dyDescent="0.2"/>
  <cols>
    <col min="1" max="1" width="50.7109375" customWidth="1"/>
    <col min="2" max="14" width="15.7109375" customWidth="1"/>
  </cols>
  <sheetData>
    <row r="1" spans="1:15" ht="18" x14ac:dyDescent="0.2">
      <c r="A1" s="271" t="s">
        <v>199</v>
      </c>
      <c r="B1" s="272"/>
      <c r="C1" s="272"/>
      <c r="D1" s="272"/>
      <c r="E1" s="272"/>
      <c r="F1" s="272"/>
      <c r="G1" s="272"/>
      <c r="H1" s="272"/>
      <c r="I1" s="272"/>
      <c r="J1" s="272"/>
      <c r="K1" s="272"/>
      <c r="L1" s="272"/>
      <c r="M1" s="272"/>
      <c r="N1" s="273"/>
    </row>
    <row r="2" spans="1:15" ht="15.75" x14ac:dyDescent="0.25">
      <c r="A2" s="131" t="s">
        <v>12</v>
      </c>
      <c r="B2" s="131"/>
      <c r="C2" s="131"/>
      <c r="D2" s="131"/>
      <c r="E2" s="132"/>
      <c r="F2" s="131"/>
      <c r="G2" s="133"/>
      <c r="H2" s="134"/>
      <c r="I2" s="134"/>
      <c r="J2" s="134"/>
      <c r="K2" s="134"/>
      <c r="L2" s="134"/>
      <c r="M2" s="134"/>
      <c r="N2" s="134"/>
    </row>
    <row r="3" spans="1:15" ht="15.75" x14ac:dyDescent="0.25">
      <c r="A3" s="131"/>
      <c r="B3" s="131"/>
      <c r="C3" s="131"/>
      <c r="D3" s="131"/>
      <c r="E3" s="132"/>
      <c r="F3" s="131"/>
      <c r="G3" s="133"/>
      <c r="H3" s="134"/>
      <c r="I3" s="134"/>
      <c r="J3" s="134"/>
      <c r="K3" s="134"/>
      <c r="L3" s="134"/>
      <c r="M3" s="134"/>
      <c r="N3" s="134"/>
    </row>
    <row r="4" spans="1:15" ht="20.100000000000001" customHeight="1" x14ac:dyDescent="0.25">
      <c r="A4" s="135"/>
      <c r="B4" s="136" t="s">
        <v>12</v>
      </c>
      <c r="C4" s="274" t="s">
        <v>140</v>
      </c>
      <c r="D4" s="274"/>
      <c r="E4" s="274"/>
      <c r="F4" s="274"/>
      <c r="G4" s="274"/>
      <c r="H4" s="274"/>
      <c r="I4" s="274"/>
      <c r="J4" s="274"/>
      <c r="K4" s="274"/>
      <c r="L4" s="274"/>
      <c r="M4" s="274"/>
      <c r="N4" s="274"/>
    </row>
    <row r="5" spans="1:15" ht="20.100000000000001" customHeight="1" x14ac:dyDescent="0.2">
      <c r="A5" s="137" t="s">
        <v>12</v>
      </c>
      <c r="B5" s="138" t="s">
        <v>13</v>
      </c>
      <c r="C5" s="138" t="s">
        <v>17</v>
      </c>
      <c r="D5" s="138" t="s">
        <v>16</v>
      </c>
      <c r="E5" s="138" t="s">
        <v>14</v>
      </c>
      <c r="F5" s="138" t="s">
        <v>8</v>
      </c>
      <c r="G5" s="138" t="s">
        <v>44</v>
      </c>
      <c r="H5" s="138" t="s">
        <v>45</v>
      </c>
      <c r="I5" s="138" t="s">
        <v>7</v>
      </c>
      <c r="J5" s="138" t="s">
        <v>53</v>
      </c>
      <c r="K5" s="138" t="s">
        <v>141</v>
      </c>
      <c r="L5" s="56" t="s">
        <v>18</v>
      </c>
      <c r="M5" s="56" t="s">
        <v>3</v>
      </c>
      <c r="N5" s="56" t="s">
        <v>76</v>
      </c>
    </row>
    <row r="6" spans="1:15" ht="20.100000000000001" customHeight="1" x14ac:dyDescent="0.2">
      <c r="A6" s="141" t="s">
        <v>197</v>
      </c>
      <c r="B6" s="243">
        <f>'1st IA Parameters'!B21</f>
        <v>156940.9</v>
      </c>
      <c r="C6" s="243">
        <f>'1st IA Parameters'!C21</f>
        <v>67479.600000000006</v>
      </c>
      <c r="D6" s="243">
        <f>'1st IA Parameters'!D21</f>
        <v>37284.300000000003</v>
      </c>
      <c r="E6" s="243">
        <f>'1st IA Parameters'!E21</f>
        <v>16014.3</v>
      </c>
      <c r="F6" s="243">
        <f>'1st IA Parameters'!F21</f>
        <v>12097.1</v>
      </c>
      <c r="G6" s="243">
        <f>'1st IA Parameters'!G21</f>
        <v>6319.8</v>
      </c>
      <c r="H6" s="243">
        <f>'1st IA Parameters'!H21</f>
        <v>3011</v>
      </c>
      <c r="I6" s="243">
        <f>'1st IA Parameters'!I21</f>
        <v>8165.4</v>
      </c>
      <c r="J6" s="243">
        <f>'1st IA Parameters'!J21</f>
        <v>15718.8</v>
      </c>
      <c r="K6" s="243">
        <f>'1st IA Parameters'!K21</f>
        <v>5952.6</v>
      </c>
      <c r="L6" s="243">
        <f>'1st IA Parameters'!L21</f>
        <v>26661.226600000002</v>
      </c>
      <c r="M6" s="243">
        <f>'1st IA Parameters'!M21</f>
        <v>8456.9</v>
      </c>
      <c r="N6" s="243">
        <f>'1st IA Parameters'!N21</f>
        <v>10659</v>
      </c>
    </row>
    <row r="7" spans="1:15" ht="20.100000000000001" customHeight="1" x14ac:dyDescent="0.2">
      <c r="A7" s="141" t="s">
        <v>198</v>
      </c>
      <c r="B7" s="243">
        <f>'BRA Parameters'!B18</f>
        <v>160607.4</v>
      </c>
      <c r="C7" s="243">
        <f>'BRA Parameters'!C18</f>
        <v>69853.600000000006</v>
      </c>
      <c r="D7" s="243">
        <f>'BRA Parameters'!D18</f>
        <v>38535.199999999997</v>
      </c>
      <c r="E7" s="243">
        <f>'BRA Parameters'!E18</f>
        <v>16211.6</v>
      </c>
      <c r="F7" s="243">
        <f>'BRA Parameters'!F18</f>
        <v>12416.1</v>
      </c>
      <c r="G7" s="243">
        <f>'BRA Parameters'!G18</f>
        <v>6379.1</v>
      </c>
      <c r="H7" s="243">
        <f>'BRA Parameters'!H18</f>
        <v>3149.7</v>
      </c>
      <c r="I7" s="243">
        <f>'BRA Parameters'!I18</f>
        <v>8181.2</v>
      </c>
      <c r="J7" s="243">
        <f>'BRA Parameters'!J18</f>
        <v>16048.1</v>
      </c>
      <c r="K7" s="243">
        <f>'BRA Parameters'!K18</f>
        <v>6029.7</v>
      </c>
      <c r="L7" s="243">
        <f>'BRA Parameters'!L18</f>
        <v>27704.675999999999</v>
      </c>
      <c r="M7" s="243">
        <f>'BRA Parameters'!M18</f>
        <v>8706.7000000000007</v>
      </c>
      <c r="N7" s="243">
        <f>'BRA Parameters'!N18</f>
        <v>10040.1</v>
      </c>
    </row>
    <row r="8" spans="1:15" ht="20.100000000000001" customHeight="1" x14ac:dyDescent="0.2">
      <c r="A8" s="139" t="s">
        <v>142</v>
      </c>
      <c r="B8" s="140">
        <f>B6-B7</f>
        <v>-3666.5</v>
      </c>
      <c r="C8" s="140">
        <f t="shared" ref="C8:N8" si="0">C6-C7</f>
        <v>-2374</v>
      </c>
      <c r="D8" s="140">
        <f t="shared" si="0"/>
        <v>-1250.8999999999942</v>
      </c>
      <c r="E8" s="140">
        <f t="shared" si="0"/>
        <v>-197.30000000000109</v>
      </c>
      <c r="F8" s="140">
        <f t="shared" si="0"/>
        <v>-319</v>
      </c>
      <c r="G8" s="140">
        <f t="shared" si="0"/>
        <v>-59.300000000000182</v>
      </c>
      <c r="H8" s="140">
        <f t="shared" si="0"/>
        <v>-138.69999999999982</v>
      </c>
      <c r="I8" s="140">
        <f t="shared" si="0"/>
        <v>-15.800000000000182</v>
      </c>
      <c r="J8" s="140">
        <f t="shared" si="0"/>
        <v>-329.30000000000109</v>
      </c>
      <c r="K8" s="140">
        <f t="shared" si="0"/>
        <v>-77.099999999999454</v>
      </c>
      <c r="L8" s="140">
        <f t="shared" si="0"/>
        <v>-1043.4493999999977</v>
      </c>
      <c r="M8" s="140">
        <f t="shared" si="0"/>
        <v>-249.80000000000109</v>
      </c>
      <c r="N8" s="140">
        <f t="shared" si="0"/>
        <v>618.89999999999964</v>
      </c>
    </row>
    <row r="9" spans="1:15" ht="20.100000000000001" customHeight="1" x14ac:dyDescent="0.2">
      <c r="A9" s="141" t="s">
        <v>143</v>
      </c>
      <c r="B9" s="142" t="s">
        <v>24</v>
      </c>
      <c r="C9" s="143">
        <f>'1st IA Parameters'!C14-'BRA Parameters'!C14</f>
        <v>0</v>
      </c>
      <c r="D9" s="143">
        <f>'1st IA Parameters'!D14-'BRA Parameters'!D14</f>
        <v>0</v>
      </c>
      <c r="E9" s="143">
        <f>'1st IA Parameters'!E14-'BRA Parameters'!E14</f>
        <v>0</v>
      </c>
      <c r="F9" s="143">
        <f>'1st IA Parameters'!F14-'BRA Parameters'!F14</f>
        <v>0</v>
      </c>
      <c r="G9" s="143">
        <f>'1st IA Parameters'!G14-'BRA Parameters'!G14</f>
        <v>0</v>
      </c>
      <c r="H9" s="143">
        <f>'1st IA Parameters'!H14-'BRA Parameters'!H14</f>
        <v>0</v>
      </c>
      <c r="I9" s="143">
        <f>'1st IA Parameters'!I14-'BRA Parameters'!I14</f>
        <v>0</v>
      </c>
      <c r="J9" s="143">
        <f>'1st IA Parameters'!J14-'BRA Parameters'!J14</f>
        <v>0</v>
      </c>
      <c r="K9" s="143">
        <f>'1st IA Parameters'!K14-'BRA Parameters'!K14</f>
        <v>0</v>
      </c>
      <c r="L9" s="143">
        <f>'1st IA Parameters'!L14-'BRA Parameters'!L14</f>
        <v>0</v>
      </c>
      <c r="M9" s="143">
        <f>'1st IA Parameters'!M14-'BRA Parameters'!M14</f>
        <v>0</v>
      </c>
      <c r="N9" s="143">
        <f>'1st IA Parameters'!N14-'BRA Parameters'!N14</f>
        <v>0</v>
      </c>
    </row>
    <row r="10" spans="1:15" ht="20.100000000000001" customHeight="1" x14ac:dyDescent="0.2">
      <c r="A10" s="141" t="s">
        <v>144</v>
      </c>
      <c r="B10" s="142" t="s">
        <v>24</v>
      </c>
      <c r="C10" s="245">
        <v>1668.3</v>
      </c>
      <c r="D10" s="245">
        <v>0</v>
      </c>
      <c r="E10" s="245">
        <v>3643.2</v>
      </c>
      <c r="F10" s="245">
        <v>502.4</v>
      </c>
      <c r="G10" s="245">
        <v>391.5</v>
      </c>
      <c r="H10" s="245">
        <v>180.7</v>
      </c>
      <c r="I10" s="245">
        <v>4085.7</v>
      </c>
      <c r="J10" s="245">
        <v>2804.6</v>
      </c>
      <c r="K10" s="245">
        <v>575.4</v>
      </c>
      <c r="L10" s="245">
        <v>0</v>
      </c>
      <c r="M10" s="245">
        <v>869</v>
      </c>
      <c r="N10" s="245">
        <v>3656.1</v>
      </c>
      <c r="O10" s="238" t="s">
        <v>12</v>
      </c>
    </row>
    <row r="11" spans="1:15" ht="15" x14ac:dyDescent="0.2">
      <c r="A11" s="144"/>
      <c r="B11" s="145"/>
      <c r="C11" s="146" t="s">
        <v>12</v>
      </c>
      <c r="D11" s="146" t="s">
        <v>12</v>
      </c>
      <c r="E11" s="146" t="s">
        <v>12</v>
      </c>
      <c r="F11" s="146" t="s">
        <v>12</v>
      </c>
      <c r="G11" s="146" t="s">
        <v>12</v>
      </c>
      <c r="H11" s="146" t="s">
        <v>12</v>
      </c>
      <c r="I11" s="146"/>
      <c r="J11" s="146"/>
      <c r="K11" s="146"/>
      <c r="L11" s="146"/>
      <c r="M11" s="146"/>
      <c r="N11" s="146"/>
    </row>
    <row r="12" spans="1:15" ht="15" x14ac:dyDescent="0.2">
      <c r="A12" s="147" t="s">
        <v>204</v>
      </c>
      <c r="B12" s="145"/>
      <c r="C12" s="145"/>
      <c r="D12" s="145"/>
      <c r="E12" s="145"/>
      <c r="F12" s="145"/>
      <c r="G12" s="145"/>
      <c r="H12" s="148"/>
      <c r="I12" s="148"/>
      <c r="J12" s="148"/>
      <c r="K12" s="148"/>
      <c r="L12" s="148"/>
      <c r="M12" s="148"/>
      <c r="N12" s="148"/>
    </row>
    <row r="13" spans="1:15" ht="15" x14ac:dyDescent="0.2">
      <c r="A13" s="147" t="s">
        <v>12</v>
      </c>
      <c r="B13" s="145"/>
      <c r="C13" s="145"/>
      <c r="D13" s="145"/>
      <c r="E13" s="145"/>
      <c r="F13" s="145"/>
      <c r="G13" s="145"/>
      <c r="H13" s="148"/>
      <c r="I13" s="148"/>
      <c r="J13" s="148"/>
      <c r="K13" s="148"/>
      <c r="L13" s="148"/>
      <c r="M13" s="148"/>
      <c r="N13" s="148"/>
    </row>
    <row r="14" spans="1:15" ht="15" x14ac:dyDescent="0.2">
      <c r="A14" s="91" t="s">
        <v>145</v>
      </c>
      <c r="B14" s="149"/>
      <c r="C14" s="149"/>
      <c r="D14" s="149"/>
      <c r="E14" s="149"/>
      <c r="F14" s="149"/>
      <c r="G14" s="149"/>
      <c r="H14" s="149"/>
      <c r="I14" s="149"/>
      <c r="J14" s="149"/>
      <c r="K14" s="149"/>
      <c r="L14" s="149"/>
      <c r="M14" s="149"/>
      <c r="N14" s="149"/>
    </row>
    <row r="16" spans="1:15" x14ac:dyDescent="0.2">
      <c r="B16" s="100" t="s">
        <v>12</v>
      </c>
    </row>
    <row r="17" spans="2:10" x14ac:dyDescent="0.2">
      <c r="B17" s="100" t="s">
        <v>12</v>
      </c>
      <c r="C17" s="100" t="s">
        <v>12</v>
      </c>
      <c r="D17" s="100" t="s">
        <v>12</v>
      </c>
      <c r="E17" s="100" t="s">
        <v>12</v>
      </c>
      <c r="F17" s="100" t="s">
        <v>12</v>
      </c>
      <c r="J17" s="100" t="s">
        <v>12</v>
      </c>
    </row>
  </sheetData>
  <mergeCells count="2">
    <mergeCell ref="A1:N1"/>
    <mergeCell ref="C4:N4"/>
  </mergeCells>
  <pageMargins left="0.7" right="0.7" top="0.75" bottom="0.75" header="0.3" footer="0.3"/>
  <pageSetup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workbookViewId="0">
      <selection sqref="A1:H1"/>
    </sheetView>
  </sheetViews>
  <sheetFormatPr defaultRowHeight="12.75" x14ac:dyDescent="0.2"/>
  <cols>
    <col min="1" max="1" width="50.7109375" customWidth="1"/>
    <col min="2" max="10" width="16.7109375" customWidth="1"/>
    <col min="11" max="11" width="18.28515625" customWidth="1"/>
    <col min="12" max="14" width="16.7109375" customWidth="1"/>
  </cols>
  <sheetData>
    <row r="1" spans="1:14" ht="18" x14ac:dyDescent="0.25">
      <c r="A1" s="286" t="s">
        <v>190</v>
      </c>
      <c r="B1" s="286"/>
      <c r="C1" s="286"/>
      <c r="D1" s="286"/>
      <c r="E1" s="286"/>
      <c r="F1" s="286"/>
      <c r="G1" s="286"/>
      <c r="H1" s="286"/>
      <c r="I1" s="16" t="s">
        <v>12</v>
      </c>
    </row>
    <row r="2" spans="1:14" ht="18" x14ac:dyDescent="0.25">
      <c r="A2" s="287" t="s">
        <v>12</v>
      </c>
      <c r="B2" s="287"/>
      <c r="C2" s="287"/>
      <c r="D2" s="287"/>
      <c r="E2" s="287"/>
      <c r="F2" s="287"/>
      <c r="G2" s="287"/>
      <c r="H2" s="287"/>
      <c r="I2" s="16"/>
    </row>
    <row r="3" spans="1:14" ht="18" x14ac:dyDescent="0.25">
      <c r="A3" s="17"/>
      <c r="B3" s="18" t="s">
        <v>13</v>
      </c>
      <c r="C3" s="288" t="s">
        <v>12</v>
      </c>
      <c r="D3" s="289"/>
      <c r="E3" s="289"/>
      <c r="F3" s="289"/>
      <c r="G3" s="289"/>
      <c r="H3" s="290"/>
      <c r="I3" s="45"/>
      <c r="J3" s="45"/>
      <c r="K3" s="45"/>
    </row>
    <row r="4" spans="1:14" ht="20.100000000000001" customHeight="1" x14ac:dyDescent="0.2">
      <c r="A4" s="119" t="s">
        <v>35</v>
      </c>
      <c r="B4" s="20">
        <v>0.16500000000000001</v>
      </c>
      <c r="C4" s="288" t="s">
        <v>12</v>
      </c>
      <c r="D4" s="289"/>
      <c r="E4" s="289"/>
      <c r="F4" s="289"/>
      <c r="G4" s="289"/>
      <c r="H4" s="290"/>
      <c r="I4" s="46"/>
      <c r="J4" s="63" t="s">
        <v>12</v>
      </c>
      <c r="K4" s="46"/>
    </row>
    <row r="5" spans="1:14" ht="20.100000000000001" customHeight="1" x14ac:dyDescent="0.2">
      <c r="A5" s="119" t="s">
        <v>36</v>
      </c>
      <c r="B5" s="21">
        <v>6.5799999999999997E-2</v>
      </c>
      <c r="C5" s="285" t="s">
        <v>12</v>
      </c>
      <c r="D5" s="285"/>
      <c r="E5" s="285"/>
      <c r="F5" s="285"/>
      <c r="G5" s="285"/>
      <c r="H5" s="285"/>
      <c r="I5" s="46"/>
      <c r="J5" s="121" t="s">
        <v>12</v>
      </c>
      <c r="K5" s="46"/>
    </row>
    <row r="6" spans="1:14" ht="20.100000000000001" customHeight="1" x14ac:dyDescent="0.2">
      <c r="A6" s="119" t="s">
        <v>37</v>
      </c>
      <c r="B6" s="22">
        <v>1.0883</v>
      </c>
      <c r="C6" s="285" t="s">
        <v>12</v>
      </c>
      <c r="D6" s="285"/>
      <c r="E6" s="285"/>
      <c r="F6" s="285"/>
      <c r="G6" s="285"/>
      <c r="H6" s="285"/>
      <c r="I6" s="47"/>
      <c r="J6" s="64" t="s">
        <v>12</v>
      </c>
      <c r="K6" s="47"/>
    </row>
    <row r="7" spans="1:14" ht="20.100000000000001" customHeight="1" x14ac:dyDescent="0.2">
      <c r="A7" s="119" t="s">
        <v>42</v>
      </c>
      <c r="B7" s="23" t="s">
        <v>24</v>
      </c>
      <c r="C7" s="278"/>
      <c r="D7" s="278"/>
      <c r="E7" s="278"/>
      <c r="F7" s="278"/>
      <c r="G7" s="278"/>
      <c r="H7" s="278"/>
      <c r="I7" s="47"/>
      <c r="J7" s="47" t="s">
        <v>12</v>
      </c>
      <c r="K7" s="47"/>
    </row>
    <row r="8" spans="1:14" ht="20.100000000000001" customHeight="1" x14ac:dyDescent="0.2">
      <c r="A8" s="119" t="s">
        <v>38</v>
      </c>
      <c r="B8" s="122">
        <v>156141.1</v>
      </c>
      <c r="C8" s="279" t="s">
        <v>194</v>
      </c>
      <c r="D8" s="280"/>
      <c r="E8" s="280"/>
      <c r="F8" s="280"/>
      <c r="G8" s="280"/>
      <c r="H8" s="281"/>
      <c r="I8" s="80"/>
      <c r="J8" s="123" t="s">
        <v>12</v>
      </c>
      <c r="K8" s="80"/>
      <c r="L8" s="38"/>
      <c r="M8" s="38"/>
      <c r="N8" s="38"/>
    </row>
    <row r="9" spans="1:14" ht="20.100000000000001" customHeight="1" x14ac:dyDescent="0.2">
      <c r="A9" s="119" t="s">
        <v>43</v>
      </c>
      <c r="B9" s="124" t="s">
        <v>24</v>
      </c>
      <c r="C9" s="282" t="s">
        <v>12</v>
      </c>
      <c r="D9" s="282" t="e">
        <f t="shared" ref="D9:H9" si="0">ROUND(MAX(D19*0.3, 20)*365,2)</f>
        <v>#VALUE!</v>
      </c>
      <c r="E9" s="282" t="e">
        <f t="shared" si="0"/>
        <v>#VALUE!</v>
      </c>
      <c r="F9" s="282" t="e">
        <f t="shared" si="0"/>
        <v>#VALUE!</v>
      </c>
      <c r="G9" s="282" t="e">
        <f t="shared" si="0"/>
        <v>#VALUE!</v>
      </c>
      <c r="H9" s="282" t="e">
        <f t="shared" si="0"/>
        <v>#VALUE!</v>
      </c>
      <c r="I9" s="87"/>
      <c r="J9" s="87"/>
      <c r="K9" s="87"/>
      <c r="L9" s="38"/>
      <c r="M9" s="38"/>
      <c r="N9" s="38"/>
    </row>
    <row r="10" spans="1:14" ht="20.100000000000001" customHeight="1" x14ac:dyDescent="0.2">
      <c r="A10" s="119" t="s">
        <v>12</v>
      </c>
      <c r="B10" s="125" t="s">
        <v>12</v>
      </c>
      <c r="C10" s="282" t="s">
        <v>12</v>
      </c>
      <c r="D10" s="282">
        <f>ROUND(MAX(D22*0.3, 20)*365,2)</f>
        <v>31264.57</v>
      </c>
      <c r="E10" s="282">
        <f>ROUND(MAX(E22*0.3, 20)*365,2)</f>
        <v>26692.67</v>
      </c>
      <c r="F10" s="282">
        <f>ROUND(MAX(F22*0.3, 20)*365,2)</f>
        <v>32710.240000000002</v>
      </c>
      <c r="G10" s="282">
        <f>ROUND(MAX(G22*0.3, 20)*365,2)</f>
        <v>32710.240000000002</v>
      </c>
      <c r="H10" s="282">
        <f>ROUND(MAX(H22*0.3, 20)*365,2)</f>
        <v>28355.68</v>
      </c>
      <c r="I10" s="126" t="s">
        <v>12</v>
      </c>
      <c r="J10" s="87"/>
      <c r="K10" s="87"/>
      <c r="L10" s="38"/>
      <c r="M10" s="38"/>
      <c r="N10" s="38"/>
    </row>
    <row r="11" spans="1:14" ht="20.100000000000001" customHeight="1" x14ac:dyDescent="0.2">
      <c r="A11" s="119"/>
      <c r="B11" s="127" t="s">
        <v>12</v>
      </c>
      <c r="C11" s="283" t="s">
        <v>139</v>
      </c>
      <c r="D11" s="283"/>
      <c r="E11" s="283"/>
      <c r="F11" s="283"/>
      <c r="G11" s="283"/>
      <c r="H11" s="283"/>
      <c r="I11" s="283"/>
      <c r="J11" s="283"/>
      <c r="K11" s="283"/>
      <c r="L11" s="283"/>
      <c r="M11" s="283"/>
      <c r="N11" s="283"/>
    </row>
    <row r="12" spans="1:14" ht="20.100000000000001" customHeight="1" x14ac:dyDescent="0.2">
      <c r="A12" s="30" t="s">
        <v>12</v>
      </c>
      <c r="B12" s="128" t="s">
        <v>13</v>
      </c>
      <c r="C12" s="128" t="s">
        <v>17</v>
      </c>
      <c r="D12" s="128" t="s">
        <v>16</v>
      </c>
      <c r="E12" s="128" t="s">
        <v>14</v>
      </c>
      <c r="F12" s="128" t="s">
        <v>8</v>
      </c>
      <c r="G12" s="128" t="s">
        <v>44</v>
      </c>
      <c r="H12" s="128" t="s">
        <v>45</v>
      </c>
      <c r="I12" s="128" t="s">
        <v>7</v>
      </c>
      <c r="J12" s="56" t="s">
        <v>53</v>
      </c>
      <c r="K12" s="56" t="s">
        <v>67</v>
      </c>
      <c r="L12" s="56" t="s">
        <v>18</v>
      </c>
      <c r="M12" s="56" t="s">
        <v>3</v>
      </c>
      <c r="N12" s="56" t="s">
        <v>76</v>
      </c>
    </row>
    <row r="13" spans="1:14" ht="20.100000000000001" customHeight="1" x14ac:dyDescent="0.2">
      <c r="A13" s="28" t="s">
        <v>9</v>
      </c>
      <c r="B13" s="129" t="s">
        <v>24</v>
      </c>
      <c r="C13" s="129">
        <v>-7870</v>
      </c>
      <c r="D13" s="54">
        <v>1470</v>
      </c>
      <c r="E13" s="54">
        <v>2950</v>
      </c>
      <c r="F13" s="54">
        <v>5430</v>
      </c>
      <c r="G13" s="54">
        <v>2350</v>
      </c>
      <c r="H13" s="54">
        <v>1190</v>
      </c>
      <c r="I13" s="54">
        <v>1720</v>
      </c>
      <c r="J13" s="54">
        <v>3690</v>
      </c>
      <c r="K13" s="54">
        <v>3360</v>
      </c>
      <c r="L13" s="54">
        <v>1900</v>
      </c>
      <c r="M13" s="54">
        <v>4260</v>
      </c>
      <c r="N13" s="54">
        <v>-60</v>
      </c>
    </row>
    <row r="14" spans="1:14" ht="20.100000000000001" customHeight="1" x14ac:dyDescent="0.2">
      <c r="A14" s="28" t="s">
        <v>11</v>
      </c>
      <c r="B14" s="129" t="s">
        <v>24</v>
      </c>
      <c r="C14" s="129">
        <v>7883</v>
      </c>
      <c r="D14" s="54">
        <v>8375</v>
      </c>
      <c r="E14" s="54">
        <v>9888</v>
      </c>
      <c r="F14" s="54">
        <v>7926</v>
      </c>
      <c r="G14" s="54">
        <v>3761</v>
      </c>
      <c r="H14" s="54">
        <v>1702</v>
      </c>
      <c r="I14" s="54">
        <v>7045</v>
      </c>
      <c r="J14" s="54">
        <v>9240</v>
      </c>
      <c r="K14" s="54">
        <v>4557</v>
      </c>
      <c r="L14" s="54">
        <v>5227</v>
      </c>
      <c r="M14" s="54">
        <v>6527</v>
      </c>
      <c r="N14" s="54">
        <v>4538</v>
      </c>
    </row>
    <row r="15" spans="1:14" ht="20.100000000000001" customHeight="1" x14ac:dyDescent="0.2">
      <c r="A15" s="29" t="s">
        <v>10</v>
      </c>
      <c r="B15" s="129">
        <f>B8*B6</f>
        <v>169928.35913000003</v>
      </c>
      <c r="C15" s="129">
        <v>67221</v>
      </c>
      <c r="D15" s="41">
        <v>37230</v>
      </c>
      <c r="E15" s="41">
        <v>15852</v>
      </c>
      <c r="F15" s="41">
        <v>12083</v>
      </c>
      <c r="G15" s="41">
        <v>6318</v>
      </c>
      <c r="H15" s="41">
        <v>3011</v>
      </c>
      <c r="I15" s="41">
        <v>8099</v>
      </c>
      <c r="J15" s="41">
        <v>15680</v>
      </c>
      <c r="K15" s="41">
        <v>5947</v>
      </c>
      <c r="L15" s="41">
        <v>26262</v>
      </c>
      <c r="M15" s="41">
        <v>8361</v>
      </c>
      <c r="N15" s="41">
        <v>10634</v>
      </c>
    </row>
    <row r="16" spans="1:14" ht="20.100000000000001" customHeight="1" x14ac:dyDescent="0.2">
      <c r="A16" s="28" t="s">
        <v>47</v>
      </c>
      <c r="B16" s="54">
        <v>13079.1</v>
      </c>
      <c r="C16" s="54">
        <v>0</v>
      </c>
      <c r="D16" s="54">
        <v>0</v>
      </c>
      <c r="E16" s="54">
        <v>0</v>
      </c>
      <c r="F16" s="54">
        <v>0</v>
      </c>
      <c r="G16" s="54">
        <v>0</v>
      </c>
      <c r="H16" s="54">
        <v>0</v>
      </c>
      <c r="I16" s="54">
        <v>0</v>
      </c>
      <c r="J16" s="54">
        <v>0</v>
      </c>
      <c r="K16" s="54">
        <v>0</v>
      </c>
      <c r="L16" s="54">
        <v>356</v>
      </c>
      <c r="M16" s="54">
        <v>0</v>
      </c>
      <c r="N16" s="54">
        <v>0</v>
      </c>
    </row>
    <row r="17" spans="1:14" ht="20.100000000000001" customHeight="1" x14ac:dyDescent="0.2">
      <c r="A17" s="28" t="s">
        <v>46</v>
      </c>
      <c r="B17" s="54">
        <f>ROUND(B16*$B$6,1)</f>
        <v>14234</v>
      </c>
      <c r="C17" s="54">
        <f t="shared" ref="C17:N17" si="1">ROUND(C16*$B$6,1)</f>
        <v>0</v>
      </c>
      <c r="D17" s="54">
        <f t="shared" si="1"/>
        <v>0</v>
      </c>
      <c r="E17" s="54">
        <f t="shared" si="1"/>
        <v>0</v>
      </c>
      <c r="F17" s="54">
        <f t="shared" si="1"/>
        <v>0</v>
      </c>
      <c r="G17" s="54">
        <f t="shared" si="1"/>
        <v>0</v>
      </c>
      <c r="H17" s="54">
        <f t="shared" si="1"/>
        <v>0</v>
      </c>
      <c r="I17" s="54">
        <f t="shared" si="1"/>
        <v>0</v>
      </c>
      <c r="J17" s="54">
        <f t="shared" si="1"/>
        <v>0</v>
      </c>
      <c r="K17" s="54">
        <f t="shared" si="1"/>
        <v>0</v>
      </c>
      <c r="L17" s="54">
        <f>ROUND(L16*$B$6,1)</f>
        <v>387.4</v>
      </c>
      <c r="M17" s="54">
        <f t="shared" si="1"/>
        <v>0</v>
      </c>
      <c r="N17" s="54">
        <f t="shared" si="1"/>
        <v>0</v>
      </c>
    </row>
    <row r="18" spans="1:14" ht="20.100000000000001" customHeight="1" x14ac:dyDescent="0.2">
      <c r="A18" s="242" t="s">
        <v>48</v>
      </c>
      <c r="B18" s="129">
        <f>ROUND(B15-B17,1)</f>
        <v>155694.39999999999</v>
      </c>
      <c r="C18" s="129">
        <f t="shared" ref="C18:I18" si="2">C15-C17</f>
        <v>67221</v>
      </c>
      <c r="D18" s="129">
        <f t="shared" si="2"/>
        <v>37230</v>
      </c>
      <c r="E18" s="129">
        <f t="shared" si="2"/>
        <v>15852</v>
      </c>
      <c r="F18" s="129">
        <f t="shared" si="2"/>
        <v>12083</v>
      </c>
      <c r="G18" s="129">
        <f t="shared" si="2"/>
        <v>6318</v>
      </c>
      <c r="H18" s="129">
        <f t="shared" si="2"/>
        <v>3011</v>
      </c>
      <c r="I18" s="129">
        <f t="shared" si="2"/>
        <v>8099</v>
      </c>
      <c r="J18" s="129">
        <f>J15-J17</f>
        <v>15680</v>
      </c>
      <c r="K18" s="129">
        <f>K15-K17</f>
        <v>5947</v>
      </c>
      <c r="L18" s="129">
        <f>L15-L17*L32</f>
        <v>25916.8266</v>
      </c>
      <c r="M18" s="129">
        <f>M15-M17</f>
        <v>8361</v>
      </c>
      <c r="N18" s="129">
        <f>N15-N17</f>
        <v>10634</v>
      </c>
    </row>
    <row r="19" spans="1:14" ht="20.100000000000001" customHeight="1" x14ac:dyDescent="0.2">
      <c r="A19" s="29" t="s">
        <v>43</v>
      </c>
      <c r="B19" s="129" t="s">
        <v>24</v>
      </c>
      <c r="C19" s="129" t="s">
        <v>24</v>
      </c>
      <c r="D19" s="129" t="s">
        <v>24</v>
      </c>
      <c r="E19" s="129" t="s">
        <v>24</v>
      </c>
      <c r="F19" s="129" t="s">
        <v>24</v>
      </c>
      <c r="G19" s="129" t="s">
        <v>24</v>
      </c>
      <c r="H19" s="129" t="s">
        <v>24</v>
      </c>
      <c r="I19" s="129" t="s">
        <v>24</v>
      </c>
      <c r="J19" s="129" t="s">
        <v>24</v>
      </c>
      <c r="K19" s="129" t="s">
        <v>24</v>
      </c>
      <c r="L19" s="129" t="s">
        <v>24</v>
      </c>
      <c r="M19" s="129" t="s">
        <v>24</v>
      </c>
      <c r="N19" s="129" t="s">
        <v>24</v>
      </c>
    </row>
    <row r="20" spans="1:14" ht="20.100000000000001" customHeight="1" x14ac:dyDescent="0.2">
      <c r="A20" s="241" t="s">
        <v>195</v>
      </c>
      <c r="B20" s="129">
        <v>1246.5</v>
      </c>
      <c r="C20" s="129">
        <v>258.60000000000002</v>
      </c>
      <c r="D20" s="129">
        <v>54.3</v>
      </c>
      <c r="E20" s="129">
        <v>162.30000000000001</v>
      </c>
      <c r="F20" s="129">
        <v>14.1</v>
      </c>
      <c r="G20" s="129">
        <v>1.8</v>
      </c>
      <c r="H20" s="129">
        <v>0</v>
      </c>
      <c r="I20" s="129">
        <v>66.400000000000006</v>
      </c>
      <c r="J20" s="129">
        <v>38.799999999999997</v>
      </c>
      <c r="K20" s="129">
        <v>5.6</v>
      </c>
      <c r="L20" s="129">
        <v>744.4</v>
      </c>
      <c r="M20" s="129">
        <v>95.9</v>
      </c>
      <c r="N20" s="129">
        <v>25</v>
      </c>
    </row>
    <row r="21" spans="1:14" ht="20.100000000000001" customHeight="1" x14ac:dyDescent="0.2">
      <c r="A21" s="65" t="s">
        <v>196</v>
      </c>
      <c r="B21" s="130">
        <f>B18+B20</f>
        <v>156940.9</v>
      </c>
      <c r="C21" s="130">
        <f>C18+C20</f>
        <v>67479.600000000006</v>
      </c>
      <c r="D21" s="130">
        <f>D18+D20</f>
        <v>37284.300000000003</v>
      </c>
      <c r="E21" s="130">
        <f t="shared" ref="E21:M21" si="3">E18+E20</f>
        <v>16014.3</v>
      </c>
      <c r="F21" s="130">
        <f t="shared" si="3"/>
        <v>12097.1</v>
      </c>
      <c r="G21" s="130">
        <f t="shared" si="3"/>
        <v>6319.8</v>
      </c>
      <c r="H21" s="130">
        <f t="shared" si="3"/>
        <v>3011</v>
      </c>
      <c r="I21" s="130">
        <f t="shared" si="3"/>
        <v>8165.4</v>
      </c>
      <c r="J21" s="130">
        <f t="shared" si="3"/>
        <v>15718.8</v>
      </c>
      <c r="K21" s="130">
        <f t="shared" si="3"/>
        <v>5952.6</v>
      </c>
      <c r="L21" s="130">
        <f>L18+L20</f>
        <v>26661.226600000002</v>
      </c>
      <c r="M21" s="130">
        <f t="shared" si="3"/>
        <v>8456.9</v>
      </c>
      <c r="N21" s="130">
        <f>N18+N20</f>
        <v>10659</v>
      </c>
    </row>
    <row r="22" spans="1:14" ht="20.100000000000001" customHeight="1" x14ac:dyDescent="0.2">
      <c r="A22" s="120" t="s">
        <v>49</v>
      </c>
      <c r="B22" s="15">
        <f>'BRA Parameters'!B20*(1-'BRA Parameters'!$B$5)/(1-'1st IA Parameters'!$B$5)</f>
        <v>301.31000321130381</v>
      </c>
      <c r="C22" s="15">
        <f>'BRA Parameters'!C20*(1-'BRA Parameters'!$B$5)/(1-'1st IA Parameters'!$B$5)</f>
        <v>272.33885142367802</v>
      </c>
      <c r="D22" s="15">
        <f>'BRA Parameters'!D20*(1-'BRA Parameters'!$B$5)/(1-'1st IA Parameters'!$B$5)</f>
        <v>285.5212267180475</v>
      </c>
      <c r="E22" s="15">
        <f>'BRA Parameters'!E20*(1-'BRA Parameters'!$B$5)/(1-'1st IA Parameters'!$B$5)</f>
        <v>243.76868443588094</v>
      </c>
      <c r="F22" s="15">
        <f>'BRA Parameters'!F20*(1-'BRA Parameters'!$B$5)/(1-'1st IA Parameters'!$B$5)</f>
        <v>298.72365125240844</v>
      </c>
      <c r="G22" s="15">
        <f>'BRA Parameters'!G20*(1-'BRA Parameters'!$B$5)/(1-'1st IA Parameters'!$B$5)</f>
        <v>298.72365125240844</v>
      </c>
      <c r="H22" s="15">
        <f>'BRA Parameters'!H20*(1-'BRA Parameters'!$B$5)/(1-'1st IA Parameters'!$B$5)</f>
        <v>258.95598372939412</v>
      </c>
      <c r="I22" s="15">
        <f>'BRA Parameters'!I20*(1-'BRA Parameters'!$B$5)/(1-'1st IA Parameters'!$B$5)</f>
        <v>251.35732177263969</v>
      </c>
      <c r="J22" s="15">
        <f>'BRA Parameters'!J20*(1-'BRA Parameters'!$B$5)/(1-'1st IA Parameters'!$B$5)</f>
        <v>272.3889745236566</v>
      </c>
      <c r="K22" s="15">
        <f>'BRA Parameters'!K20*(1-'BRA Parameters'!$B$5)/(1-'1st IA Parameters'!$B$5)</f>
        <v>272.3889745236566</v>
      </c>
      <c r="L22" s="15">
        <f>'BRA Parameters'!L20*(1-'BRA Parameters'!$B$5)/(1-'1st IA Parameters'!$B$5)</f>
        <v>321.07855384286023</v>
      </c>
      <c r="M22" s="15">
        <f>'BRA Parameters'!M20*(1-'BRA Parameters'!$B$5)/(1-'1st IA Parameters'!$B$5)</f>
        <v>236.17002247912652</v>
      </c>
      <c r="N22" s="15">
        <f>'BRA Parameters'!N20*(1-'BRA Parameters'!$B$5)/(1-'1st IA Parameters'!$B$5)</f>
        <v>285.49115285806039</v>
      </c>
    </row>
    <row r="23" spans="1:14" ht="20.100000000000001" customHeight="1" x14ac:dyDescent="0.2">
      <c r="A23" s="284" t="s">
        <v>50</v>
      </c>
      <c r="B23" s="284"/>
      <c r="C23" s="284"/>
      <c r="D23" s="284"/>
      <c r="E23" s="284"/>
      <c r="F23" s="284"/>
      <c r="G23" s="284"/>
      <c r="H23" s="284"/>
      <c r="I23" s="284"/>
      <c r="J23" s="284"/>
      <c r="K23" s="284"/>
      <c r="L23" s="284"/>
      <c r="M23" s="284"/>
      <c r="N23" s="284"/>
    </row>
    <row r="24" spans="1:14" ht="20.100000000000001" customHeight="1" x14ac:dyDescent="0.2">
      <c r="A24" s="67" t="s">
        <v>25</v>
      </c>
      <c r="B24" s="11">
        <f>'BRA Parameters'!B22*(1-'BRA Parameters'!$B$5)/(1-'1st IA Parameters'!$B$5)</f>
        <v>451.97001712695351</v>
      </c>
      <c r="C24" s="11">
        <f>'BRA Parameters'!C22*(1-'BRA Parameters'!$B$5)/(1-'1st IA Parameters'!$B$5)</f>
        <v>408.51328944551483</v>
      </c>
      <c r="D24" s="11">
        <f>'BRA Parameters'!D22*(1-'BRA Parameters'!$B$5)/(1-'1st IA Parameters'!$B$5)</f>
        <v>428.28184007707131</v>
      </c>
      <c r="E24" s="11">
        <f>'BRA Parameters'!E22*(1-'BRA Parameters'!$B$5)/(1-'1st IA Parameters'!$B$5)</f>
        <v>382.12848961678441</v>
      </c>
      <c r="F24" s="11">
        <f>'BRA Parameters'!F22*(1-'BRA Parameters'!$B$5)/(1-'1st IA Parameters'!$B$5)</f>
        <v>448.09048918861055</v>
      </c>
      <c r="G24" s="11">
        <f>'BRA Parameters'!G22*(1-'BRA Parameters'!$B$5)/(1-'1st IA Parameters'!$B$5)</f>
        <v>448.09048918861055</v>
      </c>
      <c r="H24" s="11">
        <f>'BRA Parameters'!H22*(1-'BRA Parameters'!$B$5)/(1-'1st IA Parameters'!$B$5)</f>
        <v>388.43397559409118</v>
      </c>
      <c r="I24" s="11">
        <f>'BRA Parameters'!I22*(1-'BRA Parameters'!$B$5)/(1-'1st IA Parameters'!$B$5)</f>
        <v>382.12848961678441</v>
      </c>
      <c r="J24" s="11">
        <f>'BRA Parameters'!J22*(1-'BRA Parameters'!$B$5)/(1-'1st IA Parameters'!$B$5)</f>
        <v>408.58346178548487</v>
      </c>
      <c r="K24" s="11">
        <f>'BRA Parameters'!K22*(1-'BRA Parameters'!$B$5)/(1-'1st IA Parameters'!$B$5)</f>
        <v>408.58346178548487</v>
      </c>
      <c r="L24" s="11">
        <f>'BRA Parameters'!L22*(1-'BRA Parameters'!$B$5)/(1-'1st IA Parameters'!$B$5)</f>
        <v>481.62284307428814</v>
      </c>
      <c r="M24" s="11">
        <f>'BRA Parameters'!M22*(1-'BRA Parameters'!$B$5)/(1-'1st IA Parameters'!$B$5)</f>
        <v>382.12848961678441</v>
      </c>
      <c r="N24" s="11">
        <f>'BRA Parameters'!N22*(1-'BRA Parameters'!$B$5)/(1-'1st IA Parameters'!$B$5)</f>
        <v>428.24174159708838</v>
      </c>
    </row>
    <row r="25" spans="1:14" ht="20.100000000000001" customHeight="1" x14ac:dyDescent="0.2">
      <c r="A25" s="28" t="s">
        <v>26</v>
      </c>
      <c r="B25" s="11">
        <f>ROUND(B$22*0.75,2)</f>
        <v>225.98</v>
      </c>
      <c r="C25" s="11">
        <f t="shared" ref="C25:M25" si="4">ROUND(C$22*0.75,2)</f>
        <v>204.25</v>
      </c>
      <c r="D25" s="11">
        <f t="shared" si="4"/>
        <v>214.14</v>
      </c>
      <c r="E25" s="11">
        <f t="shared" si="4"/>
        <v>182.83</v>
      </c>
      <c r="F25" s="11">
        <f t="shared" si="4"/>
        <v>224.04</v>
      </c>
      <c r="G25" s="11">
        <f t="shared" si="4"/>
        <v>224.04</v>
      </c>
      <c r="H25" s="11">
        <f t="shared" si="4"/>
        <v>194.22</v>
      </c>
      <c r="I25" s="11">
        <f t="shared" si="4"/>
        <v>188.52</v>
      </c>
      <c r="J25" s="11">
        <f t="shared" si="4"/>
        <v>204.29</v>
      </c>
      <c r="K25" s="11">
        <f t="shared" si="4"/>
        <v>204.29</v>
      </c>
      <c r="L25" s="11">
        <f t="shared" si="4"/>
        <v>240.81</v>
      </c>
      <c r="M25" s="11">
        <f t="shared" si="4"/>
        <v>177.13</v>
      </c>
      <c r="N25" s="11">
        <f>ROUND(N$22*0.75,2)</f>
        <v>214.12</v>
      </c>
    </row>
    <row r="26" spans="1:14" ht="20.100000000000001" customHeight="1" x14ac:dyDescent="0.2">
      <c r="A26" s="28" t="s">
        <v>27</v>
      </c>
      <c r="B26" s="11">
        <v>0</v>
      </c>
      <c r="C26" s="11">
        <v>0</v>
      </c>
      <c r="D26" s="11">
        <v>0</v>
      </c>
      <c r="E26" s="11">
        <v>0</v>
      </c>
      <c r="F26" s="11">
        <v>0</v>
      </c>
      <c r="G26" s="11">
        <v>0</v>
      </c>
      <c r="H26" s="11">
        <v>0</v>
      </c>
      <c r="I26" s="11">
        <v>0</v>
      </c>
      <c r="J26" s="11">
        <v>0</v>
      </c>
      <c r="K26" s="11">
        <v>0</v>
      </c>
      <c r="L26" s="11">
        <v>0</v>
      </c>
      <c r="M26" s="11">
        <v>0</v>
      </c>
      <c r="N26" s="11">
        <v>0</v>
      </c>
    </row>
    <row r="27" spans="1:14" ht="20.100000000000001" customHeight="1" x14ac:dyDescent="0.2">
      <c r="A27" s="28" t="s">
        <v>28</v>
      </c>
      <c r="B27" s="12">
        <f>ROUND(B$21*(1+$B$4-0.2%)/(1+$B$4),1)</f>
        <v>156671.5</v>
      </c>
      <c r="C27" s="12">
        <f t="shared" ref="C27:M27" si="5">ROUND(C$21*(1+$B$4-0.2%)/(1+$B$4),1)</f>
        <v>67363.8</v>
      </c>
      <c r="D27" s="12">
        <f t="shared" si="5"/>
        <v>37220.300000000003</v>
      </c>
      <c r="E27" s="12">
        <f t="shared" si="5"/>
        <v>15986.8</v>
      </c>
      <c r="F27" s="12">
        <f t="shared" si="5"/>
        <v>12076.3</v>
      </c>
      <c r="G27" s="12">
        <f t="shared" si="5"/>
        <v>6309</v>
      </c>
      <c r="H27" s="12">
        <f t="shared" si="5"/>
        <v>3005.8</v>
      </c>
      <c r="I27" s="12">
        <f t="shared" si="5"/>
        <v>8151.4</v>
      </c>
      <c r="J27" s="12">
        <f t="shared" si="5"/>
        <v>15691.8</v>
      </c>
      <c r="K27" s="12">
        <f t="shared" si="5"/>
        <v>5942.4</v>
      </c>
      <c r="L27" s="12">
        <f t="shared" si="5"/>
        <v>26615.5</v>
      </c>
      <c r="M27" s="12">
        <f t="shared" si="5"/>
        <v>8442.4</v>
      </c>
      <c r="N27" s="12">
        <f>ROUND(N$21*(1+$B$4-0.2%)/(1+$B$4),1)</f>
        <v>10640.7</v>
      </c>
    </row>
    <row r="28" spans="1:14" ht="20.100000000000001" customHeight="1" x14ac:dyDescent="0.2">
      <c r="A28" s="28" t="s">
        <v>29</v>
      </c>
      <c r="B28" s="12">
        <f>ROUND(B$21*(1+$B$4+2.9%)/(1+$B$4),1)</f>
        <v>160847.6</v>
      </c>
      <c r="C28" s="12">
        <f t="shared" ref="C28:M28" si="6">ROUND(C$21*(1+$B$4+2.9%)/(1+$B$4),1)</f>
        <v>69159.3</v>
      </c>
      <c r="D28" s="12">
        <f t="shared" si="6"/>
        <v>38212.400000000001</v>
      </c>
      <c r="E28" s="12">
        <f t="shared" si="6"/>
        <v>16412.900000000001</v>
      </c>
      <c r="F28" s="12">
        <f t="shared" si="6"/>
        <v>12398.2</v>
      </c>
      <c r="G28" s="12">
        <f t="shared" si="6"/>
        <v>6477.1</v>
      </c>
      <c r="H28" s="12">
        <f t="shared" si="6"/>
        <v>3086</v>
      </c>
      <c r="I28" s="12">
        <f t="shared" si="6"/>
        <v>8368.7000000000007</v>
      </c>
      <c r="J28" s="12">
        <f t="shared" si="6"/>
        <v>16110.1</v>
      </c>
      <c r="K28" s="12">
        <f t="shared" si="6"/>
        <v>6100.8</v>
      </c>
      <c r="L28" s="12">
        <f t="shared" si="6"/>
        <v>27324.9</v>
      </c>
      <c r="M28" s="12">
        <f t="shared" si="6"/>
        <v>8667.4</v>
      </c>
      <c r="N28" s="12">
        <f>ROUND(N$21*(1+$B$4+2.9%)/(1+$B$4),1)</f>
        <v>10924.3</v>
      </c>
    </row>
    <row r="29" spans="1:14" ht="20.100000000000001" customHeight="1" x14ac:dyDescent="0.2">
      <c r="A29" s="28" t="s">
        <v>30</v>
      </c>
      <c r="B29" s="12">
        <f>ROUND(B$21*(1+$B$4+8.8%)/(1+$B$4),1)</f>
        <v>168795.7</v>
      </c>
      <c r="C29" s="12">
        <f t="shared" ref="C29:M29" si="7">ROUND(C$21*(1+$B$4+8.8%)/(1+$B$4),1)</f>
        <v>72576.800000000003</v>
      </c>
      <c r="D29" s="12">
        <f t="shared" si="7"/>
        <v>40100.6</v>
      </c>
      <c r="E29" s="12">
        <f t="shared" si="7"/>
        <v>17224</v>
      </c>
      <c r="F29" s="12">
        <f t="shared" si="7"/>
        <v>13010.9</v>
      </c>
      <c r="G29" s="12">
        <f t="shared" si="7"/>
        <v>6797.2</v>
      </c>
      <c r="H29" s="12">
        <f t="shared" si="7"/>
        <v>3238.4</v>
      </c>
      <c r="I29" s="12">
        <f t="shared" si="7"/>
        <v>8782.2000000000007</v>
      </c>
      <c r="J29" s="12">
        <f t="shared" si="7"/>
        <v>16906.099999999999</v>
      </c>
      <c r="K29" s="12">
        <f t="shared" si="7"/>
        <v>6402.2</v>
      </c>
      <c r="L29" s="12">
        <f t="shared" si="7"/>
        <v>28675.1</v>
      </c>
      <c r="M29" s="12">
        <f t="shared" si="7"/>
        <v>9095.7000000000007</v>
      </c>
      <c r="N29" s="12">
        <f>ROUND(N$21*(1+$B$4+8.8%)/(1+$B$4),1)</f>
        <v>11464.1</v>
      </c>
    </row>
    <row r="30" spans="1:14" ht="20.100000000000001" customHeight="1" x14ac:dyDescent="0.2">
      <c r="A30" s="28" t="s">
        <v>52</v>
      </c>
      <c r="B30" s="26" t="s">
        <v>24</v>
      </c>
      <c r="C30" s="99">
        <v>892</v>
      </c>
      <c r="D30" s="13" t="s">
        <v>24</v>
      </c>
      <c r="E30" s="13" t="s">
        <v>24</v>
      </c>
      <c r="F30" s="13" t="s">
        <v>24</v>
      </c>
      <c r="G30" s="13" t="s">
        <v>24</v>
      </c>
      <c r="H30" s="99">
        <v>72</v>
      </c>
      <c r="I30" s="13" t="s">
        <v>24</v>
      </c>
      <c r="J30" s="13" t="s">
        <v>24</v>
      </c>
      <c r="K30" s="13" t="s">
        <v>24</v>
      </c>
      <c r="L30" s="13" t="s">
        <v>24</v>
      </c>
      <c r="M30" s="13" t="s">
        <v>24</v>
      </c>
      <c r="N30" s="13" t="s">
        <v>24</v>
      </c>
    </row>
    <row r="31" spans="1:14" ht="20.100000000000001" customHeight="1" x14ac:dyDescent="0.2">
      <c r="A31" s="275" t="s">
        <v>78</v>
      </c>
      <c r="B31" s="276"/>
      <c r="C31" s="276"/>
      <c r="D31" s="276"/>
      <c r="E31" s="276"/>
      <c r="F31" s="276"/>
      <c r="G31" s="276"/>
      <c r="H31" s="276"/>
      <c r="I31" s="276"/>
      <c r="J31" s="276"/>
      <c r="K31" s="276"/>
      <c r="L31" s="276"/>
      <c r="M31" s="276"/>
      <c r="N31" s="277"/>
    </row>
    <row r="32" spans="1:14" ht="20.100000000000001" customHeight="1" x14ac:dyDescent="0.2">
      <c r="A32" s="28" t="s">
        <v>77</v>
      </c>
      <c r="B32" s="26" t="s">
        <v>24</v>
      </c>
      <c r="C32" s="26" t="s">
        <v>24</v>
      </c>
      <c r="D32" s="26" t="s">
        <v>24</v>
      </c>
      <c r="E32" s="26" t="s">
        <v>24</v>
      </c>
      <c r="F32" s="26" t="s">
        <v>24</v>
      </c>
      <c r="G32" s="26" t="s">
        <v>24</v>
      </c>
      <c r="H32" s="26" t="s">
        <v>24</v>
      </c>
      <c r="I32" s="26" t="s">
        <v>24</v>
      </c>
      <c r="J32" s="26" t="s">
        <v>24</v>
      </c>
      <c r="K32" s="26" t="s">
        <v>24</v>
      </c>
      <c r="L32" s="246">
        <f>ROUND((L15-L14)/(21693*$B$6),3)</f>
        <v>0.89100000000000001</v>
      </c>
      <c r="M32" s="26" t="s">
        <v>24</v>
      </c>
      <c r="N32" s="26" t="s">
        <v>24</v>
      </c>
    </row>
    <row r="34" spans="12:12" x14ac:dyDescent="0.2">
      <c r="L34" t="s">
        <v>12</v>
      </c>
    </row>
  </sheetData>
  <mergeCells count="13">
    <mergeCell ref="C6:H6"/>
    <mergeCell ref="A1:H1"/>
    <mergeCell ref="A2:H2"/>
    <mergeCell ref="C3:H3"/>
    <mergeCell ref="C4:H4"/>
    <mergeCell ref="C5:H5"/>
    <mergeCell ref="A31:N31"/>
    <mergeCell ref="C7:H7"/>
    <mergeCell ref="C8:H8"/>
    <mergeCell ref="C9:H9"/>
    <mergeCell ref="C10:H10"/>
    <mergeCell ref="C11:N11"/>
    <mergeCell ref="A23:N23"/>
  </mergeCells>
  <pageMargins left="0.7" right="0.7"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81"/>
  <sheetViews>
    <sheetView zoomScaleNormal="100" zoomScaleSheetLayoutView="75" workbookViewId="0">
      <selection sqref="A1:F1"/>
    </sheetView>
  </sheetViews>
  <sheetFormatPr defaultColWidth="30.7109375" defaultRowHeight="12.75" x14ac:dyDescent="0.2"/>
  <cols>
    <col min="1" max="1" width="48.85546875" customWidth="1"/>
    <col min="2" max="7" width="16.7109375" style="1" customWidth="1"/>
    <col min="8" max="8" width="16.7109375" customWidth="1"/>
    <col min="9" max="9" width="17.7109375" customWidth="1"/>
    <col min="10" max="14" width="18.7109375" customWidth="1"/>
    <col min="15" max="15" width="41.28515625" bestFit="1" customWidth="1"/>
  </cols>
  <sheetData>
    <row r="1" spans="1:15" ht="24.95" customHeight="1" x14ac:dyDescent="0.25">
      <c r="A1" s="286" t="s">
        <v>82</v>
      </c>
      <c r="B1" s="286"/>
      <c r="C1" s="286"/>
      <c r="D1" s="286"/>
      <c r="E1" s="286"/>
      <c r="F1" s="286"/>
      <c r="G1" s="109">
        <v>42242</v>
      </c>
      <c r="H1" s="110" t="s">
        <v>112</v>
      </c>
      <c r="I1" s="16" t="s">
        <v>12</v>
      </c>
    </row>
    <row r="2" spans="1:15" ht="18" customHeight="1" x14ac:dyDescent="0.25">
      <c r="A2" s="279" t="s">
        <v>135</v>
      </c>
      <c r="B2" s="280"/>
      <c r="C2" s="280"/>
      <c r="D2" s="280"/>
      <c r="E2" s="280"/>
      <c r="F2" s="280"/>
      <c r="G2" s="280"/>
      <c r="H2" s="281"/>
      <c r="I2" s="16"/>
    </row>
    <row r="3" spans="1:15" ht="20.100000000000001" customHeight="1" x14ac:dyDescent="0.25">
      <c r="A3" s="17"/>
      <c r="B3" s="18" t="s">
        <v>13</v>
      </c>
      <c r="C3" s="298" t="s">
        <v>41</v>
      </c>
      <c r="D3" s="298"/>
      <c r="E3" s="298"/>
      <c r="F3" s="298"/>
      <c r="G3" s="298"/>
      <c r="H3" s="298"/>
      <c r="I3" s="45"/>
      <c r="J3" s="45"/>
      <c r="K3" s="45"/>
    </row>
    <row r="4" spans="1:15" ht="20.100000000000001" customHeight="1" x14ac:dyDescent="0.2">
      <c r="A4" s="19" t="s">
        <v>35</v>
      </c>
      <c r="B4" s="20">
        <v>0.157</v>
      </c>
      <c r="C4" s="297" t="s">
        <v>84</v>
      </c>
      <c r="D4" s="297"/>
      <c r="E4" s="297"/>
      <c r="F4" s="297"/>
      <c r="G4" s="297"/>
      <c r="H4" s="297"/>
      <c r="I4" s="46"/>
      <c r="J4" s="63" t="s">
        <v>12</v>
      </c>
      <c r="K4" s="46"/>
    </row>
    <row r="5" spans="1:15" ht="20.100000000000001" customHeight="1" x14ac:dyDescent="0.2">
      <c r="A5" s="19" t="s">
        <v>36</v>
      </c>
      <c r="B5" s="21">
        <v>6.3500000000000001E-2</v>
      </c>
      <c r="C5" s="297" t="s">
        <v>131</v>
      </c>
      <c r="D5" s="297"/>
      <c r="E5" s="297"/>
      <c r="F5" s="297"/>
      <c r="G5" s="297"/>
      <c r="H5" s="297"/>
      <c r="I5" s="46"/>
      <c r="J5" s="63" t="s">
        <v>12</v>
      </c>
      <c r="K5" s="46"/>
    </row>
    <row r="6" spans="1:15" ht="20.100000000000001" customHeight="1" x14ac:dyDescent="0.2">
      <c r="A6" s="19" t="s">
        <v>37</v>
      </c>
      <c r="B6" s="22">
        <f>ROUND((1+B4)*(1-B5),4)</f>
        <v>1.0834999999999999</v>
      </c>
      <c r="C6" s="278" t="s">
        <v>130</v>
      </c>
      <c r="D6" s="278"/>
      <c r="E6" s="278"/>
      <c r="F6" s="278"/>
      <c r="G6" s="278"/>
      <c r="H6" s="278"/>
      <c r="I6" s="47"/>
      <c r="J6" s="64" t="s">
        <v>12</v>
      </c>
      <c r="K6" s="47"/>
    </row>
    <row r="7" spans="1:15" ht="20.100000000000001" customHeight="1" x14ac:dyDescent="0.2">
      <c r="A7" s="19" t="s">
        <v>42</v>
      </c>
      <c r="B7" s="23" t="s">
        <v>24</v>
      </c>
      <c r="C7" s="278" t="s">
        <v>132</v>
      </c>
      <c r="D7" s="278"/>
      <c r="E7" s="278"/>
      <c r="F7" s="278"/>
      <c r="G7" s="278"/>
      <c r="H7" s="278"/>
      <c r="I7" s="47"/>
      <c r="J7" s="47" t="s">
        <v>12</v>
      </c>
      <c r="K7" s="47"/>
    </row>
    <row r="8" spans="1:15" ht="20.100000000000001" customHeight="1" x14ac:dyDescent="0.2">
      <c r="A8" s="19" t="s">
        <v>38</v>
      </c>
      <c r="B8" s="52">
        <f>F36</f>
        <v>161418.4</v>
      </c>
      <c r="C8" s="297" t="s">
        <v>83</v>
      </c>
      <c r="D8" s="297"/>
      <c r="E8" s="297"/>
      <c r="F8" s="297"/>
      <c r="G8" s="297"/>
      <c r="H8" s="297"/>
      <c r="I8" s="47"/>
      <c r="J8" s="55" t="s">
        <v>12</v>
      </c>
      <c r="K8" s="47"/>
    </row>
    <row r="9" spans="1:15" ht="20.100000000000001" customHeight="1" x14ac:dyDescent="0.2">
      <c r="A9" s="19" t="s">
        <v>43</v>
      </c>
      <c r="B9" s="24" t="s">
        <v>24</v>
      </c>
      <c r="C9" s="297" t="s">
        <v>133</v>
      </c>
      <c r="D9" s="297"/>
      <c r="E9" s="297"/>
      <c r="F9" s="297"/>
      <c r="G9" s="297"/>
      <c r="H9" s="297"/>
      <c r="I9" s="46"/>
      <c r="J9" s="46"/>
      <c r="K9" s="46"/>
    </row>
    <row r="10" spans="1:15" ht="45.75" customHeight="1" x14ac:dyDescent="0.2">
      <c r="A10" s="67" t="s">
        <v>127</v>
      </c>
      <c r="B10" s="79">
        <f>ROUND(MAX(B20*0.3, 20)*365,2)</f>
        <v>32912.42</v>
      </c>
      <c r="C10" s="299" t="s">
        <v>134</v>
      </c>
      <c r="D10" s="300"/>
      <c r="E10" s="300"/>
      <c r="F10" s="300"/>
      <c r="G10" s="300"/>
      <c r="H10" s="301"/>
      <c r="I10" s="46"/>
      <c r="J10" s="46"/>
      <c r="K10" s="46"/>
    </row>
    <row r="11" spans="1:15" ht="20.100000000000001" customHeight="1" x14ac:dyDescent="0.2">
      <c r="A11" s="78" t="s">
        <v>12</v>
      </c>
      <c r="B11" s="79" t="s">
        <v>12</v>
      </c>
      <c r="C11" s="302"/>
      <c r="D11" s="302"/>
      <c r="E11" s="302"/>
      <c r="F11" s="302"/>
      <c r="G11" s="302"/>
      <c r="H11" s="302"/>
      <c r="I11" s="302"/>
      <c r="J11" s="302"/>
      <c r="K11" s="302"/>
      <c r="L11" s="302"/>
      <c r="M11" s="302"/>
      <c r="N11" s="302"/>
    </row>
    <row r="12" spans="1:15" ht="30" customHeight="1" x14ac:dyDescent="0.2">
      <c r="A12" s="30" t="s">
        <v>12</v>
      </c>
      <c r="B12" s="27" t="s">
        <v>13</v>
      </c>
      <c r="C12" s="27" t="s">
        <v>17</v>
      </c>
      <c r="D12" s="27" t="s">
        <v>16</v>
      </c>
      <c r="E12" s="27" t="s">
        <v>14</v>
      </c>
      <c r="F12" s="27" t="s">
        <v>8</v>
      </c>
      <c r="G12" s="27" t="s">
        <v>44</v>
      </c>
      <c r="H12" s="27" t="s">
        <v>45</v>
      </c>
      <c r="I12" s="27" t="s">
        <v>7</v>
      </c>
      <c r="J12" s="25" t="s">
        <v>53</v>
      </c>
      <c r="K12" s="25" t="s">
        <v>67</v>
      </c>
      <c r="L12" s="56" t="s">
        <v>18</v>
      </c>
      <c r="M12" s="56" t="s">
        <v>3</v>
      </c>
      <c r="N12" s="56" t="s">
        <v>76</v>
      </c>
      <c r="O12" s="60" t="s">
        <v>12</v>
      </c>
    </row>
    <row r="13" spans="1:15" ht="19.899999999999999" customHeight="1" x14ac:dyDescent="0.2">
      <c r="A13" s="28" t="s">
        <v>9</v>
      </c>
      <c r="B13" s="12" t="s">
        <v>24</v>
      </c>
      <c r="C13" s="12">
        <f>B63</f>
        <v>-1900</v>
      </c>
      <c r="D13" s="101">
        <f>B60</f>
        <v>2850</v>
      </c>
      <c r="E13" s="101">
        <f>B61</f>
        <v>5160</v>
      </c>
      <c r="F13" s="101">
        <f>B57</f>
        <v>5800</v>
      </c>
      <c r="G13" s="101">
        <f>B58</f>
        <v>2350</v>
      </c>
      <c r="H13" s="101">
        <f>B49</f>
        <v>1360</v>
      </c>
      <c r="I13" s="101">
        <f>B55</f>
        <v>3470</v>
      </c>
      <c r="J13" s="101">
        <f>B40</f>
        <v>4520</v>
      </c>
      <c r="K13" s="101">
        <f>B41</f>
        <v>3340</v>
      </c>
      <c r="L13" s="101">
        <f>B43</f>
        <v>860</v>
      </c>
      <c r="M13" s="101">
        <f>B42</f>
        <v>4550</v>
      </c>
      <c r="N13" s="101">
        <f>B56</f>
        <v>-500</v>
      </c>
    </row>
    <row r="14" spans="1:15" ht="19.899999999999999" customHeight="1" x14ac:dyDescent="0.2">
      <c r="A14" s="28" t="s">
        <v>11</v>
      </c>
      <c r="B14" s="12" t="s">
        <v>24</v>
      </c>
      <c r="C14" s="12">
        <f>C63</f>
        <v>7883</v>
      </c>
      <c r="D14" s="101">
        <f>C60</f>
        <v>8375</v>
      </c>
      <c r="E14" s="101">
        <f>C61</f>
        <v>9888</v>
      </c>
      <c r="F14" s="101">
        <f>C57</f>
        <v>7926</v>
      </c>
      <c r="G14" s="101">
        <f>C58</f>
        <v>3761</v>
      </c>
      <c r="H14" s="101">
        <f>C49</f>
        <v>1702</v>
      </c>
      <c r="I14" s="101">
        <f>C55</f>
        <v>7045</v>
      </c>
      <c r="J14" s="101">
        <f>C40</f>
        <v>9240</v>
      </c>
      <c r="K14" s="101">
        <f>C41</f>
        <v>4557</v>
      </c>
      <c r="L14" s="101">
        <f>C43</f>
        <v>5227</v>
      </c>
      <c r="M14" s="101">
        <f>C42</f>
        <v>6527</v>
      </c>
      <c r="N14" s="101">
        <f>C56</f>
        <v>4538</v>
      </c>
    </row>
    <row r="15" spans="1:15" ht="19.899999999999999" customHeight="1" x14ac:dyDescent="0.2">
      <c r="A15" s="29" t="s">
        <v>10</v>
      </c>
      <c r="B15" s="12">
        <f>ROUND((B8*B6),1)</f>
        <v>174896.8</v>
      </c>
      <c r="C15" s="12">
        <v>69853.600000000006</v>
      </c>
      <c r="D15" s="36">
        <v>38535.199999999997</v>
      </c>
      <c r="E15" s="36">
        <v>16211.6</v>
      </c>
      <c r="F15" s="36">
        <v>12416.1</v>
      </c>
      <c r="G15" s="36">
        <v>6379.1</v>
      </c>
      <c r="H15" s="36">
        <v>3149.7</v>
      </c>
      <c r="I15" s="36">
        <v>8181.2</v>
      </c>
      <c r="J15" s="36">
        <v>16048.1</v>
      </c>
      <c r="K15" s="36">
        <v>6029.7</v>
      </c>
      <c r="L15" s="36">
        <v>28045.8</v>
      </c>
      <c r="M15" s="36">
        <v>8706.7000000000007</v>
      </c>
      <c r="N15" s="36">
        <v>10040.1</v>
      </c>
    </row>
    <row r="16" spans="1:15" ht="19.899999999999999" customHeight="1" x14ac:dyDescent="0.2">
      <c r="A16" s="28" t="s">
        <v>47</v>
      </c>
      <c r="B16" s="101">
        <f>H36</f>
        <v>13188.199999999999</v>
      </c>
      <c r="C16" s="97">
        <f>H63</f>
        <v>0</v>
      </c>
      <c r="D16" s="97">
        <f>H60</f>
        <v>0</v>
      </c>
      <c r="E16" s="97">
        <f>H61</f>
        <v>0</v>
      </c>
      <c r="F16" s="97">
        <f>H57</f>
        <v>0</v>
      </c>
      <c r="G16" s="97">
        <f>H58</f>
        <v>0</v>
      </c>
      <c r="H16" s="97">
        <f>H49</f>
        <v>0</v>
      </c>
      <c r="I16" s="97">
        <f>H55</f>
        <v>0</v>
      </c>
      <c r="J16" s="97">
        <f>H40</f>
        <v>0</v>
      </c>
      <c r="K16" s="97">
        <f>H41</f>
        <v>0</v>
      </c>
      <c r="L16" s="101">
        <f>H43</f>
        <v>343.3</v>
      </c>
      <c r="M16" s="97">
        <v>0</v>
      </c>
      <c r="N16" s="97">
        <v>0</v>
      </c>
    </row>
    <row r="17" spans="1:14" ht="19.899999999999999" customHeight="1" x14ac:dyDescent="0.2">
      <c r="A17" s="28" t="s">
        <v>46</v>
      </c>
      <c r="B17" s="101">
        <f>ROUND(B16*$B$6,1)</f>
        <v>14289.4</v>
      </c>
      <c r="C17" s="97">
        <f t="shared" ref="C17:I17" si="0">ROUND(C16*$B$6,1)</f>
        <v>0</v>
      </c>
      <c r="D17" s="97">
        <f t="shared" si="0"/>
        <v>0</v>
      </c>
      <c r="E17" s="97">
        <f t="shared" si="0"/>
        <v>0</v>
      </c>
      <c r="F17" s="97">
        <f t="shared" si="0"/>
        <v>0</v>
      </c>
      <c r="G17" s="97">
        <f t="shared" si="0"/>
        <v>0</v>
      </c>
      <c r="H17" s="97">
        <f t="shared" si="0"/>
        <v>0</v>
      </c>
      <c r="I17" s="97">
        <f t="shared" si="0"/>
        <v>0</v>
      </c>
      <c r="J17" s="97">
        <f>ROUND(J16*$B$6,1)</f>
        <v>0</v>
      </c>
      <c r="K17" s="97">
        <f>ROUND(K16*$B$6,1)</f>
        <v>0</v>
      </c>
      <c r="L17" s="101">
        <f>ROUND(L16*$B$6,1)</f>
        <v>372</v>
      </c>
      <c r="M17" s="97">
        <f>ROUND(M16*$B$6,1)</f>
        <v>0</v>
      </c>
      <c r="N17" s="97">
        <f>ROUND(N16*$B$6,1)</f>
        <v>0</v>
      </c>
    </row>
    <row r="18" spans="1:14" ht="24.95" customHeight="1" x14ac:dyDescent="0.2">
      <c r="A18" s="65" t="s">
        <v>48</v>
      </c>
      <c r="B18" s="53">
        <f>B15-B17</f>
        <v>160607.4</v>
      </c>
      <c r="C18" s="53">
        <f t="shared" ref="C18:I18" si="1">C15-C17</f>
        <v>69853.600000000006</v>
      </c>
      <c r="D18" s="53">
        <f t="shared" si="1"/>
        <v>38535.199999999997</v>
      </c>
      <c r="E18" s="53">
        <f t="shared" si="1"/>
        <v>16211.6</v>
      </c>
      <c r="F18" s="53">
        <f t="shared" si="1"/>
        <v>12416.1</v>
      </c>
      <c r="G18" s="53">
        <f t="shared" si="1"/>
        <v>6379.1</v>
      </c>
      <c r="H18" s="53">
        <f t="shared" si="1"/>
        <v>3149.7</v>
      </c>
      <c r="I18" s="53">
        <f t="shared" si="1"/>
        <v>8181.2</v>
      </c>
      <c r="J18" s="53">
        <f>J15-J17</f>
        <v>16048.1</v>
      </c>
      <c r="K18" s="53">
        <f>K15-K17</f>
        <v>6029.7</v>
      </c>
      <c r="L18" s="53">
        <f>L15-L17*L32</f>
        <v>27704.675999999999</v>
      </c>
      <c r="M18" s="53">
        <f>M15-M17</f>
        <v>8706.7000000000007</v>
      </c>
      <c r="N18" s="53">
        <f>N15-N17</f>
        <v>10040.1</v>
      </c>
    </row>
    <row r="19" spans="1:14" ht="19.899999999999999" customHeight="1" x14ac:dyDescent="0.2">
      <c r="A19" s="29" t="s">
        <v>43</v>
      </c>
      <c r="B19" s="12" t="s">
        <v>24</v>
      </c>
      <c r="C19" s="12" t="s">
        <v>24</v>
      </c>
      <c r="D19" s="12" t="s">
        <v>24</v>
      </c>
      <c r="E19" s="12" t="s">
        <v>24</v>
      </c>
      <c r="F19" s="12" t="s">
        <v>24</v>
      </c>
      <c r="G19" s="12" t="s">
        <v>24</v>
      </c>
      <c r="H19" s="12" t="s">
        <v>24</v>
      </c>
      <c r="I19" s="12" t="s">
        <v>24</v>
      </c>
      <c r="J19" s="12" t="s">
        <v>24</v>
      </c>
      <c r="K19" s="12" t="s">
        <v>24</v>
      </c>
      <c r="L19" s="12" t="s">
        <v>24</v>
      </c>
      <c r="M19" s="12" t="s">
        <v>24</v>
      </c>
      <c r="N19" s="12" t="s">
        <v>24</v>
      </c>
    </row>
    <row r="20" spans="1:14" ht="19.899999999999999" customHeight="1" x14ac:dyDescent="0.2">
      <c r="A20" s="66" t="s">
        <v>49</v>
      </c>
      <c r="B20" s="15">
        <v>300.57</v>
      </c>
      <c r="C20" s="15">
        <v>271.67</v>
      </c>
      <c r="D20" s="15">
        <v>284.82</v>
      </c>
      <c r="E20" s="15">
        <v>243.17</v>
      </c>
      <c r="F20" s="15">
        <v>297.99</v>
      </c>
      <c r="G20" s="15">
        <v>297.99</v>
      </c>
      <c r="H20" s="15">
        <v>258.32</v>
      </c>
      <c r="I20" s="15">
        <v>250.74</v>
      </c>
      <c r="J20" s="15">
        <v>271.72000000000003</v>
      </c>
      <c r="K20" s="15">
        <v>271.72000000000003</v>
      </c>
      <c r="L20" s="15">
        <v>320.29000000000002</v>
      </c>
      <c r="M20" s="15">
        <v>235.59</v>
      </c>
      <c r="N20" s="15">
        <v>284.79000000000002</v>
      </c>
    </row>
    <row r="21" spans="1:14" ht="19.899999999999999" customHeight="1" x14ac:dyDescent="0.2">
      <c r="A21" s="284" t="s">
        <v>50</v>
      </c>
      <c r="B21" s="284"/>
      <c r="C21" s="284"/>
      <c r="D21" s="284"/>
      <c r="E21" s="284"/>
      <c r="F21" s="284"/>
      <c r="G21" s="284"/>
      <c r="H21" s="284"/>
      <c r="I21" s="284"/>
      <c r="J21" s="284"/>
      <c r="K21" s="284"/>
      <c r="L21" s="284"/>
      <c r="M21" s="284"/>
      <c r="N21" s="284"/>
    </row>
    <row r="22" spans="1:14" ht="19.899999999999999" customHeight="1" x14ac:dyDescent="0.2">
      <c r="A22" s="67" t="s">
        <v>25</v>
      </c>
      <c r="B22" s="11">
        <v>450.86</v>
      </c>
      <c r="C22" s="11">
        <v>407.51</v>
      </c>
      <c r="D22" s="11">
        <v>427.23</v>
      </c>
      <c r="E22" s="11">
        <v>381.19</v>
      </c>
      <c r="F22" s="11">
        <v>446.99</v>
      </c>
      <c r="G22" s="11">
        <v>446.99</v>
      </c>
      <c r="H22" s="11">
        <v>387.48</v>
      </c>
      <c r="I22" s="11">
        <v>381.19</v>
      </c>
      <c r="J22" s="11">
        <v>407.58</v>
      </c>
      <c r="K22" s="11">
        <v>407.58</v>
      </c>
      <c r="L22" s="11">
        <v>480.44</v>
      </c>
      <c r="M22" s="11">
        <v>381.19</v>
      </c>
      <c r="N22" s="11">
        <v>427.19</v>
      </c>
    </row>
    <row r="23" spans="1:14" ht="19.899999999999999" customHeight="1" x14ac:dyDescent="0.2">
      <c r="A23" s="28" t="s">
        <v>26</v>
      </c>
      <c r="B23" s="11">
        <f>ROUND(B$20*0.75,2)</f>
        <v>225.43</v>
      </c>
      <c r="C23" s="11">
        <f t="shared" ref="C23:M23" si="2">ROUND(C$20*0.75,2)</f>
        <v>203.75</v>
      </c>
      <c r="D23" s="11">
        <f t="shared" si="2"/>
        <v>213.62</v>
      </c>
      <c r="E23" s="11">
        <f t="shared" si="2"/>
        <v>182.38</v>
      </c>
      <c r="F23" s="11">
        <f t="shared" si="2"/>
        <v>223.49</v>
      </c>
      <c r="G23" s="11">
        <f t="shared" si="2"/>
        <v>223.49</v>
      </c>
      <c r="H23" s="11">
        <f t="shared" si="2"/>
        <v>193.74</v>
      </c>
      <c r="I23" s="11">
        <f t="shared" si="2"/>
        <v>188.06</v>
      </c>
      <c r="J23" s="11">
        <f t="shared" si="2"/>
        <v>203.79</v>
      </c>
      <c r="K23" s="11">
        <f t="shared" si="2"/>
        <v>203.79</v>
      </c>
      <c r="L23" s="11">
        <f t="shared" si="2"/>
        <v>240.22</v>
      </c>
      <c r="M23" s="11">
        <f t="shared" si="2"/>
        <v>176.69</v>
      </c>
      <c r="N23" s="11">
        <f>ROUND(N$20*0.75,2)</f>
        <v>213.59</v>
      </c>
    </row>
    <row r="24" spans="1:14" ht="19.899999999999999" customHeight="1" x14ac:dyDescent="0.2">
      <c r="A24" s="28" t="s">
        <v>27</v>
      </c>
      <c r="B24" s="11">
        <v>0</v>
      </c>
      <c r="C24" s="11">
        <v>0</v>
      </c>
      <c r="D24" s="11">
        <v>0</v>
      </c>
      <c r="E24" s="11">
        <v>0</v>
      </c>
      <c r="F24" s="11">
        <v>0</v>
      </c>
      <c r="G24" s="11">
        <v>0</v>
      </c>
      <c r="H24" s="11">
        <v>0</v>
      </c>
      <c r="I24" s="11">
        <v>0</v>
      </c>
      <c r="J24" s="11">
        <v>0</v>
      </c>
      <c r="K24" s="11">
        <v>0</v>
      </c>
      <c r="L24" s="11">
        <v>0</v>
      </c>
      <c r="M24" s="11">
        <v>0</v>
      </c>
      <c r="N24" s="11">
        <v>0</v>
      </c>
    </row>
    <row r="25" spans="1:14" ht="19.899999999999999" customHeight="1" x14ac:dyDescent="0.2">
      <c r="A25" s="28" t="s">
        <v>28</v>
      </c>
      <c r="B25" s="12">
        <f>ROUND(B$18*(1+$B$4-0.2%)/(1+$B$4),1)</f>
        <v>160329.79999999999</v>
      </c>
      <c r="C25" s="12">
        <f t="shared" ref="C25:N25" si="3">ROUND(C$18*(1+$B$4-0.2%)/(1+$B$4),1)</f>
        <v>69732.899999999994</v>
      </c>
      <c r="D25" s="12">
        <f t="shared" si="3"/>
        <v>38468.6</v>
      </c>
      <c r="E25" s="12">
        <f t="shared" si="3"/>
        <v>16183.6</v>
      </c>
      <c r="F25" s="12">
        <f t="shared" si="3"/>
        <v>12394.6</v>
      </c>
      <c r="G25" s="12">
        <f t="shared" si="3"/>
        <v>6368.1</v>
      </c>
      <c r="H25" s="12">
        <f t="shared" si="3"/>
        <v>3144.3</v>
      </c>
      <c r="I25" s="12">
        <f t="shared" si="3"/>
        <v>8167.1</v>
      </c>
      <c r="J25" s="12">
        <f t="shared" si="3"/>
        <v>16020.4</v>
      </c>
      <c r="K25" s="12">
        <f t="shared" si="3"/>
        <v>6019.3</v>
      </c>
      <c r="L25" s="12">
        <f t="shared" si="3"/>
        <v>27656.799999999999</v>
      </c>
      <c r="M25" s="12">
        <f t="shared" si="3"/>
        <v>8691.6</v>
      </c>
      <c r="N25" s="12">
        <f t="shared" si="3"/>
        <v>10022.700000000001</v>
      </c>
    </row>
    <row r="26" spans="1:14" ht="19.899999999999999" customHeight="1" x14ac:dyDescent="0.2">
      <c r="A26" s="28" t="s">
        <v>29</v>
      </c>
      <c r="B26" s="12">
        <f t="shared" ref="B26:N26" si="4">ROUND(B$18*(1+$B$4+2.9%)/(1+$B$4),1)</f>
        <v>164633</v>
      </c>
      <c r="C26" s="12">
        <f t="shared" si="4"/>
        <v>71604.5</v>
      </c>
      <c r="D26" s="12">
        <f t="shared" si="4"/>
        <v>39501.1</v>
      </c>
      <c r="E26" s="12">
        <f t="shared" si="4"/>
        <v>16617.900000000001</v>
      </c>
      <c r="F26" s="12">
        <f t="shared" si="4"/>
        <v>12727.3</v>
      </c>
      <c r="G26" s="12">
        <f t="shared" si="4"/>
        <v>6539</v>
      </c>
      <c r="H26" s="12">
        <f t="shared" si="4"/>
        <v>3228.6</v>
      </c>
      <c r="I26" s="12">
        <f t="shared" si="4"/>
        <v>8386.2999999999993</v>
      </c>
      <c r="J26" s="12">
        <f t="shared" si="4"/>
        <v>16450.3</v>
      </c>
      <c r="K26" s="12">
        <f t="shared" si="4"/>
        <v>6180.8</v>
      </c>
      <c r="L26" s="12">
        <f t="shared" si="4"/>
        <v>28399.1</v>
      </c>
      <c r="M26" s="12">
        <f t="shared" si="4"/>
        <v>8924.9</v>
      </c>
      <c r="N26" s="12">
        <f t="shared" si="4"/>
        <v>10291.799999999999</v>
      </c>
    </row>
    <row r="27" spans="1:14" ht="19.899999999999999" customHeight="1" x14ac:dyDescent="0.2">
      <c r="A27" s="28" t="s">
        <v>30</v>
      </c>
      <c r="B27" s="12">
        <f t="shared" ref="B27:N27" si="5">ROUND(B$18*(1+$B$4+8.8%)/(1+$B$4),1)</f>
        <v>172823</v>
      </c>
      <c r="C27" s="12">
        <f t="shared" si="5"/>
        <v>75166.600000000006</v>
      </c>
      <c r="D27" s="12">
        <f t="shared" si="5"/>
        <v>41466.1</v>
      </c>
      <c r="E27" s="12">
        <f t="shared" si="5"/>
        <v>17444.599999999999</v>
      </c>
      <c r="F27" s="12">
        <f t="shared" si="5"/>
        <v>13360.5</v>
      </c>
      <c r="G27" s="12">
        <f t="shared" si="5"/>
        <v>6864.3</v>
      </c>
      <c r="H27" s="12">
        <f t="shared" si="5"/>
        <v>3389.3</v>
      </c>
      <c r="I27" s="12">
        <f t="shared" si="5"/>
        <v>8803.5</v>
      </c>
      <c r="J27" s="12">
        <f t="shared" si="5"/>
        <v>17268.7</v>
      </c>
      <c r="K27" s="12">
        <f t="shared" si="5"/>
        <v>6488.3</v>
      </c>
      <c r="L27" s="12">
        <f t="shared" si="5"/>
        <v>29811.9</v>
      </c>
      <c r="M27" s="12">
        <f t="shared" si="5"/>
        <v>9368.9</v>
      </c>
      <c r="N27" s="12">
        <f t="shared" si="5"/>
        <v>10803.7</v>
      </c>
    </row>
    <row r="28" spans="1:14" ht="19.899999999999999" customHeight="1" x14ac:dyDescent="0.2">
      <c r="A28" s="28" t="s">
        <v>52</v>
      </c>
      <c r="B28" s="26" t="s">
        <v>24</v>
      </c>
      <c r="C28" s="99">
        <v>892</v>
      </c>
      <c r="D28" s="13" t="s">
        <v>24</v>
      </c>
      <c r="E28" s="13" t="s">
        <v>24</v>
      </c>
      <c r="F28" s="13" t="s">
        <v>24</v>
      </c>
      <c r="G28" s="13" t="s">
        <v>24</v>
      </c>
      <c r="H28" s="99">
        <v>72</v>
      </c>
      <c r="I28" s="13" t="s">
        <v>24</v>
      </c>
      <c r="J28" s="13" t="s">
        <v>24</v>
      </c>
      <c r="K28" s="13" t="s">
        <v>24</v>
      </c>
      <c r="L28" s="13" t="s">
        <v>24</v>
      </c>
      <c r="M28" s="13" t="s">
        <v>24</v>
      </c>
      <c r="N28" s="13" t="s">
        <v>24</v>
      </c>
    </row>
    <row r="29" spans="1:14" s="111" customFormat="1" ht="30" customHeight="1" x14ac:dyDescent="0.2">
      <c r="A29" s="113" t="s">
        <v>128</v>
      </c>
      <c r="B29" s="114">
        <f>ROUND(MAX(B20*0.5, 20)*365,2)</f>
        <v>54854.03</v>
      </c>
      <c r="C29" s="114">
        <f>ROUND(MAX(C20*0.5, 20)*365,2)</f>
        <v>49579.78</v>
      </c>
      <c r="D29" s="114">
        <f>ROUND(MAX(D20*0.5, 20)*365,2)</f>
        <v>51979.65</v>
      </c>
      <c r="E29" s="114">
        <f t="shared" ref="E29:N29" si="6">ROUND(MAX(E20*0.5, 20)*365,2)</f>
        <v>44378.53</v>
      </c>
      <c r="F29" s="114">
        <f t="shared" si="6"/>
        <v>54383.18</v>
      </c>
      <c r="G29" s="114">
        <f t="shared" si="6"/>
        <v>54383.18</v>
      </c>
      <c r="H29" s="114">
        <f t="shared" si="6"/>
        <v>47143.4</v>
      </c>
      <c r="I29" s="114">
        <f t="shared" si="6"/>
        <v>45760.05</v>
      </c>
      <c r="J29" s="114">
        <f t="shared" si="6"/>
        <v>49588.9</v>
      </c>
      <c r="K29" s="114">
        <f t="shared" si="6"/>
        <v>49588.9</v>
      </c>
      <c r="L29" s="114">
        <f t="shared" si="6"/>
        <v>58452.93</v>
      </c>
      <c r="M29" s="114">
        <f t="shared" si="6"/>
        <v>42995.18</v>
      </c>
      <c r="N29" s="114">
        <f t="shared" si="6"/>
        <v>51974.18</v>
      </c>
    </row>
    <row r="30" spans="1:14" ht="19.899999999999999" customHeight="1" x14ac:dyDescent="0.2">
      <c r="A30" s="28" t="s">
        <v>52</v>
      </c>
      <c r="B30" s="26" t="s">
        <v>24</v>
      </c>
      <c r="C30" s="99">
        <v>892</v>
      </c>
      <c r="D30" s="13" t="s">
        <v>24</v>
      </c>
      <c r="E30" s="13" t="s">
        <v>24</v>
      </c>
      <c r="F30" s="13" t="s">
        <v>24</v>
      </c>
      <c r="G30" s="13" t="s">
        <v>24</v>
      </c>
      <c r="H30" s="99">
        <v>72</v>
      </c>
      <c r="I30" s="13" t="s">
        <v>24</v>
      </c>
      <c r="J30" s="13" t="s">
        <v>24</v>
      </c>
      <c r="K30" s="13" t="s">
        <v>24</v>
      </c>
      <c r="L30" s="13" t="s">
        <v>24</v>
      </c>
      <c r="M30" s="13" t="s">
        <v>24</v>
      </c>
      <c r="N30" s="13" t="s">
        <v>24</v>
      </c>
    </row>
    <row r="31" spans="1:14" ht="19.899999999999999" customHeight="1" x14ac:dyDescent="0.2">
      <c r="A31" s="275" t="s">
        <v>78</v>
      </c>
      <c r="B31" s="276"/>
      <c r="C31" s="276"/>
      <c r="D31" s="276"/>
      <c r="E31" s="276"/>
      <c r="F31" s="276"/>
      <c r="G31" s="276"/>
      <c r="H31" s="276"/>
      <c r="I31" s="276"/>
      <c r="J31" s="276"/>
      <c r="K31" s="276"/>
      <c r="L31" s="276"/>
      <c r="M31" s="276"/>
      <c r="N31" s="277"/>
    </row>
    <row r="32" spans="1:14" ht="19.899999999999999" customHeight="1" x14ac:dyDescent="0.2">
      <c r="A32" s="28" t="s">
        <v>77</v>
      </c>
      <c r="B32" s="26" t="s">
        <v>24</v>
      </c>
      <c r="C32" s="9">
        <f>ROUND((C15-C14)/(F63*$B$6),3)</f>
        <v>0.97</v>
      </c>
      <c r="D32" s="9">
        <f>ROUND((D15-D14)/(F60*$B$6),3)</f>
        <v>0.86399999999999999</v>
      </c>
      <c r="E32" s="9">
        <f>ROUND((E15-E14)/(F61*$B$6),3)</f>
        <v>0.43</v>
      </c>
      <c r="F32" s="9">
        <f>ROUND((F15-F14)/(F57*$B$6),3)</f>
        <v>0.40799999999999997</v>
      </c>
      <c r="G32" s="9">
        <f>ROUND((G15-G14)/(F58*$B$6),3)</f>
        <v>0.48699999999999999</v>
      </c>
      <c r="H32" s="10">
        <f>ROUND((H15-H14)/(F49*$B$6),3)</f>
        <v>0.55800000000000005</v>
      </c>
      <c r="I32" s="9">
        <f>ROUND((I15-I14)/(F55*$B$6),3)</f>
        <v>0.161</v>
      </c>
      <c r="J32" s="9">
        <f>ROUND((J15-J14)/(F40*$B$6),3)</f>
        <v>0.48599999999999999</v>
      </c>
      <c r="K32" s="9">
        <f>ROUND((K15-K14)/(F41*$B$6),3)</f>
        <v>0.30599999999999999</v>
      </c>
      <c r="L32" s="9">
        <f>ROUND((L15-L14)/(F43*$B$6),3)</f>
        <v>0.91700000000000004</v>
      </c>
      <c r="M32" s="9">
        <f>ROUND((M15-M14)/(F42*$B$6),3)</f>
        <v>0.28499999999999998</v>
      </c>
      <c r="N32" s="9">
        <f>ROUND((N15-N14)/(F56*$B$6),3)</f>
        <v>0.69699999999999995</v>
      </c>
    </row>
    <row r="33" spans="1:14" ht="20.100000000000001" customHeight="1" x14ac:dyDescent="0.2">
      <c r="A33" s="303" t="s">
        <v>12</v>
      </c>
      <c r="B33" s="304"/>
      <c r="C33" s="304"/>
      <c r="D33" s="304"/>
      <c r="E33" s="304"/>
      <c r="F33" s="304"/>
      <c r="G33" s="304"/>
      <c r="H33" s="304"/>
      <c r="I33" s="304"/>
      <c r="J33" s="304"/>
      <c r="K33" s="304"/>
      <c r="L33" s="304"/>
      <c r="M33" s="304"/>
      <c r="N33" s="304"/>
    </row>
    <row r="34" spans="1:14" ht="18" customHeight="1" x14ac:dyDescent="0.2">
      <c r="A34" s="293" t="s">
        <v>87</v>
      </c>
      <c r="B34" s="293"/>
      <c r="C34" s="293"/>
      <c r="D34" s="293"/>
      <c r="E34" s="293"/>
      <c r="F34" s="293"/>
      <c r="G34" s="293"/>
      <c r="H34" s="293"/>
      <c r="I34" s="293"/>
      <c r="J34" s="85"/>
    </row>
    <row r="35" spans="1:14" s="3" customFormat="1" ht="84.95" customHeight="1" x14ac:dyDescent="0.2">
      <c r="A35" s="32" t="s">
        <v>39</v>
      </c>
      <c r="B35" s="31" t="s">
        <v>9</v>
      </c>
      <c r="C35" s="90" t="s">
        <v>11</v>
      </c>
      <c r="D35" s="31" t="s">
        <v>75</v>
      </c>
      <c r="E35" s="31" t="s">
        <v>85</v>
      </c>
      <c r="F35" s="31" t="s">
        <v>31</v>
      </c>
      <c r="G35" s="31" t="s">
        <v>32</v>
      </c>
      <c r="H35" s="31" t="s">
        <v>54</v>
      </c>
      <c r="I35" s="31" t="s">
        <v>110</v>
      </c>
      <c r="J35" s="49" t="s">
        <v>12</v>
      </c>
    </row>
    <row r="36" spans="1:14" s="3" customFormat="1" ht="19.899999999999999" customHeight="1" x14ac:dyDescent="0.2">
      <c r="A36" s="33" t="s">
        <v>13</v>
      </c>
      <c r="B36" s="33" t="s">
        <v>24</v>
      </c>
      <c r="C36" s="33" t="s">
        <v>24</v>
      </c>
      <c r="D36" s="5" t="s">
        <v>24</v>
      </c>
      <c r="E36" s="53">
        <f>E37+E38+E39+E40+E42+E43+E44+E45+E46+E47+E48+E50+E51+E52+E53+E54+E55+E56+E57+E59</f>
        <v>156414.70000000001</v>
      </c>
      <c r="F36" s="53">
        <f>F37+F38+F39+F40+F42+F43+F44+F45+F46+F47+F48+F50+F51+F52+F53+F54+F55+F56+F57+F59</f>
        <v>161418.4</v>
      </c>
      <c r="G36" s="39" t="s">
        <v>24</v>
      </c>
      <c r="H36" s="53">
        <f>H37+H38+H39+H40+H42+H43+H44+H45+H46+H47+H48+H50+H51+H52+H53+H54+H55+H56+H57+H59</f>
        <v>13188.199999999999</v>
      </c>
      <c r="I36" s="53">
        <f>I37+I38+I39+I40+I42+I43+I44+I45+I46+I47+I48+I50+I51+I52+I53+I54+I55+I56+I57+I59</f>
        <v>148230.20000000001</v>
      </c>
      <c r="J36" s="93" t="s">
        <v>12</v>
      </c>
    </row>
    <row r="37" spans="1:14" s="2" customFormat="1" ht="19.899999999999999" customHeight="1" x14ac:dyDescent="0.2">
      <c r="A37" s="14" t="s">
        <v>2</v>
      </c>
      <c r="B37" s="101">
        <v>640</v>
      </c>
      <c r="C37" s="101" t="s">
        <v>113</v>
      </c>
      <c r="D37" s="41" t="s">
        <v>51</v>
      </c>
      <c r="E37" s="36">
        <v>2610</v>
      </c>
      <c r="F37" s="36">
        <v>2634</v>
      </c>
      <c r="G37" s="40">
        <f>F37/E37</f>
        <v>1.0091954022988505</v>
      </c>
      <c r="H37" s="12">
        <v>0</v>
      </c>
      <c r="I37" s="36">
        <f t="shared" ref="I37:I59" si="7">F37-H37</f>
        <v>2634</v>
      </c>
      <c r="J37" s="93" t="s">
        <v>12</v>
      </c>
    </row>
    <row r="38" spans="1:14" s="2" customFormat="1" ht="19.899999999999999" customHeight="1" x14ac:dyDescent="0.2">
      <c r="A38" s="34" t="s">
        <v>55</v>
      </c>
      <c r="B38" s="54">
        <v>1710</v>
      </c>
      <c r="C38" s="101" t="s">
        <v>114</v>
      </c>
      <c r="D38" s="41" t="s">
        <v>51</v>
      </c>
      <c r="E38" s="41">
        <v>22760</v>
      </c>
      <c r="F38" s="41">
        <v>23224</v>
      </c>
      <c r="G38" s="40">
        <f t="shared" ref="G38:G48" si="8">F38/E38</f>
        <v>1.0203866432337434</v>
      </c>
      <c r="H38" s="12">
        <v>11945.3</v>
      </c>
      <c r="I38" s="36">
        <f t="shared" si="7"/>
        <v>11278.7</v>
      </c>
      <c r="J38" s="93" t="s">
        <v>12</v>
      </c>
    </row>
    <row r="39" spans="1:14" s="2" customFormat="1" ht="19.899999999999999" customHeight="1" x14ac:dyDescent="0.2">
      <c r="A39" s="34" t="s">
        <v>0</v>
      </c>
      <c r="B39" s="54">
        <v>2520</v>
      </c>
      <c r="C39" s="101" t="s">
        <v>115</v>
      </c>
      <c r="D39" s="41" t="s">
        <v>51</v>
      </c>
      <c r="E39" s="41">
        <v>8350</v>
      </c>
      <c r="F39" s="41">
        <v>8713</v>
      </c>
      <c r="G39" s="40">
        <f t="shared" si="8"/>
        <v>1.0434730538922157</v>
      </c>
      <c r="H39" s="12">
        <v>0</v>
      </c>
      <c r="I39" s="36">
        <f t="shared" si="7"/>
        <v>8713</v>
      </c>
    </row>
    <row r="40" spans="1:14" s="2" customFormat="1" ht="19.899999999999999" customHeight="1" x14ac:dyDescent="0.2">
      <c r="A40" s="34" t="s">
        <v>53</v>
      </c>
      <c r="B40" s="54">
        <v>4520</v>
      </c>
      <c r="C40" s="102">
        <v>9240</v>
      </c>
      <c r="D40" s="43">
        <f>C40/B40</f>
        <v>2.0442477876106193</v>
      </c>
      <c r="E40" s="41">
        <v>12760</v>
      </c>
      <c r="F40" s="41">
        <v>12924</v>
      </c>
      <c r="G40" s="40">
        <f t="shared" si="8"/>
        <v>1.0128526645768026</v>
      </c>
      <c r="H40" s="12">
        <v>0</v>
      </c>
      <c r="I40" s="36">
        <f t="shared" si="7"/>
        <v>12924</v>
      </c>
    </row>
    <row r="41" spans="1:14" s="2" customFormat="1" ht="19.899999999999999" customHeight="1" x14ac:dyDescent="0.2">
      <c r="A41" s="34" t="s">
        <v>65</v>
      </c>
      <c r="B41" s="54">
        <v>3340</v>
      </c>
      <c r="C41" s="102">
        <v>4557</v>
      </c>
      <c r="D41" s="43">
        <f>C41/B41</f>
        <v>1.36437125748503</v>
      </c>
      <c r="E41" s="41" t="s">
        <v>24</v>
      </c>
      <c r="F41" s="36">
        <f>ROUND(F40*0.3439,1)</f>
        <v>4444.6000000000004</v>
      </c>
      <c r="G41" s="40" t="s">
        <v>24</v>
      </c>
      <c r="H41" s="12">
        <v>0</v>
      </c>
      <c r="I41" s="36">
        <f t="shared" si="7"/>
        <v>4444.6000000000004</v>
      </c>
    </row>
    <row r="42" spans="1:14" s="2" customFormat="1" ht="19.899999999999999" customHeight="1" x14ac:dyDescent="0.2">
      <c r="A42" s="14" t="s">
        <v>3</v>
      </c>
      <c r="B42" s="101">
        <v>4550</v>
      </c>
      <c r="C42" s="102">
        <v>6527</v>
      </c>
      <c r="D42" s="43">
        <f>C42/B42</f>
        <v>1.4345054945054945</v>
      </c>
      <c r="E42" s="36">
        <v>6940</v>
      </c>
      <c r="F42" s="36">
        <v>7062</v>
      </c>
      <c r="G42" s="40">
        <f t="shared" si="8"/>
        <v>1.0175792507204611</v>
      </c>
      <c r="H42" s="12">
        <v>0</v>
      </c>
      <c r="I42" s="36">
        <f t="shared" si="7"/>
        <v>7062</v>
      </c>
    </row>
    <row r="43" spans="1:14" s="2" customFormat="1" ht="19.899999999999999" customHeight="1" x14ac:dyDescent="0.2">
      <c r="A43" s="14" t="s">
        <v>18</v>
      </c>
      <c r="B43" s="101">
        <v>860</v>
      </c>
      <c r="C43" s="102">
        <v>5227</v>
      </c>
      <c r="D43" s="43">
        <f>C43/B43</f>
        <v>6.0779069767441865</v>
      </c>
      <c r="E43" s="36">
        <v>21970</v>
      </c>
      <c r="F43" s="36">
        <v>22959</v>
      </c>
      <c r="G43" s="40">
        <f t="shared" si="8"/>
        <v>1.0450159308147473</v>
      </c>
      <c r="H43" s="12">
        <v>343.3</v>
      </c>
      <c r="I43" s="36">
        <f t="shared" si="7"/>
        <v>22615.7</v>
      </c>
    </row>
    <row r="44" spans="1:14" s="2" customFormat="1" ht="19.899999999999999" customHeight="1" x14ac:dyDescent="0.2">
      <c r="A44" s="14" t="s">
        <v>19</v>
      </c>
      <c r="B44" s="101">
        <v>920</v>
      </c>
      <c r="C44" s="101" t="s">
        <v>116</v>
      </c>
      <c r="D44" s="41" t="s">
        <v>51</v>
      </c>
      <c r="E44" s="36">
        <v>3290</v>
      </c>
      <c r="F44" s="36">
        <v>3506</v>
      </c>
      <c r="G44" s="40">
        <f t="shared" si="8"/>
        <v>1.0656534954407295</v>
      </c>
      <c r="H44" s="12">
        <v>0</v>
      </c>
      <c r="I44" s="36">
        <f t="shared" si="7"/>
        <v>3506</v>
      </c>
    </row>
    <row r="45" spans="1:14" s="2" customFormat="1" ht="19.899999999999999" customHeight="1" x14ac:dyDescent="0.2">
      <c r="A45" s="14" t="s">
        <v>61</v>
      </c>
      <c r="B45" s="101">
        <v>4130</v>
      </c>
      <c r="C45" s="101" t="s">
        <v>117</v>
      </c>
      <c r="D45" s="41" t="s">
        <v>51</v>
      </c>
      <c r="E45" s="36">
        <v>5310</v>
      </c>
      <c r="F45" s="36">
        <v>5425</v>
      </c>
      <c r="G45" s="40">
        <f>F45/E45</f>
        <v>1.0216572504708097</v>
      </c>
      <c r="H45" s="12">
        <v>878</v>
      </c>
      <c r="I45" s="36">
        <f t="shared" si="7"/>
        <v>4547</v>
      </c>
    </row>
    <row r="46" spans="1:14" s="2" customFormat="1" ht="19.899999999999999" customHeight="1" x14ac:dyDescent="0.2">
      <c r="A46" s="14" t="s">
        <v>4</v>
      </c>
      <c r="B46" s="101">
        <v>1590</v>
      </c>
      <c r="C46" s="101" t="s">
        <v>118</v>
      </c>
      <c r="D46" s="41" t="s">
        <v>51</v>
      </c>
      <c r="E46" s="36">
        <v>2830</v>
      </c>
      <c r="F46" s="36">
        <v>2908</v>
      </c>
      <c r="G46" s="40">
        <f t="shared" si="8"/>
        <v>1.0275618374558304</v>
      </c>
      <c r="H46" s="12">
        <v>0</v>
      </c>
      <c r="I46" s="36">
        <f t="shared" si="7"/>
        <v>2908</v>
      </c>
    </row>
    <row r="47" spans="1:14" s="2" customFormat="1" ht="19.899999999999999" customHeight="1" x14ac:dyDescent="0.2">
      <c r="A47" s="14" t="s">
        <v>20</v>
      </c>
      <c r="B47" s="101">
        <v>-1320</v>
      </c>
      <c r="C47" s="101" t="s">
        <v>68</v>
      </c>
      <c r="D47" s="41" t="s">
        <v>68</v>
      </c>
      <c r="E47" s="36">
        <v>19090</v>
      </c>
      <c r="F47" s="36">
        <v>20557</v>
      </c>
      <c r="G47" s="40">
        <f t="shared" si="8"/>
        <v>1.0768465165007857</v>
      </c>
      <c r="H47" s="12">
        <v>0</v>
      </c>
      <c r="I47" s="36">
        <f t="shared" si="7"/>
        <v>20557</v>
      </c>
    </row>
    <row r="48" spans="1:14" s="2" customFormat="1" ht="19.899999999999999" customHeight="1" x14ac:dyDescent="0.2">
      <c r="A48" s="14" t="s">
        <v>1</v>
      </c>
      <c r="B48" s="101">
        <v>1030</v>
      </c>
      <c r="C48" s="101" t="s">
        <v>119</v>
      </c>
      <c r="D48" s="41" t="s">
        <v>51</v>
      </c>
      <c r="E48" s="36">
        <v>4020</v>
      </c>
      <c r="F48" s="36">
        <v>4164</v>
      </c>
      <c r="G48" s="40">
        <f t="shared" si="8"/>
        <v>1.035820895522388</v>
      </c>
      <c r="H48" s="12">
        <v>0</v>
      </c>
      <c r="I48" s="36">
        <f t="shared" si="7"/>
        <v>4164</v>
      </c>
    </row>
    <row r="49" spans="1:11" s="2" customFormat="1" ht="19.899999999999999" customHeight="1" x14ac:dyDescent="0.2">
      <c r="A49" s="14" t="s">
        <v>45</v>
      </c>
      <c r="B49" s="101">
        <v>1360</v>
      </c>
      <c r="C49" s="103">
        <v>1702</v>
      </c>
      <c r="D49" s="43">
        <f>C49/B49</f>
        <v>1.2514705882352941</v>
      </c>
      <c r="E49" s="36" t="s">
        <v>24</v>
      </c>
      <c r="F49" s="36">
        <f>ROUND(F48*0.5754,1)</f>
        <v>2396</v>
      </c>
      <c r="G49" s="40" t="s">
        <v>24</v>
      </c>
      <c r="H49" s="12">
        <v>0</v>
      </c>
      <c r="I49" s="36">
        <f t="shared" si="7"/>
        <v>2396</v>
      </c>
    </row>
    <row r="50" spans="1:11" s="2" customFormat="1" ht="19.899999999999999" customHeight="1" x14ac:dyDescent="0.2">
      <c r="A50" s="14" t="s">
        <v>66</v>
      </c>
      <c r="B50" s="101">
        <v>630</v>
      </c>
      <c r="C50" s="101" t="s">
        <v>120</v>
      </c>
      <c r="D50" s="41" t="s">
        <v>51</v>
      </c>
      <c r="E50" s="36">
        <v>2144.6999999999998</v>
      </c>
      <c r="F50" s="36">
        <v>2259.4</v>
      </c>
      <c r="G50" s="40">
        <f>F50/E50</f>
        <v>1.0534806732876394</v>
      </c>
      <c r="H50" s="12">
        <v>21.6</v>
      </c>
      <c r="I50" s="36">
        <f t="shared" si="7"/>
        <v>2237.8000000000002</v>
      </c>
    </row>
    <row r="51" spans="1:11" s="2" customFormat="1" ht="19.899999999999999" customHeight="1" x14ac:dyDescent="0.2">
      <c r="A51" s="14" t="s">
        <v>5</v>
      </c>
      <c r="B51" s="101">
        <v>3280</v>
      </c>
      <c r="C51" s="101" t="s">
        <v>121</v>
      </c>
      <c r="D51" s="41" t="s">
        <v>51</v>
      </c>
      <c r="E51" s="36">
        <v>6090</v>
      </c>
      <c r="F51" s="36">
        <v>6236</v>
      </c>
      <c r="G51" s="40">
        <f t="shared" ref="G51:G57" si="9">F51/E51</f>
        <v>1.0239737274220033</v>
      </c>
      <c r="H51" s="12">
        <v>0</v>
      </c>
      <c r="I51" s="36">
        <f t="shared" si="7"/>
        <v>6236</v>
      </c>
    </row>
    <row r="52" spans="1:11" s="2" customFormat="1" ht="19.899999999999999" customHeight="1" x14ac:dyDescent="0.2">
      <c r="A52" s="14" t="s">
        <v>21</v>
      </c>
      <c r="B52" s="101">
        <v>1190</v>
      </c>
      <c r="C52" s="101" t="s">
        <v>122</v>
      </c>
      <c r="D52" s="41" t="s">
        <v>51</v>
      </c>
      <c r="E52" s="36">
        <v>2850</v>
      </c>
      <c r="F52" s="36">
        <v>2958</v>
      </c>
      <c r="G52" s="40">
        <f t="shared" si="9"/>
        <v>1.0378947368421052</v>
      </c>
      <c r="H52" s="12">
        <v>0</v>
      </c>
      <c r="I52" s="36">
        <f t="shared" si="7"/>
        <v>2958</v>
      </c>
      <c r="J52" s="50" t="s">
        <v>12</v>
      </c>
      <c r="K52" s="50" t="s">
        <v>12</v>
      </c>
    </row>
    <row r="53" spans="1:11" s="2" customFormat="1" ht="19.899999999999999" customHeight="1" x14ac:dyDescent="0.2">
      <c r="A53" s="14" t="s">
        <v>6</v>
      </c>
      <c r="B53" s="101">
        <v>2850</v>
      </c>
      <c r="C53" s="101" t="s">
        <v>123</v>
      </c>
      <c r="D53" s="41" t="s">
        <v>51</v>
      </c>
      <c r="E53" s="36">
        <v>8380</v>
      </c>
      <c r="F53" s="36">
        <v>8622</v>
      </c>
      <c r="G53" s="40">
        <f t="shared" si="9"/>
        <v>1.0288782816229116</v>
      </c>
      <c r="H53" s="12">
        <v>0</v>
      </c>
      <c r="I53" s="36">
        <f t="shared" si="7"/>
        <v>8622</v>
      </c>
    </row>
    <row r="54" spans="1:11" s="2" customFormat="1" ht="19.899999999999999" customHeight="1" x14ac:dyDescent="0.2">
      <c r="A54" s="14" t="s">
        <v>22</v>
      </c>
      <c r="B54" s="101">
        <v>230</v>
      </c>
      <c r="C54" s="101" t="s">
        <v>124</v>
      </c>
      <c r="D54" s="41" t="s">
        <v>51</v>
      </c>
      <c r="E54" s="36">
        <v>2770</v>
      </c>
      <c r="F54" s="36">
        <v>2923</v>
      </c>
      <c r="G54" s="40">
        <f t="shared" si="9"/>
        <v>1.0552346570397111</v>
      </c>
      <c r="H54" s="12">
        <v>0</v>
      </c>
      <c r="I54" s="36">
        <f t="shared" si="7"/>
        <v>2923</v>
      </c>
    </row>
    <row r="55" spans="1:11" s="2" customFormat="1" ht="19.899999999999999" customHeight="1" x14ac:dyDescent="0.2">
      <c r="A55" s="14" t="s">
        <v>7</v>
      </c>
      <c r="B55" s="101">
        <v>3470</v>
      </c>
      <c r="C55" s="102">
        <v>7045</v>
      </c>
      <c r="D55" s="43">
        <f>C55/B55</f>
        <v>2.0302593659942363</v>
      </c>
      <c r="E55" s="36">
        <v>6540</v>
      </c>
      <c r="F55" s="36">
        <v>6500</v>
      </c>
      <c r="G55" s="40">
        <f t="shared" si="9"/>
        <v>0.99388379204892963</v>
      </c>
      <c r="H55" s="12">
        <v>0</v>
      </c>
      <c r="I55" s="36">
        <f t="shared" si="7"/>
        <v>6500</v>
      </c>
    </row>
    <row r="56" spans="1:11" s="2" customFormat="1" ht="19.899999999999999" customHeight="1" x14ac:dyDescent="0.2">
      <c r="A56" s="14" t="s">
        <v>33</v>
      </c>
      <c r="B56" s="101">
        <v>-500</v>
      </c>
      <c r="C56" s="103">
        <v>4538</v>
      </c>
      <c r="D56" s="43" t="s">
        <v>68</v>
      </c>
      <c r="E56" s="36">
        <f>6960+185</f>
        <v>7145</v>
      </c>
      <c r="F56" s="36">
        <f>7092+195</f>
        <v>7287</v>
      </c>
      <c r="G56" s="40">
        <f t="shared" si="9"/>
        <v>1.0198740377886635</v>
      </c>
      <c r="H56" s="12">
        <v>0</v>
      </c>
      <c r="I56" s="36">
        <f t="shared" si="7"/>
        <v>7287</v>
      </c>
      <c r="J56" s="2" t="s">
        <v>12</v>
      </c>
    </row>
    <row r="57" spans="1:11" s="2" customFormat="1" ht="19.899999999999999" customHeight="1" x14ac:dyDescent="0.2">
      <c r="A57" s="14" t="s">
        <v>8</v>
      </c>
      <c r="B57" s="101">
        <v>5800</v>
      </c>
      <c r="C57" s="102">
        <v>7926</v>
      </c>
      <c r="D57" s="44">
        <f>C57/B57</f>
        <v>1.366551724137931</v>
      </c>
      <c r="E57" s="36">
        <v>10160</v>
      </c>
      <c r="F57" s="36">
        <v>10146</v>
      </c>
      <c r="G57" s="40">
        <f t="shared" si="9"/>
        <v>0.99862204724409454</v>
      </c>
      <c r="H57" s="12">
        <v>0</v>
      </c>
      <c r="I57" s="36">
        <f t="shared" si="7"/>
        <v>10146</v>
      </c>
      <c r="J57" s="2" t="s">
        <v>12</v>
      </c>
    </row>
    <row r="58" spans="1:11" s="2" customFormat="1" ht="19.899999999999999" customHeight="1" x14ac:dyDescent="0.2">
      <c r="A58" s="14" t="s">
        <v>44</v>
      </c>
      <c r="B58" s="101">
        <v>2350</v>
      </c>
      <c r="C58" s="102">
        <v>3761</v>
      </c>
      <c r="D58" s="44">
        <f>C58/B58</f>
        <v>1.6004255319148937</v>
      </c>
      <c r="E58" s="36" t="s">
        <v>24</v>
      </c>
      <c r="F58" s="36">
        <f>ROUND(F57*0.4892,1)</f>
        <v>4963.3999999999996</v>
      </c>
      <c r="G58" s="40" t="s">
        <v>24</v>
      </c>
      <c r="H58" s="12">
        <v>0</v>
      </c>
      <c r="I58" s="36">
        <f t="shared" si="7"/>
        <v>4963.3999999999996</v>
      </c>
    </row>
    <row r="59" spans="1:11" s="2" customFormat="1" ht="19.899999999999999" customHeight="1" x14ac:dyDescent="0.2">
      <c r="A59" s="14" t="s">
        <v>40</v>
      </c>
      <c r="B59" s="101" t="s">
        <v>24</v>
      </c>
      <c r="C59" s="101" t="s">
        <v>24</v>
      </c>
      <c r="D59" s="41" t="s">
        <v>24</v>
      </c>
      <c r="E59" s="36">
        <v>405</v>
      </c>
      <c r="F59" s="36">
        <v>411</v>
      </c>
      <c r="G59" s="40">
        <f>F59/E59</f>
        <v>1.0148148148148148</v>
      </c>
      <c r="H59" s="12">
        <v>0</v>
      </c>
      <c r="I59" s="36">
        <f t="shared" si="7"/>
        <v>411</v>
      </c>
    </row>
    <row r="60" spans="1:11" s="2" customFormat="1" ht="19.899999999999999" customHeight="1" x14ac:dyDescent="0.2">
      <c r="A60" s="14" t="s">
        <v>16</v>
      </c>
      <c r="B60" s="101">
        <v>2850</v>
      </c>
      <c r="C60" s="102">
        <v>8375</v>
      </c>
      <c r="D60" s="44">
        <f>C60/B60</f>
        <v>2.9385964912280702</v>
      </c>
      <c r="E60" s="36" t="s">
        <v>24</v>
      </c>
      <c r="F60" s="36">
        <f>F37+F48+F51+F53+F57+F59</f>
        <v>32213</v>
      </c>
      <c r="G60" s="42" t="s">
        <v>24</v>
      </c>
      <c r="H60" s="36">
        <f>H37+H48+H51+H53+H57+H59</f>
        <v>0</v>
      </c>
      <c r="I60" s="294" t="s">
        <v>12</v>
      </c>
    </row>
    <row r="61" spans="1:11" s="2" customFormat="1" ht="19.899999999999999" customHeight="1" x14ac:dyDescent="0.2">
      <c r="A61" s="14" t="s">
        <v>14</v>
      </c>
      <c r="B61" s="101">
        <v>5160</v>
      </c>
      <c r="C61" s="102">
        <v>9888</v>
      </c>
      <c r="D61" s="44">
        <f>C61/B61</f>
        <v>1.9162790697674419</v>
      </c>
      <c r="E61" s="36" t="s">
        <v>24</v>
      </c>
      <c r="F61" s="36">
        <f>F42+F55</f>
        <v>13562</v>
      </c>
      <c r="G61" s="42" t="s">
        <v>24</v>
      </c>
      <c r="H61" s="36">
        <f>H42+H55</f>
        <v>0</v>
      </c>
      <c r="I61" s="295"/>
    </row>
    <row r="62" spans="1:11" s="2" customFormat="1" ht="19.899999999999999" customHeight="1" x14ac:dyDescent="0.2">
      <c r="A62" s="34" t="s">
        <v>15</v>
      </c>
      <c r="B62" s="54">
        <v>-7320</v>
      </c>
      <c r="C62" s="101" t="s">
        <v>68</v>
      </c>
      <c r="D62" s="41" t="s">
        <v>68</v>
      </c>
      <c r="E62" s="36" t="s">
        <v>24</v>
      </c>
      <c r="F62" s="36">
        <f>F52+F54+F56</f>
        <v>13168</v>
      </c>
      <c r="G62" s="42" t="s">
        <v>24</v>
      </c>
      <c r="H62" s="36">
        <f>H52+H54+H56</f>
        <v>0</v>
      </c>
      <c r="I62" s="295"/>
    </row>
    <row r="63" spans="1:11" s="2" customFormat="1" ht="19.899999999999999" customHeight="1" x14ac:dyDescent="0.2">
      <c r="A63" s="14" t="s">
        <v>17</v>
      </c>
      <c r="B63" s="101">
        <v>-1900</v>
      </c>
      <c r="C63" s="102">
        <v>7883</v>
      </c>
      <c r="D63" s="44" t="s">
        <v>68</v>
      </c>
      <c r="E63" s="36" t="s">
        <v>24</v>
      </c>
      <c r="F63" s="36">
        <f>F60+F61+F62</f>
        <v>58943</v>
      </c>
      <c r="G63" s="42" t="s">
        <v>24</v>
      </c>
      <c r="H63" s="36">
        <f>H60+H61+H62</f>
        <v>0</v>
      </c>
      <c r="I63" s="295"/>
    </row>
    <row r="64" spans="1:11" s="2" customFormat="1" ht="19.899999999999999" customHeight="1" x14ac:dyDescent="0.2">
      <c r="A64" s="34" t="s">
        <v>34</v>
      </c>
      <c r="B64" s="54">
        <v>4800</v>
      </c>
      <c r="C64" s="101" t="s">
        <v>126</v>
      </c>
      <c r="D64" s="41" t="s">
        <v>51</v>
      </c>
      <c r="E64" s="36" t="s">
        <v>24</v>
      </c>
      <c r="F64" s="36">
        <f>F38+F39+F40+F43+F44+F45+F46+F50</f>
        <v>81918.399999999994</v>
      </c>
      <c r="G64" s="42" t="s">
        <v>24</v>
      </c>
      <c r="H64" s="36">
        <f>H38+H39+H40+H43+H44+H45+H46+H50</f>
        <v>13188.199999999999</v>
      </c>
      <c r="I64" s="296"/>
      <c r="J64" s="2" t="s">
        <v>12</v>
      </c>
    </row>
    <row r="65" spans="1:12" s="2" customFormat="1" ht="19.899999999999999" customHeight="1" x14ac:dyDescent="0.2">
      <c r="A65" s="293" t="s">
        <v>80</v>
      </c>
      <c r="B65" s="293"/>
      <c r="C65" s="293"/>
      <c r="D65" s="293"/>
      <c r="E65" s="293"/>
      <c r="F65" s="293"/>
      <c r="G65" s="293"/>
      <c r="H65" s="293"/>
      <c r="I65" s="293"/>
      <c r="J65" s="85"/>
      <c r="K65" s="61"/>
    </row>
    <row r="66" spans="1:12" s="2" customFormat="1" ht="19.899999999999999" customHeight="1" x14ac:dyDescent="0.2">
      <c r="A66" s="75"/>
      <c r="B66" s="76"/>
      <c r="C66" s="76"/>
      <c r="D66" s="76"/>
      <c r="E66" s="76"/>
      <c r="F66" s="76"/>
      <c r="G66" s="76"/>
      <c r="H66" s="76"/>
      <c r="I66" s="77"/>
      <c r="J66" s="86"/>
      <c r="K66" s="61"/>
    </row>
    <row r="67" spans="1:12" ht="20.100000000000001" customHeight="1" x14ac:dyDescent="0.2">
      <c r="A67" s="293" t="s">
        <v>63</v>
      </c>
      <c r="B67" s="293"/>
      <c r="C67" s="293"/>
      <c r="D67" s="293"/>
      <c r="E67" s="293"/>
      <c r="F67" s="293"/>
      <c r="G67" s="293"/>
      <c r="H67" s="293"/>
      <c r="I67" s="293"/>
      <c r="J67" s="88" t="s">
        <v>12</v>
      </c>
    </row>
    <row r="68" spans="1:12" ht="20.100000000000001" customHeight="1" x14ac:dyDescent="0.2">
      <c r="A68" s="32" t="s">
        <v>79</v>
      </c>
      <c r="B68" s="293" t="s">
        <v>88</v>
      </c>
      <c r="C68" s="293"/>
      <c r="D68" s="293"/>
      <c r="E68" s="293"/>
      <c r="F68" s="293"/>
      <c r="G68" s="293"/>
      <c r="H68" s="293"/>
      <c r="I68" s="293"/>
      <c r="J68" s="87"/>
    </row>
    <row r="69" spans="1:12" ht="20.100000000000001" customHeight="1" x14ac:dyDescent="0.2">
      <c r="A69" s="14" t="s">
        <v>17</v>
      </c>
      <c r="B69" s="291" t="s">
        <v>95</v>
      </c>
      <c r="C69" s="291"/>
      <c r="D69" s="291"/>
      <c r="E69" s="291"/>
      <c r="F69" s="291"/>
      <c r="G69" s="291"/>
      <c r="H69" s="291"/>
      <c r="I69" s="291"/>
      <c r="J69" s="87"/>
    </row>
    <row r="70" spans="1:12" ht="20.100000000000001" customHeight="1" x14ac:dyDescent="0.2">
      <c r="A70" s="14" t="s">
        <v>16</v>
      </c>
      <c r="B70" s="291" t="s">
        <v>96</v>
      </c>
      <c r="C70" s="291"/>
      <c r="D70" s="291"/>
      <c r="E70" s="291"/>
      <c r="F70" s="291"/>
      <c r="G70" s="291"/>
      <c r="H70" s="291"/>
      <c r="I70" s="291"/>
      <c r="J70" s="87"/>
    </row>
    <row r="71" spans="1:12" ht="20.100000000000001" customHeight="1" x14ac:dyDescent="0.2">
      <c r="A71" s="14" t="s">
        <v>14</v>
      </c>
      <c r="B71" s="291" t="s">
        <v>97</v>
      </c>
      <c r="C71" s="291"/>
      <c r="D71" s="291"/>
      <c r="E71" s="291"/>
      <c r="F71" s="291"/>
      <c r="G71" s="291"/>
      <c r="H71" s="291"/>
      <c r="I71" s="291"/>
      <c r="J71" s="87"/>
    </row>
    <row r="72" spans="1:12" ht="20.100000000000001" customHeight="1" x14ac:dyDescent="0.2">
      <c r="A72" s="14" t="s">
        <v>8</v>
      </c>
      <c r="B72" s="291" t="s">
        <v>104</v>
      </c>
      <c r="C72" s="291"/>
      <c r="D72" s="291"/>
      <c r="E72" s="291"/>
      <c r="F72" s="291"/>
      <c r="G72" s="291"/>
      <c r="H72" s="291"/>
      <c r="I72" s="291"/>
      <c r="J72" s="87"/>
    </row>
    <row r="73" spans="1:12" ht="20.100000000000001" customHeight="1" x14ac:dyDescent="0.2">
      <c r="A73" s="14" t="s">
        <v>64</v>
      </c>
      <c r="B73" s="291" t="s">
        <v>104</v>
      </c>
      <c r="C73" s="291"/>
      <c r="D73" s="291"/>
      <c r="E73" s="291"/>
      <c r="F73" s="291"/>
      <c r="G73" s="291"/>
      <c r="H73" s="291"/>
      <c r="I73" s="291"/>
      <c r="J73" s="87"/>
      <c r="L73" s="4" t="s">
        <v>12</v>
      </c>
    </row>
    <row r="74" spans="1:12" ht="20.100000000000001" customHeight="1" x14ac:dyDescent="0.2">
      <c r="A74" s="14" t="s">
        <v>23</v>
      </c>
      <c r="B74" s="291" t="s">
        <v>98</v>
      </c>
      <c r="C74" s="291"/>
      <c r="D74" s="291"/>
      <c r="E74" s="291"/>
      <c r="F74" s="291"/>
      <c r="G74" s="291"/>
      <c r="H74" s="291"/>
      <c r="I74" s="291"/>
      <c r="J74" s="87"/>
    </row>
    <row r="75" spans="1:12" ht="20.100000000000001" customHeight="1" x14ac:dyDescent="0.2">
      <c r="A75" s="14" t="s">
        <v>7</v>
      </c>
      <c r="B75" s="291" t="s">
        <v>99</v>
      </c>
      <c r="C75" s="291"/>
      <c r="D75" s="291"/>
      <c r="E75" s="291"/>
      <c r="F75" s="291"/>
      <c r="G75" s="291"/>
      <c r="H75" s="291"/>
      <c r="I75" s="291"/>
      <c r="J75" s="87"/>
    </row>
    <row r="76" spans="1:12" ht="20.100000000000001" customHeight="1" x14ac:dyDescent="0.2">
      <c r="A76" s="34" t="s">
        <v>53</v>
      </c>
      <c r="B76" s="291" t="s">
        <v>100</v>
      </c>
      <c r="C76" s="291"/>
      <c r="D76" s="291"/>
      <c r="E76" s="291"/>
      <c r="F76" s="291"/>
      <c r="G76" s="291"/>
      <c r="H76" s="291"/>
      <c r="I76" s="291"/>
      <c r="J76" s="87"/>
    </row>
    <row r="77" spans="1:12" ht="20.100000000000001" customHeight="1" x14ac:dyDescent="0.2">
      <c r="A77" s="34" t="s">
        <v>65</v>
      </c>
      <c r="B77" s="291" t="s">
        <v>101</v>
      </c>
      <c r="C77" s="291"/>
      <c r="D77" s="291"/>
      <c r="E77" s="291"/>
      <c r="F77" s="291"/>
      <c r="G77" s="291"/>
      <c r="H77" s="291"/>
      <c r="I77" s="291"/>
      <c r="J77" s="91"/>
    </row>
    <row r="78" spans="1:12" ht="20.100000000000001" customHeight="1" x14ac:dyDescent="0.2">
      <c r="A78" s="34" t="s">
        <v>18</v>
      </c>
      <c r="B78" s="292" t="s">
        <v>111</v>
      </c>
      <c r="C78" s="292"/>
      <c r="D78" s="292"/>
      <c r="E78" s="292"/>
      <c r="F78" s="292"/>
      <c r="G78" s="292"/>
      <c r="H78" s="292"/>
      <c r="I78" s="292"/>
      <c r="J78" s="87"/>
    </row>
    <row r="79" spans="1:12" ht="20.100000000000001" customHeight="1" x14ac:dyDescent="0.2">
      <c r="A79" s="34" t="s">
        <v>3</v>
      </c>
      <c r="B79" s="291" t="s">
        <v>102</v>
      </c>
      <c r="C79" s="291"/>
      <c r="D79" s="291"/>
      <c r="E79" s="291"/>
      <c r="F79" s="291"/>
      <c r="G79" s="291"/>
      <c r="H79" s="291"/>
      <c r="I79" s="291"/>
      <c r="J79" s="87"/>
    </row>
    <row r="80" spans="1:12" ht="20.100000000000001" customHeight="1" x14ac:dyDescent="0.2">
      <c r="A80" s="34" t="s">
        <v>76</v>
      </c>
      <c r="B80" s="291" t="s">
        <v>103</v>
      </c>
      <c r="C80" s="291"/>
      <c r="D80" s="291"/>
      <c r="E80" s="291"/>
      <c r="F80" s="291"/>
      <c r="G80" s="291"/>
      <c r="H80" s="291"/>
      <c r="I80" s="291"/>
    </row>
    <row r="81" spans="1:1" ht="15" x14ac:dyDescent="0.2">
      <c r="A81" s="62" t="s">
        <v>12</v>
      </c>
    </row>
  </sheetData>
  <mergeCells count="31">
    <mergeCell ref="A2:H2"/>
    <mergeCell ref="A1:F1"/>
    <mergeCell ref="I60:I64"/>
    <mergeCell ref="C9:H9"/>
    <mergeCell ref="C8:H8"/>
    <mergeCell ref="C3:H3"/>
    <mergeCell ref="C4:H4"/>
    <mergeCell ref="C5:H5"/>
    <mergeCell ref="C6:H6"/>
    <mergeCell ref="C7:H7"/>
    <mergeCell ref="C10:H10"/>
    <mergeCell ref="C11:N11"/>
    <mergeCell ref="A21:N21"/>
    <mergeCell ref="A31:N31"/>
    <mergeCell ref="A33:N33"/>
    <mergeCell ref="A34:I34"/>
    <mergeCell ref="A67:I67"/>
    <mergeCell ref="B68:I68"/>
    <mergeCell ref="B69:I69"/>
    <mergeCell ref="A65:I65"/>
    <mergeCell ref="B70:I70"/>
    <mergeCell ref="B71:I71"/>
    <mergeCell ref="B72:I72"/>
    <mergeCell ref="B73:I73"/>
    <mergeCell ref="B74:I74"/>
    <mergeCell ref="B80:I80"/>
    <mergeCell ref="B75:I75"/>
    <mergeCell ref="B76:I76"/>
    <mergeCell ref="B77:I77"/>
    <mergeCell ref="B78:I78"/>
    <mergeCell ref="B79:I79"/>
  </mergeCells>
  <phoneticPr fontId="4" type="noConversion"/>
  <printOptions horizontalCentered="1" verticalCentered="1" gridLines="1"/>
  <pageMargins left="0.45" right="0.45" top="0.5" bottom="0.5" header="0.3" footer="0.3"/>
  <pageSetup scale="47" orientation="landscape" r:id="rId1"/>
  <headerFooter alignWithMargins="0"/>
  <rowBreaks count="1" manualBreakCount="1">
    <brk id="33" max="16383" man="1"/>
  </rowBreaks>
  <colBreaks count="1" manualBreakCount="1">
    <brk id="7" max="3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workbookViewId="0">
      <selection sqref="A1:B1"/>
    </sheetView>
  </sheetViews>
  <sheetFormatPr defaultRowHeight="12.75" x14ac:dyDescent="0.2"/>
  <cols>
    <col min="1" max="1" width="69.28515625" customWidth="1"/>
    <col min="2" max="14" width="15.7109375" customWidth="1"/>
  </cols>
  <sheetData>
    <row r="1" spans="1:15" ht="18" x14ac:dyDescent="0.2">
      <c r="A1" s="305" t="s">
        <v>201</v>
      </c>
      <c r="B1" s="306"/>
      <c r="C1" s="51"/>
      <c r="D1" s="89" t="s">
        <v>12</v>
      </c>
      <c r="E1" s="51"/>
      <c r="F1" s="51"/>
    </row>
    <row r="2" spans="1:15" ht="20.100000000000001" customHeight="1" x14ac:dyDescent="0.2">
      <c r="A2" s="71" t="s">
        <v>56</v>
      </c>
      <c r="B2" s="72">
        <f>'1st IA Parameters'!B6</f>
        <v>1.0883</v>
      </c>
      <c r="C2" s="7" t="s">
        <v>12</v>
      </c>
      <c r="D2" s="92" t="s">
        <v>12</v>
      </c>
      <c r="E2" s="8" t="s">
        <v>12</v>
      </c>
    </row>
    <row r="3" spans="1:15" ht="20.100000000000001" customHeight="1" x14ac:dyDescent="0.2">
      <c r="A3" s="73" t="s">
        <v>86</v>
      </c>
      <c r="B3" s="107">
        <f>'1st IA Parameters'!B5</f>
        <v>6.5799999999999997E-2</v>
      </c>
      <c r="C3" s="7"/>
      <c r="D3" s="92" t="s">
        <v>12</v>
      </c>
      <c r="E3" s="8"/>
    </row>
    <row r="4" spans="1:15" ht="20.100000000000001" customHeight="1" x14ac:dyDescent="0.2">
      <c r="A4" s="73" t="s">
        <v>57</v>
      </c>
      <c r="B4" s="74" t="str">
        <f>'1st IA Parameters'!B7</f>
        <v>NA</v>
      </c>
      <c r="C4" s="7"/>
      <c r="D4" s="8"/>
      <c r="E4" s="8"/>
      <c r="L4" s="48" t="s">
        <v>12</v>
      </c>
      <c r="M4" s="48"/>
      <c r="N4" s="48"/>
    </row>
    <row r="5" spans="1:15" ht="31.5" x14ac:dyDescent="0.2">
      <c r="A5" s="82" t="s">
        <v>69</v>
      </c>
      <c r="B5" s="83" t="s">
        <v>58</v>
      </c>
      <c r="C5" s="83" t="s">
        <v>17</v>
      </c>
      <c r="D5" s="83" t="s">
        <v>16</v>
      </c>
      <c r="E5" s="83" t="s">
        <v>14</v>
      </c>
      <c r="F5" s="83" t="s">
        <v>8</v>
      </c>
      <c r="G5" s="83" t="s">
        <v>44</v>
      </c>
      <c r="H5" s="83" t="s">
        <v>45</v>
      </c>
      <c r="I5" s="83" t="s">
        <v>7</v>
      </c>
      <c r="J5" s="83" t="s">
        <v>53</v>
      </c>
      <c r="K5" s="84" t="s">
        <v>67</v>
      </c>
      <c r="L5" s="56" t="s">
        <v>18</v>
      </c>
      <c r="M5" s="56" t="s">
        <v>3</v>
      </c>
      <c r="N5" s="56" t="s">
        <v>76</v>
      </c>
    </row>
    <row r="6" spans="1:15" ht="20.100000000000001" customHeight="1" x14ac:dyDescent="0.2">
      <c r="A6" s="81" t="s">
        <v>200</v>
      </c>
      <c r="B6" s="57">
        <f>'1st IA Parameters'!B8</f>
        <v>156141.1</v>
      </c>
      <c r="C6" s="57">
        <v>56982</v>
      </c>
      <c r="D6" s="57">
        <v>30947</v>
      </c>
      <c r="E6" s="57">
        <v>13118</v>
      </c>
      <c r="F6" s="57">
        <v>9863</v>
      </c>
      <c r="G6" s="57">
        <v>4918.7</v>
      </c>
      <c r="H6" s="57">
        <v>2274.3000000000002</v>
      </c>
      <c r="I6" s="57">
        <v>6353</v>
      </c>
      <c r="J6" s="57">
        <v>12545</v>
      </c>
      <c r="K6" s="57">
        <v>4197.6000000000004</v>
      </c>
      <c r="L6" s="57">
        <v>21693</v>
      </c>
      <c r="M6" s="57">
        <v>6765</v>
      </c>
      <c r="N6" s="57">
        <v>7234</v>
      </c>
      <c r="O6" s="240" t="s">
        <v>12</v>
      </c>
    </row>
    <row r="7" spans="1:15" ht="20.100000000000001" customHeight="1" x14ac:dyDescent="0.2">
      <c r="A7" s="81" t="s">
        <v>59</v>
      </c>
      <c r="B7" s="57">
        <f>'1st IA Parameters'!B16</f>
        <v>13079.1</v>
      </c>
      <c r="C7" s="57">
        <f>'1st IA Parameters'!C16</f>
        <v>0</v>
      </c>
      <c r="D7" s="57">
        <f>'1st IA Parameters'!D16</f>
        <v>0</v>
      </c>
      <c r="E7" s="57">
        <f>'1st IA Parameters'!E16</f>
        <v>0</v>
      </c>
      <c r="F7" s="57">
        <f>'1st IA Parameters'!F16</f>
        <v>0</v>
      </c>
      <c r="G7" s="57">
        <f>'1st IA Parameters'!G16</f>
        <v>0</v>
      </c>
      <c r="H7" s="57">
        <f>'1st IA Parameters'!H16</f>
        <v>0</v>
      </c>
      <c r="I7" s="57">
        <f>'1st IA Parameters'!I16</f>
        <v>0</v>
      </c>
      <c r="J7" s="57">
        <f>'1st IA Parameters'!J16</f>
        <v>0</v>
      </c>
      <c r="K7" s="57">
        <f>'1st IA Parameters'!K16</f>
        <v>0</v>
      </c>
      <c r="L7" s="57">
        <f>'1st IA Parameters'!L16</f>
        <v>356</v>
      </c>
      <c r="M7" s="57">
        <f>'1st IA Parameters'!M16</f>
        <v>0</v>
      </c>
      <c r="N7" s="57">
        <f>'1st IA Parameters'!N16</f>
        <v>0</v>
      </c>
      <c r="O7" s="240" t="s">
        <v>12</v>
      </c>
    </row>
    <row r="8" spans="1:15" ht="20.100000000000001" customHeight="1" x14ac:dyDescent="0.2">
      <c r="A8" s="81" t="s">
        <v>60</v>
      </c>
      <c r="B8" s="57">
        <f>B6-B7</f>
        <v>143062</v>
      </c>
      <c r="C8" s="57">
        <f>C6-C7</f>
        <v>56982</v>
      </c>
      <c r="D8" s="57">
        <f t="shared" ref="D8:I8" si="0">D6-D7</f>
        <v>30947</v>
      </c>
      <c r="E8" s="57">
        <f t="shared" si="0"/>
        <v>13118</v>
      </c>
      <c r="F8" s="57">
        <f t="shared" si="0"/>
        <v>9863</v>
      </c>
      <c r="G8" s="57">
        <f t="shared" si="0"/>
        <v>4918.7</v>
      </c>
      <c r="H8" s="57">
        <f t="shared" si="0"/>
        <v>2274.3000000000002</v>
      </c>
      <c r="I8" s="57">
        <f t="shared" si="0"/>
        <v>6353</v>
      </c>
      <c r="J8" s="57">
        <f>J6-J7</f>
        <v>12545</v>
      </c>
      <c r="K8" s="57">
        <f>K6-K7</f>
        <v>4197.6000000000004</v>
      </c>
      <c r="L8" s="57">
        <f>L6-L7</f>
        <v>21337</v>
      </c>
      <c r="M8" s="57">
        <f>M6-M7</f>
        <v>6765</v>
      </c>
      <c r="N8" s="57">
        <f>N6-N7</f>
        <v>7234</v>
      </c>
      <c r="O8" s="240" t="s">
        <v>12</v>
      </c>
    </row>
    <row r="9" spans="1:15" ht="20.100000000000001" customHeight="1" x14ac:dyDescent="0.2">
      <c r="A9" s="81" t="s">
        <v>206</v>
      </c>
      <c r="B9" s="57">
        <f>'1st IA Parameters'!B20/'Base Capacity Constraints'!$B$2</f>
        <v>1145.364329688505</v>
      </c>
      <c r="C9" s="57">
        <f>'1st IA Parameters'!C20/'Base Capacity Constraints'!$B$2</f>
        <v>237.61830377653223</v>
      </c>
      <c r="D9" s="57">
        <f>'1st IA Parameters'!D20/'Base Capacity Constraints'!$B$2</f>
        <v>49.894330607369284</v>
      </c>
      <c r="E9" s="57">
        <f>'1st IA Parameters'!E20/'Base Capacity Constraints'!$B$2</f>
        <v>149.13167325186072</v>
      </c>
      <c r="F9" s="57">
        <f>'1st IA Parameters'!F20/'Base Capacity Constraints'!$B$2</f>
        <v>12.9559864008086</v>
      </c>
      <c r="G9" s="57">
        <f>'1st IA Parameters'!G20/'Base Capacity Constraints'!$B$2</f>
        <v>1.6539557107415235</v>
      </c>
      <c r="H9" s="57">
        <f>'1st IA Parameters'!H20/'Base Capacity Constraints'!$B$2</f>
        <v>0</v>
      </c>
      <c r="I9" s="57">
        <f>'1st IA Parameters'!I20/'Base Capacity Constraints'!$B$2</f>
        <v>61.01258844068731</v>
      </c>
      <c r="J9" s="57">
        <f>'1st IA Parameters'!J20/'Base Capacity Constraints'!$B$2</f>
        <v>35.651934209317282</v>
      </c>
      <c r="K9" s="57">
        <f>'1st IA Parameters'!K20/'Base Capacity Constraints'!$B$2</f>
        <v>5.1456399889736284</v>
      </c>
      <c r="L9" s="57">
        <f>'1st IA Parameters'!L20/'Base Capacity Constraints'!$B$2</f>
        <v>684.00257281999438</v>
      </c>
      <c r="M9" s="57">
        <f>'1st IA Parameters'!M20/'Base Capacity Constraints'!$B$2</f>
        <v>88.119084811173394</v>
      </c>
      <c r="N9" s="57">
        <f>'1st IA Parameters'!N20/'Base Capacity Constraints'!$B$2</f>
        <v>22.971607093632269</v>
      </c>
      <c r="O9" s="240"/>
    </row>
    <row r="10" spans="1:15" ht="20.100000000000001" customHeight="1" x14ac:dyDescent="0.2">
      <c r="A10" s="35" t="s">
        <v>89</v>
      </c>
      <c r="B10" s="57"/>
      <c r="C10" s="57"/>
      <c r="D10" s="57"/>
      <c r="E10" s="57"/>
      <c r="F10" s="57"/>
      <c r="G10" s="57"/>
      <c r="H10" s="57"/>
      <c r="I10" s="57"/>
      <c r="J10" s="57"/>
      <c r="K10" s="57"/>
      <c r="L10" s="57"/>
      <c r="M10" s="57"/>
      <c r="N10" s="57"/>
    </row>
    <row r="11" spans="1:15" ht="20.100000000000001" customHeight="1" x14ac:dyDescent="0.2">
      <c r="A11" s="81" t="s">
        <v>203</v>
      </c>
      <c r="B11" s="58">
        <v>6.9000000000000006E-2</v>
      </c>
      <c r="C11" s="58">
        <v>0.192</v>
      </c>
      <c r="D11" s="58">
        <v>0.112</v>
      </c>
      <c r="E11" s="58">
        <v>6.6000000000000003E-2</v>
      </c>
      <c r="F11" s="58">
        <v>0.11</v>
      </c>
      <c r="G11" s="58">
        <v>4.1000000000000002E-2</v>
      </c>
      <c r="H11" s="58">
        <v>5.2999999999999999E-2</v>
      </c>
      <c r="I11" s="58">
        <v>8.6999999999999994E-2</v>
      </c>
      <c r="J11" s="58">
        <v>0.14399999999999999</v>
      </c>
      <c r="K11" s="58">
        <v>0.14899999999999999</v>
      </c>
      <c r="L11" s="58">
        <v>0.14199999999999999</v>
      </c>
      <c r="M11" s="58">
        <v>6.7000000000000004E-2</v>
      </c>
      <c r="N11" s="58">
        <v>0.127</v>
      </c>
      <c r="O11" s="240" t="s">
        <v>12</v>
      </c>
    </row>
    <row r="12" spans="1:15" ht="20.100000000000001" customHeight="1" x14ac:dyDescent="0.2">
      <c r="A12" s="68" t="s">
        <v>90</v>
      </c>
      <c r="B12" s="57">
        <f>(B8+B9)*B11*$B$2</f>
        <v>10828.920347400002</v>
      </c>
      <c r="C12" s="57">
        <f t="shared" ref="C12:N12" si="1">(C8+C9)*C11*$B$2</f>
        <v>11956.2452352</v>
      </c>
      <c r="D12" s="57">
        <f t="shared" si="1"/>
        <v>3778.1990512000002</v>
      </c>
      <c r="E12" s="57">
        <f t="shared" si="1"/>
        <v>952.94888040000001</v>
      </c>
      <c r="F12" s="57">
        <f t="shared" si="1"/>
        <v>1182.280319</v>
      </c>
      <c r="G12" s="57">
        <f t="shared" si="1"/>
        <v>219.54766961000001</v>
      </c>
      <c r="H12" s="57">
        <f t="shared" si="1"/>
        <v>131.18139657</v>
      </c>
      <c r="I12" s="57">
        <f t="shared" si="1"/>
        <v>607.29218129999992</v>
      </c>
      <c r="J12" s="57">
        <f t="shared" si="1"/>
        <v>1971.5793840000001</v>
      </c>
      <c r="K12" s="57">
        <f t="shared" si="1"/>
        <v>681.50336392000008</v>
      </c>
      <c r="L12" s="57">
        <f t="shared" si="1"/>
        <v>3403.0949081999997</v>
      </c>
      <c r="M12" s="57">
        <f t="shared" si="1"/>
        <v>499.70271650000007</v>
      </c>
      <c r="N12" s="57">
        <f t="shared" si="1"/>
        <v>1003.0157994</v>
      </c>
    </row>
    <row r="13" spans="1:15" ht="20.100000000000001" customHeight="1" x14ac:dyDescent="0.2">
      <c r="A13" s="35" t="s">
        <v>91</v>
      </c>
      <c r="B13" s="54"/>
      <c r="C13" s="54"/>
      <c r="D13" s="54"/>
      <c r="E13" s="54"/>
      <c r="F13" s="54"/>
      <c r="G13" s="54"/>
      <c r="H13" s="54"/>
      <c r="I13" s="54"/>
      <c r="J13" s="54"/>
      <c r="K13" s="54"/>
      <c r="L13" s="54"/>
      <c r="M13" s="54"/>
      <c r="N13" s="54"/>
    </row>
    <row r="14" spans="1:15" ht="20.100000000000001" customHeight="1" x14ac:dyDescent="0.2">
      <c r="A14" s="81" t="s">
        <v>203</v>
      </c>
      <c r="B14" s="58">
        <v>0.16800000000000001</v>
      </c>
      <c r="C14" s="58">
        <v>0.315</v>
      </c>
      <c r="D14" s="58">
        <v>0.42699999999999999</v>
      </c>
      <c r="E14" s="58">
        <v>0.214</v>
      </c>
      <c r="F14" s="58">
        <v>0.47499999999999998</v>
      </c>
      <c r="G14" s="58">
        <v>0.36299999999999999</v>
      </c>
      <c r="H14" s="58">
        <v>0.14499999999999999</v>
      </c>
      <c r="I14" s="58">
        <v>0.28899999999999998</v>
      </c>
      <c r="J14" s="58">
        <v>0.27200000000000002</v>
      </c>
      <c r="K14" s="58">
        <v>0.23599999999999999</v>
      </c>
      <c r="L14" s="58">
        <v>0.53100000000000003</v>
      </c>
      <c r="M14" s="58">
        <v>0.16700000000000001</v>
      </c>
      <c r="N14" s="58">
        <v>0.14599999999999999</v>
      </c>
      <c r="O14" s="240" t="s">
        <v>12</v>
      </c>
    </row>
    <row r="15" spans="1:15" ht="20.100000000000001" customHeight="1" x14ac:dyDescent="0.2">
      <c r="A15" s="68" t="s">
        <v>92</v>
      </c>
      <c r="B15" s="54">
        <f>(B8+B9)*B14*(1-$B$3)</f>
        <v>22632.711319141563</v>
      </c>
      <c r="C15" s="54">
        <f t="shared" ref="C15:N15" si="2">(C8+C9)*C14*(1-$B$3)</f>
        <v>16838.18873710723</v>
      </c>
      <c r="D15" s="54">
        <f t="shared" si="2"/>
        <v>12364.766537920004</v>
      </c>
      <c r="E15" s="54">
        <f t="shared" si="2"/>
        <v>2652.349043558504</v>
      </c>
      <c r="F15" s="54">
        <f t="shared" si="2"/>
        <v>4382.4060891854269</v>
      </c>
      <c r="G15" s="54">
        <f t="shared" si="2"/>
        <v>1668.5638635492658</v>
      </c>
      <c r="H15" s="54">
        <f t="shared" si="2"/>
        <v>308.0744037</v>
      </c>
      <c r="I15" s="54">
        <f t="shared" si="2"/>
        <v>1731.6794918750527</v>
      </c>
      <c r="J15" s="54">
        <f t="shared" si="2"/>
        <v>3196.7738500472301</v>
      </c>
      <c r="K15" s="54">
        <f t="shared" si="2"/>
        <v>926.58437454313719</v>
      </c>
      <c r="L15" s="54">
        <f t="shared" si="2"/>
        <v>10923.742940473603</v>
      </c>
      <c r="M15" s="54">
        <f t="shared" si="2"/>
        <v>1069.1647027881102</v>
      </c>
      <c r="N15" s="54">
        <f t="shared" si="2"/>
        <v>989.80157980064303</v>
      </c>
    </row>
    <row r="16" spans="1:15" ht="20.100000000000001" customHeight="1" x14ac:dyDescent="0.2">
      <c r="A16" s="35" t="s">
        <v>81</v>
      </c>
      <c r="B16" s="54"/>
      <c r="C16" s="54"/>
      <c r="D16" s="54"/>
      <c r="E16" s="59"/>
      <c r="F16" s="54"/>
      <c r="G16" s="54"/>
      <c r="H16" s="54"/>
      <c r="I16" s="59"/>
      <c r="J16" s="54"/>
      <c r="K16" s="54"/>
      <c r="L16" s="54"/>
      <c r="M16" s="54"/>
      <c r="N16" s="54"/>
    </row>
    <row r="17" spans="1:14" ht="20.100000000000001" customHeight="1" x14ac:dyDescent="0.2">
      <c r="A17" s="69" t="s">
        <v>89</v>
      </c>
      <c r="B17" s="70">
        <f>B11</f>
        <v>6.9000000000000006E-2</v>
      </c>
      <c r="C17" s="70">
        <f>C11</f>
        <v>0.192</v>
      </c>
      <c r="D17" s="70">
        <f t="shared" ref="D17:M17" si="3">D11</f>
        <v>0.112</v>
      </c>
      <c r="E17" s="70">
        <f t="shared" si="3"/>
        <v>6.6000000000000003E-2</v>
      </c>
      <c r="F17" s="70">
        <f t="shared" si="3"/>
        <v>0.11</v>
      </c>
      <c r="G17" s="70">
        <f t="shared" si="3"/>
        <v>4.1000000000000002E-2</v>
      </c>
      <c r="H17" s="70">
        <f t="shared" si="3"/>
        <v>5.2999999999999999E-2</v>
      </c>
      <c r="I17" s="70">
        <f t="shared" si="3"/>
        <v>8.6999999999999994E-2</v>
      </c>
      <c r="J17" s="70">
        <f t="shared" si="3"/>
        <v>0.14399999999999999</v>
      </c>
      <c r="K17" s="70">
        <f t="shared" si="3"/>
        <v>0.14899999999999999</v>
      </c>
      <c r="L17" s="70">
        <f t="shared" si="3"/>
        <v>0.14199999999999999</v>
      </c>
      <c r="M17" s="70">
        <f t="shared" si="3"/>
        <v>6.7000000000000004E-2</v>
      </c>
      <c r="N17" s="70">
        <f>N11</f>
        <v>0.127</v>
      </c>
    </row>
    <row r="18" spans="1:14" ht="20.100000000000001" customHeight="1" x14ac:dyDescent="0.2">
      <c r="A18" s="69" t="s">
        <v>91</v>
      </c>
      <c r="B18" s="70">
        <f>B14</f>
        <v>0.16800000000000001</v>
      </c>
      <c r="C18" s="70">
        <f>C14</f>
        <v>0.315</v>
      </c>
      <c r="D18" s="70">
        <f t="shared" ref="D18:E18" si="4">D14</f>
        <v>0.42699999999999999</v>
      </c>
      <c r="E18" s="70">
        <f t="shared" si="4"/>
        <v>0.214</v>
      </c>
      <c r="F18" s="70">
        <f>F14</f>
        <v>0.47499999999999998</v>
      </c>
      <c r="G18" s="70">
        <f t="shared" ref="G18:K18" si="5">G14</f>
        <v>0.36299999999999999</v>
      </c>
      <c r="H18" s="70">
        <f t="shared" si="5"/>
        <v>0.14499999999999999</v>
      </c>
      <c r="I18" s="70">
        <f t="shared" si="5"/>
        <v>0.28899999999999998</v>
      </c>
      <c r="J18" s="70">
        <f t="shared" si="5"/>
        <v>0.27200000000000002</v>
      </c>
      <c r="K18" s="70">
        <f t="shared" si="5"/>
        <v>0.23599999999999999</v>
      </c>
      <c r="L18" s="70">
        <f>L14</f>
        <v>0.53100000000000003</v>
      </c>
      <c r="M18" s="70">
        <f>M14</f>
        <v>0.16700000000000001</v>
      </c>
      <c r="N18" s="70">
        <f>N14</f>
        <v>0.14599999999999999</v>
      </c>
    </row>
    <row r="20" spans="1:14" x14ac:dyDescent="0.2">
      <c r="A20" s="37" t="s">
        <v>12</v>
      </c>
    </row>
    <row r="21" spans="1:14" ht="31.5" x14ac:dyDescent="0.2">
      <c r="A21" s="231" t="s">
        <v>184</v>
      </c>
      <c r="B21" s="138" t="s">
        <v>58</v>
      </c>
      <c r="C21" s="138" t="s">
        <v>17</v>
      </c>
      <c r="D21" s="138" t="s">
        <v>16</v>
      </c>
      <c r="E21" s="138" t="s">
        <v>14</v>
      </c>
      <c r="F21" s="138" t="s">
        <v>8</v>
      </c>
      <c r="G21" s="138" t="s">
        <v>44</v>
      </c>
      <c r="H21" s="138" t="s">
        <v>45</v>
      </c>
      <c r="I21" s="138" t="s">
        <v>7</v>
      </c>
      <c r="J21" s="138" t="s">
        <v>53</v>
      </c>
      <c r="K21" s="230" t="s">
        <v>67</v>
      </c>
      <c r="L21" s="56" t="s">
        <v>18</v>
      </c>
      <c r="M21" s="56" t="s">
        <v>3</v>
      </c>
      <c r="N21" s="56" t="s">
        <v>76</v>
      </c>
    </row>
    <row r="22" spans="1:14" ht="20.100000000000001" customHeight="1" x14ac:dyDescent="0.2">
      <c r="A22" s="232" t="s">
        <v>186</v>
      </c>
      <c r="B22" s="233">
        <v>9959.4</v>
      </c>
      <c r="C22" s="233">
        <v>3745.4</v>
      </c>
      <c r="D22" s="233">
        <v>1524.9</v>
      </c>
      <c r="E22" s="233">
        <v>1087.4000000000001</v>
      </c>
      <c r="F22" s="233">
        <v>368.2</v>
      </c>
      <c r="G22" s="233">
        <v>130</v>
      </c>
      <c r="H22" s="233">
        <v>77.8</v>
      </c>
      <c r="I22" s="233">
        <v>500</v>
      </c>
      <c r="J22" s="233">
        <v>837.4</v>
      </c>
      <c r="K22" s="233">
        <v>255.6</v>
      </c>
      <c r="L22" s="233">
        <v>1864.5</v>
      </c>
      <c r="M22" s="233">
        <v>587.4</v>
      </c>
      <c r="N22" s="233">
        <v>482.8</v>
      </c>
    </row>
    <row r="23" spans="1:14" ht="20.100000000000001" customHeight="1" x14ac:dyDescent="0.2">
      <c r="A23" s="234" t="s">
        <v>189</v>
      </c>
      <c r="B23" s="233">
        <v>16277.1</v>
      </c>
      <c r="C23" s="233">
        <v>8856.7999999999993</v>
      </c>
      <c r="D23" s="233">
        <v>6573.5</v>
      </c>
      <c r="E23" s="233">
        <v>672.8</v>
      </c>
      <c r="F23" s="233">
        <v>111.4</v>
      </c>
      <c r="G23" s="233">
        <v>30</v>
      </c>
      <c r="H23" s="233">
        <v>345.4</v>
      </c>
      <c r="I23" s="233">
        <v>103</v>
      </c>
      <c r="J23" s="233">
        <v>750.7</v>
      </c>
      <c r="K23" s="239">
        <v>0</v>
      </c>
      <c r="L23" s="233">
        <v>891.5</v>
      </c>
      <c r="M23" s="233">
        <v>569.79999999999995</v>
      </c>
      <c r="N23" s="233">
        <v>663.7</v>
      </c>
    </row>
    <row r="24" spans="1:14" ht="20.100000000000001" customHeight="1" x14ac:dyDescent="0.2">
      <c r="A24" s="235" t="s">
        <v>188</v>
      </c>
      <c r="B24" s="233">
        <v>140600.4</v>
      </c>
      <c r="C24" s="233">
        <v>53469</v>
      </c>
      <c r="D24" s="233">
        <v>22970.6</v>
      </c>
      <c r="E24" s="233">
        <v>9420.5</v>
      </c>
      <c r="F24" s="233">
        <v>4821.2</v>
      </c>
      <c r="G24" s="233">
        <v>3008</v>
      </c>
      <c r="H24" s="233">
        <v>1270.3</v>
      </c>
      <c r="I24" s="233">
        <v>4875.7</v>
      </c>
      <c r="J24" s="233">
        <v>8583.5</v>
      </c>
      <c r="K24" s="233">
        <v>2002.5</v>
      </c>
      <c r="L24" s="233">
        <v>20564.400000000001</v>
      </c>
      <c r="M24" s="233">
        <v>2139.6999999999998</v>
      </c>
      <c r="N24" s="233">
        <v>8380.4</v>
      </c>
    </row>
    <row r="25" spans="1:14" ht="20.100000000000001" customHeight="1" x14ac:dyDescent="0.2">
      <c r="A25" s="235" t="s">
        <v>187</v>
      </c>
      <c r="B25" s="236">
        <f>B22+B23</f>
        <v>26236.5</v>
      </c>
      <c r="C25" s="236">
        <f>C22+C23</f>
        <v>12602.199999999999</v>
      </c>
      <c r="D25" s="236">
        <f>D22+D23</f>
        <v>8098.4</v>
      </c>
      <c r="E25" s="236">
        <f t="shared" ref="E25:M25" si="6">E22+E23</f>
        <v>1760.2</v>
      </c>
      <c r="F25" s="236">
        <f t="shared" si="6"/>
        <v>479.6</v>
      </c>
      <c r="G25" s="236">
        <f t="shared" si="6"/>
        <v>160</v>
      </c>
      <c r="H25" s="236">
        <f t="shared" si="6"/>
        <v>423.2</v>
      </c>
      <c r="I25" s="236">
        <f t="shared" si="6"/>
        <v>603</v>
      </c>
      <c r="J25" s="236">
        <f t="shared" si="6"/>
        <v>1588.1</v>
      </c>
      <c r="K25" s="236">
        <f t="shared" si="6"/>
        <v>255.6</v>
      </c>
      <c r="L25" s="236">
        <f t="shared" si="6"/>
        <v>2756</v>
      </c>
      <c r="M25" s="236">
        <f t="shared" si="6"/>
        <v>1157.1999999999998</v>
      </c>
      <c r="N25" s="236">
        <f>N22+N23</f>
        <v>1146.5</v>
      </c>
    </row>
    <row r="26" spans="1:14" ht="20.100000000000001" customHeight="1" x14ac:dyDescent="0.2">
      <c r="A26" s="235" t="s">
        <v>185</v>
      </c>
      <c r="B26" s="236">
        <f>B24+B25</f>
        <v>166836.9</v>
      </c>
      <c r="C26" s="236">
        <f t="shared" ref="C26:N26" si="7">C24+C25</f>
        <v>66071.199999999997</v>
      </c>
      <c r="D26" s="236">
        <f t="shared" si="7"/>
        <v>31069</v>
      </c>
      <c r="E26" s="236">
        <f t="shared" si="7"/>
        <v>11180.7</v>
      </c>
      <c r="F26" s="236">
        <f t="shared" si="7"/>
        <v>5300.8</v>
      </c>
      <c r="G26" s="236">
        <f t="shared" si="7"/>
        <v>3168</v>
      </c>
      <c r="H26" s="236">
        <f t="shared" si="7"/>
        <v>1693.5</v>
      </c>
      <c r="I26" s="236">
        <f t="shared" si="7"/>
        <v>5478.7</v>
      </c>
      <c r="J26" s="236">
        <f t="shared" si="7"/>
        <v>10171.6</v>
      </c>
      <c r="K26" s="236">
        <f t="shared" si="7"/>
        <v>2258.1</v>
      </c>
      <c r="L26" s="236">
        <f t="shared" si="7"/>
        <v>23320.400000000001</v>
      </c>
      <c r="M26" s="236">
        <f t="shared" si="7"/>
        <v>3296.8999999999996</v>
      </c>
      <c r="N26" s="236">
        <f t="shared" si="7"/>
        <v>9526.9</v>
      </c>
    </row>
    <row r="27" spans="1:14" ht="15" x14ac:dyDescent="0.2">
      <c r="A27" s="244" t="s">
        <v>12</v>
      </c>
      <c r="B27" s="118"/>
    </row>
    <row r="28" spans="1:14" x14ac:dyDescent="0.2">
      <c r="B28" s="98"/>
      <c r="C28" s="98"/>
      <c r="E28" s="98"/>
      <c r="F28" s="98"/>
      <c r="I28" s="98"/>
    </row>
    <row r="29" spans="1:14" x14ac:dyDescent="0.2">
      <c r="B29" s="98"/>
      <c r="C29" s="98"/>
      <c r="E29" s="98"/>
      <c r="F29" s="98"/>
      <c r="I29" s="98"/>
    </row>
    <row r="30" spans="1:14" x14ac:dyDescent="0.2">
      <c r="B30" s="98"/>
      <c r="C30" s="98"/>
      <c r="E30" s="98"/>
      <c r="F30" s="98"/>
      <c r="I30" s="98"/>
    </row>
    <row r="31" spans="1:14" x14ac:dyDescent="0.2">
      <c r="B31" s="98"/>
      <c r="C31" s="98"/>
      <c r="E31" s="98"/>
      <c r="F31" s="98"/>
      <c r="I31" s="98"/>
    </row>
    <row r="32" spans="1:14" x14ac:dyDescent="0.2">
      <c r="B32" s="98"/>
      <c r="C32" s="98"/>
      <c r="E32" s="98"/>
      <c r="F32" s="98"/>
      <c r="I32" s="98"/>
    </row>
    <row r="33" spans="2:9" x14ac:dyDescent="0.2">
      <c r="B33" s="98"/>
      <c r="C33" s="98"/>
      <c r="E33" s="98"/>
      <c r="F33" s="98"/>
      <c r="I33" s="98"/>
    </row>
    <row r="34" spans="2:9" x14ac:dyDescent="0.2">
      <c r="B34" s="98"/>
      <c r="C34" s="98"/>
      <c r="E34" s="98"/>
      <c r="F34" s="98"/>
      <c r="I34" s="98"/>
    </row>
    <row r="35" spans="2:9" x14ac:dyDescent="0.2">
      <c r="B35" s="98"/>
      <c r="C35" s="98"/>
      <c r="E35" s="98"/>
      <c r="F35" s="98"/>
      <c r="I35" s="98"/>
    </row>
    <row r="36" spans="2:9" x14ac:dyDescent="0.2">
      <c r="B36" s="98"/>
      <c r="C36" s="98"/>
      <c r="E36" s="98"/>
      <c r="F36" s="98"/>
      <c r="I36" s="98"/>
    </row>
    <row r="37" spans="2:9" x14ac:dyDescent="0.2">
      <c r="B37" s="98"/>
      <c r="C37" s="98"/>
      <c r="E37" s="98"/>
      <c r="F37" s="98"/>
      <c r="I37" s="98"/>
    </row>
    <row r="38" spans="2:9" x14ac:dyDescent="0.2">
      <c r="B38" s="98"/>
      <c r="C38" s="98"/>
      <c r="E38" s="98"/>
      <c r="F38" s="98"/>
      <c r="I38" s="98"/>
    </row>
    <row r="39" spans="2:9" x14ac:dyDescent="0.2">
      <c r="B39" s="98"/>
      <c r="C39" s="98"/>
      <c r="E39" s="98"/>
      <c r="F39" s="98"/>
      <c r="I39" s="98"/>
    </row>
    <row r="40" spans="2:9" x14ac:dyDescent="0.2">
      <c r="B40" s="98"/>
      <c r="C40" s="98"/>
      <c r="E40" s="98"/>
      <c r="F40" s="98"/>
      <c r="I40" s="98"/>
    </row>
    <row r="41" spans="2:9" x14ac:dyDescent="0.2">
      <c r="B41" s="98"/>
      <c r="C41" s="98"/>
      <c r="E41" s="98"/>
      <c r="F41" s="98"/>
      <c r="I41" s="98"/>
    </row>
    <row r="42" spans="2:9" x14ac:dyDescent="0.2">
      <c r="B42" s="98"/>
      <c r="C42" s="98"/>
      <c r="E42" s="98"/>
      <c r="F42" s="98"/>
      <c r="I42" s="98"/>
    </row>
    <row r="43" spans="2:9" x14ac:dyDescent="0.2">
      <c r="B43" s="98"/>
      <c r="C43" s="98"/>
      <c r="E43" s="98"/>
      <c r="F43" s="98"/>
      <c r="I43" s="98"/>
    </row>
    <row r="44" spans="2:9" x14ac:dyDescent="0.2">
      <c r="B44" s="98"/>
      <c r="C44" s="98"/>
      <c r="E44" s="98"/>
      <c r="F44" s="98"/>
      <c r="I44" s="98"/>
    </row>
    <row r="45" spans="2:9" x14ac:dyDescent="0.2">
      <c r="B45" s="98"/>
      <c r="C45" s="98"/>
      <c r="E45" s="98"/>
      <c r="F45" s="98"/>
      <c r="I45" s="98"/>
    </row>
    <row r="46" spans="2:9" x14ac:dyDescent="0.2">
      <c r="B46" s="98"/>
      <c r="C46" s="98"/>
      <c r="E46" s="98"/>
      <c r="F46" s="98"/>
      <c r="I46" s="98"/>
    </row>
    <row r="47" spans="2:9" x14ac:dyDescent="0.2">
      <c r="B47" s="98"/>
      <c r="C47" s="98"/>
      <c r="E47" s="98"/>
      <c r="F47" s="98"/>
      <c r="I47" s="98"/>
    </row>
    <row r="48" spans="2:9" x14ac:dyDescent="0.2">
      <c r="B48" s="98"/>
      <c r="C48" s="98"/>
      <c r="E48" s="98"/>
      <c r="F48" s="98"/>
    </row>
    <row r="49" spans="2:6" x14ac:dyDescent="0.2">
      <c r="B49" s="98"/>
      <c r="C49" s="98"/>
      <c r="E49" s="98"/>
      <c r="F49" s="98"/>
    </row>
    <row r="50" spans="2:6" x14ac:dyDescent="0.2">
      <c r="B50" s="98"/>
      <c r="C50" s="98"/>
      <c r="E50" s="98"/>
      <c r="F50" s="98"/>
    </row>
    <row r="51" spans="2:6" x14ac:dyDescent="0.2">
      <c r="B51" s="98"/>
      <c r="C51" s="98"/>
      <c r="E51" s="98"/>
      <c r="F51" s="98"/>
    </row>
    <row r="52" spans="2:6" x14ac:dyDescent="0.2">
      <c r="B52" s="98"/>
      <c r="C52" s="98"/>
      <c r="E52" s="98"/>
      <c r="F52" s="98"/>
    </row>
  </sheetData>
  <mergeCells count="1">
    <mergeCell ref="A1:B1"/>
  </mergeCells>
  <pageMargins left="0.45" right="0.45" top="0.5" bottom="0.5" header="0.3" footer="0.3"/>
  <pageSetup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4"/>
  <sheetViews>
    <sheetView workbookViewId="0">
      <selection sqref="A1:G1"/>
    </sheetView>
  </sheetViews>
  <sheetFormatPr defaultRowHeight="12.75" x14ac:dyDescent="0.2"/>
  <cols>
    <col min="1" max="1" width="80.7109375" customWidth="1"/>
    <col min="2" max="7" width="16.7109375" customWidth="1"/>
    <col min="8" max="8" width="15.7109375" customWidth="1"/>
  </cols>
  <sheetData>
    <row r="1" spans="1:8" ht="24.95" customHeight="1" x14ac:dyDescent="0.2">
      <c r="A1" s="307" t="s">
        <v>93</v>
      </c>
      <c r="B1" s="307"/>
      <c r="C1" s="307"/>
      <c r="D1" s="307"/>
      <c r="E1" s="307"/>
      <c r="F1" s="307"/>
      <c r="G1" s="307"/>
      <c r="H1" s="238" t="s">
        <v>12</v>
      </c>
    </row>
    <row r="2" spans="1:8" ht="24.95" customHeight="1" x14ac:dyDescent="0.2">
      <c r="A2" s="96"/>
      <c r="B2" s="308" t="s">
        <v>94</v>
      </c>
      <c r="C2" s="308"/>
      <c r="D2" s="308"/>
      <c r="E2" s="308"/>
      <c r="F2" s="308"/>
      <c r="G2" s="308"/>
    </row>
    <row r="3" spans="1:8" ht="24.95" customHeight="1" x14ac:dyDescent="0.25">
      <c r="A3" s="95" t="s">
        <v>12</v>
      </c>
      <c r="B3" s="83" t="s">
        <v>105</v>
      </c>
      <c r="C3" s="83" t="s">
        <v>70</v>
      </c>
      <c r="D3" s="83" t="s">
        <v>71</v>
      </c>
      <c r="E3" s="83" t="s">
        <v>72</v>
      </c>
      <c r="F3" s="83" t="s">
        <v>73</v>
      </c>
      <c r="G3" s="83" t="s">
        <v>74</v>
      </c>
    </row>
    <row r="4" spans="1:8" ht="20.100000000000001" customHeight="1" x14ac:dyDescent="0.2">
      <c r="A4" s="105" t="s">
        <v>106</v>
      </c>
      <c r="B4" s="101">
        <v>7707</v>
      </c>
      <c r="C4" s="101">
        <v>168</v>
      </c>
      <c r="D4" s="101">
        <v>1276</v>
      </c>
      <c r="E4" s="101">
        <v>5193</v>
      </c>
      <c r="F4" s="101">
        <v>670</v>
      </c>
      <c r="G4" s="101">
        <v>362</v>
      </c>
      <c r="H4" s="238" t="s">
        <v>12</v>
      </c>
    </row>
    <row r="5" spans="1:8" ht="20.100000000000001" customHeight="1" x14ac:dyDescent="0.2">
      <c r="A5" s="105" t="s">
        <v>107</v>
      </c>
      <c r="B5" s="101">
        <v>3500</v>
      </c>
      <c r="C5" s="101">
        <v>76</v>
      </c>
      <c r="D5" s="101">
        <v>579</v>
      </c>
      <c r="E5" s="101">
        <v>2358</v>
      </c>
      <c r="F5" s="101">
        <v>304</v>
      </c>
      <c r="G5" s="101">
        <v>164</v>
      </c>
      <c r="H5" s="238" t="s">
        <v>12</v>
      </c>
    </row>
    <row r="6" spans="1:8" ht="20.100000000000001" customHeight="1" x14ac:dyDescent="0.2">
      <c r="A6" s="34" t="s">
        <v>125</v>
      </c>
      <c r="B6" s="104">
        <f>SUM(C6:G6)</f>
        <v>10749</v>
      </c>
      <c r="C6" s="104">
        <v>188</v>
      </c>
      <c r="D6" s="104">
        <v>2337</v>
      </c>
      <c r="E6" s="104">
        <v>5461</v>
      </c>
      <c r="F6" s="104">
        <v>2092</v>
      </c>
      <c r="G6" s="104">
        <v>671</v>
      </c>
      <c r="H6" s="238" t="s">
        <v>12</v>
      </c>
    </row>
    <row r="7" spans="1:8" ht="20.100000000000001" customHeight="1" x14ac:dyDescent="0.2">
      <c r="A7" s="106" t="s">
        <v>108</v>
      </c>
      <c r="B7" s="104">
        <f>SUM(C7:G7)</f>
        <v>5424.4</v>
      </c>
      <c r="C7" s="104">
        <v>0</v>
      </c>
      <c r="D7" s="104">
        <v>1916</v>
      </c>
      <c r="E7" s="104">
        <v>2399</v>
      </c>
      <c r="F7" s="104">
        <v>840.4</v>
      </c>
      <c r="G7" s="104">
        <v>269</v>
      </c>
      <c r="H7" s="238" t="s">
        <v>12</v>
      </c>
    </row>
    <row r="8" spans="1:8" ht="20.100000000000001" customHeight="1" x14ac:dyDescent="0.2">
      <c r="A8" s="94" t="s">
        <v>109</v>
      </c>
      <c r="B8" s="104">
        <f>IF(MIN(B4-B5-B7,B6-B5-B7)&lt;0,0,MIN(B4-B5-B7,B6-B5-B7))</f>
        <v>0</v>
      </c>
      <c r="C8" s="104">
        <f t="shared" ref="C8:F8" si="0">IF(MIN(C4-C5-C7,C6-C5-C7)&lt;0,0,MIN(C4-C5-C7,C6-C5-C7))</f>
        <v>92</v>
      </c>
      <c r="D8" s="104">
        <f t="shared" si="0"/>
        <v>0</v>
      </c>
      <c r="E8" s="104">
        <f t="shared" si="0"/>
        <v>436</v>
      </c>
      <c r="F8" s="104">
        <f t="shared" si="0"/>
        <v>0</v>
      </c>
      <c r="G8" s="104">
        <f>IF(MIN(G4-G5-G7,G6-G5-G7)&lt;0,0,MIN(G4-G5-G7,G6-G5-G7))</f>
        <v>0</v>
      </c>
    </row>
    <row r="9" spans="1:8" ht="15" x14ac:dyDescent="0.2">
      <c r="A9" s="80" t="s">
        <v>41</v>
      </c>
    </row>
    <row r="10" spans="1:8" ht="14.25" x14ac:dyDescent="0.2">
      <c r="A10" s="309" t="s">
        <v>210</v>
      </c>
      <c r="B10" s="309"/>
      <c r="C10" s="309"/>
      <c r="D10" s="309"/>
      <c r="E10" s="309"/>
      <c r="F10" s="309"/>
      <c r="G10" s="309"/>
    </row>
    <row r="11" spans="1:8" ht="50.1" customHeight="1" x14ac:dyDescent="0.2">
      <c r="A11" s="310" t="s">
        <v>129</v>
      </c>
      <c r="B11" s="310"/>
      <c r="C11" s="310"/>
      <c r="D11" s="310"/>
      <c r="E11" s="310"/>
      <c r="F11" s="310"/>
      <c r="G11" s="310"/>
      <c r="H11" s="108"/>
    </row>
    <row r="13" spans="1:8" x14ac:dyDescent="0.2">
      <c r="B13" s="100" t="s">
        <v>12</v>
      </c>
      <c r="C13" s="100" t="s">
        <v>12</v>
      </c>
      <c r="D13" s="100" t="s">
        <v>12</v>
      </c>
      <c r="E13" s="100" t="s">
        <v>12</v>
      </c>
      <c r="F13" s="100" t="s">
        <v>12</v>
      </c>
      <c r="G13" s="100" t="s">
        <v>12</v>
      </c>
      <c r="H13" s="100" t="s">
        <v>12</v>
      </c>
    </row>
    <row r="36" spans="2:9" x14ac:dyDescent="0.2">
      <c r="E36" s="98"/>
      <c r="F36" s="98"/>
      <c r="I36" s="98"/>
    </row>
    <row r="37" spans="2:9" x14ac:dyDescent="0.2">
      <c r="B37" s="98"/>
      <c r="C37" s="98"/>
      <c r="E37" s="98"/>
      <c r="F37" s="98"/>
      <c r="I37" s="98"/>
    </row>
    <row r="38" spans="2:9" x14ac:dyDescent="0.2">
      <c r="B38" s="98"/>
      <c r="C38" s="98"/>
      <c r="E38" s="98"/>
      <c r="F38" s="98"/>
      <c r="I38" s="98"/>
    </row>
    <row r="39" spans="2:9" x14ac:dyDescent="0.2">
      <c r="B39" s="98"/>
      <c r="C39" s="98"/>
      <c r="E39" s="98"/>
      <c r="F39" s="98"/>
      <c r="I39" s="98"/>
    </row>
    <row r="40" spans="2:9" x14ac:dyDescent="0.2">
      <c r="B40" s="98"/>
      <c r="C40" s="98"/>
      <c r="E40" s="98"/>
      <c r="F40" s="98"/>
      <c r="I40" s="98"/>
    </row>
    <row r="41" spans="2:9" x14ac:dyDescent="0.2">
      <c r="B41" s="98"/>
      <c r="C41" s="98"/>
      <c r="E41" s="98"/>
      <c r="F41" s="98"/>
      <c r="I41" s="98"/>
    </row>
    <row r="42" spans="2:9" x14ac:dyDescent="0.2">
      <c r="B42" s="98"/>
      <c r="C42" s="98"/>
      <c r="E42" s="98"/>
      <c r="F42" s="98"/>
      <c r="I42" s="98"/>
    </row>
    <row r="43" spans="2:9" x14ac:dyDescent="0.2">
      <c r="B43" s="98"/>
      <c r="C43" s="98"/>
      <c r="E43" s="98"/>
      <c r="F43" s="98"/>
      <c r="I43" s="98"/>
    </row>
    <row r="44" spans="2:9" x14ac:dyDescent="0.2">
      <c r="B44" s="98"/>
      <c r="C44" s="98"/>
      <c r="E44" s="98"/>
      <c r="F44" s="98"/>
      <c r="I44" s="98"/>
    </row>
    <row r="45" spans="2:9" x14ac:dyDescent="0.2">
      <c r="B45" s="98"/>
      <c r="C45" s="98"/>
      <c r="E45" s="98"/>
      <c r="F45" s="98"/>
      <c r="I45" s="98"/>
    </row>
    <row r="46" spans="2:9" x14ac:dyDescent="0.2">
      <c r="B46" s="98"/>
      <c r="C46" s="98"/>
      <c r="E46" s="98"/>
      <c r="F46" s="98"/>
      <c r="I46" s="98"/>
    </row>
    <row r="47" spans="2:9" x14ac:dyDescent="0.2">
      <c r="B47" s="98"/>
      <c r="C47" s="98"/>
      <c r="E47" s="98"/>
      <c r="F47" s="98"/>
      <c r="I47" s="98"/>
    </row>
    <row r="48" spans="2:9" x14ac:dyDescent="0.2">
      <c r="B48" s="98"/>
      <c r="C48" s="98"/>
      <c r="E48" s="98"/>
      <c r="F48" s="98"/>
      <c r="I48" s="98"/>
    </row>
    <row r="49" spans="2:9" x14ac:dyDescent="0.2">
      <c r="B49" s="98"/>
      <c r="C49" s="98"/>
      <c r="E49" s="98"/>
      <c r="F49" s="98"/>
      <c r="I49" s="98"/>
    </row>
    <row r="50" spans="2:9" x14ac:dyDescent="0.2">
      <c r="B50" s="98"/>
      <c r="C50" s="98"/>
      <c r="E50" s="98"/>
      <c r="F50" s="98"/>
      <c r="I50" s="98"/>
    </row>
    <row r="51" spans="2:9" x14ac:dyDescent="0.2">
      <c r="B51" s="98"/>
      <c r="C51" s="98"/>
      <c r="E51" s="98"/>
      <c r="F51" s="98"/>
      <c r="I51" s="98"/>
    </row>
    <row r="52" spans="2:9" x14ac:dyDescent="0.2">
      <c r="B52" s="98"/>
      <c r="C52" s="98"/>
      <c r="E52" s="98"/>
      <c r="F52" s="98"/>
      <c r="I52" s="98"/>
    </row>
    <row r="53" spans="2:9" x14ac:dyDescent="0.2">
      <c r="B53" s="98"/>
      <c r="C53" s="98"/>
      <c r="E53" s="98"/>
      <c r="F53" s="98"/>
      <c r="I53" s="98"/>
    </row>
    <row r="54" spans="2:9" x14ac:dyDescent="0.2">
      <c r="B54" s="98"/>
      <c r="C54" s="98"/>
      <c r="E54" s="98"/>
      <c r="F54" s="98"/>
      <c r="I54" s="98"/>
    </row>
    <row r="55" spans="2:9" x14ac:dyDescent="0.2">
      <c r="B55" s="98"/>
      <c r="C55" s="98"/>
      <c r="E55" s="98"/>
      <c r="F55" s="98"/>
      <c r="I55" s="98"/>
    </row>
    <row r="56" spans="2:9" x14ac:dyDescent="0.2">
      <c r="B56" s="98"/>
      <c r="C56" s="98"/>
      <c r="E56" s="98"/>
      <c r="F56" s="98"/>
      <c r="I56" s="98"/>
    </row>
    <row r="57" spans="2:9" x14ac:dyDescent="0.2">
      <c r="B57" s="98"/>
      <c r="C57" s="98"/>
      <c r="E57" s="98"/>
      <c r="F57" s="98"/>
      <c r="I57" s="98"/>
    </row>
    <row r="58" spans="2:9" x14ac:dyDescent="0.2">
      <c r="B58" s="98"/>
      <c r="C58" s="98"/>
      <c r="E58" s="98"/>
      <c r="F58" s="98"/>
      <c r="I58" s="98"/>
    </row>
    <row r="59" spans="2:9" x14ac:dyDescent="0.2">
      <c r="B59" s="98"/>
      <c r="C59" s="98"/>
      <c r="E59" s="98"/>
      <c r="F59" s="98"/>
      <c r="I59" s="98"/>
    </row>
    <row r="60" spans="2:9" x14ac:dyDescent="0.2">
      <c r="B60" s="98"/>
      <c r="C60" s="98"/>
      <c r="E60" s="98"/>
      <c r="F60" s="98"/>
    </row>
    <row r="61" spans="2:9" x14ac:dyDescent="0.2">
      <c r="B61" s="98"/>
      <c r="C61" s="98"/>
      <c r="E61" s="98"/>
      <c r="F61" s="98"/>
    </row>
    <row r="62" spans="2:9" x14ac:dyDescent="0.2">
      <c r="B62" s="98"/>
      <c r="C62" s="98"/>
      <c r="E62" s="98"/>
      <c r="F62" s="98"/>
    </row>
    <row r="63" spans="2:9" x14ac:dyDescent="0.2">
      <c r="B63" s="98"/>
      <c r="C63" s="98"/>
      <c r="E63" s="98"/>
      <c r="F63" s="98"/>
    </row>
    <row r="64" spans="2:9" x14ac:dyDescent="0.2">
      <c r="B64" s="98"/>
      <c r="C64" s="98"/>
      <c r="E64" s="98"/>
      <c r="F64" s="98"/>
    </row>
  </sheetData>
  <mergeCells count="4">
    <mergeCell ref="A1:G1"/>
    <mergeCell ref="B2:G2"/>
    <mergeCell ref="A10:G10"/>
    <mergeCell ref="A11:G11"/>
  </mergeCells>
  <pageMargins left="0.7" right="0.7" top="0.75" bottom="0.75" header="0.3" footer="0.3"/>
  <pageSetup scale="6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workbookViewId="0"/>
  </sheetViews>
  <sheetFormatPr defaultRowHeight="12.75" x14ac:dyDescent="0.2"/>
  <cols>
    <col min="1" max="1" width="67" customWidth="1"/>
    <col min="2" max="10" width="15.7109375" customWidth="1"/>
    <col min="11" max="11" width="18.28515625" customWidth="1"/>
    <col min="12" max="14" width="15.7109375" customWidth="1"/>
  </cols>
  <sheetData>
    <row r="1" spans="1:14" ht="20.100000000000001" customHeight="1" x14ac:dyDescent="0.25">
      <c r="A1" s="116" t="s">
        <v>191</v>
      </c>
      <c r="B1" s="116"/>
      <c r="C1" s="116"/>
      <c r="D1" s="116"/>
      <c r="E1" s="116"/>
      <c r="F1" s="116"/>
      <c r="G1" s="116"/>
      <c r="H1" s="116"/>
      <c r="I1" s="116"/>
      <c r="J1" s="116"/>
      <c r="K1" s="116"/>
      <c r="L1" s="118"/>
      <c r="M1" s="118"/>
      <c r="N1" s="118"/>
    </row>
    <row r="2" spans="1:14" ht="20.100000000000001" customHeight="1" x14ac:dyDescent="0.25">
      <c r="A2" s="116"/>
      <c r="B2" s="116"/>
      <c r="C2" s="116"/>
      <c r="D2" s="116"/>
      <c r="E2" s="116"/>
      <c r="F2" s="116"/>
      <c r="G2" s="116"/>
      <c r="H2" s="116"/>
      <c r="I2" s="116"/>
      <c r="J2" s="116"/>
      <c r="K2" s="116"/>
      <c r="L2" s="118"/>
      <c r="M2" s="118"/>
      <c r="N2" s="118"/>
    </row>
    <row r="3" spans="1:14" ht="20.100000000000001" customHeight="1" x14ac:dyDescent="0.2">
      <c r="A3" s="115" t="s">
        <v>12</v>
      </c>
      <c r="B3" s="83" t="s">
        <v>13</v>
      </c>
      <c r="C3" s="83" t="s">
        <v>17</v>
      </c>
      <c r="D3" s="83" t="s">
        <v>16</v>
      </c>
      <c r="E3" s="83" t="s">
        <v>14</v>
      </c>
      <c r="F3" s="83" t="s">
        <v>8</v>
      </c>
      <c r="G3" s="83" t="s">
        <v>44</v>
      </c>
      <c r="H3" s="83" t="s">
        <v>45</v>
      </c>
      <c r="I3" s="83" t="s">
        <v>7</v>
      </c>
      <c r="J3" s="83" t="s">
        <v>53</v>
      </c>
      <c r="K3" s="83" t="s">
        <v>67</v>
      </c>
      <c r="L3" s="56" t="s">
        <v>18</v>
      </c>
      <c r="M3" s="56" t="s">
        <v>3</v>
      </c>
      <c r="N3" s="56" t="s">
        <v>76</v>
      </c>
    </row>
    <row r="4" spans="1:14" ht="20.100000000000001" customHeight="1" x14ac:dyDescent="0.2">
      <c r="A4" s="112" t="s">
        <v>49</v>
      </c>
      <c r="B4" s="6">
        <f>'1st IA Parameters'!B22</f>
        <v>301.31000321130381</v>
      </c>
      <c r="C4" s="6">
        <f>'1st IA Parameters'!C22</f>
        <v>272.33885142367802</v>
      </c>
      <c r="D4" s="6">
        <f>'1st IA Parameters'!D22</f>
        <v>285.5212267180475</v>
      </c>
      <c r="E4" s="6">
        <f>'1st IA Parameters'!E22</f>
        <v>243.76868443588094</v>
      </c>
      <c r="F4" s="6">
        <f>'1st IA Parameters'!F22</f>
        <v>298.72365125240844</v>
      </c>
      <c r="G4" s="6">
        <f>'1st IA Parameters'!G22</f>
        <v>298.72365125240844</v>
      </c>
      <c r="H4" s="6">
        <f>'1st IA Parameters'!H22</f>
        <v>258.95598372939412</v>
      </c>
      <c r="I4" s="6">
        <f>'1st IA Parameters'!I22</f>
        <v>251.35732177263969</v>
      </c>
      <c r="J4" s="6">
        <f>'1st IA Parameters'!J22</f>
        <v>272.3889745236566</v>
      </c>
      <c r="K4" s="6">
        <f>'1st IA Parameters'!K22</f>
        <v>272.3889745236566</v>
      </c>
      <c r="L4" s="6">
        <f>'1st IA Parameters'!L22</f>
        <v>321.07855384286023</v>
      </c>
      <c r="M4" s="6">
        <f>'1st IA Parameters'!M22</f>
        <v>236.17002247912652</v>
      </c>
      <c r="N4" s="6">
        <f>'1st IA Parameters'!N22</f>
        <v>285.49115285806039</v>
      </c>
    </row>
    <row r="5" spans="1:14" ht="20.100000000000001" customHeight="1" x14ac:dyDescent="0.2">
      <c r="A5" s="229" t="s">
        <v>193</v>
      </c>
      <c r="B5" s="6">
        <v>149.97999999999999</v>
      </c>
      <c r="C5" s="6">
        <v>149.97999999999999</v>
      </c>
      <c r="D5" s="6">
        <v>210.63</v>
      </c>
      <c r="E5" s="6">
        <v>59.95</v>
      </c>
      <c r="F5" s="6">
        <v>210.63</v>
      </c>
      <c r="G5" s="6">
        <v>210.63</v>
      </c>
      <c r="H5" s="6">
        <v>210.63</v>
      </c>
      <c r="I5" s="6">
        <v>41.09</v>
      </c>
      <c r="J5" s="6">
        <v>149.97999999999999</v>
      </c>
      <c r="K5" s="6">
        <v>149.97999999999999</v>
      </c>
      <c r="L5" s="6">
        <v>200.21</v>
      </c>
      <c r="M5" s="6">
        <v>59.95</v>
      </c>
      <c r="N5" s="6">
        <v>75</v>
      </c>
    </row>
    <row r="6" spans="1:14" ht="20.100000000000001" customHeight="1" x14ac:dyDescent="0.2">
      <c r="A6" s="229" t="s">
        <v>192</v>
      </c>
      <c r="B6" s="6">
        <v>149.97999999999999</v>
      </c>
      <c r="C6" s="6">
        <v>149.97999999999999</v>
      </c>
      <c r="D6" s="6">
        <v>210.63</v>
      </c>
      <c r="E6" s="6">
        <v>149.97999999999999</v>
      </c>
      <c r="F6" s="6">
        <v>210.63</v>
      </c>
      <c r="G6" s="6">
        <v>210.63</v>
      </c>
      <c r="H6" s="6">
        <v>210.63</v>
      </c>
      <c r="I6" s="6">
        <v>149.97999999999999</v>
      </c>
      <c r="J6" s="6">
        <v>149.97999999999999</v>
      </c>
      <c r="K6" s="6">
        <v>149.97999999999999</v>
      </c>
      <c r="L6" s="6">
        <v>200.21</v>
      </c>
      <c r="M6" s="6">
        <v>149.97999999999999</v>
      </c>
      <c r="N6" s="6">
        <v>75</v>
      </c>
    </row>
    <row r="7" spans="1:14" ht="20.100000000000001" customHeight="1" x14ac:dyDescent="0.2">
      <c r="A7" s="112" t="s">
        <v>136</v>
      </c>
      <c r="B7" s="79">
        <f>ROUND(MAX($B$4*0.3, 0.24*B5,20)*365,2)</f>
        <v>32993.449999999997</v>
      </c>
      <c r="C7" s="79">
        <f t="shared" ref="C7:N7" si="0">ROUND(MAX($B$4*0.3, 0.24*C5,20)*365,2)</f>
        <v>32993.449999999997</v>
      </c>
      <c r="D7" s="79">
        <f t="shared" si="0"/>
        <v>32993.449999999997</v>
      </c>
      <c r="E7" s="79">
        <f t="shared" si="0"/>
        <v>32993.449999999997</v>
      </c>
      <c r="F7" s="79">
        <f t="shared" si="0"/>
        <v>32993.449999999997</v>
      </c>
      <c r="G7" s="79">
        <f t="shared" si="0"/>
        <v>32993.449999999997</v>
      </c>
      <c r="H7" s="79">
        <f t="shared" si="0"/>
        <v>32993.449999999997</v>
      </c>
      <c r="I7" s="79">
        <f t="shared" si="0"/>
        <v>32993.449999999997</v>
      </c>
      <c r="J7" s="79">
        <f t="shared" si="0"/>
        <v>32993.449999999997</v>
      </c>
      <c r="K7" s="79">
        <f t="shared" si="0"/>
        <v>32993.449999999997</v>
      </c>
      <c r="L7" s="79">
        <f t="shared" si="0"/>
        <v>32993.449999999997</v>
      </c>
      <c r="M7" s="79">
        <f t="shared" si="0"/>
        <v>32993.449999999997</v>
      </c>
      <c r="N7" s="79">
        <f t="shared" si="0"/>
        <v>32993.449999999997</v>
      </c>
    </row>
    <row r="8" spans="1:14" ht="20.100000000000001" customHeight="1" x14ac:dyDescent="0.2">
      <c r="A8" s="112" t="s">
        <v>137</v>
      </c>
      <c r="B8" s="79">
        <f>ROUND(MAX($B$4*0.3,0.24*B6,20)*365,2)</f>
        <v>32993.449999999997</v>
      </c>
      <c r="C8" s="79">
        <f t="shared" ref="C8:M8" si="1">ROUND(MAX($B$4*0.3,0.24*C6,20)*365,2)</f>
        <v>32993.449999999997</v>
      </c>
      <c r="D8" s="79">
        <f t="shared" si="1"/>
        <v>32993.449999999997</v>
      </c>
      <c r="E8" s="79">
        <f t="shared" si="1"/>
        <v>32993.449999999997</v>
      </c>
      <c r="F8" s="79">
        <f t="shared" si="1"/>
        <v>32993.449999999997</v>
      </c>
      <c r="G8" s="79">
        <f t="shared" si="1"/>
        <v>32993.449999999997</v>
      </c>
      <c r="H8" s="79">
        <f t="shared" si="1"/>
        <v>32993.449999999997</v>
      </c>
      <c r="I8" s="79">
        <f t="shared" si="1"/>
        <v>32993.449999999997</v>
      </c>
      <c r="J8" s="79">
        <f t="shared" si="1"/>
        <v>32993.449999999997</v>
      </c>
      <c r="K8" s="79">
        <f t="shared" si="1"/>
        <v>32993.449999999997</v>
      </c>
      <c r="L8" s="79">
        <f t="shared" si="1"/>
        <v>32993.449999999997</v>
      </c>
      <c r="M8" s="79">
        <f t="shared" si="1"/>
        <v>32993.449999999997</v>
      </c>
      <c r="N8" s="79">
        <f>ROUND(MAX($B$4*0.3,0.24*N6,20)*365,2)</f>
        <v>32993.449999999997</v>
      </c>
    </row>
    <row r="9" spans="1:14" ht="20.100000000000001" customHeight="1" x14ac:dyDescent="0.2">
      <c r="A9" s="112" t="s">
        <v>138</v>
      </c>
      <c r="B9" s="117">
        <f>ROUND(MAX(B4*0.5, 20)*365,2)</f>
        <v>54989.08</v>
      </c>
      <c r="C9" s="117">
        <f t="shared" ref="C9:N9" si="2">ROUND(MAX(C4*0.5, 20)*365,2)</f>
        <v>49701.84</v>
      </c>
      <c r="D9" s="117">
        <f t="shared" si="2"/>
        <v>52107.62</v>
      </c>
      <c r="E9" s="117">
        <f t="shared" si="2"/>
        <v>44487.78</v>
      </c>
      <c r="F9" s="117">
        <f t="shared" si="2"/>
        <v>54517.07</v>
      </c>
      <c r="G9" s="117">
        <f t="shared" si="2"/>
        <v>54517.07</v>
      </c>
      <c r="H9" s="117">
        <f t="shared" si="2"/>
        <v>47259.47</v>
      </c>
      <c r="I9" s="117">
        <f t="shared" si="2"/>
        <v>45872.71</v>
      </c>
      <c r="J9" s="117">
        <f t="shared" si="2"/>
        <v>49710.99</v>
      </c>
      <c r="K9" s="117">
        <f t="shared" si="2"/>
        <v>49710.99</v>
      </c>
      <c r="L9" s="117">
        <f t="shared" si="2"/>
        <v>58596.84</v>
      </c>
      <c r="M9" s="117">
        <f t="shared" si="2"/>
        <v>43101.03</v>
      </c>
      <c r="N9" s="117">
        <f t="shared" si="2"/>
        <v>52102.14</v>
      </c>
    </row>
    <row r="10" spans="1:14" ht="20.100000000000001" customHeight="1" x14ac:dyDescent="0.2"/>
    <row r="11" spans="1:14" ht="20.100000000000001" customHeight="1" x14ac:dyDescent="0.2"/>
    <row r="12" spans="1:14" ht="20.100000000000001" customHeight="1" x14ac:dyDescent="0.2"/>
    <row r="13" spans="1:14" ht="20.100000000000001" customHeight="1" x14ac:dyDescent="0.25">
      <c r="A13" s="258" t="s">
        <v>215</v>
      </c>
      <c r="B13" s="258"/>
      <c r="C13" s="258"/>
      <c r="D13" s="258"/>
      <c r="E13" s="258"/>
      <c r="F13" s="258"/>
      <c r="G13" s="258"/>
      <c r="H13" s="258"/>
      <c r="I13" s="258"/>
      <c r="J13" s="116"/>
    </row>
    <row r="14" spans="1:14" ht="20.100000000000001" customHeight="1" x14ac:dyDescent="0.2"/>
    <row r="15" spans="1:14" ht="20.100000000000001" customHeight="1" x14ac:dyDescent="0.2">
      <c r="A15" s="115" t="s">
        <v>12</v>
      </c>
      <c r="B15" s="83" t="s">
        <v>13</v>
      </c>
      <c r="C15" s="83" t="s">
        <v>17</v>
      </c>
      <c r="D15" s="83" t="s">
        <v>16</v>
      </c>
      <c r="E15" s="83" t="s">
        <v>14</v>
      </c>
      <c r="F15" s="83" t="s">
        <v>8</v>
      </c>
      <c r="G15" s="83" t="s">
        <v>44</v>
      </c>
      <c r="H15" s="83" t="s">
        <v>45</v>
      </c>
      <c r="I15" s="83" t="s">
        <v>7</v>
      </c>
      <c r="J15" s="83" t="s">
        <v>53</v>
      </c>
      <c r="K15" s="83" t="s">
        <v>67</v>
      </c>
      <c r="L15" s="56" t="s">
        <v>18</v>
      </c>
      <c r="M15" s="56" t="s">
        <v>3</v>
      </c>
      <c r="N15" s="56" t="s">
        <v>76</v>
      </c>
    </row>
    <row r="16" spans="1:14" ht="20.100000000000001" customHeight="1" x14ac:dyDescent="0.2">
      <c r="A16" s="257" t="s">
        <v>49</v>
      </c>
      <c r="B16" s="6">
        <f>B4</f>
        <v>301.31000321130381</v>
      </c>
      <c r="C16" s="6">
        <f t="shared" ref="C16:N16" si="3">C4</f>
        <v>272.33885142367802</v>
      </c>
      <c r="D16" s="6">
        <f t="shared" si="3"/>
        <v>285.5212267180475</v>
      </c>
      <c r="E16" s="6">
        <f t="shared" si="3"/>
        <v>243.76868443588094</v>
      </c>
      <c r="F16" s="6">
        <f t="shared" si="3"/>
        <v>298.72365125240844</v>
      </c>
      <c r="G16" s="6">
        <f t="shared" si="3"/>
        <v>298.72365125240844</v>
      </c>
      <c r="H16" s="6">
        <f t="shared" si="3"/>
        <v>258.95598372939412</v>
      </c>
      <c r="I16" s="6">
        <f t="shared" si="3"/>
        <v>251.35732177263969</v>
      </c>
      <c r="J16" s="6">
        <f t="shared" si="3"/>
        <v>272.3889745236566</v>
      </c>
      <c r="K16" s="6">
        <f t="shared" si="3"/>
        <v>272.3889745236566</v>
      </c>
      <c r="L16" s="6">
        <f t="shared" si="3"/>
        <v>321.07855384286023</v>
      </c>
      <c r="M16" s="6">
        <f t="shared" si="3"/>
        <v>236.17002247912652</v>
      </c>
      <c r="N16" s="6">
        <f t="shared" si="3"/>
        <v>285.49115285806039</v>
      </c>
    </row>
    <row r="17" spans="1:14" ht="20.100000000000001" customHeight="1" x14ac:dyDescent="0.2">
      <c r="A17" s="257" t="s">
        <v>214</v>
      </c>
      <c r="B17" s="6">
        <f>B16*(1-'1st IA Parameters'!$B$5)</f>
        <v>281.48380500000002</v>
      </c>
      <c r="C17" s="6">
        <f>C16*(1-'1st IA Parameters'!$B$5)</f>
        <v>254.41895500000001</v>
      </c>
      <c r="D17" s="6">
        <f>D16*(1-'1st IA Parameters'!$B$5)</f>
        <v>266.73392999999999</v>
      </c>
      <c r="E17" s="6">
        <f>E16*(1-'1st IA Parameters'!$B$5)</f>
        <v>227.72870499999999</v>
      </c>
      <c r="F17" s="6">
        <f>F16*(1-'1st IA Parameters'!$B$5)</f>
        <v>279.067635</v>
      </c>
      <c r="G17" s="6">
        <f>G16*(1-'1st IA Parameters'!$B$5)</f>
        <v>279.067635</v>
      </c>
      <c r="H17" s="6">
        <f>H16*(1-'1st IA Parameters'!$B$5)</f>
        <v>241.91667999999999</v>
      </c>
      <c r="I17" s="6">
        <f>I16*(1-'1st IA Parameters'!$B$5)</f>
        <v>234.81801000000002</v>
      </c>
      <c r="J17" s="6">
        <f>J16*(1-'1st IA Parameters'!$B$5)</f>
        <v>254.46578</v>
      </c>
      <c r="K17" s="6">
        <f>K16*(1-'1st IA Parameters'!$B$5)</f>
        <v>254.46578</v>
      </c>
      <c r="L17" s="6">
        <f>L16*(1-'1st IA Parameters'!$B$5)</f>
        <v>299.95158500000002</v>
      </c>
      <c r="M17" s="6">
        <f>M16*(1-'1st IA Parameters'!$B$5)</f>
        <v>220.63003499999999</v>
      </c>
      <c r="N17" s="6">
        <f>N16*(1-'1st IA Parameters'!$B$5)</f>
        <v>266.70583500000004</v>
      </c>
    </row>
    <row r="18" spans="1:14" ht="20.100000000000001" customHeight="1" x14ac:dyDescent="0.2">
      <c r="A18" s="257" t="s">
        <v>211</v>
      </c>
      <c r="B18" s="6">
        <v>22.51</v>
      </c>
      <c r="C18" s="6">
        <v>22.51</v>
      </c>
      <c r="D18" s="6">
        <v>80.040000000000006</v>
      </c>
      <c r="E18" s="6">
        <v>22.51</v>
      </c>
      <c r="F18" s="6">
        <v>80.040000000000006</v>
      </c>
      <c r="G18" s="6">
        <v>80.040000000000006</v>
      </c>
      <c r="H18" s="6">
        <v>35.68</v>
      </c>
      <c r="I18" s="6">
        <v>22.51</v>
      </c>
      <c r="J18" s="6">
        <v>22.51</v>
      </c>
      <c r="K18" s="6">
        <v>22.51</v>
      </c>
      <c r="L18" s="6">
        <v>25.36</v>
      </c>
      <c r="M18" s="6">
        <v>22.51</v>
      </c>
      <c r="N18" s="6">
        <v>22.51</v>
      </c>
    </row>
    <row r="19" spans="1:14" ht="20.100000000000001" customHeight="1" x14ac:dyDescent="0.2">
      <c r="A19" s="257" t="s">
        <v>212</v>
      </c>
      <c r="B19" s="6">
        <v>22.51</v>
      </c>
      <c r="C19" s="6">
        <v>22.51</v>
      </c>
      <c r="D19" s="6">
        <v>80.040000000000006</v>
      </c>
      <c r="E19" s="6">
        <v>22.51</v>
      </c>
      <c r="F19" s="6">
        <v>80.040000000000006</v>
      </c>
      <c r="G19" s="6">
        <v>80.040000000000006</v>
      </c>
      <c r="H19" s="6">
        <v>35.68</v>
      </c>
      <c r="I19" s="6">
        <v>22.51</v>
      </c>
      <c r="J19" s="6">
        <v>22.51</v>
      </c>
      <c r="K19" s="6">
        <v>22.51</v>
      </c>
      <c r="L19" s="6">
        <v>25.36</v>
      </c>
      <c r="M19" s="6">
        <v>22.51</v>
      </c>
      <c r="N19" s="6">
        <v>22.51</v>
      </c>
    </row>
    <row r="20" spans="1:14" ht="20.100000000000001" customHeight="1" x14ac:dyDescent="0.2">
      <c r="A20" s="257" t="s">
        <v>213</v>
      </c>
      <c r="B20" s="6">
        <v>27.15</v>
      </c>
      <c r="C20" s="6">
        <v>27.15</v>
      </c>
      <c r="D20" s="6">
        <v>84.68</v>
      </c>
      <c r="E20" s="6">
        <v>27.15</v>
      </c>
      <c r="F20" s="6">
        <v>84.68</v>
      </c>
      <c r="G20" s="6">
        <v>84.68</v>
      </c>
      <c r="H20" s="6">
        <v>84.68</v>
      </c>
      <c r="I20" s="6">
        <v>27.15</v>
      </c>
      <c r="J20" s="6">
        <v>27.15</v>
      </c>
      <c r="K20" s="6">
        <v>27.15</v>
      </c>
      <c r="L20" s="6">
        <v>30</v>
      </c>
      <c r="M20" s="6">
        <v>27.15</v>
      </c>
      <c r="N20" s="6">
        <v>27.15</v>
      </c>
    </row>
    <row r="21" spans="1:14" ht="20.100000000000001" customHeight="1" x14ac:dyDescent="0.2">
      <c r="A21" s="257" t="s">
        <v>136</v>
      </c>
      <c r="B21" s="79">
        <f>ROUND(MAX(20,0.2*B18)*365,2)</f>
        <v>7300</v>
      </c>
      <c r="C21" s="79">
        <f t="shared" ref="C21:N21" si="4">ROUND(MAX(20,0.2*C18)*365,2)</f>
        <v>7300</v>
      </c>
      <c r="D21" s="79">
        <f t="shared" si="4"/>
        <v>7300</v>
      </c>
      <c r="E21" s="79">
        <f t="shared" si="4"/>
        <v>7300</v>
      </c>
      <c r="F21" s="79">
        <f t="shared" si="4"/>
        <v>7300</v>
      </c>
      <c r="G21" s="79">
        <f t="shared" si="4"/>
        <v>7300</v>
      </c>
      <c r="H21" s="79">
        <f t="shared" si="4"/>
        <v>7300</v>
      </c>
      <c r="I21" s="79">
        <f t="shared" si="4"/>
        <v>7300</v>
      </c>
      <c r="J21" s="79">
        <f t="shared" si="4"/>
        <v>7300</v>
      </c>
      <c r="K21" s="79">
        <f t="shared" si="4"/>
        <v>7300</v>
      </c>
      <c r="L21" s="79">
        <f t="shared" si="4"/>
        <v>7300</v>
      </c>
      <c r="M21" s="79">
        <f t="shared" si="4"/>
        <v>7300</v>
      </c>
      <c r="N21" s="79">
        <f t="shared" si="4"/>
        <v>7300</v>
      </c>
    </row>
    <row r="22" spans="1:14" ht="20.100000000000001" customHeight="1" x14ac:dyDescent="0.2">
      <c r="A22" s="257" t="s">
        <v>137</v>
      </c>
      <c r="B22" s="79">
        <f>ROUND(MAX(20,0.2*B19)*365,2)</f>
        <v>7300</v>
      </c>
      <c r="C22" s="79">
        <f t="shared" ref="C22:N22" si="5">ROUND(MAX(20,0.2*C19)*365,2)</f>
        <v>7300</v>
      </c>
      <c r="D22" s="79">
        <f t="shared" si="5"/>
        <v>7300</v>
      </c>
      <c r="E22" s="79">
        <f t="shared" si="5"/>
        <v>7300</v>
      </c>
      <c r="F22" s="79">
        <f t="shared" si="5"/>
        <v>7300</v>
      </c>
      <c r="G22" s="79">
        <f t="shared" si="5"/>
        <v>7300</v>
      </c>
      <c r="H22" s="79">
        <f t="shared" si="5"/>
        <v>7300</v>
      </c>
      <c r="I22" s="79">
        <f t="shared" si="5"/>
        <v>7300</v>
      </c>
      <c r="J22" s="79">
        <f t="shared" si="5"/>
        <v>7300</v>
      </c>
      <c r="K22" s="79">
        <f t="shared" si="5"/>
        <v>7300</v>
      </c>
      <c r="L22" s="79">
        <f t="shared" si="5"/>
        <v>7300</v>
      </c>
      <c r="M22" s="79">
        <f t="shared" si="5"/>
        <v>7300</v>
      </c>
      <c r="N22" s="79">
        <f t="shared" si="5"/>
        <v>7300</v>
      </c>
    </row>
    <row r="23" spans="1:14" ht="20.100000000000001" customHeight="1" x14ac:dyDescent="0.2">
      <c r="A23" s="257" t="s">
        <v>138</v>
      </c>
      <c r="B23" s="117">
        <f>ROUND(MAX(20,0.2*B20,MIN(0.5*B16,1.5*B17-B20))*365,2)</f>
        <v>54989.08</v>
      </c>
      <c r="C23" s="117">
        <f t="shared" ref="C23:N23" si="6">ROUND(MAX(20,0.2*C20,MIN(0.5*C16,1.5*C17-C20))*365,2)</f>
        <v>49701.84</v>
      </c>
      <c r="D23" s="117">
        <f t="shared" si="6"/>
        <v>52107.62</v>
      </c>
      <c r="E23" s="117">
        <f t="shared" si="6"/>
        <v>44487.78</v>
      </c>
      <c r="F23" s="117">
        <f t="shared" si="6"/>
        <v>54517.07</v>
      </c>
      <c r="G23" s="117">
        <f t="shared" si="6"/>
        <v>54517.07</v>
      </c>
      <c r="H23" s="117">
        <f t="shared" si="6"/>
        <v>47259.47</v>
      </c>
      <c r="I23" s="117">
        <f t="shared" si="6"/>
        <v>45872.71</v>
      </c>
      <c r="J23" s="117">
        <f t="shared" si="6"/>
        <v>49710.99</v>
      </c>
      <c r="K23" s="117">
        <f t="shared" si="6"/>
        <v>49710.99</v>
      </c>
      <c r="L23" s="117">
        <f t="shared" si="6"/>
        <v>58596.84</v>
      </c>
      <c r="M23" s="117">
        <f t="shared" si="6"/>
        <v>43101.03</v>
      </c>
      <c r="N23" s="117">
        <f t="shared" si="6"/>
        <v>52102.14</v>
      </c>
    </row>
    <row r="24" spans="1:14" x14ac:dyDescent="0.2">
      <c r="B24" t="s">
        <v>12</v>
      </c>
    </row>
    <row r="25" spans="1:14" x14ac:dyDescent="0.2">
      <c r="B25" s="259" t="s">
        <v>12</v>
      </c>
    </row>
    <row r="26" spans="1:14" x14ac:dyDescent="0.2">
      <c r="B26" s="259" t="s">
        <v>12</v>
      </c>
      <c r="C26" s="259" t="s">
        <v>12</v>
      </c>
    </row>
    <row r="27" spans="1:14" x14ac:dyDescent="0.2">
      <c r="B27" s="259" t="s">
        <v>12</v>
      </c>
    </row>
  </sheetData>
  <pageMargins left="0.45" right="0.45" top="0.5" bottom="0.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heetViews>
  <sheetFormatPr defaultRowHeight="12.75" x14ac:dyDescent="0.2"/>
  <cols>
    <col min="1" max="9" width="16.7109375" customWidth="1"/>
  </cols>
  <sheetData>
    <row r="1" spans="1:9" ht="15.75" x14ac:dyDescent="0.25">
      <c r="A1" s="256" t="s">
        <v>209</v>
      </c>
      <c r="B1" s="256"/>
      <c r="C1" s="256"/>
      <c r="D1" s="256"/>
      <c r="E1" s="256"/>
      <c r="F1" s="256"/>
      <c r="G1" s="256"/>
      <c r="H1" s="256"/>
      <c r="I1" s="256"/>
    </row>
    <row r="2" spans="1:9" ht="16.5" thickBot="1" x14ac:dyDescent="0.3">
      <c r="A2" s="194" t="s">
        <v>172</v>
      </c>
      <c r="B2" s="195"/>
      <c r="C2" s="196"/>
      <c r="D2" s="196"/>
      <c r="E2" s="196"/>
      <c r="F2" s="196"/>
      <c r="G2" s="196"/>
      <c r="H2" s="196"/>
      <c r="I2" s="196"/>
    </row>
    <row r="3" spans="1:9" ht="30" x14ac:dyDescent="0.25">
      <c r="A3" s="197" t="s">
        <v>173</v>
      </c>
      <c r="B3" s="198" t="s">
        <v>174</v>
      </c>
      <c r="C3" s="198" t="s">
        <v>175</v>
      </c>
      <c r="D3" s="199" t="s">
        <v>176</v>
      </c>
      <c r="E3" s="200"/>
      <c r="F3" s="201" t="s">
        <v>12</v>
      </c>
      <c r="G3" s="202" t="s">
        <v>12</v>
      </c>
      <c r="H3" s="203" t="s">
        <v>12</v>
      </c>
      <c r="I3" s="151"/>
    </row>
    <row r="4" spans="1:9" ht="15" x14ac:dyDescent="0.25">
      <c r="A4" s="204" t="s">
        <v>2</v>
      </c>
      <c r="B4" s="205">
        <v>0</v>
      </c>
      <c r="C4" s="205">
        <v>0</v>
      </c>
      <c r="D4" s="206">
        <v>0</v>
      </c>
      <c r="E4" s="207"/>
      <c r="F4" s="201"/>
      <c r="G4" s="202"/>
      <c r="H4" s="203"/>
      <c r="I4" s="151"/>
    </row>
    <row r="5" spans="1:9" ht="15" x14ac:dyDescent="0.2">
      <c r="A5" s="208" t="s">
        <v>55</v>
      </c>
      <c r="B5" s="205">
        <v>0</v>
      </c>
      <c r="C5" s="205">
        <v>0</v>
      </c>
      <c r="D5" s="206">
        <v>0</v>
      </c>
      <c r="E5" s="207"/>
      <c r="F5" s="209" t="s">
        <v>12</v>
      </c>
      <c r="G5" s="155"/>
      <c r="H5" s="209"/>
      <c r="I5" s="151"/>
    </row>
    <row r="6" spans="1:9" ht="15" x14ac:dyDescent="0.2">
      <c r="A6" s="208" t="s">
        <v>0</v>
      </c>
      <c r="B6" s="205">
        <v>0</v>
      </c>
      <c r="C6" s="205">
        <v>0</v>
      </c>
      <c r="D6" s="206">
        <v>0</v>
      </c>
      <c r="E6" s="207"/>
      <c r="F6" s="209" t="s">
        <v>12</v>
      </c>
      <c r="G6" s="155"/>
      <c r="H6" s="209"/>
      <c r="I6" s="151"/>
    </row>
    <row r="7" spans="1:9" ht="15" x14ac:dyDescent="0.2">
      <c r="A7" s="208" t="s">
        <v>53</v>
      </c>
      <c r="B7" s="205">
        <v>0</v>
      </c>
      <c r="C7" s="205">
        <v>0</v>
      </c>
      <c r="D7" s="206">
        <v>0</v>
      </c>
      <c r="E7" s="207"/>
      <c r="F7" s="209"/>
      <c r="G7" s="155"/>
      <c r="H7" s="209"/>
      <c r="I7" s="151"/>
    </row>
    <row r="8" spans="1:9" ht="15" x14ac:dyDescent="0.2">
      <c r="A8" s="208" t="s">
        <v>141</v>
      </c>
      <c r="B8" s="205">
        <v>0</v>
      </c>
      <c r="C8" s="205">
        <v>0</v>
      </c>
      <c r="D8" s="206">
        <v>0</v>
      </c>
      <c r="E8" s="207"/>
      <c r="F8" s="209"/>
      <c r="G8" s="155"/>
      <c r="H8" s="209"/>
      <c r="I8" s="151"/>
    </row>
    <row r="9" spans="1:9" ht="15" x14ac:dyDescent="0.2">
      <c r="A9" s="208" t="s">
        <v>3</v>
      </c>
      <c r="B9" s="205">
        <v>0</v>
      </c>
      <c r="C9" s="205">
        <v>0</v>
      </c>
      <c r="D9" s="206">
        <v>0</v>
      </c>
      <c r="E9" s="207"/>
      <c r="F9" s="209" t="s">
        <v>12</v>
      </c>
      <c r="G9" s="155"/>
      <c r="H9" s="209"/>
      <c r="I9" s="151"/>
    </row>
    <row r="10" spans="1:9" ht="15" x14ac:dyDescent="0.2">
      <c r="A10" s="208" t="s">
        <v>18</v>
      </c>
      <c r="B10" s="205">
        <v>0</v>
      </c>
      <c r="C10" s="205">
        <v>0</v>
      </c>
      <c r="D10" s="206">
        <v>0</v>
      </c>
      <c r="E10" s="207"/>
      <c r="F10" s="209"/>
      <c r="G10" s="209"/>
      <c r="H10" s="209"/>
      <c r="I10" s="151"/>
    </row>
    <row r="11" spans="1:9" ht="15" x14ac:dyDescent="0.2">
      <c r="A11" s="208" t="s">
        <v>19</v>
      </c>
      <c r="B11" s="205">
        <v>0</v>
      </c>
      <c r="C11" s="205">
        <v>0</v>
      </c>
      <c r="D11" s="206">
        <v>0</v>
      </c>
      <c r="E11" s="207"/>
      <c r="F11" s="209" t="s">
        <v>12</v>
      </c>
      <c r="G11" s="155"/>
      <c r="H11" s="209"/>
      <c r="I11" s="151"/>
    </row>
    <row r="12" spans="1:9" ht="15" x14ac:dyDescent="0.2">
      <c r="A12" s="208" t="s">
        <v>61</v>
      </c>
      <c r="B12" s="205">
        <v>0</v>
      </c>
      <c r="C12" s="205">
        <v>0</v>
      </c>
      <c r="D12" s="206">
        <v>0</v>
      </c>
      <c r="E12" s="207"/>
      <c r="F12" s="209" t="s">
        <v>12</v>
      </c>
      <c r="G12" s="155"/>
      <c r="H12" s="209"/>
      <c r="I12" s="151"/>
    </row>
    <row r="13" spans="1:9" ht="15" x14ac:dyDescent="0.2">
      <c r="A13" s="208" t="s">
        <v>4</v>
      </c>
      <c r="B13" s="205">
        <v>0</v>
      </c>
      <c r="C13" s="205">
        <v>0</v>
      </c>
      <c r="D13" s="206">
        <v>0</v>
      </c>
      <c r="E13" s="207"/>
      <c r="F13" s="209" t="s">
        <v>12</v>
      </c>
      <c r="G13" s="155"/>
      <c r="H13" s="209"/>
      <c r="I13" s="151"/>
    </row>
    <row r="14" spans="1:9" ht="15" x14ac:dyDescent="0.2">
      <c r="A14" s="208" t="s">
        <v>20</v>
      </c>
      <c r="B14" s="205">
        <v>0</v>
      </c>
      <c r="C14" s="205">
        <v>0</v>
      </c>
      <c r="D14" s="206">
        <v>0</v>
      </c>
      <c r="E14" s="207"/>
      <c r="F14" s="209" t="s">
        <v>12</v>
      </c>
      <c r="G14" s="155"/>
      <c r="H14" s="209"/>
      <c r="I14" s="151"/>
    </row>
    <row r="15" spans="1:9" ht="15" x14ac:dyDescent="0.2">
      <c r="A15" s="208" t="s">
        <v>1</v>
      </c>
      <c r="B15" s="205">
        <v>0</v>
      </c>
      <c r="C15" s="205">
        <v>0</v>
      </c>
      <c r="D15" s="206">
        <v>0</v>
      </c>
      <c r="E15" s="207"/>
      <c r="F15" s="209" t="s">
        <v>12</v>
      </c>
      <c r="G15" s="155"/>
      <c r="H15" s="209"/>
      <c r="I15" s="151"/>
    </row>
    <row r="16" spans="1:9" ht="15" x14ac:dyDescent="0.2">
      <c r="A16" s="208" t="s">
        <v>23</v>
      </c>
      <c r="B16" s="205">
        <v>0</v>
      </c>
      <c r="C16" s="205">
        <v>0</v>
      </c>
      <c r="D16" s="206">
        <v>0</v>
      </c>
      <c r="E16" s="207"/>
      <c r="F16" s="209" t="s">
        <v>12</v>
      </c>
      <c r="G16" s="155"/>
      <c r="H16" s="209"/>
      <c r="I16" s="151"/>
    </row>
    <row r="17" spans="1:9" ht="15" x14ac:dyDescent="0.2">
      <c r="A17" s="208" t="s">
        <v>66</v>
      </c>
      <c r="B17" s="205">
        <v>0</v>
      </c>
      <c r="C17" s="205">
        <v>0</v>
      </c>
      <c r="D17" s="206">
        <v>0</v>
      </c>
      <c r="E17" s="207"/>
      <c r="F17" s="209"/>
      <c r="G17" s="155"/>
      <c r="H17" s="209"/>
      <c r="I17" s="151"/>
    </row>
    <row r="18" spans="1:9" ht="15" x14ac:dyDescent="0.2">
      <c r="A18" s="208" t="s">
        <v>5</v>
      </c>
      <c r="B18" s="205">
        <v>0</v>
      </c>
      <c r="C18" s="205">
        <v>0</v>
      </c>
      <c r="D18" s="206">
        <v>0</v>
      </c>
      <c r="E18" s="207"/>
      <c r="F18" s="209" t="s">
        <v>12</v>
      </c>
      <c r="G18" s="155"/>
      <c r="H18" s="209"/>
      <c r="I18" s="151"/>
    </row>
    <row r="19" spans="1:9" ht="15" x14ac:dyDescent="0.2">
      <c r="A19" s="208" t="s">
        <v>21</v>
      </c>
      <c r="B19" s="205">
        <v>0</v>
      </c>
      <c r="C19" s="205">
        <v>0</v>
      </c>
      <c r="D19" s="206">
        <v>0</v>
      </c>
      <c r="E19" s="207"/>
      <c r="F19" s="209"/>
      <c r="G19" s="155"/>
      <c r="H19" s="209"/>
      <c r="I19" s="151"/>
    </row>
    <row r="20" spans="1:9" ht="15" x14ac:dyDescent="0.2">
      <c r="A20" s="208" t="s">
        <v>6</v>
      </c>
      <c r="B20" s="205">
        <v>0</v>
      </c>
      <c r="C20" s="205">
        <v>0</v>
      </c>
      <c r="D20" s="206">
        <v>0</v>
      </c>
      <c r="E20" s="207"/>
      <c r="F20" s="209"/>
      <c r="G20" s="155"/>
      <c r="H20" s="209"/>
      <c r="I20" s="151"/>
    </row>
    <row r="21" spans="1:9" ht="15" x14ac:dyDescent="0.2">
      <c r="A21" s="208" t="s">
        <v>62</v>
      </c>
      <c r="B21" s="205">
        <v>0</v>
      </c>
      <c r="C21" s="205">
        <v>0</v>
      </c>
      <c r="D21" s="206">
        <v>0</v>
      </c>
      <c r="E21" s="207"/>
      <c r="F21" s="209"/>
      <c r="G21" s="155"/>
      <c r="H21" s="209"/>
      <c r="I21" s="151"/>
    </row>
    <row r="22" spans="1:9" ht="15" x14ac:dyDescent="0.2">
      <c r="A22" s="208" t="s">
        <v>7</v>
      </c>
      <c r="B22" s="205">
        <v>0</v>
      </c>
      <c r="C22" s="205">
        <v>0</v>
      </c>
      <c r="D22" s="206">
        <v>0</v>
      </c>
      <c r="E22" s="207"/>
      <c r="F22" s="209" t="s">
        <v>12</v>
      </c>
      <c r="G22" s="155"/>
      <c r="H22" s="209"/>
      <c r="I22" s="151"/>
    </row>
    <row r="23" spans="1:9" ht="15" x14ac:dyDescent="0.2">
      <c r="A23" s="208" t="s">
        <v>76</v>
      </c>
      <c r="B23" s="205">
        <v>0</v>
      </c>
      <c r="C23" s="205">
        <v>0</v>
      </c>
      <c r="D23" s="206">
        <v>0</v>
      </c>
      <c r="E23" s="207"/>
      <c r="F23" s="209" t="s">
        <v>12</v>
      </c>
      <c r="G23" s="155"/>
      <c r="H23" s="209"/>
      <c r="I23" s="151"/>
    </row>
    <row r="24" spans="1:9" ht="15" x14ac:dyDescent="0.2">
      <c r="A24" s="208" t="s">
        <v>8</v>
      </c>
      <c r="B24" s="205">
        <v>0</v>
      </c>
      <c r="C24" s="205">
        <v>0</v>
      </c>
      <c r="D24" s="206">
        <v>0</v>
      </c>
      <c r="E24" s="207"/>
      <c r="F24" s="209" t="s">
        <v>12</v>
      </c>
      <c r="G24" s="155"/>
      <c r="H24" s="209"/>
      <c r="I24" s="151"/>
    </row>
    <row r="25" spans="1:9" ht="15" x14ac:dyDescent="0.2">
      <c r="A25" s="208" t="s">
        <v>64</v>
      </c>
      <c r="B25" s="205">
        <v>0</v>
      </c>
      <c r="C25" s="205">
        <v>0</v>
      </c>
      <c r="D25" s="206">
        <v>0</v>
      </c>
      <c r="E25" s="207"/>
      <c r="F25" s="209" t="s">
        <v>12</v>
      </c>
      <c r="G25" s="155"/>
      <c r="H25" s="209"/>
      <c r="I25" s="151"/>
    </row>
    <row r="26" spans="1:9" ht="15" x14ac:dyDescent="0.2">
      <c r="A26" s="210" t="s">
        <v>40</v>
      </c>
      <c r="B26" s="205">
        <v>0</v>
      </c>
      <c r="C26" s="205">
        <v>0</v>
      </c>
      <c r="D26" s="206">
        <v>0</v>
      </c>
      <c r="E26" s="207"/>
      <c r="F26" s="209"/>
      <c r="G26" s="155"/>
      <c r="H26" s="209"/>
      <c r="I26" s="151"/>
    </row>
    <row r="27" spans="1:9" ht="15.75" thickBot="1" x14ac:dyDescent="0.3">
      <c r="A27" s="211" t="s">
        <v>177</v>
      </c>
      <c r="B27" s="212">
        <v>0</v>
      </c>
      <c r="C27" s="212">
        <v>0</v>
      </c>
      <c r="D27" s="213">
        <v>0</v>
      </c>
      <c r="E27" s="214"/>
      <c r="F27" s="209"/>
      <c r="G27" s="215" t="s">
        <v>12</v>
      </c>
      <c r="H27" s="209"/>
      <c r="I27" s="151"/>
    </row>
    <row r="28" spans="1:9" ht="15.75" thickBot="1" x14ac:dyDescent="0.3">
      <c r="A28" s="201"/>
      <c r="B28" s="201"/>
      <c r="C28" s="201"/>
      <c r="D28" s="215"/>
      <c r="E28" s="215"/>
      <c r="F28" s="216"/>
      <c r="G28" s="151"/>
      <c r="H28" s="151"/>
      <c r="I28" s="151"/>
    </row>
    <row r="29" spans="1:9" ht="45" x14ac:dyDescent="0.2">
      <c r="A29" s="217" t="s">
        <v>178</v>
      </c>
      <c r="B29" s="198" t="s">
        <v>174</v>
      </c>
      <c r="C29" s="198" t="s">
        <v>175</v>
      </c>
      <c r="D29" s="218" t="s">
        <v>176</v>
      </c>
      <c r="E29" s="219" t="s">
        <v>179</v>
      </c>
      <c r="F29" s="219" t="s">
        <v>180</v>
      </c>
      <c r="G29" s="219" t="s">
        <v>181</v>
      </c>
      <c r="H29" s="219" t="s">
        <v>182</v>
      </c>
      <c r="I29" s="220" t="s">
        <v>183</v>
      </c>
    </row>
    <row r="30" spans="1:9" ht="15" x14ac:dyDescent="0.25">
      <c r="A30" s="221" t="s">
        <v>13</v>
      </c>
      <c r="B30" s="222">
        <v>0</v>
      </c>
      <c r="C30" s="222">
        <v>0</v>
      </c>
      <c r="D30" s="222">
        <v>0</v>
      </c>
      <c r="E30" s="222">
        <v>0</v>
      </c>
      <c r="F30" s="222">
        <v>0</v>
      </c>
      <c r="G30" s="222">
        <v>0</v>
      </c>
      <c r="H30" s="222">
        <v>0</v>
      </c>
      <c r="I30" s="223">
        <v>0</v>
      </c>
    </row>
    <row r="31" spans="1:9" ht="15" x14ac:dyDescent="0.25">
      <c r="A31" s="221" t="s">
        <v>17</v>
      </c>
      <c r="B31" s="222">
        <v>0</v>
      </c>
      <c r="C31" s="222">
        <v>0</v>
      </c>
      <c r="D31" s="222">
        <v>0</v>
      </c>
      <c r="E31" s="222">
        <v>0</v>
      </c>
      <c r="F31" s="222">
        <v>0</v>
      </c>
      <c r="G31" s="222">
        <v>0</v>
      </c>
      <c r="H31" s="222">
        <v>0</v>
      </c>
      <c r="I31" s="223">
        <v>0</v>
      </c>
    </row>
    <row r="32" spans="1:9" ht="15" x14ac:dyDescent="0.25">
      <c r="A32" s="221" t="s">
        <v>16</v>
      </c>
      <c r="B32" s="222">
        <v>0</v>
      </c>
      <c r="C32" s="222">
        <v>0</v>
      </c>
      <c r="D32" s="222">
        <v>0</v>
      </c>
      <c r="E32" s="222">
        <v>0</v>
      </c>
      <c r="F32" s="222">
        <v>0</v>
      </c>
      <c r="G32" s="222">
        <v>0</v>
      </c>
      <c r="H32" s="222">
        <v>0</v>
      </c>
      <c r="I32" s="223">
        <v>0</v>
      </c>
    </row>
    <row r="33" spans="1:9" ht="15" x14ac:dyDescent="0.25">
      <c r="A33" s="221" t="s">
        <v>14</v>
      </c>
      <c r="B33" s="222">
        <v>0</v>
      </c>
      <c r="C33" s="222">
        <v>0</v>
      </c>
      <c r="D33" s="222">
        <v>0</v>
      </c>
      <c r="E33" s="222">
        <v>0</v>
      </c>
      <c r="F33" s="222">
        <v>0</v>
      </c>
      <c r="G33" s="222">
        <v>0</v>
      </c>
      <c r="H33" s="222">
        <v>0</v>
      </c>
      <c r="I33" s="223">
        <v>0</v>
      </c>
    </row>
    <row r="34" spans="1:9" ht="15" x14ac:dyDescent="0.25">
      <c r="A34" s="221" t="s">
        <v>8</v>
      </c>
      <c r="B34" s="222">
        <v>0</v>
      </c>
      <c r="C34" s="222">
        <v>0</v>
      </c>
      <c r="D34" s="222">
        <v>0</v>
      </c>
      <c r="E34" s="222">
        <v>0</v>
      </c>
      <c r="F34" s="222">
        <v>0</v>
      </c>
      <c r="G34" s="222">
        <v>0</v>
      </c>
      <c r="H34" s="222">
        <v>0</v>
      </c>
      <c r="I34" s="223">
        <v>0</v>
      </c>
    </row>
    <row r="35" spans="1:9" ht="15" x14ac:dyDescent="0.25">
      <c r="A35" s="221" t="s">
        <v>64</v>
      </c>
      <c r="B35" s="222">
        <v>0</v>
      </c>
      <c r="C35" s="222">
        <v>0</v>
      </c>
      <c r="D35" s="222">
        <v>0</v>
      </c>
      <c r="E35" s="222">
        <v>0</v>
      </c>
      <c r="F35" s="222">
        <v>0</v>
      </c>
      <c r="G35" s="222">
        <v>0</v>
      </c>
      <c r="H35" s="222">
        <v>0</v>
      </c>
      <c r="I35" s="223">
        <v>0</v>
      </c>
    </row>
    <row r="36" spans="1:9" ht="15" x14ac:dyDescent="0.25">
      <c r="A36" s="221" t="s">
        <v>23</v>
      </c>
      <c r="B36" s="222">
        <v>0</v>
      </c>
      <c r="C36" s="222">
        <v>0</v>
      </c>
      <c r="D36" s="222">
        <v>0</v>
      </c>
      <c r="E36" s="222">
        <v>0</v>
      </c>
      <c r="F36" s="222">
        <v>0</v>
      </c>
      <c r="G36" s="222">
        <v>0</v>
      </c>
      <c r="H36" s="222">
        <v>0</v>
      </c>
      <c r="I36" s="223">
        <v>0</v>
      </c>
    </row>
    <row r="37" spans="1:9" ht="15" x14ac:dyDescent="0.25">
      <c r="A37" s="221" t="s">
        <v>7</v>
      </c>
      <c r="B37" s="222">
        <v>0</v>
      </c>
      <c r="C37" s="222">
        <v>0</v>
      </c>
      <c r="D37" s="222">
        <v>0</v>
      </c>
      <c r="E37" s="222">
        <v>0</v>
      </c>
      <c r="F37" s="222">
        <v>0</v>
      </c>
      <c r="G37" s="222">
        <v>0</v>
      </c>
      <c r="H37" s="222">
        <v>0</v>
      </c>
      <c r="I37" s="223">
        <v>0</v>
      </c>
    </row>
    <row r="38" spans="1:9" ht="15" x14ac:dyDescent="0.25">
      <c r="A38" s="224" t="s">
        <v>53</v>
      </c>
      <c r="B38" s="225">
        <v>0</v>
      </c>
      <c r="C38" s="225">
        <v>0</v>
      </c>
      <c r="D38" s="225">
        <v>0</v>
      </c>
      <c r="E38" s="225">
        <v>0</v>
      </c>
      <c r="F38" s="225">
        <v>0</v>
      </c>
      <c r="G38" s="225">
        <v>0</v>
      </c>
      <c r="H38" s="222">
        <v>0</v>
      </c>
      <c r="I38" s="223">
        <v>0</v>
      </c>
    </row>
    <row r="39" spans="1:9" ht="15" x14ac:dyDescent="0.25">
      <c r="A39" s="224" t="s">
        <v>65</v>
      </c>
      <c r="B39" s="225">
        <v>0</v>
      </c>
      <c r="C39" s="225">
        <v>0</v>
      </c>
      <c r="D39" s="225">
        <v>0</v>
      </c>
      <c r="E39" s="225">
        <v>0</v>
      </c>
      <c r="F39" s="225">
        <v>0</v>
      </c>
      <c r="G39" s="225">
        <v>0</v>
      </c>
      <c r="H39" s="222">
        <v>0</v>
      </c>
      <c r="I39" s="223">
        <v>0</v>
      </c>
    </row>
    <row r="40" spans="1:9" ht="15" x14ac:dyDescent="0.25">
      <c r="A40" s="224" t="s">
        <v>18</v>
      </c>
      <c r="B40" s="225">
        <v>0</v>
      </c>
      <c r="C40" s="225">
        <v>0</v>
      </c>
      <c r="D40" s="225">
        <v>0</v>
      </c>
      <c r="E40" s="225">
        <v>0</v>
      </c>
      <c r="F40" s="225">
        <v>0</v>
      </c>
      <c r="G40" s="225">
        <v>0</v>
      </c>
      <c r="H40" s="222">
        <v>0</v>
      </c>
      <c r="I40" s="223">
        <v>0</v>
      </c>
    </row>
    <row r="41" spans="1:9" ht="15" x14ac:dyDescent="0.25">
      <c r="A41" s="224" t="s">
        <v>3</v>
      </c>
      <c r="B41" s="225">
        <v>0</v>
      </c>
      <c r="C41" s="225">
        <v>0</v>
      </c>
      <c r="D41" s="225">
        <v>0</v>
      </c>
      <c r="E41" s="225">
        <v>0</v>
      </c>
      <c r="F41" s="225">
        <v>0</v>
      </c>
      <c r="G41" s="225">
        <v>0</v>
      </c>
      <c r="H41" s="222">
        <v>0</v>
      </c>
      <c r="I41" s="223">
        <v>0</v>
      </c>
    </row>
    <row r="42" spans="1:9" ht="15.75" thickBot="1" x14ac:dyDescent="0.3">
      <c r="A42" s="226" t="s">
        <v>76</v>
      </c>
      <c r="B42" s="227">
        <v>0</v>
      </c>
      <c r="C42" s="227">
        <v>0</v>
      </c>
      <c r="D42" s="227">
        <v>0</v>
      </c>
      <c r="E42" s="227">
        <v>0</v>
      </c>
      <c r="F42" s="227">
        <v>0</v>
      </c>
      <c r="G42" s="227">
        <v>0</v>
      </c>
      <c r="H42" s="227">
        <v>0</v>
      </c>
      <c r="I42" s="228">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PJM Buy Bids-Sell Offers</vt:lpstr>
      <vt:lpstr>1st IA Configuration</vt:lpstr>
      <vt:lpstr>1st IA Parameters</vt:lpstr>
      <vt:lpstr>BRA Parameters</vt:lpstr>
      <vt:lpstr>Base Capacity Constraints</vt:lpstr>
      <vt:lpstr>Cap Import Limits</vt:lpstr>
      <vt:lpstr>Credit Rates</vt:lpstr>
      <vt:lpstr>Non-Viable DR</vt:lpstr>
      <vt:lpstr>'1st IA Configuration'!Print_Area</vt:lpstr>
      <vt:lpstr>'1st IA Parameters'!Print_Area</vt:lpstr>
      <vt:lpstr>'Base Capacity Constraints'!Print_Area</vt:lpstr>
      <vt:lpstr>'BRA Parameters'!Print_Area</vt:lpstr>
      <vt:lpstr>'Cap Import Limits'!Print_Area</vt:lpstr>
      <vt:lpstr>'Credit Rates'!Print_Area</vt:lpstr>
      <vt:lpstr>'PJM Buy Bids-Sell Offers'!Print_Area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User</dc:creator>
  <cp:lastModifiedBy>scheip</cp:lastModifiedBy>
  <cp:lastPrinted>2016-08-12T14:13:26Z</cp:lastPrinted>
  <dcterms:created xsi:type="dcterms:W3CDTF">2007-01-26T13:56:48Z</dcterms:created>
  <dcterms:modified xsi:type="dcterms:W3CDTF">2016-09-26T14:21:35Z</dcterms:modified>
</cp:coreProperties>
</file>