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45" windowWidth="14940" windowHeight="9150"/>
  </bookViews>
  <sheets>
    <sheet name="2019-2020 Parameters" sheetId="1" r:id="rId1"/>
    <sheet name="Net CONE" sheetId="12" r:id="rId2"/>
    <sheet name="Key Transmission Upgrades" sheetId="3" r:id="rId3"/>
    <sheet name="Base Capacity Constraints" sheetId="13" r:id="rId4"/>
    <sheet name="Cap Import Limits" sheetId="5" r:id="rId5"/>
    <sheet name="Credit Rate" sheetId="16" r:id="rId6"/>
  </sheets>
  <definedNames>
    <definedName name="_xlnm.Print_Area" localSheetId="0">'2019-2020 Parameters'!$A$1:$N$81</definedName>
    <definedName name="_xlnm.Print_Area" localSheetId="3">'Base Capacity Constraints'!$A$1:$N$18</definedName>
    <definedName name="_xlnm.Print_Area" localSheetId="4">'Cap Import Limits'!$A$1:$G$12</definedName>
    <definedName name="_xlnm.Print_Area" localSheetId="5">'Credit Rate'!$A$1:$N$7</definedName>
    <definedName name="_xlnm.Print_Area" localSheetId="2">'Key Transmission Upgrades'!$A$1:$C$32</definedName>
    <definedName name="_xlnm.Print_Area" localSheetId="1">'Net CONE'!$A$1:$K$40</definedName>
  </definedNames>
  <calcPr calcId="145621"/>
</workbook>
</file>

<file path=xl/calcChain.xml><?xml version="1.0" encoding="utf-8"?>
<calcChain xmlns="http://schemas.openxmlformats.org/spreadsheetml/2006/main">
  <c r="N23" i="16" l="1"/>
  <c r="M23" i="16"/>
  <c r="L23" i="16"/>
  <c r="K23" i="16"/>
  <c r="J23" i="16"/>
  <c r="I23" i="16"/>
  <c r="H23" i="16"/>
  <c r="G23" i="16"/>
  <c r="F23" i="16"/>
  <c r="E23" i="16"/>
  <c r="D23" i="16"/>
  <c r="C23" i="16"/>
  <c r="B23" i="16"/>
  <c r="B12" i="16"/>
  <c r="B14" i="16"/>
  <c r="N20" i="16"/>
  <c r="M20" i="16"/>
  <c r="L20" i="16"/>
  <c r="K20" i="16"/>
  <c r="J20" i="16"/>
  <c r="I20" i="16"/>
  <c r="H20" i="16"/>
  <c r="G20" i="16"/>
  <c r="F20" i="16"/>
  <c r="E20" i="16"/>
  <c r="D20" i="16"/>
  <c r="C20" i="16"/>
  <c r="B20" i="16"/>
  <c r="N17" i="16"/>
  <c r="M17" i="16"/>
  <c r="L17" i="16"/>
  <c r="K17" i="16"/>
  <c r="J17" i="16"/>
  <c r="I17" i="16"/>
  <c r="H17" i="16"/>
  <c r="G17" i="16"/>
  <c r="F17" i="16"/>
  <c r="E17" i="16"/>
  <c r="D17" i="16"/>
  <c r="C17" i="16"/>
  <c r="B17" i="16"/>
  <c r="N15" i="13" l="1"/>
  <c r="B15" i="13"/>
  <c r="N12" i="13"/>
  <c r="B12" i="13"/>
  <c r="N9" i="13" l="1"/>
  <c r="M9" i="13"/>
  <c r="L9" i="13"/>
  <c r="K9" i="13"/>
  <c r="J9" i="13"/>
  <c r="I9" i="13"/>
  <c r="H9" i="13"/>
  <c r="G9" i="13"/>
  <c r="F9" i="13"/>
  <c r="E9" i="13"/>
  <c r="D9" i="13"/>
  <c r="C9" i="13"/>
  <c r="B9" i="13"/>
  <c r="B7" i="5" l="1"/>
  <c r="B25" i="1"/>
  <c r="B24" i="1"/>
  <c r="B23" i="1"/>
  <c r="N18" i="1"/>
  <c r="N25" i="1" s="1"/>
  <c r="M18" i="1"/>
  <c r="M25" i="1" s="1"/>
  <c r="L18" i="1"/>
  <c r="L23" i="1" s="1"/>
  <c r="K18" i="1"/>
  <c r="J18" i="1"/>
  <c r="J25" i="1" s="1"/>
  <c r="I18" i="1"/>
  <c r="I25" i="1" s="1"/>
  <c r="H18" i="1"/>
  <c r="H25" i="1" s="1"/>
  <c r="G18" i="1"/>
  <c r="F18" i="1"/>
  <c r="F25" i="1" s="1"/>
  <c r="E18" i="1"/>
  <c r="E25" i="1" s="1"/>
  <c r="D18" i="1"/>
  <c r="D23" i="1" s="1"/>
  <c r="C18" i="1"/>
  <c r="B18" i="1"/>
  <c r="B18" i="13"/>
  <c r="B17" i="13"/>
  <c r="K25" i="1"/>
  <c r="G25" i="1"/>
  <c r="C25" i="1"/>
  <c r="N24" i="1"/>
  <c r="M24" i="1"/>
  <c r="L24" i="1"/>
  <c r="K24" i="1"/>
  <c r="J24" i="1"/>
  <c r="I24" i="1"/>
  <c r="H24" i="1"/>
  <c r="G24" i="1"/>
  <c r="F24" i="1"/>
  <c r="E24" i="1"/>
  <c r="D24" i="1"/>
  <c r="C24" i="1"/>
  <c r="N23" i="1"/>
  <c r="M23" i="1"/>
  <c r="K23" i="1"/>
  <c r="J23" i="1"/>
  <c r="I23" i="1"/>
  <c r="G23" i="1"/>
  <c r="F23" i="1"/>
  <c r="E23" i="1"/>
  <c r="C23" i="1"/>
  <c r="D25" i="1" l="1"/>
  <c r="L25" i="1"/>
  <c r="H23" i="1"/>
  <c r="B4" i="5"/>
  <c r="E5" i="5" s="1"/>
  <c r="B6" i="5"/>
  <c r="F5" i="5"/>
  <c r="C5" i="5" l="1"/>
  <c r="G5" i="5"/>
  <c r="D5" i="5"/>
  <c r="C41" i="1"/>
  <c r="N13" i="1" l="1"/>
  <c r="M13" i="1"/>
  <c r="L13" i="1"/>
  <c r="K13" i="1"/>
  <c r="J13" i="1"/>
  <c r="I13" i="1"/>
  <c r="H13" i="1"/>
  <c r="G13" i="1"/>
  <c r="F13" i="1"/>
  <c r="H63" i="1"/>
  <c r="F55" i="1" l="1"/>
  <c r="E55" i="1"/>
  <c r="D29" i="12" l="1"/>
  <c r="D24" i="12"/>
  <c r="D20" i="12"/>
  <c r="D12" i="12"/>
  <c r="D39" i="12" l="1"/>
  <c r="H17" i="12"/>
  <c r="H13" i="12"/>
  <c r="H16" i="12"/>
  <c r="H15" i="12"/>
  <c r="H18" i="12"/>
  <c r="H14" i="12"/>
  <c r="H25" i="12"/>
  <c r="H27" i="12"/>
  <c r="H26" i="12"/>
  <c r="H35" i="12"/>
  <c r="H31" i="12"/>
  <c r="H38" i="12"/>
  <c r="H34" i="12"/>
  <c r="H30" i="12"/>
  <c r="H37" i="12"/>
  <c r="H33" i="12"/>
  <c r="H36" i="12"/>
  <c r="H32" i="12"/>
  <c r="H22" i="12"/>
  <c r="H21" i="12"/>
  <c r="E5" i="12"/>
  <c r="E24" i="12" s="1"/>
  <c r="E25" i="12" l="1"/>
  <c r="E27" i="12"/>
  <c r="E26" i="12"/>
  <c r="I13" i="12"/>
  <c r="E20" i="12"/>
  <c r="I18" i="12"/>
  <c r="E12" i="12"/>
  <c r="E29" i="12"/>
  <c r="E39" i="12"/>
  <c r="N7" i="13"/>
  <c r="M7" i="13"/>
  <c r="E21" i="12" l="1"/>
  <c r="E22" i="12"/>
  <c r="E18" i="12"/>
  <c r="E17" i="12"/>
  <c r="E13" i="12"/>
  <c r="E15" i="12"/>
  <c r="E14" i="12"/>
  <c r="E16" i="12"/>
  <c r="L7" i="13"/>
  <c r="K7" i="13"/>
  <c r="J7" i="13"/>
  <c r="I7" i="13"/>
  <c r="H35" i="1"/>
  <c r="B13" i="1" s="1"/>
  <c r="E28" i="12" l="1"/>
  <c r="I38" i="12" l="1"/>
  <c r="I37" i="12"/>
  <c r="I36" i="12"/>
  <c r="I35" i="12"/>
  <c r="I34" i="12"/>
  <c r="I31" i="12"/>
  <c r="I30" i="12"/>
  <c r="B3" i="13" l="1"/>
  <c r="B39" i="12" l="1"/>
  <c r="N18" i="13" l="1"/>
  <c r="M18" i="13"/>
  <c r="L18" i="13"/>
  <c r="K18" i="13"/>
  <c r="J18" i="13"/>
  <c r="I18" i="13"/>
  <c r="H18" i="13"/>
  <c r="G18" i="13"/>
  <c r="F18" i="13"/>
  <c r="E18" i="13"/>
  <c r="D18" i="13"/>
  <c r="C18" i="13"/>
  <c r="N17" i="13"/>
  <c r="M17" i="13"/>
  <c r="L17" i="13"/>
  <c r="K17" i="13"/>
  <c r="J17" i="13"/>
  <c r="I17" i="13"/>
  <c r="H17" i="13"/>
  <c r="G17" i="13"/>
  <c r="F17" i="13"/>
  <c r="E17" i="13"/>
  <c r="D17" i="13"/>
  <c r="C17" i="13"/>
  <c r="M6" i="13"/>
  <c r="L6" i="13"/>
  <c r="L8" i="13" s="1"/>
  <c r="J6" i="13"/>
  <c r="I6" i="13"/>
  <c r="F6" i="13"/>
  <c r="M8" i="13" l="1"/>
  <c r="G39" i="12" l="1"/>
  <c r="I33" i="12"/>
  <c r="J33" i="12" s="1"/>
  <c r="I32" i="12"/>
  <c r="J32" i="12" s="1"/>
  <c r="I27" i="12"/>
  <c r="J27" i="12" s="1"/>
  <c r="I26" i="12"/>
  <c r="I25" i="12"/>
  <c r="I22" i="12"/>
  <c r="J22" i="12" s="1"/>
  <c r="I21" i="12"/>
  <c r="J21" i="12" s="1"/>
  <c r="I17" i="12"/>
  <c r="J17" i="12" s="1"/>
  <c r="I16" i="12"/>
  <c r="I15" i="12"/>
  <c r="I14" i="12"/>
  <c r="J14" i="12" s="1"/>
  <c r="F63" i="1"/>
  <c r="K6" i="13"/>
  <c r="K8" i="13" s="1"/>
  <c r="G6" i="13"/>
  <c r="N6" i="13"/>
  <c r="N8" i="13" s="1"/>
  <c r="H6" i="13"/>
  <c r="E35" i="1"/>
  <c r="H39" i="12" l="1"/>
  <c r="I39" i="12" s="1"/>
  <c r="J39" i="12" s="1"/>
  <c r="L16" i="1"/>
  <c r="L20" i="1"/>
  <c r="N16" i="1"/>
  <c r="N20" i="1"/>
  <c r="H16" i="1"/>
  <c r="H21" i="1" s="1"/>
  <c r="I19" i="12"/>
  <c r="J19" i="12" s="1"/>
  <c r="N21" i="1"/>
  <c r="K16" i="1"/>
  <c r="J16" i="1"/>
  <c r="I28" i="12"/>
  <c r="J28" i="12" s="1"/>
  <c r="G16" i="1"/>
  <c r="F16" i="1"/>
  <c r="I20" i="1"/>
  <c r="I16" i="1"/>
  <c r="I23" i="12"/>
  <c r="J23" i="12" s="1"/>
  <c r="H20" i="1"/>
  <c r="M16" i="1"/>
  <c r="M20" i="1"/>
  <c r="B6" i="1"/>
  <c r="B12" i="1" l="1"/>
  <c r="B14" i="1"/>
  <c r="G4" i="16"/>
  <c r="N4" i="16"/>
  <c r="I4" i="16"/>
  <c r="M4" i="16"/>
  <c r="J4" i="16"/>
  <c r="H4" i="16"/>
  <c r="L4" i="16"/>
  <c r="L21" i="1"/>
  <c r="F4" i="16"/>
  <c r="K4" i="16"/>
  <c r="B20" i="1"/>
  <c r="B16" i="1"/>
  <c r="B21" i="1" s="1"/>
  <c r="E20" i="1"/>
  <c r="H19" i="12"/>
  <c r="D20" i="1"/>
  <c r="H28" i="12"/>
  <c r="C20" i="1"/>
  <c r="I21" i="1"/>
  <c r="E16" i="1"/>
  <c r="H23" i="12"/>
  <c r="D16" i="1"/>
  <c r="K21" i="1"/>
  <c r="G21" i="1"/>
  <c r="J21" i="1"/>
  <c r="M21" i="1"/>
  <c r="F21" i="1"/>
  <c r="B2" i="13"/>
  <c r="K20" i="1"/>
  <c r="J20" i="1"/>
  <c r="G20" i="1"/>
  <c r="F20" i="1"/>
  <c r="C16" i="1"/>
  <c r="J7" i="16" l="1"/>
  <c r="J14" i="16"/>
  <c r="K7" i="16"/>
  <c r="K14" i="16"/>
  <c r="H7" i="16"/>
  <c r="H14" i="16"/>
  <c r="N7" i="16"/>
  <c r="N14" i="16"/>
  <c r="F7" i="16"/>
  <c r="F14" i="16"/>
  <c r="G7" i="16"/>
  <c r="G14" i="16"/>
  <c r="M7" i="16"/>
  <c r="M14" i="16"/>
  <c r="L7" i="16"/>
  <c r="L14" i="16"/>
  <c r="I7" i="16"/>
  <c r="I14" i="16"/>
  <c r="L12" i="13"/>
  <c r="L15" i="13"/>
  <c r="M15" i="13"/>
  <c r="M12" i="13"/>
  <c r="K15" i="13"/>
  <c r="K12" i="13"/>
  <c r="B15" i="1"/>
  <c r="E4" i="16"/>
  <c r="C4" i="16"/>
  <c r="D4" i="16"/>
  <c r="B4" i="16"/>
  <c r="E21" i="1"/>
  <c r="D21" i="1"/>
  <c r="C21" i="1"/>
  <c r="F60" i="1"/>
  <c r="E6" i="13" s="1"/>
  <c r="F59" i="1"/>
  <c r="D6" i="13" s="1"/>
  <c r="N11" i="1"/>
  <c r="N10" i="1"/>
  <c r="N14" i="1"/>
  <c r="I48" i="1"/>
  <c r="G49" i="1"/>
  <c r="D42" i="1"/>
  <c r="D41" i="1"/>
  <c r="D39" i="1"/>
  <c r="M11" i="1"/>
  <c r="L11" i="1"/>
  <c r="L31" i="1" s="1"/>
  <c r="M10" i="1"/>
  <c r="L10" i="1"/>
  <c r="M14" i="1"/>
  <c r="L14" i="1"/>
  <c r="G55" i="1"/>
  <c r="G44" i="1"/>
  <c r="K14" i="1"/>
  <c r="K11" i="1"/>
  <c r="D40" i="1"/>
  <c r="K10" i="1"/>
  <c r="I49" i="1"/>
  <c r="I37" i="1"/>
  <c r="D60" i="1"/>
  <c r="J14" i="1"/>
  <c r="D48" i="1"/>
  <c r="J11" i="1"/>
  <c r="J31" i="1" s="1"/>
  <c r="J10" i="1"/>
  <c r="H61" i="1"/>
  <c r="H60" i="1"/>
  <c r="E13" i="1" s="1"/>
  <c r="H59" i="1"/>
  <c r="D13" i="1" s="1"/>
  <c r="I36" i="1"/>
  <c r="G58" i="1"/>
  <c r="G56" i="1"/>
  <c r="G54" i="1"/>
  <c r="G53" i="1"/>
  <c r="G52" i="1"/>
  <c r="G51" i="1"/>
  <c r="G50" i="1"/>
  <c r="G47" i="1"/>
  <c r="G46" i="1"/>
  <c r="G45" i="1"/>
  <c r="G43" i="1"/>
  <c r="G42" i="1"/>
  <c r="G41" i="1"/>
  <c r="G39" i="1"/>
  <c r="G38" i="1"/>
  <c r="G37" i="1"/>
  <c r="G36" i="1"/>
  <c r="J8" i="13"/>
  <c r="G7" i="13"/>
  <c r="G8" i="13" s="1"/>
  <c r="G14" i="1"/>
  <c r="F7" i="13"/>
  <c r="F8" i="13" s="1"/>
  <c r="I58" i="1"/>
  <c r="I56" i="1"/>
  <c r="I54" i="1"/>
  <c r="I53" i="1"/>
  <c r="I52" i="1"/>
  <c r="I51" i="1"/>
  <c r="I50" i="1"/>
  <c r="I47" i="1"/>
  <c r="I46" i="1"/>
  <c r="I45" i="1"/>
  <c r="I43" i="1"/>
  <c r="I42" i="1"/>
  <c r="I41" i="1"/>
  <c r="I39" i="1"/>
  <c r="I38" i="1"/>
  <c r="D59" i="1"/>
  <c r="D57" i="1"/>
  <c r="D56" i="1"/>
  <c r="D54" i="1"/>
  <c r="I11" i="1"/>
  <c r="H11" i="1"/>
  <c r="G10" i="1"/>
  <c r="H10" i="1"/>
  <c r="I10" i="1"/>
  <c r="G11" i="1"/>
  <c r="F11" i="1"/>
  <c r="F31" i="1" s="1"/>
  <c r="F10" i="1"/>
  <c r="E11" i="1"/>
  <c r="E10" i="1"/>
  <c r="D11" i="1"/>
  <c r="D10" i="1"/>
  <c r="C10" i="1"/>
  <c r="C11" i="1"/>
  <c r="I44" i="1"/>
  <c r="F35" i="1"/>
  <c r="I57" i="1"/>
  <c r="I55" i="1"/>
  <c r="I40" i="1"/>
  <c r="F61" i="1"/>
  <c r="D7" i="16" l="1"/>
  <c r="D14" i="16"/>
  <c r="C7" i="16"/>
  <c r="C14" i="16"/>
  <c r="E7" i="16"/>
  <c r="E14" i="16"/>
  <c r="G15" i="13"/>
  <c r="G12" i="13"/>
  <c r="J15" i="13"/>
  <c r="J12" i="13"/>
  <c r="F15" i="13"/>
  <c r="F12" i="13"/>
  <c r="K15" i="1"/>
  <c r="M15" i="1"/>
  <c r="J15" i="1"/>
  <c r="G15" i="1"/>
  <c r="N15" i="1"/>
  <c r="L15" i="1"/>
  <c r="E31" i="1"/>
  <c r="D31" i="1"/>
  <c r="M6" i="16"/>
  <c r="I6" i="16"/>
  <c r="E6" i="16"/>
  <c r="N5" i="16"/>
  <c r="J5" i="16"/>
  <c r="F5" i="16"/>
  <c r="B5" i="16"/>
  <c r="L6" i="16"/>
  <c r="H6" i="16"/>
  <c r="D6" i="16"/>
  <c r="M5" i="16"/>
  <c r="I5" i="16"/>
  <c r="E5" i="16"/>
  <c r="B7" i="16"/>
  <c r="K6" i="16"/>
  <c r="G6" i="16"/>
  <c r="C6" i="16"/>
  <c r="L5" i="16"/>
  <c r="H5" i="16"/>
  <c r="D5" i="16"/>
  <c r="N6" i="16"/>
  <c r="J6" i="16"/>
  <c r="F6" i="16"/>
  <c r="B6" i="16"/>
  <c r="K5" i="16"/>
  <c r="G5" i="16"/>
  <c r="C5" i="16"/>
  <c r="E7" i="13"/>
  <c r="E8" i="13" s="1"/>
  <c r="I14" i="1"/>
  <c r="B7" i="13"/>
  <c r="H7" i="13"/>
  <c r="H8" i="13" s="1"/>
  <c r="I8" i="13"/>
  <c r="D14" i="1"/>
  <c r="D7" i="13"/>
  <c r="D8" i="13" s="1"/>
  <c r="H62" i="1"/>
  <c r="C13" i="1" s="1"/>
  <c r="F14" i="1"/>
  <c r="H14" i="1"/>
  <c r="I35" i="1"/>
  <c r="F62" i="1"/>
  <c r="C6" i="13" s="1"/>
  <c r="I15" i="13" l="1"/>
  <c r="I12" i="13"/>
  <c r="E15" i="13"/>
  <c r="E12" i="13"/>
  <c r="H12" i="13"/>
  <c r="H15" i="13"/>
  <c r="D12" i="13"/>
  <c r="D15" i="13"/>
  <c r="F15" i="1"/>
  <c r="D15" i="1"/>
  <c r="I15" i="1"/>
  <c r="H15" i="1"/>
  <c r="C31" i="1"/>
  <c r="E14" i="1"/>
  <c r="C7" i="13"/>
  <c r="C8" i="13" s="1"/>
  <c r="B6" i="13"/>
  <c r="B8" i="13" s="1"/>
  <c r="C15" i="13" l="1"/>
  <c r="C12" i="13"/>
  <c r="E15" i="1"/>
  <c r="C14" i="1"/>
  <c r="C15" i="1" l="1"/>
  <c r="F8" i="5" l="1"/>
  <c r="B8" i="5"/>
  <c r="E8" i="5"/>
  <c r="D8" i="5"/>
  <c r="C8" i="5"/>
  <c r="G8" i="5"/>
</calcChain>
</file>

<file path=xl/sharedStrings.xml><?xml version="1.0" encoding="utf-8"?>
<sst xmlns="http://schemas.openxmlformats.org/spreadsheetml/2006/main" count="617" uniqueCount="236">
  <si>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</si>
  <si>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</si>
  <si>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</si>
  <si>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</si>
  <si>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</si>
  <si>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</si>
  <si>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</si>
  <si>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</si>
  <si>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</si>
  <si>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</si>
  <si>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</si>
  <si>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</si>
  <si>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</si>
  <si>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</si>
  <si>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</si>
  <si>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</si>
  <si>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</si>
  <si>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</si>
  <si>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</si>
  <si>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</si>
  <si>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</si>
  <si>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</si>
  <si>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</si>
  <si>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</si>
  <si>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</si>
  <si>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</si>
  <si>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</si>
  <si>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</si>
  <si>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</si>
  <si>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</si>
  <si>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</si>
  <si>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</si>
  <si>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</si>
  <si>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</si>
  <si>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</si>
  <si>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</si>
  <si>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</si>
  <si>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</si>
  <si>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</si>
  <si>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</si>
  <si>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</si>
  <si>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</si>
  <si>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</si>
  <si>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</si>
  <si>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</si>
  <si>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</si>
  <si>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</si>
  <si>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</si>
  <si>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</si>
  <si>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</si>
  <si>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</si>
  <si>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</si>
  <si>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CONE Area 1</t>
  </si>
  <si>
    <t>CONE Area 2</t>
  </si>
  <si>
    <t>CONE Area 3</t>
  </si>
  <si>
    <t>CONE Area 4</t>
  </si>
  <si>
    <t>CONE Area 1: AE, DPL, JCPL, PECO, PS, RECO</t>
  </si>
  <si>
    <t>CONE Area 2: BGE, PEPCO</t>
  </si>
  <si>
    <t>CONE Area 4: MetEd, Penelec, PPL</t>
  </si>
  <si>
    <t>ICAP to UCAP Conversion Factor:</t>
  </si>
  <si>
    <t>Upgrade ID</t>
  </si>
  <si>
    <t>Description</t>
  </si>
  <si>
    <t>Transmission Owner</t>
  </si>
  <si>
    <t xml:space="preserve">FRR Portion of the Preliminary Peak Load Forecast       </t>
  </si>
  <si>
    <t>AEP</t>
  </si>
  <si>
    <t>Forecast Pool Requirement</t>
  </si>
  <si>
    <t>PJM Region</t>
  </si>
  <si>
    <t>Preliminary Peak Load Forecast</t>
  </si>
  <si>
    <t>FRR Peak Load</t>
  </si>
  <si>
    <t>Percent of Preliminary Forecast Peak Load</t>
  </si>
  <si>
    <t>Post-Clearing BRA Credit Rate (LMT), $/MW</t>
  </si>
  <si>
    <t>Post-Clearing BRA Credit Rate (ES), $/MW</t>
  </si>
  <si>
    <t>Post-Clearing BRA Credit Rate (ANL), $/MW</t>
  </si>
  <si>
    <t>DEOK</t>
  </si>
  <si>
    <t>PPL</t>
  </si>
  <si>
    <t>PSEG</t>
  </si>
  <si>
    <t>PENELEC</t>
  </si>
  <si>
    <t>Limiting conditions at the CETL for modeled LDAs:</t>
  </si>
  <si>
    <t>PSNORTH</t>
  </si>
  <si>
    <t>ATSI-CLEVELAND</t>
  </si>
  <si>
    <t>EKPC</t>
  </si>
  <si>
    <t>ATSI-Cleveland</t>
  </si>
  <si>
    <t>*</t>
  </si>
  <si>
    <t>Quantities are in Unforced Capacity Megawatts</t>
  </si>
  <si>
    <t>North</t>
  </si>
  <si>
    <t>West 1</t>
  </si>
  <si>
    <t>West 2</t>
  </si>
  <si>
    <t>South 1</t>
  </si>
  <si>
    <t>South 2</t>
  </si>
  <si>
    <t>Gross CONE, $/MW-Day, UCAP Price</t>
  </si>
  <si>
    <t>VRR Curve Point (a) UCAP Price, $/MW-Day *</t>
  </si>
  <si>
    <t>* VRR Curve Point (a) UCAP Price is the higher of 1.5 Net CONE or Gross CONE.</t>
  </si>
  <si>
    <t>CETL to CETO Ratio %</t>
  </si>
  <si>
    <t>PL</t>
  </si>
  <si>
    <t>Minimum Internal Resource Requirement</t>
  </si>
  <si>
    <t>FRR Load Requirement (% Obligation):</t>
  </si>
  <si>
    <t xml:space="preserve">LDA      </t>
  </si>
  <si>
    <t>None</t>
  </si>
  <si>
    <t>* LDA has adequate internal resources to meet the reliability criterion.</t>
  </si>
  <si>
    <t xml:space="preserve">DR Constraints for FRR Load (ICAP as % of peak load) </t>
  </si>
  <si>
    <t>CONE Area 3: AEP, APS, ATSI, ComEd, Dayton, DEOK, Dominion, Duquesne (DLCo), EKPC</t>
  </si>
  <si>
    <t>Zone/LDA</t>
  </si>
  <si>
    <t>PE</t>
  </si>
  <si>
    <t xml:space="preserve">2018/2019 BRA CONE: Levelized Revenue Requirement,     $/MW-Year </t>
  </si>
  <si>
    <t>Net CONE,   $/MW-Day,  UCAP Price</t>
  </si>
  <si>
    <t>Ancillary Services Offset,          $/MW-Year        per Tariff</t>
  </si>
  <si>
    <t>Net CONE,         $/MW-Day,    ICAP Price</t>
  </si>
  <si>
    <t>UCAP Price = ICAP Price / (1 - Pool-Wide Average EFORd)</t>
  </si>
  <si>
    <t>Pool-Wide Average EFORd for 2018/2019 including OMC outages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</si>
  <si>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</si>
  <si>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</si>
  <si>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</si>
  <si>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</si>
  <si>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</si>
  <si>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</si>
  <si>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External Source Zone</t>
  </si>
  <si>
    <t xml:space="preserve">  Thermal / Pumphrey 230/115 kV transformer</t>
  </si>
  <si>
    <t xml:space="preserve">  Thermal / Wescoville 500/138 kV transformer</t>
  </si>
  <si>
    <t>Simultaneous</t>
  </si>
  <si>
    <t>First Contingency Total Transfer Capability (FCTTC)</t>
  </si>
  <si>
    <t>Capacity Benefit Margin (CBM)</t>
  </si>
  <si>
    <t>Preliminary Zonal Peak Load Forecast less FRR load</t>
  </si>
  <si>
    <t>LDA Modeled with VRR Curve</t>
  </si>
  <si>
    <t>PS, PSEG NORTH</t>
  </si>
  <si>
    <t>ATSI, ATSI CLEVELAND</t>
  </si>
  <si>
    <t>2019-2020 RPM Base Residual Auction Planning Parameters</t>
  </si>
  <si>
    <t>Load data: from 2016 Load Report with adjustments due to load served outside PJM.</t>
  </si>
  <si>
    <t>2015 IRM Study</t>
  </si>
  <si>
    <t>Locational Deliverability Area</t>
  </si>
  <si>
    <t>2019/2020 Capacity Import Limits in Megawatts</t>
  </si>
  <si>
    <t>New Key Transmission Upgrades included for 2019/2020 Model</t>
  </si>
  <si>
    <t>Key Transmission Upgrades included for 2018/2019 model but not included for 2019/2020 model</t>
  </si>
  <si>
    <t>Pool-Wide Average EFORd for 2018/2019</t>
  </si>
  <si>
    <t>BLS Composite Index: 2014/2013 Escalation</t>
  </si>
  <si>
    <t xml:space="preserve">2019/2020 BRA CONE: Levelized Revenue Requirement,     $/MW-Year </t>
  </si>
  <si>
    <t>Historic (2013-2015) Net Energy Revenue Offset, $/MW-Year</t>
  </si>
  <si>
    <t>RPM CONE and E&amp;AS Values for 2019/2020 Base Residual Auction</t>
  </si>
  <si>
    <t>2015 Zonal W/N Coincident Peak Loads</t>
  </si>
  <si>
    <t xml:space="preserve">Confirmed NEDTS * </t>
  </si>
  <si>
    <t>Approved CIL Exception Requests **</t>
  </si>
  <si>
    <t>Capacity Import Limit (CIL) for use in BRA ***</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</si>
  <si>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rFont val="Arial"/>
        <family val="2"/>
      </rPr>
      <t>Because the simultaneous limit is zero, no imports will be cleared in the auction other than those for which a CIL exception was granted.</t>
    </r>
  </si>
  <si>
    <t>Base Capacity DR/EE Resources Credit Rate, $/MW</t>
  </si>
  <si>
    <t>Base Capacity Resources Credit Rate, $/MW</t>
  </si>
  <si>
    <t>Capacity Performance Resources Credit Rate, $/MW</t>
  </si>
  <si>
    <t>2019-2020 Pre-Clearing BRA Credit Rates</t>
  </si>
  <si>
    <t xml:space="preserve">   </t>
  </si>
  <si>
    <t>&gt;598</t>
  </si>
  <si>
    <t>&gt;851</t>
  </si>
  <si>
    <t>&gt;1484</t>
  </si>
  <si>
    <t>&gt;4071</t>
  </si>
  <si>
    <t>&gt;1875</t>
  </si>
  <si>
    <t>&gt;1104</t>
  </si>
  <si>
    <t>&gt;863</t>
  </si>
  <si>
    <t>&gt;1403</t>
  </si>
  <si>
    <t>&gt;3197</t>
  </si>
  <si>
    <t>&gt;161</t>
  </si>
  <si>
    <t>&gt;2358</t>
  </si>
  <si>
    <t xml:space="preserve">  Thermal/ Keeney - Rock Springs 500 kV line </t>
  </si>
  <si>
    <t xml:space="preserve">   Voltage/ Voltage Collapse</t>
  </si>
  <si>
    <t xml:space="preserve">   Thermal/ Roseland - Williams Pipeline 230 kV</t>
  </si>
  <si>
    <t xml:space="preserve">   Thermal/ Red Lion - Cedar Creek 230 kV line</t>
  </si>
  <si>
    <t xml:space="preserve">   Thermal/ South Canton - Harmon 345 kV line</t>
  </si>
  <si>
    <t>b2027.1</t>
  </si>
  <si>
    <t>Tidd - Collier (OP): SAG study mitigation work</t>
  </si>
  <si>
    <t>b2027.2</t>
  </si>
  <si>
    <t>Tidd - Collier (WP): SAG study mitigation work</t>
  </si>
  <si>
    <t>b2588</t>
  </si>
  <si>
    <t>Install a 36.6 MVAR 115 kV capacitor at North Bangor substation</t>
  </si>
  <si>
    <t>ME</t>
  </si>
  <si>
    <t>b2590</t>
  </si>
  <si>
    <t>Install two 75 MVAR 230 kV capacitors at Sewaren station</t>
  </si>
  <si>
    <t>b2634</t>
  </si>
  <si>
    <t>Convert Miami Fort 345 kV substation to a ring bus terminating Feeder 4504, TB 9 and TB10 in separate ring positions</t>
  </si>
  <si>
    <t>b2634.1</t>
  </si>
  <si>
    <t>Replace metering BCT on Tanners Creek CB T2 with a slip over CT with higher thermal rating in order to remove 1193 MVA limit on facility (Miami Fort-Tanners Creek 345 kV line)</t>
  </si>
  <si>
    <t>b2644</t>
  </si>
  <si>
    <t>Install a 28.8 MVAR 115 kV capacitor at the Mountain substation</t>
  </si>
  <si>
    <t>b2687.1</t>
  </si>
  <si>
    <t>Install a +/- 450 MVAR SVC at Jacksons Ferry 765 kV substation</t>
  </si>
  <si>
    <t>b2688.1</t>
  </si>
  <si>
    <t>Lincoln Substation: Upgrade the bus conductor and replace CTs.</t>
  </si>
  <si>
    <t>b2688.2</t>
  </si>
  <si>
    <t>Germantown Substation: Replace 138/115 kV transformer with a 135/180/224 MVA bank. Replace Lincoln 115 kV breaker, install new 138 kV breaker, upgrade bus conductor and adjust/replace CTs.</t>
  </si>
  <si>
    <t>b2690</t>
  </si>
  <si>
    <t>Reconductor two spans of the Graceton - Safe Harbor 230 kV transmission line. Incldues termination point upgrades</t>
  </si>
  <si>
    <t>b2691</t>
  </si>
  <si>
    <t>Reconductor three spans limiting Brunner Island - Yorkana 230 kV line, add 2 breakers to Brunner Island switchyard, upgrade associated terminal equipment</t>
  </si>
  <si>
    <t>b2692.1</t>
  </si>
  <si>
    <t>Replace station equipment at Nelson, ESS H-471 and Quad Cities</t>
  </si>
  <si>
    <t>ComEd</t>
  </si>
  <si>
    <t>b2692.2</t>
  </si>
  <si>
    <t>Upgrade conductor ratings of Cordova - Nelson, Quad Cities - ESS H-471 and ESS H-471 - Nelson 345 kV lines and mitigating sag limitations</t>
  </si>
  <si>
    <t>b2694</t>
  </si>
  <si>
    <t>Increase ratings of Peach Bottom 500/230 kV transformer to 1479 MVA normal/1839 MVA emergency</t>
  </si>
  <si>
    <t>b2698</t>
  </si>
  <si>
    <t>Replace relays at AEP's Cloverdale and Jackson's Ferry substations to improve the thermal capacity of Cloverdale - Jackson's Ferry 765 kV line</t>
  </si>
  <si>
    <t>b2721</t>
  </si>
  <si>
    <t>Goodings Grove – Balance Station Load (swap bus positions for 345 kV lines 1312 &amp; 11620 and 345 kV lines 11604 &amp; 11622) and replace 138 kV bus tie 2-3</t>
  </si>
  <si>
    <t>b2728</t>
  </si>
  <si>
    <t>Mitigate sag limitations on Loretto - Wilton Center 345 kV Line and replace station conductor at Wilton Center</t>
  </si>
  <si>
    <t>s0855</t>
  </si>
  <si>
    <t>Rebuild AEP's portion (less than 2 miles) of Bunsonville - Eugene 345 kV tie line with Ameren</t>
  </si>
  <si>
    <t>s0864</t>
  </si>
  <si>
    <t>Build approx. 6 miles of 2nd circuit on existing Alburtis-Breinigsville; Reconfigure Wescosville 500 kV station to double breaker arrangement; Install new Wescosville 230/138 kV transformer</t>
  </si>
  <si>
    <t>s0880</t>
  </si>
  <si>
    <t>Reconductor 9.5 miles of 345 kV line 1311 from Goodings Grove to Crawford</t>
  </si>
  <si>
    <t>s0943</t>
  </si>
  <si>
    <t>Build new 20.2 mi. Brunner Island-Williams Grove 230 kV line: break existing 16 mi. Brunner Island-West Shore #1 line outside West Shore, extend 4.2 mi. to Williams Grove by rebuilding West Shore-Williams Grove 230 kV line as double circuit tower line</t>
  </si>
  <si>
    <t>s0948.1</t>
  </si>
  <si>
    <t>Rebuild Hummelstown - Middletown Junction #1 230 kV line (7 mi)</t>
  </si>
  <si>
    <t>s0948.2</t>
  </si>
  <si>
    <t>Rebuild Hummelstown - Steelton 230 kV  line (6.8 mi)</t>
  </si>
  <si>
    <t>s1006</t>
  </si>
  <si>
    <t>Perform a clearance study on the Marysville - Tangy 345 kV, Hyatt (Op) - Marysville 345 kV and Hyatt - Tangy 345 kV circuits</t>
  </si>
  <si>
    <t>&gt;3082</t>
  </si>
  <si>
    <t>&gt;3071</t>
  </si>
  <si>
    <t>Doc#7333988</t>
  </si>
  <si>
    <t xml:space="preserve">   Thermal/ Black River-US Steel 138 kV line</t>
  </si>
  <si>
    <t>EE Addback (UCAP), MW</t>
  </si>
  <si>
    <t>EE Addback (ICAP), MW</t>
  </si>
  <si>
    <t xml:space="preserve"> ** Initial Planning Parameters posted on 2/1/2016. Updated on 4/15/2016 to reflect FRR elections and inclusion of 65.7 MW BGE LDA ICTRs.</t>
  </si>
  <si>
    <t xml:space="preserve">   **  The quantities of approved CIL exception requests are as of 5/4/16.</t>
  </si>
  <si>
    <t xml:space="preserve">   *  Confirmed NEDTS are as of 5/4/2016.</t>
  </si>
  <si>
    <t>2019/2020 Base Capacity Constraints</t>
  </si>
  <si>
    <t>EE Addback to Peak Load Forecast</t>
  </si>
  <si>
    <t>Preliminary Peak Load Forecast adjusted for FRR</t>
  </si>
  <si>
    <t>Base Capacity DR/EE Resources</t>
  </si>
  <si>
    <t>Resource Clearing Price, $/MW-Day</t>
  </si>
  <si>
    <t>Post-Clearing Credit Rate, $/MW</t>
  </si>
  <si>
    <t>Base Capacity Resources</t>
  </si>
  <si>
    <t>Capacity Performance Resources</t>
  </si>
  <si>
    <t>2019-2020 Post-Clearing BRA Credit Rates</t>
  </si>
  <si>
    <t xml:space="preserve">  </t>
  </si>
  <si>
    <t>Updated on 5/9/2016 to reflect adjustments for (1) total quantity of EE Resources for which PJM accepted an EE M&amp;V Plan submitted for the auction, and (2) final value of approved CIL exceptions and confirmed NEDTS.</t>
  </si>
  <si>
    <t>Updated on 6/7/2016 to add Post Clearing BRA Credit Rates.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</si>
</sst>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1" formatCode="0.000000"/>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b/>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2"/>
      <color rgb="FF002060"/>
      <name val="Arial"/>
      <family val="2"/>
    </font>
    <font>
      <b/>
      <sz val="14"/>
      <color rgb="FFFF0000"/>
      <name val="Arial"/>
      <family val="2"/>
    </font>
    <font>
      <sz val="10"/>
      <color theme="1"/>
      <name val="Arial"/>
      <family val="2"/>
    </font>
    <font>
      <sz val="11"/>
      <color rgb="FF1F497D"/>
      <name val="Calibri"/>
      <family val="2"/>
    </font>
    <font>
      <sz val="12"/>
      <color theme="1"/>
      <name val="Arial"/>
      <family val="2"/>
    </font>
    <font>
      <sz val="9"/>
      <color rgb="FFFF0000"/>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1">
    <xf numFmtId="0" fontId="0" fillId="0" borderId="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0" fontId="10" fillId="0" borderId="0"/>
    <xf numFmtId="0" fontId="9" fillId="0" borderId="0">
      <alignment wrapText="1"/>
    </xf>
    <xf numFmtId="0" fontId="9" fillId="0" borderId="0"/>
    <xf numFmtId="0" fontId="13" fillId="0" borderId="0"/>
    <xf numFmtId="9"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0" fontId="9" fillId="0" borderId="0"/>
    <xf numFmtId="0" fontId="2" fillId="0" borderId="0"/>
    <xf numFmtId="9" fontId="9" fillId="0" borderId="0" applyFont="0" applyFill="0" applyBorder="0" applyAlignment="0" applyProtection="0"/>
    <xf numFmtId="0" fontId="19" fillId="0" borderId="0"/>
    <xf numFmtId="0" fontId="3" fillId="0" borderId="0"/>
    <xf numFmtId="0" fontId="19" fillId="0" borderId="0"/>
    <xf numFmtId="0" fontId="1" fillId="0" borderId="0"/>
    <xf numFmtId="0" fontId="3" fillId="0" borderId="0"/>
    <xf numFmtId="0" fontId="3" fillId="0" borderId="0">
      <alignment wrapText="1"/>
    </xf>
  </cellStyleXfs>
  <cellXfs count="196">
    <xf numFmtId="0" fontId="0" fillId="0" borderId="0" xfId="0"/>
    <xf numFmtId="0" fontId="0" fillId="0" borderId="0" xfId="0" applyAlignment="1">
      <alignment horizontal="center"/>
    </xf>
    <xf numFmtId="0" fontId="8" fillId="0" borderId="0" xfId="0" applyFont="1" applyBorder="1"/>
    <xf numFmtId="0" fontId="5" fillId="0" borderId="0" xfId="0" applyFont="1" applyAlignment="1">
      <alignment wrapText="1"/>
    </xf>
    <xf numFmtId="0" fontId="9" fillId="0" borderId="0" xfId="0" applyFont="1"/>
    <xf numFmtId="168"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0" fillId="0" borderId="0" xfId="0" applyAlignment="1">
      <alignment wrapText="1"/>
    </xf>
    <xf numFmtId="0" fontId="7" fillId="2" borderId="1" xfId="0" applyFont="1" applyFill="1" applyBorder="1" applyAlignment="1">
      <alignment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Border="1"/>
    <xf numFmtId="0" fontId="9" fillId="0" borderId="0" xfId="0" applyFont="1" applyBorder="1"/>
    <xf numFmtId="165" fontId="8" fillId="0" borderId="1" xfId="8" applyNumberFormat="1" applyFont="1" applyBorder="1" applyAlignment="1">
      <alignment horizontal="right" vertical="center"/>
    </xf>
    <xf numFmtId="167" fontId="8" fillId="0" borderId="1" xfId="0" applyNumberFormat="1" applyFont="1" applyBorder="1" applyAlignment="1">
      <alignment horizontal="right" vertical="center" wrapText="1"/>
    </xf>
    <xf numFmtId="168" fontId="8" fillId="0" borderId="1" xfId="0" applyNumberFormat="1" applyFont="1" applyBorder="1" applyAlignment="1">
      <alignment horizontal="right" vertical="center" wrapText="1"/>
    </xf>
    <xf numFmtId="166" fontId="8" fillId="0" borderId="1" xfId="0" applyNumberFormat="1" applyFont="1" applyBorder="1" applyAlignment="1">
      <alignment horizontal="right" vertical="center"/>
    </xf>
    <xf numFmtId="0" fontId="8" fillId="0" borderId="1" xfId="0" applyFont="1" applyBorder="1" applyAlignment="1">
      <alignment horizontal="right" vertical="center"/>
    </xf>
    <xf numFmtId="167" fontId="7"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0" fontId="7" fillId="0" borderId="0" xfId="0" applyFont="1" applyBorder="1" applyAlignment="1">
      <alignment horizontal="center"/>
    </xf>
    <xf numFmtId="0" fontId="8" fillId="0" borderId="1" xfId="0" applyFont="1" applyBorder="1" applyAlignment="1">
      <alignment horizontal="left" vertical="center"/>
    </xf>
    <xf numFmtId="165"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65" fontId="8" fillId="0" borderId="1" xfId="0" applyNumberFormat="1" applyFont="1" applyBorder="1" applyAlignment="1">
      <alignment horizontal="right" vertical="center" wrapText="1"/>
    </xf>
    <xf numFmtId="0" fontId="7" fillId="0" borderId="2" xfId="0" applyFont="1" applyBorder="1" applyAlignment="1">
      <alignment horizontal="center" vertical="center"/>
    </xf>
    <xf numFmtId="0" fontId="8"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Fill="1" applyBorder="1" applyAlignment="1">
      <alignment horizontal="right" vertical="center"/>
    </xf>
    <xf numFmtId="0" fontId="7" fillId="0" borderId="1" xfId="0" applyFont="1" applyFill="1" applyBorder="1" applyAlignment="1">
      <alignment horizontal="left" vertical="center"/>
    </xf>
    <xf numFmtId="0" fontId="8" fillId="0" borderId="5" xfId="0" applyFont="1" applyBorder="1" applyAlignment="1">
      <alignment horizontal="left" vertical="center" wrapText="1"/>
    </xf>
    <xf numFmtId="168" fontId="8" fillId="0" borderId="1" xfId="8" applyNumberFormat="1" applyFont="1" applyBorder="1" applyAlignment="1">
      <alignment horizontal="right" vertical="center"/>
    </xf>
    <xf numFmtId="167" fontId="8" fillId="0" borderId="1" xfId="3" applyNumberFormat="1" applyFont="1" applyBorder="1" applyAlignment="1">
      <alignment horizontal="center" vertical="center" wrapText="1"/>
    </xf>
    <xf numFmtId="0" fontId="14" fillId="0" borderId="0" xfId="0" applyFont="1"/>
    <xf numFmtId="170" fontId="8" fillId="0" borderId="1" xfId="0" applyNumberFormat="1" applyFont="1" applyFill="1" applyBorder="1" applyAlignment="1">
      <alignment horizontal="center" vertical="center" wrapText="1"/>
    </xf>
    <xf numFmtId="8" fontId="0" fillId="0" borderId="0" xfId="0" applyNumberFormat="1"/>
    <xf numFmtId="166" fontId="8" fillId="0" borderId="1" xfId="0" applyNumberFormat="1" applyFont="1" applyBorder="1" applyAlignment="1">
      <alignment horizontal="right" vertical="center" wrapText="1"/>
    </xf>
    <xf numFmtId="169" fontId="8" fillId="0" borderId="1" xfId="8" applyNumberFormat="1" applyFont="1" applyBorder="1" applyAlignment="1">
      <alignment horizontal="right" vertical="center"/>
    </xf>
    <xf numFmtId="168" fontId="8" fillId="0" borderId="1" xfId="8" applyNumberFormat="1" applyFont="1" applyFill="1" applyBorder="1" applyAlignment="1">
      <alignment horizontal="right" vertical="center"/>
    </xf>
    <xf numFmtId="166" fontId="8" fillId="0" borderId="1" xfId="8" applyNumberFormat="1" applyFont="1" applyBorder="1" applyAlignment="1">
      <alignment horizontal="right" vertical="center"/>
    </xf>
    <xf numFmtId="9" fontId="8" fillId="0" borderId="1" xfId="8" applyFont="1" applyFill="1" applyBorder="1" applyAlignment="1">
      <alignment horizontal="right" vertical="center"/>
    </xf>
    <xf numFmtId="9" fontId="8" fillId="0" borderId="1" xfId="8" applyNumberFormat="1" applyFont="1" applyFill="1" applyBorder="1" applyAlignment="1">
      <alignment horizontal="right" vertical="center"/>
    </xf>
    <xf numFmtId="0" fontId="8" fillId="0" borderId="0" xfId="0" applyFont="1" applyBorder="1" applyAlignment="1">
      <alignment vertical="center"/>
    </xf>
    <xf numFmtId="0" fontId="5" fillId="0" borderId="0" xfId="0" applyFont="1" applyAlignment="1">
      <alignment horizontal="right" wrapText="1"/>
    </xf>
    <xf numFmtId="0" fontId="15" fillId="0" borderId="0" xfId="0" applyFont="1" applyBorder="1"/>
    <xf numFmtId="0" fontId="6" fillId="0" borderId="0" xfId="0" applyFont="1" applyBorder="1" applyAlignment="1">
      <alignment horizontal="left" vertical="center"/>
    </xf>
    <xf numFmtId="168" fontId="8" fillId="0" borderId="1" xfId="0" applyNumberFormat="1" applyFont="1" applyBorder="1" applyAlignment="1">
      <alignment horizontal="center" vertical="center"/>
    </xf>
    <xf numFmtId="168" fontId="7" fillId="0" borderId="1" xfId="0" applyNumberFormat="1" applyFont="1" applyBorder="1" applyAlignment="1">
      <alignment horizontal="right" vertical="center" wrapText="1"/>
    </xf>
    <xf numFmtId="168" fontId="8" fillId="0" borderId="1" xfId="0" applyNumberFormat="1" applyFont="1" applyFill="1" applyBorder="1" applyAlignment="1">
      <alignment horizontal="right" vertical="center"/>
    </xf>
    <xf numFmtId="0" fontId="7" fillId="0" borderId="1" xfId="0" applyFont="1" applyFill="1" applyBorder="1" applyAlignment="1">
      <alignment horizontal="center" vertical="center"/>
    </xf>
    <xf numFmtId="168" fontId="8" fillId="0" borderId="1" xfId="1" applyNumberFormat="1" applyFont="1" applyFill="1" applyBorder="1" applyAlignment="1">
      <alignment horizontal="right" vertical="center"/>
    </xf>
    <xf numFmtId="165" fontId="7" fillId="0" borderId="1" xfId="8" applyNumberFormat="1" applyFont="1" applyFill="1" applyBorder="1" applyAlignment="1">
      <alignment horizontal="right" vertical="center"/>
    </xf>
    <xf numFmtId="168" fontId="17" fillId="0" borderId="1" xfId="0" applyNumberFormat="1" applyFont="1" applyFill="1" applyBorder="1" applyAlignment="1">
      <alignment horizontal="right" vertical="center"/>
    </xf>
    <xf numFmtId="0" fontId="7" fillId="0" borderId="0" xfId="0" applyFont="1" applyFill="1" applyBorder="1" applyAlignment="1">
      <alignment horizontal="left" vertical="center"/>
    </xf>
    <xf numFmtId="165" fontId="8" fillId="0" borderId="0" xfId="8" applyNumberFormat="1" applyFont="1" applyBorder="1"/>
    <xf numFmtId="0" fontId="8" fillId="0" borderId="19" xfId="0" applyFont="1" applyFill="1" applyBorder="1" applyAlignment="1">
      <alignment horizontal="righ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3" borderId="1" xfId="0" applyFont="1" applyFill="1" applyBorder="1" applyAlignment="1">
      <alignment vertical="center"/>
    </xf>
    <xf numFmtId="0" fontId="8" fillId="4" borderId="1" xfId="0" applyFont="1" applyFill="1" applyBorder="1" applyAlignment="1">
      <alignment vertical="center"/>
    </xf>
    <xf numFmtId="165" fontId="7" fillId="4" borderId="1" xfId="8" applyNumberFormat="1" applyFont="1" applyFill="1" applyBorder="1" applyAlignment="1">
      <alignment horizontal="right" vertical="center"/>
    </xf>
    <xf numFmtId="0" fontId="8" fillId="5" borderId="1" xfId="0" applyFont="1" applyFill="1" applyBorder="1" applyAlignment="1">
      <alignment horizontal="left" vertical="center"/>
    </xf>
    <xf numFmtId="0" fontId="8" fillId="5" borderId="1" xfId="0" applyFont="1" applyFill="1" applyBorder="1" applyAlignment="1">
      <alignment horizontal="right" vertical="center"/>
    </xf>
    <xf numFmtId="0" fontId="8" fillId="5" borderId="11"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1" xfId="0" applyFont="1" applyBorder="1" applyAlignment="1">
      <alignment horizontal="left" vertical="center"/>
    </xf>
    <xf numFmtId="167" fontId="8" fillId="0" borderId="1" xfId="0" applyNumberFormat="1" applyFont="1" applyBorder="1" applyAlignment="1">
      <alignment horizontal="center" vertical="center"/>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8" fillId="0" borderId="0" xfId="0" applyFont="1" applyFill="1" applyBorder="1" applyAlignment="1">
      <alignment horizontal="left" vertical="center"/>
    </xf>
    <xf numFmtId="0" fontId="6" fillId="0" borderId="0" xfId="0" applyFont="1" applyAlignment="1"/>
    <xf numFmtId="0" fontId="8" fillId="0" borderId="1" xfId="0"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0" xfId="0" applyBorder="1" applyAlignment="1">
      <alignment horizontal="left"/>
    </xf>
    <xf numFmtId="0" fontId="7" fillId="0" borderId="0" xfId="0" applyFont="1" applyBorder="1" applyAlignment="1">
      <alignment horizontal="center" vertical="center"/>
    </xf>
    <xf numFmtId="0" fontId="8" fillId="0" borderId="0" xfId="0" applyFont="1" applyFill="1" applyBorder="1" applyAlignment="1">
      <alignment vertical="center"/>
    </xf>
    <xf numFmtId="0" fontId="18" fillId="0" borderId="0" xfId="0" applyFont="1" applyAlignment="1"/>
    <xf numFmtId="0" fontId="14" fillId="0" borderId="0" xfId="0" applyFont="1" applyBorder="1" applyAlignment="1">
      <alignment vertical="center"/>
    </xf>
    <xf numFmtId="0" fontId="18" fillId="0" borderId="0" xfId="0" applyFont="1" applyBorder="1" applyAlignment="1">
      <alignment horizontal="left" vertical="center"/>
    </xf>
    <xf numFmtId="0" fontId="7" fillId="0" borderId="1" xfId="0" applyFont="1" applyBorder="1" applyAlignment="1">
      <alignment horizontal="center" vertical="center" wrapText="1"/>
    </xf>
    <xf numFmtId="0" fontId="8" fillId="0" borderId="0" xfId="6" applyFont="1" applyFill="1" applyBorder="1" applyAlignment="1">
      <alignment vertical="center"/>
    </xf>
    <xf numFmtId="0" fontId="14" fillId="0" borderId="0" xfId="0" applyFont="1" applyBorder="1"/>
    <xf numFmtId="0" fontId="20" fillId="0" borderId="0" xfId="0" applyFont="1" applyAlignment="1">
      <alignment vertical="center"/>
    </xf>
    <xf numFmtId="0" fontId="7" fillId="0" borderId="1" xfId="0" applyFont="1" applyBorder="1" applyAlignment="1">
      <alignment horizontal="left"/>
    </xf>
    <xf numFmtId="0" fontId="6" fillId="0" borderId="1" xfId="0" applyFont="1" applyBorder="1" applyAlignment="1">
      <alignment horizontal="center" vertical="center"/>
    </xf>
    <xf numFmtId="0" fontId="11" fillId="0" borderId="0" xfId="0" applyFont="1" applyFill="1" applyBorder="1" applyAlignment="1">
      <alignment horizontal="left" vertical="center"/>
    </xf>
    <xf numFmtId="3" fontId="8" fillId="0" borderId="1" xfId="0" applyNumberFormat="1" applyFont="1" applyBorder="1" applyAlignment="1">
      <alignment horizontal="right" vertical="center"/>
    </xf>
    <xf numFmtId="3" fontId="0" fillId="0" borderId="0" xfId="0" applyNumberFormat="1"/>
    <xf numFmtId="168" fontId="8" fillId="0" borderId="1" xfId="0" applyNumberFormat="1" applyFont="1" applyBorder="1" applyAlignment="1">
      <alignment horizontal="right" vertical="center"/>
    </xf>
    <xf numFmtId="168" fontId="8" fillId="0" borderId="1" xfId="1" applyNumberFormat="1" applyFont="1" applyFill="1" applyBorder="1" applyAlignment="1">
      <alignment vertical="center"/>
    </xf>
    <xf numFmtId="0" fontId="8" fillId="0" borderId="10" xfId="0" applyFont="1" applyFill="1" applyBorder="1" applyAlignment="1">
      <alignment horizontal="right" vertical="center"/>
    </xf>
    <xf numFmtId="167" fontId="0" fillId="0" borderId="0" xfId="0" applyNumberFormat="1"/>
    <xf numFmtId="10" fontId="8" fillId="5" borderId="11" xfId="0" applyNumberFormat="1" applyFont="1" applyFill="1" applyBorder="1" applyAlignment="1">
      <alignment horizontal="right" vertical="center"/>
    </xf>
    <xf numFmtId="0" fontId="3" fillId="0" borderId="0" xfId="0" applyFont="1" applyBorder="1"/>
    <xf numFmtId="0" fontId="0" fillId="0" borderId="0" xfId="0" applyBorder="1"/>
    <xf numFmtId="0" fontId="0" fillId="0" borderId="1" xfId="0" applyBorder="1"/>
    <xf numFmtId="0" fontId="8" fillId="2" borderId="1" xfId="0" applyFont="1" applyFill="1" applyBorder="1" applyAlignment="1">
      <alignment wrapText="1"/>
    </xf>
    <xf numFmtId="0" fontId="8" fillId="0" borderId="1" xfId="0" applyFont="1" applyBorder="1" applyAlignment="1">
      <alignment horizontal="center" vertical="center"/>
    </xf>
    <xf numFmtId="0" fontId="0" fillId="0" borderId="1" xfId="0" applyBorder="1" applyAlignment="1">
      <alignment horizontal="center"/>
    </xf>
    <xf numFmtId="0" fontId="8" fillId="0" borderId="1" xfId="0" applyFont="1" applyBorder="1" applyAlignment="1">
      <alignment horizontal="center"/>
    </xf>
    <xf numFmtId="0" fontId="5" fillId="0" borderId="1" xfId="0" applyFont="1" applyBorder="1" applyAlignment="1">
      <alignment horizontal="center" vertical="center" wrapText="1"/>
    </xf>
    <xf numFmtId="171" fontId="8" fillId="0" borderId="1" xfId="0" applyNumberFormat="1" applyFont="1" applyBorder="1" applyAlignment="1">
      <alignment horizontal="center" vertical="center" wrapText="1"/>
    </xf>
    <xf numFmtId="0" fontId="14" fillId="0" borderId="0" xfId="0" applyFont="1" applyAlignment="1">
      <alignment horizontal="center"/>
    </xf>
    <xf numFmtId="0" fontId="22" fillId="0" borderId="0" xfId="0" applyFont="1" applyAlignment="1">
      <alignment horizontal="center" vertical="center"/>
    </xf>
    <xf numFmtId="10" fontId="7" fillId="0" borderId="1" xfId="8" applyNumberFormat="1" applyFont="1" applyBorder="1" applyAlignment="1">
      <alignment vertical="center"/>
    </xf>
    <xf numFmtId="0" fontId="14" fillId="0" borderId="9" xfId="0" applyFont="1" applyBorder="1" applyAlignment="1">
      <alignment horizontal="left"/>
    </xf>
    <xf numFmtId="0" fontId="11" fillId="0" borderId="0" xfId="0" applyFont="1" applyBorder="1" applyAlignment="1">
      <alignment vertical="top" wrapText="1"/>
    </xf>
    <xf numFmtId="0" fontId="8" fillId="0" borderId="1" xfId="0" applyFont="1" applyBorder="1" applyAlignment="1">
      <alignment horizontal="left" vertical="center"/>
    </xf>
    <xf numFmtId="168" fontId="3" fillId="0" borderId="0" xfId="0" applyNumberFormat="1" applyFont="1"/>
    <xf numFmtId="0" fontId="16" fillId="0" borderId="0" xfId="0" applyFont="1" applyFill="1" applyBorder="1" applyAlignment="1">
      <alignment horizontal="center" vertical="center"/>
    </xf>
    <xf numFmtId="0" fontId="7" fillId="0" borderId="10" xfId="0" applyFont="1" applyFill="1" applyBorder="1" applyAlignment="1">
      <alignment horizontal="right" vertical="center"/>
    </xf>
    <xf numFmtId="0" fontId="6" fillId="0" borderId="0" xfId="0" applyFont="1" applyBorder="1" applyAlignment="1">
      <alignment horizontal="left"/>
    </xf>
    <xf numFmtId="167" fontId="21" fillId="0" borderId="1" xfId="0" applyNumberFormat="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2" fillId="0" borderId="6" xfId="5" applyFont="1" applyBorder="1" applyAlignment="1">
      <alignment vertical="center"/>
    </xf>
    <xf numFmtId="0" fontId="12" fillId="0" borderId="7" xfId="5" applyFont="1" applyBorder="1" applyAlignment="1">
      <alignment horizontal="center" vertical="center"/>
    </xf>
    <xf numFmtId="0" fontId="12" fillId="0" borderId="18" xfId="5" applyFont="1" applyBorder="1" applyAlignment="1">
      <alignment horizontal="center" vertical="center" wrapText="1"/>
    </xf>
    <xf numFmtId="0" fontId="3" fillId="0" borderId="0" xfId="18" applyFont="1" applyFill="1" applyBorder="1" applyAlignment="1">
      <alignment vertical="top"/>
    </xf>
    <xf numFmtId="0" fontId="3" fillId="0" borderId="0" xfId="18" applyFont="1" applyFill="1" applyBorder="1" applyAlignment="1">
      <alignment vertical="top" wrapText="1"/>
    </xf>
    <xf numFmtId="0" fontId="3" fillId="0" borderId="0" xfId="18" applyFont="1" applyFill="1" applyBorder="1" applyAlignment="1">
      <alignment horizontal="center" vertical="top"/>
    </xf>
    <xf numFmtId="0" fontId="3" fillId="0" borderId="0" xfId="19" applyFill="1"/>
    <xf numFmtId="0" fontId="3" fillId="0" borderId="6" xfId="19" applyFont="1" applyFill="1" applyBorder="1" applyAlignment="1">
      <alignment vertical="top"/>
    </xf>
    <xf numFmtId="0" fontId="3" fillId="0" borderId="7" xfId="19" applyFont="1" applyFill="1" applyBorder="1" applyAlignment="1">
      <alignment vertical="top" wrapText="1"/>
    </xf>
    <xf numFmtId="0" fontId="3" fillId="0" borderId="18" xfId="19" applyFont="1" applyFill="1" applyBorder="1" applyAlignment="1">
      <alignment horizontal="center" vertical="top"/>
    </xf>
    <xf numFmtId="0" fontId="3" fillId="0" borderId="4" xfId="17" applyFont="1" applyFill="1" applyBorder="1" applyAlignment="1">
      <alignment vertical="center"/>
    </xf>
    <xf numFmtId="0" fontId="3" fillId="0" borderId="2" xfId="17" applyFont="1" applyFill="1" applyBorder="1" applyAlignment="1">
      <alignment vertical="center" wrapText="1"/>
    </xf>
    <xf numFmtId="0" fontId="3" fillId="0" borderId="24" xfId="17" applyFont="1" applyFill="1" applyBorder="1" applyAlignment="1">
      <alignment horizontal="center" vertical="center"/>
    </xf>
    <xf numFmtId="0" fontId="3" fillId="0" borderId="3" xfId="17" applyFont="1" applyFill="1" applyBorder="1" applyAlignment="1">
      <alignment vertical="center"/>
    </xf>
    <xf numFmtId="0" fontId="3" fillId="0" borderId="1" xfId="17" applyFont="1" applyFill="1" applyBorder="1" applyAlignment="1">
      <alignment vertical="center" wrapText="1"/>
    </xf>
    <xf numFmtId="0" fontId="3" fillId="0" borderId="15" xfId="17" applyFont="1" applyFill="1" applyBorder="1" applyAlignment="1">
      <alignment horizontal="center" vertical="center"/>
    </xf>
    <xf numFmtId="0" fontId="3" fillId="0" borderId="12" xfId="17" applyFont="1" applyFill="1" applyBorder="1" applyAlignment="1">
      <alignment vertical="center"/>
    </xf>
    <xf numFmtId="0" fontId="3" fillId="0" borderId="13" xfId="17" applyFont="1" applyFill="1" applyBorder="1" applyAlignment="1">
      <alignment vertical="center" wrapText="1"/>
    </xf>
    <xf numFmtId="0" fontId="3" fillId="0" borderId="16" xfId="17" applyFont="1" applyFill="1" applyBorder="1" applyAlignment="1">
      <alignment horizontal="center" vertical="center"/>
    </xf>
    <xf numFmtId="1" fontId="8" fillId="0" borderId="17" xfId="0" applyNumberFormat="1" applyFont="1" applyBorder="1" applyAlignment="1">
      <alignment horizontal="left" vertical="center"/>
    </xf>
    <xf numFmtId="1" fontId="8" fillId="0" borderId="3" xfId="0" applyNumberFormat="1" applyFont="1" applyBorder="1" applyAlignment="1">
      <alignment horizontal="left" vertical="center"/>
    </xf>
    <xf numFmtId="168" fontId="7" fillId="0" borderId="1" xfId="1" applyNumberFormat="1" applyFont="1" applyFill="1" applyBorder="1" applyAlignment="1">
      <alignment horizontal="right" vertical="center"/>
    </xf>
    <xf numFmtId="168" fontId="7" fillId="0" borderId="1" xfId="0" applyNumberFormat="1" applyFont="1" applyFill="1" applyBorder="1" applyAlignment="1">
      <alignment horizontal="right" vertical="center"/>
    </xf>
    <xf numFmtId="168" fontId="8" fillId="0" borderId="0" xfId="0" applyNumberFormat="1" applyFont="1" applyBorder="1" applyAlignment="1">
      <alignment horizontal="right" vertical="center"/>
    </xf>
    <xf numFmtId="0" fontId="8" fillId="0" borderId="1"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xf>
    <xf numFmtId="0" fontId="8" fillId="0" borderId="0" xfId="0" applyFont="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xf>
    <xf numFmtId="0" fontId="7" fillId="0" borderId="1" xfId="0" applyFont="1" applyBorder="1" applyAlignment="1">
      <alignment horizontal="center" vertical="center"/>
    </xf>
    <xf numFmtId="167" fontId="21" fillId="0" borderId="1" xfId="3" applyNumberFormat="1" applyFont="1" applyBorder="1" applyAlignment="1">
      <alignment horizontal="center" vertical="center" wrapText="1"/>
    </xf>
    <xf numFmtId="44" fontId="21" fillId="0" borderId="1" xfId="3" applyFont="1" applyBorder="1" applyAlignment="1">
      <alignment horizontal="center" vertical="center" wrapText="1"/>
    </xf>
    <xf numFmtId="0" fontId="8" fillId="0" borderId="0" xfId="0" applyFont="1" applyBorder="1" applyAlignment="1">
      <alignment horizontal="left" vertical="center"/>
    </xf>
    <xf numFmtId="0" fontId="6" fillId="0" borderId="0" xfId="0" applyFont="1" applyBorder="1" applyAlignment="1">
      <alignment horizontal="left" vertical="center"/>
    </xf>
    <xf numFmtId="168" fontId="11" fillId="0" borderId="11" xfId="8" applyNumberFormat="1" applyFont="1" applyBorder="1" applyAlignment="1">
      <alignment horizontal="center" vertical="center" wrapText="1"/>
    </xf>
    <xf numFmtId="168" fontId="11" fillId="0" borderId="14" xfId="0" applyNumberFormat="1" applyFont="1" applyBorder="1" applyAlignment="1">
      <alignment horizontal="center" vertical="center" wrapText="1"/>
    </xf>
    <xf numFmtId="168" fontId="11"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vertical="center"/>
    </xf>
    <xf numFmtId="168" fontId="8"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6" fillId="0" borderId="0" xfId="0" applyFont="1" applyAlignment="1"/>
    <xf numFmtId="0" fontId="6" fillId="0" borderId="21" xfId="20" applyFont="1" applyFill="1" applyBorder="1" applyAlignment="1">
      <alignment horizontal="center" vertical="center"/>
    </xf>
    <xf numFmtId="0" fontId="6" fillId="0" borderId="22" xfId="20" applyFont="1" applyFill="1" applyBorder="1" applyAlignment="1">
      <alignment horizontal="center" vertical="center"/>
    </xf>
    <xf numFmtId="0" fontId="6" fillId="0" borderId="23" xfId="20" applyFont="1" applyFill="1" applyBorder="1" applyAlignment="1">
      <alignment horizontal="center" vertical="center"/>
    </xf>
    <xf numFmtId="0" fontId="6" fillId="0" borderId="25" xfId="5" applyFont="1" applyBorder="1" applyAlignment="1">
      <alignment horizontal="center" vertical="center"/>
    </xf>
    <xf numFmtId="0" fontId="6" fillId="0" borderId="26" xfId="5" applyFont="1" applyBorder="1" applyAlignment="1">
      <alignment horizontal="center" vertical="center"/>
    </xf>
    <xf numFmtId="0" fontId="6" fillId="0" borderId="27" xfId="5"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7"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Border="1" applyAlignment="1">
      <alignment vertical="top" wrapText="1"/>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0" borderId="0" xfId="0" applyFont="1" applyBorder="1" applyAlignment="1">
      <alignment horizontal="left"/>
    </xf>
  </cellXfs>
  <cellStyles count="21">
    <cellStyle name="Comma" xfId="1" builtinId="3"/>
    <cellStyle name="Comma 2" xfId="2"/>
    <cellStyle name="Comma 2 2" xfId="10"/>
    <cellStyle name="Comma 3" xfId="9"/>
    <cellStyle name="Currency" xfId="3" builtinId="4"/>
    <cellStyle name="Currency 2" xfId="11"/>
    <cellStyle name="Normal" xfId="0" builtinId="0"/>
    <cellStyle name="Normal 10 2" xfId="19"/>
    <cellStyle name="Normal 2" xfId="4"/>
    <cellStyle name="Normal 2 2" xfId="5"/>
    <cellStyle name="Normal 2 2 2" xfId="20"/>
    <cellStyle name="Normal 2 3" xfId="12"/>
    <cellStyle name="Normal 3" xfId="15"/>
    <cellStyle name="Normal 3 7" xfId="17"/>
    <cellStyle name="Normal 4" xfId="16"/>
    <cellStyle name="Normal 4 3" xfId="6"/>
    <cellStyle name="Normal 6" xfId="7"/>
    <cellStyle name="Normal 6 2" xfId="13"/>
    <cellStyle name="Normal 6 7" xfId="18"/>
    <cellStyle name="Percent" xfId="8" builtinId="5"/>
    <cellStyle name="Percent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2"/>
  <sheetViews>
    <sheetView tabSelected="1" zoomScaleNormal="100" zoomScaleSheetLayoutView="75" workbookViewId="0">
      <selection sqref="A1:F1"/>
    </sheetView>
  </sheetViews>
  <sheetFormatPr defaultColWidth="30.7109375" defaultRowHeight="12.75" x14ac:dyDescent="0.2"/>
  <cols>
    <col min="1" max="1" width="57.570312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163" t="s">
        <v>125</v>
      </c>
      <c r="B1" s="163"/>
      <c r="C1" s="163"/>
      <c r="D1" s="163"/>
      <c r="E1" s="163"/>
      <c r="F1" s="163"/>
      <c r="G1" s="153">
        <v>42528</v>
      </c>
      <c r="H1" s="154" t="s">
        <v>12</v>
      </c>
      <c r="I1" s="23" t="s">
        <v>12</v>
      </c>
    </row>
    <row r="2" spans="1:15" ht="20.100000000000001" customHeight="1" x14ac:dyDescent="0.2">
      <c r="A2" s="175" t="s">
        <v>235</v>
      </c>
      <c r="B2" s="175"/>
      <c r="C2" s="175"/>
      <c r="D2" s="175"/>
      <c r="E2" s="175"/>
      <c r="F2" s="175"/>
      <c r="G2" s="175"/>
      <c r="H2" s="175"/>
      <c r="I2" s="175"/>
      <c r="J2" s="175"/>
      <c r="K2" s="175"/>
      <c r="L2" s="175"/>
      <c r="M2" s="175"/>
      <c r="N2" s="175"/>
    </row>
    <row r="3" spans="1:15" ht="20.100000000000001" customHeight="1" x14ac:dyDescent="0.25">
      <c r="A3" s="152" t="s">
        <v>217</v>
      </c>
      <c r="B3" s="155" t="s">
        <v>13</v>
      </c>
      <c r="C3" s="174" t="s">
        <v>41</v>
      </c>
      <c r="D3" s="174"/>
      <c r="E3" s="174"/>
      <c r="F3" s="174"/>
      <c r="G3" s="174"/>
      <c r="H3" s="174"/>
      <c r="I3" s="174"/>
      <c r="J3" s="174"/>
      <c r="K3" s="174"/>
      <c r="L3" s="174"/>
      <c r="M3" s="174"/>
      <c r="N3" s="174"/>
    </row>
    <row r="4" spans="1:15" ht="20.100000000000001" customHeight="1" x14ac:dyDescent="0.2">
      <c r="A4" s="24" t="s">
        <v>35</v>
      </c>
      <c r="B4" s="25">
        <v>0.16500000000000001</v>
      </c>
      <c r="C4" s="176" t="s">
        <v>127</v>
      </c>
      <c r="D4" s="176"/>
      <c r="E4" s="176"/>
      <c r="F4" s="176"/>
      <c r="G4" s="176"/>
      <c r="H4" s="176"/>
      <c r="I4" s="176"/>
      <c r="J4" s="176"/>
      <c r="K4" s="176"/>
      <c r="L4" s="176"/>
      <c r="M4" s="176"/>
      <c r="N4" s="176"/>
    </row>
    <row r="5" spans="1:15" ht="20.100000000000001" customHeight="1" x14ac:dyDescent="0.2">
      <c r="A5" s="24" t="s">
        <v>36</v>
      </c>
      <c r="B5" s="26">
        <v>6.6000000000000003E-2</v>
      </c>
      <c r="C5" s="176" t="s">
        <v>127</v>
      </c>
      <c r="D5" s="176"/>
      <c r="E5" s="176"/>
      <c r="F5" s="176"/>
      <c r="G5" s="176"/>
      <c r="H5" s="176"/>
      <c r="I5" s="176"/>
      <c r="J5" s="176"/>
      <c r="K5" s="176"/>
      <c r="L5" s="176"/>
      <c r="M5" s="176"/>
      <c r="N5" s="176"/>
    </row>
    <row r="6" spans="1:15" ht="20.100000000000001" customHeight="1" x14ac:dyDescent="0.2">
      <c r="A6" s="24" t="s">
        <v>37</v>
      </c>
      <c r="B6" s="27">
        <f>ROUND((1+B4)*(1-B5),4)</f>
        <v>1.0881000000000001</v>
      </c>
      <c r="C6" s="175" t="s">
        <v>127</v>
      </c>
      <c r="D6" s="175"/>
      <c r="E6" s="175"/>
      <c r="F6" s="175"/>
      <c r="G6" s="175"/>
      <c r="H6" s="175"/>
      <c r="I6" s="175"/>
      <c r="J6" s="175"/>
      <c r="K6" s="175"/>
      <c r="L6" s="175"/>
      <c r="M6" s="175"/>
      <c r="N6" s="175"/>
    </row>
    <row r="7" spans="1:15" ht="20.100000000000001" customHeight="1" x14ac:dyDescent="0.2">
      <c r="A7" s="24" t="s">
        <v>38</v>
      </c>
      <c r="B7" s="55">
        <v>157188.5</v>
      </c>
      <c r="C7" s="176" t="s">
        <v>126</v>
      </c>
      <c r="D7" s="176"/>
      <c r="E7" s="176"/>
      <c r="F7" s="176"/>
      <c r="G7" s="176"/>
      <c r="H7" s="176"/>
      <c r="I7" s="176"/>
      <c r="J7" s="176"/>
      <c r="K7" s="176"/>
      <c r="L7" s="176"/>
      <c r="M7" s="176"/>
      <c r="N7" s="176"/>
    </row>
    <row r="8" spans="1:15" ht="20.100000000000001" customHeight="1" x14ac:dyDescent="0.2">
      <c r="A8" s="75" t="s">
        <v>12</v>
      </c>
      <c r="B8" s="76" t="s">
        <v>12</v>
      </c>
      <c r="C8" s="167" t="s">
        <v>128</v>
      </c>
      <c r="D8" s="167"/>
      <c r="E8" s="167"/>
      <c r="F8" s="167"/>
      <c r="G8" s="167"/>
      <c r="H8" s="167"/>
      <c r="I8" s="167"/>
      <c r="J8" s="167"/>
      <c r="K8" s="167"/>
      <c r="L8" s="167"/>
      <c r="M8" s="167"/>
      <c r="N8" s="167"/>
    </row>
    <row r="9" spans="1:15" ht="30" customHeight="1" x14ac:dyDescent="0.2">
      <c r="A9" s="33" t="s">
        <v>12</v>
      </c>
      <c r="B9" s="30" t="s">
        <v>13</v>
      </c>
      <c r="C9" s="30" t="s">
        <v>17</v>
      </c>
      <c r="D9" s="30" t="s">
        <v>16</v>
      </c>
      <c r="E9" s="30" t="s">
        <v>14</v>
      </c>
      <c r="F9" s="30" t="s">
        <v>8</v>
      </c>
      <c r="G9" s="30" t="s">
        <v>42</v>
      </c>
      <c r="H9" s="30" t="s">
        <v>43</v>
      </c>
      <c r="I9" s="30" t="s">
        <v>7</v>
      </c>
      <c r="J9" s="28" t="s">
        <v>51</v>
      </c>
      <c r="K9" s="28" t="s">
        <v>81</v>
      </c>
      <c r="L9" s="58" t="s">
        <v>18</v>
      </c>
      <c r="M9" s="58" t="s">
        <v>3</v>
      </c>
      <c r="N9" s="58" t="s">
        <v>93</v>
      </c>
      <c r="O9" s="62" t="s">
        <v>12</v>
      </c>
    </row>
    <row r="10" spans="1:15" ht="19.899999999999999" customHeight="1" x14ac:dyDescent="0.2">
      <c r="A10" s="31" t="s">
        <v>9</v>
      </c>
      <c r="B10" s="18" t="s">
        <v>24</v>
      </c>
      <c r="C10" s="18">
        <f>B62</f>
        <v>-6930</v>
      </c>
      <c r="D10" s="101">
        <f>B59</f>
        <v>1580</v>
      </c>
      <c r="E10" s="101">
        <f>B60</f>
        <v>3920</v>
      </c>
      <c r="F10" s="101">
        <f>B56</f>
        <v>5590</v>
      </c>
      <c r="G10" s="101">
        <f>B57</f>
        <v>2280</v>
      </c>
      <c r="H10" s="101">
        <f>B48</f>
        <v>1230</v>
      </c>
      <c r="I10" s="101">
        <f>B54</f>
        <v>2870</v>
      </c>
      <c r="J10" s="101">
        <f>B39</f>
        <v>4490</v>
      </c>
      <c r="K10" s="101">
        <f>B40</f>
        <v>3390</v>
      </c>
      <c r="L10" s="101">
        <f>B42</f>
        <v>610</v>
      </c>
      <c r="M10" s="101">
        <f>B41</f>
        <v>4060</v>
      </c>
      <c r="N10" s="101">
        <f>B55</f>
        <v>-170</v>
      </c>
      <c r="O10" s="42" t="s">
        <v>12</v>
      </c>
    </row>
    <row r="11" spans="1:15" ht="19.899999999999999" customHeight="1" x14ac:dyDescent="0.2">
      <c r="A11" s="31" t="s">
        <v>11</v>
      </c>
      <c r="B11" s="18" t="s">
        <v>24</v>
      </c>
      <c r="C11" s="18">
        <f>C62</f>
        <v>7385</v>
      </c>
      <c r="D11" s="101">
        <f>C59</f>
        <v>8856</v>
      </c>
      <c r="E11" s="101">
        <f>C60</f>
        <v>9400</v>
      </c>
      <c r="F11" s="101">
        <f>C56</f>
        <v>7856</v>
      </c>
      <c r="G11" s="101">
        <f>C57</f>
        <v>3827</v>
      </c>
      <c r="H11" s="101">
        <f>C48</f>
        <v>1898</v>
      </c>
      <c r="I11" s="101">
        <f>C54</f>
        <v>6985</v>
      </c>
      <c r="J11" s="101">
        <f>C39</f>
        <v>9212</v>
      </c>
      <c r="K11" s="101">
        <f>C40</f>
        <v>5501</v>
      </c>
      <c r="L11" s="101">
        <f>C42</f>
        <v>5160</v>
      </c>
      <c r="M11" s="101">
        <f>C41</f>
        <v>6234.7</v>
      </c>
      <c r="N11" s="101">
        <f>C55</f>
        <v>6168</v>
      </c>
    </row>
    <row r="12" spans="1:15" ht="19.899999999999999" customHeight="1" x14ac:dyDescent="0.2">
      <c r="A12" s="32" t="s">
        <v>10</v>
      </c>
      <c r="B12" s="18">
        <f>ROUND((B7*B6),1)</f>
        <v>171036.79999999999</v>
      </c>
      <c r="C12" s="18">
        <v>67662</v>
      </c>
      <c r="D12" s="40">
        <v>37633</v>
      </c>
      <c r="E12" s="40">
        <v>15883</v>
      </c>
      <c r="F12" s="40">
        <v>12174</v>
      </c>
      <c r="G12" s="40">
        <v>6375</v>
      </c>
      <c r="H12" s="40">
        <v>3060</v>
      </c>
      <c r="I12" s="40">
        <v>8074</v>
      </c>
      <c r="J12" s="40">
        <v>15742</v>
      </c>
      <c r="K12" s="40">
        <v>5979</v>
      </c>
      <c r="L12" s="40">
        <v>26509</v>
      </c>
      <c r="M12" s="40">
        <v>8401</v>
      </c>
      <c r="N12" s="40">
        <v>10565</v>
      </c>
      <c r="O12" s="42" t="s">
        <v>12</v>
      </c>
    </row>
    <row r="13" spans="1:15" ht="19.899999999999999" customHeight="1" x14ac:dyDescent="0.2">
      <c r="A13" s="31" t="s">
        <v>45</v>
      </c>
      <c r="B13" s="101">
        <f>H35</f>
        <v>12815.4</v>
      </c>
      <c r="C13" s="99">
        <f>H62</f>
        <v>0</v>
      </c>
      <c r="D13" s="99">
        <f>H59</f>
        <v>0</v>
      </c>
      <c r="E13" s="99">
        <f>H60</f>
        <v>0</v>
      </c>
      <c r="F13" s="99">
        <f>H56</f>
        <v>0</v>
      </c>
      <c r="G13" s="99">
        <f>H57</f>
        <v>0</v>
      </c>
      <c r="H13" s="99">
        <f>H48</f>
        <v>0</v>
      </c>
      <c r="I13" s="99">
        <f>H54</f>
        <v>0</v>
      </c>
      <c r="J13" s="99">
        <f>H39</f>
        <v>0</v>
      </c>
      <c r="K13" s="99">
        <f>H40</f>
        <v>0</v>
      </c>
      <c r="L13" s="101">
        <f>H42</f>
        <v>0</v>
      </c>
      <c r="M13" s="99">
        <f>H41</f>
        <v>0</v>
      </c>
      <c r="N13" s="99">
        <f>H55</f>
        <v>0</v>
      </c>
    </row>
    <row r="14" spans="1:15" ht="19.899999999999999" customHeight="1" x14ac:dyDescent="0.2">
      <c r="A14" s="31" t="s">
        <v>44</v>
      </c>
      <c r="B14" s="101">
        <f>ROUND(B13*$B$6,1)</f>
        <v>13944.4</v>
      </c>
      <c r="C14" s="99">
        <f t="shared" ref="C14:I14" si="0">ROUND(C13*$B$6,1)</f>
        <v>0</v>
      </c>
      <c r="D14" s="99">
        <f t="shared" si="0"/>
        <v>0</v>
      </c>
      <c r="E14" s="99">
        <f t="shared" si="0"/>
        <v>0</v>
      </c>
      <c r="F14" s="99">
        <f t="shared" si="0"/>
        <v>0</v>
      </c>
      <c r="G14" s="99">
        <f t="shared" si="0"/>
        <v>0</v>
      </c>
      <c r="H14" s="99">
        <f t="shared" si="0"/>
        <v>0</v>
      </c>
      <c r="I14" s="99">
        <f t="shared" si="0"/>
        <v>0</v>
      </c>
      <c r="J14" s="99">
        <f>ROUND(J13*$B$6,1)</f>
        <v>0</v>
      </c>
      <c r="K14" s="99">
        <f>ROUND(K13*$B$6,1)</f>
        <v>0</v>
      </c>
      <c r="L14" s="101">
        <f>ROUND(L13*$B$6,1)</f>
        <v>0</v>
      </c>
      <c r="M14" s="99">
        <f>ROUND(M13*$B$6,1)</f>
        <v>0</v>
      </c>
      <c r="N14" s="99">
        <f>ROUND(N13*$B$6,1)</f>
        <v>0</v>
      </c>
    </row>
    <row r="15" spans="1:15" ht="19.899999999999999" customHeight="1" x14ac:dyDescent="0.2">
      <c r="A15" s="148" t="s">
        <v>46</v>
      </c>
      <c r="B15" s="56">
        <f>B12-B14</f>
        <v>157092.4</v>
      </c>
      <c r="C15" s="56">
        <f t="shared" ref="C15:N15" si="1">C12-C14</f>
        <v>67662</v>
      </c>
      <c r="D15" s="56">
        <f t="shared" si="1"/>
        <v>37633</v>
      </c>
      <c r="E15" s="56">
        <f t="shared" si="1"/>
        <v>15883</v>
      </c>
      <c r="F15" s="56">
        <f t="shared" si="1"/>
        <v>12174</v>
      </c>
      <c r="G15" s="56">
        <f t="shared" si="1"/>
        <v>6375</v>
      </c>
      <c r="H15" s="56">
        <f t="shared" si="1"/>
        <v>3060</v>
      </c>
      <c r="I15" s="56">
        <f t="shared" si="1"/>
        <v>8074</v>
      </c>
      <c r="J15" s="56">
        <f t="shared" si="1"/>
        <v>15742</v>
      </c>
      <c r="K15" s="56">
        <f t="shared" si="1"/>
        <v>5979</v>
      </c>
      <c r="L15" s="56">
        <f t="shared" si="1"/>
        <v>26509</v>
      </c>
      <c r="M15" s="56">
        <f t="shared" si="1"/>
        <v>8401</v>
      </c>
      <c r="N15" s="56">
        <f t="shared" si="1"/>
        <v>10565</v>
      </c>
    </row>
    <row r="16" spans="1:15" ht="19.899999999999999" customHeight="1" x14ac:dyDescent="0.2">
      <c r="A16" s="65" t="s">
        <v>47</v>
      </c>
      <c r="B16" s="21">
        <f>'Net CONE'!I39</f>
        <v>299.3</v>
      </c>
      <c r="C16" s="21">
        <f>'Net CONE'!I28</f>
        <v>262.02</v>
      </c>
      <c r="D16" s="21">
        <f>'Net CONE'!I19</f>
        <v>283.63</v>
      </c>
      <c r="E16" s="21">
        <f>'Net CONE'!I23</f>
        <v>229.93</v>
      </c>
      <c r="F16" s="21">
        <f>'Net CONE'!I17</f>
        <v>303.3</v>
      </c>
      <c r="G16" s="21">
        <f>'Net CONE'!I17</f>
        <v>303.3</v>
      </c>
      <c r="H16" s="21">
        <f>'Net CONE'!I14</f>
        <v>262.27</v>
      </c>
      <c r="I16" s="21">
        <f>'Net CONE'!I22</f>
        <v>244.23</v>
      </c>
      <c r="J16" s="21">
        <f>'Net CONE'!I32</f>
        <v>264.06</v>
      </c>
      <c r="K16" s="21">
        <f>'Net CONE'!I32</f>
        <v>264.06</v>
      </c>
      <c r="L16" s="21">
        <f>'Net CONE'!I33</f>
        <v>328.44</v>
      </c>
      <c r="M16" s="21">
        <f>'Net CONE'!I21</f>
        <v>215.62</v>
      </c>
      <c r="N16" s="21">
        <f>'Net CONE'!I27</f>
        <v>277.74</v>
      </c>
      <c r="O16" s="42" t="s">
        <v>12</v>
      </c>
    </row>
    <row r="17" spans="1:15" ht="19.899999999999999" customHeight="1" x14ac:dyDescent="0.2">
      <c r="A17" s="147" t="s">
        <v>220</v>
      </c>
      <c r="B17" s="18">
        <v>1738.3</v>
      </c>
      <c r="C17" s="18">
        <v>609.6</v>
      </c>
      <c r="D17" s="18">
        <v>204.7</v>
      </c>
      <c r="E17" s="18">
        <v>307.60000000000002</v>
      </c>
      <c r="F17" s="18">
        <v>46.8</v>
      </c>
      <c r="G17" s="18">
        <v>9.1999999999999993</v>
      </c>
      <c r="H17" s="18">
        <v>1.2</v>
      </c>
      <c r="I17" s="18">
        <v>121.5</v>
      </c>
      <c r="J17" s="18">
        <v>49.5</v>
      </c>
      <c r="K17" s="18">
        <v>0.5</v>
      </c>
      <c r="L17" s="18">
        <v>666.4</v>
      </c>
      <c r="M17" s="18">
        <v>186.1</v>
      </c>
      <c r="N17" s="18">
        <v>56.6</v>
      </c>
      <c r="O17" s="42"/>
    </row>
    <row r="18" spans="1:15" ht="19.899999999999999" customHeight="1" x14ac:dyDescent="0.2">
      <c r="A18" s="147" t="s">
        <v>219</v>
      </c>
      <c r="B18" s="18">
        <f>ROUND(B17*$B$6,1)</f>
        <v>1891.4</v>
      </c>
      <c r="C18" s="18">
        <f t="shared" ref="C18:N18" si="2">ROUND(C17*$B$6,1)</f>
        <v>663.3</v>
      </c>
      <c r="D18" s="18">
        <f t="shared" si="2"/>
        <v>222.7</v>
      </c>
      <c r="E18" s="18">
        <f t="shared" si="2"/>
        <v>334.7</v>
      </c>
      <c r="F18" s="18">
        <f t="shared" si="2"/>
        <v>50.9</v>
      </c>
      <c r="G18" s="18">
        <f t="shared" si="2"/>
        <v>10</v>
      </c>
      <c r="H18" s="18">
        <f t="shared" si="2"/>
        <v>1.3</v>
      </c>
      <c r="I18" s="18">
        <f t="shared" si="2"/>
        <v>132.19999999999999</v>
      </c>
      <c r="J18" s="18">
        <f t="shared" si="2"/>
        <v>53.9</v>
      </c>
      <c r="K18" s="18">
        <f t="shared" si="2"/>
        <v>0.5</v>
      </c>
      <c r="L18" s="18">
        <f t="shared" si="2"/>
        <v>725.1</v>
      </c>
      <c r="M18" s="18">
        <f t="shared" si="2"/>
        <v>202.5</v>
      </c>
      <c r="N18" s="18">
        <f t="shared" si="2"/>
        <v>61.6</v>
      </c>
      <c r="O18" s="42"/>
    </row>
    <row r="19" spans="1:15" ht="19.899999999999999" customHeight="1" x14ac:dyDescent="0.2">
      <c r="A19" s="168" t="s">
        <v>48</v>
      </c>
      <c r="B19" s="168"/>
      <c r="C19" s="168"/>
      <c r="D19" s="168"/>
      <c r="E19" s="168"/>
      <c r="F19" s="168"/>
      <c r="G19" s="168"/>
      <c r="H19" s="168"/>
      <c r="I19" s="168"/>
      <c r="J19" s="168"/>
      <c r="K19" s="168"/>
      <c r="L19" s="168"/>
      <c r="M19" s="168"/>
      <c r="N19" s="168"/>
    </row>
    <row r="20" spans="1:15" ht="19.899999999999999" customHeight="1" x14ac:dyDescent="0.2">
      <c r="A20" s="66" t="s">
        <v>25</v>
      </c>
      <c r="B20" s="17">
        <f>'Net CONE'!J39</f>
        <v>448.95</v>
      </c>
      <c r="C20" s="17">
        <f>'Net CONE'!J28</f>
        <v>393.03</v>
      </c>
      <c r="D20" s="17">
        <f>'Net CONE'!J19</f>
        <v>425.45</v>
      </c>
      <c r="E20" s="17">
        <f>'Net CONE'!J23</f>
        <v>392.87</v>
      </c>
      <c r="F20" s="17">
        <f>'Net CONE'!J17</f>
        <v>454.95</v>
      </c>
      <c r="G20" s="17">
        <f>'Net CONE'!J17</f>
        <v>454.95</v>
      </c>
      <c r="H20" s="17">
        <f>'Net CONE'!J14</f>
        <v>393.41</v>
      </c>
      <c r="I20" s="17">
        <f>'Net CONE'!J22</f>
        <v>392.87</v>
      </c>
      <c r="J20" s="17">
        <f>'Net CONE'!J32</f>
        <v>396.09</v>
      </c>
      <c r="K20" s="17">
        <f>'Net CONE'!J32</f>
        <v>396.09</v>
      </c>
      <c r="L20" s="17">
        <f>'Net CONE'!J33</f>
        <v>492.66</v>
      </c>
      <c r="M20" s="17">
        <f>'Net CONE'!J21</f>
        <v>392.87</v>
      </c>
      <c r="N20" s="17">
        <f>'Net CONE'!J27</f>
        <v>416.61</v>
      </c>
      <c r="O20" s="42" t="s">
        <v>12</v>
      </c>
    </row>
    <row r="21" spans="1:15" ht="19.899999999999999" customHeight="1" x14ac:dyDescent="0.2">
      <c r="A21" s="31" t="s">
        <v>26</v>
      </c>
      <c r="B21" s="17">
        <f>ROUND(B$16*0.75,2)</f>
        <v>224.48</v>
      </c>
      <c r="C21" s="17">
        <f t="shared" ref="C21:M21" si="3">ROUND(C$16*0.75,2)</f>
        <v>196.52</v>
      </c>
      <c r="D21" s="17">
        <f t="shared" si="3"/>
        <v>212.72</v>
      </c>
      <c r="E21" s="17">
        <f t="shared" si="3"/>
        <v>172.45</v>
      </c>
      <c r="F21" s="17">
        <f t="shared" si="3"/>
        <v>227.48</v>
      </c>
      <c r="G21" s="17">
        <f t="shared" si="3"/>
        <v>227.48</v>
      </c>
      <c r="H21" s="17">
        <f t="shared" si="3"/>
        <v>196.7</v>
      </c>
      <c r="I21" s="17">
        <f t="shared" si="3"/>
        <v>183.17</v>
      </c>
      <c r="J21" s="17">
        <f t="shared" si="3"/>
        <v>198.05</v>
      </c>
      <c r="K21" s="17">
        <f t="shared" si="3"/>
        <v>198.05</v>
      </c>
      <c r="L21" s="17">
        <f t="shared" si="3"/>
        <v>246.33</v>
      </c>
      <c r="M21" s="17">
        <f t="shared" si="3"/>
        <v>161.72</v>
      </c>
      <c r="N21" s="17">
        <f>ROUND(N$16*0.75,2)</f>
        <v>208.31</v>
      </c>
    </row>
    <row r="22" spans="1:15" ht="19.899999999999999" customHeight="1" x14ac:dyDescent="0.2">
      <c r="A22" s="31" t="s">
        <v>27</v>
      </c>
      <c r="B22" s="17">
        <v>0</v>
      </c>
      <c r="C22" s="17">
        <v>0</v>
      </c>
      <c r="D22" s="17">
        <v>0</v>
      </c>
      <c r="E22" s="17">
        <v>0</v>
      </c>
      <c r="F22" s="17">
        <v>0</v>
      </c>
      <c r="G22" s="17">
        <v>0</v>
      </c>
      <c r="H22" s="17">
        <v>0</v>
      </c>
      <c r="I22" s="17">
        <v>0</v>
      </c>
      <c r="J22" s="17">
        <v>0</v>
      </c>
      <c r="K22" s="17">
        <v>0</v>
      </c>
      <c r="L22" s="17">
        <v>0</v>
      </c>
      <c r="M22" s="17">
        <v>0</v>
      </c>
      <c r="N22" s="17">
        <v>0</v>
      </c>
    </row>
    <row r="23" spans="1:15" ht="19.899999999999999" customHeight="1" x14ac:dyDescent="0.2">
      <c r="A23" s="31" t="s">
        <v>28</v>
      </c>
      <c r="B23" s="18">
        <f>ROUND(B$15*(1+$B$4-0.2%)/(1+$B$4),1)+B18</f>
        <v>158714.1</v>
      </c>
      <c r="C23" s="18">
        <f>ROUND(C$15*(1+$B$4-0.2%)/(1+$B$4),1)+C18</f>
        <v>68209.100000000006</v>
      </c>
      <c r="D23" s="18">
        <f t="shared" ref="D23:N23" si="4">ROUND(D$15*(1+$B$4-0.2%)/(1+$B$4),1)+D18</f>
        <v>37791.1</v>
      </c>
      <c r="E23" s="18">
        <f t="shared" si="4"/>
        <v>16190.400000000001</v>
      </c>
      <c r="F23" s="18">
        <f t="shared" si="4"/>
        <v>12204</v>
      </c>
      <c r="G23" s="18">
        <f t="shared" si="4"/>
        <v>6374.1</v>
      </c>
      <c r="H23" s="18">
        <f t="shared" si="4"/>
        <v>3056</v>
      </c>
      <c r="I23" s="18">
        <f t="shared" si="4"/>
        <v>8192.3000000000011</v>
      </c>
      <c r="J23" s="18">
        <f t="shared" si="4"/>
        <v>15768.9</v>
      </c>
      <c r="K23" s="18">
        <f t="shared" si="4"/>
        <v>5969.2</v>
      </c>
      <c r="L23" s="18">
        <f t="shared" si="4"/>
        <v>27188.6</v>
      </c>
      <c r="M23" s="18">
        <f t="shared" si="4"/>
        <v>8589.1</v>
      </c>
      <c r="N23" s="18">
        <f t="shared" si="4"/>
        <v>10608.5</v>
      </c>
    </row>
    <row r="24" spans="1:15" ht="19.899999999999999" customHeight="1" x14ac:dyDescent="0.2">
      <c r="A24" s="31" t="s">
        <v>29</v>
      </c>
      <c r="B24" s="18">
        <f>ROUND(B$15*(1+$B$4+2.9%)/(1+$B$4),1)+B18</f>
        <v>162894.29999999999</v>
      </c>
      <c r="C24" s="18">
        <f t="shared" ref="C24:N24" si="5">ROUND(C$15*(1+$B$4+2.9%)/(1+$B$4),1)+C18</f>
        <v>70009.600000000006</v>
      </c>
      <c r="D24" s="18">
        <f t="shared" si="5"/>
        <v>38792.5</v>
      </c>
      <c r="E24" s="18">
        <f t="shared" si="5"/>
        <v>16613.099999999999</v>
      </c>
      <c r="F24" s="18">
        <f t="shared" si="5"/>
        <v>12527.9</v>
      </c>
      <c r="G24" s="18">
        <f t="shared" si="5"/>
        <v>6543.7</v>
      </c>
      <c r="H24" s="18">
        <f t="shared" si="5"/>
        <v>3137.5</v>
      </c>
      <c r="I24" s="18">
        <f t="shared" si="5"/>
        <v>8407.2000000000007</v>
      </c>
      <c r="J24" s="18">
        <f t="shared" si="5"/>
        <v>16187.8</v>
      </c>
      <c r="K24" s="18">
        <f t="shared" si="5"/>
        <v>6128.3</v>
      </c>
      <c r="L24" s="18">
        <f t="shared" si="5"/>
        <v>27894</v>
      </c>
      <c r="M24" s="18">
        <f t="shared" si="5"/>
        <v>8812.6</v>
      </c>
      <c r="N24" s="18">
        <f t="shared" si="5"/>
        <v>10889.6</v>
      </c>
    </row>
    <row r="25" spans="1:15" ht="19.899999999999999" customHeight="1" x14ac:dyDescent="0.2">
      <c r="A25" s="31" t="s">
        <v>30</v>
      </c>
      <c r="B25" s="18">
        <f>ROUND(B$15*(1+$B$4+8.8%)/(1+$B$4),1)+B18</f>
        <v>170850</v>
      </c>
      <c r="C25" s="18">
        <f t="shared" ref="C25:N25" si="6">ROUND(C$15*(1+$B$4+8.8%)/(1+$B$4),1)+C18</f>
        <v>73436.2</v>
      </c>
      <c r="D25" s="18">
        <f t="shared" si="6"/>
        <v>40698.399999999994</v>
      </c>
      <c r="E25" s="18">
        <f t="shared" si="6"/>
        <v>17417.400000000001</v>
      </c>
      <c r="F25" s="18">
        <f t="shared" si="6"/>
        <v>13144.5</v>
      </c>
      <c r="G25" s="18">
        <f t="shared" si="6"/>
        <v>6866.5</v>
      </c>
      <c r="H25" s="18">
        <f t="shared" si="6"/>
        <v>3292.4</v>
      </c>
      <c r="I25" s="18">
        <f t="shared" si="6"/>
        <v>8816.1</v>
      </c>
      <c r="J25" s="18">
        <f t="shared" si="6"/>
        <v>16985</v>
      </c>
      <c r="K25" s="18">
        <f t="shared" si="6"/>
        <v>6431.1</v>
      </c>
      <c r="L25" s="18">
        <f t="shared" si="6"/>
        <v>29236.5</v>
      </c>
      <c r="M25" s="18">
        <f t="shared" si="6"/>
        <v>9238.1</v>
      </c>
      <c r="N25" s="18">
        <f t="shared" si="6"/>
        <v>11424.6</v>
      </c>
    </row>
    <row r="26" spans="1:15" ht="19.899999999999999" customHeight="1" x14ac:dyDescent="0.2">
      <c r="A26" s="31" t="s">
        <v>50</v>
      </c>
      <c r="B26" s="29" t="s">
        <v>24</v>
      </c>
      <c r="C26" s="19">
        <v>892</v>
      </c>
      <c r="D26" s="19" t="s">
        <v>24</v>
      </c>
      <c r="E26" s="19" t="s">
        <v>24</v>
      </c>
      <c r="F26" s="19" t="s">
        <v>24</v>
      </c>
      <c r="G26" s="19" t="s">
        <v>24</v>
      </c>
      <c r="H26" s="19">
        <v>72</v>
      </c>
      <c r="I26" s="19" t="s">
        <v>24</v>
      </c>
      <c r="J26" s="19" t="s">
        <v>24</v>
      </c>
      <c r="K26" s="19" t="s">
        <v>24</v>
      </c>
      <c r="L26" s="19" t="s">
        <v>24</v>
      </c>
      <c r="M26" s="19">
        <v>65.7</v>
      </c>
      <c r="N26" s="19" t="s">
        <v>24</v>
      </c>
    </row>
    <row r="27" spans="1:15" ht="19.899999999999999" hidden="1" customHeight="1" x14ac:dyDescent="0.2">
      <c r="A27" s="39" t="s">
        <v>70</v>
      </c>
      <c r="B27" s="41" t="s">
        <v>12</v>
      </c>
      <c r="C27" s="41" t="s">
        <v>12</v>
      </c>
      <c r="D27" s="41" t="s">
        <v>12</v>
      </c>
      <c r="E27" s="41" t="s">
        <v>12</v>
      </c>
      <c r="F27" s="41" t="s">
        <v>12</v>
      </c>
      <c r="G27" s="41" t="s">
        <v>12</v>
      </c>
      <c r="H27" s="41" t="s">
        <v>12</v>
      </c>
      <c r="I27" s="41" t="s">
        <v>12</v>
      </c>
      <c r="J27" s="41" t="s">
        <v>12</v>
      </c>
      <c r="K27" s="41" t="s">
        <v>12</v>
      </c>
      <c r="L27" s="41" t="s">
        <v>12</v>
      </c>
      <c r="M27" s="41" t="s">
        <v>12</v>
      </c>
      <c r="N27" s="41" t="s">
        <v>12</v>
      </c>
    </row>
    <row r="28" spans="1:15" ht="19.899999999999999" hidden="1" customHeight="1" x14ac:dyDescent="0.2">
      <c r="A28" s="39" t="s">
        <v>71</v>
      </c>
      <c r="B28" s="41" t="s">
        <v>12</v>
      </c>
      <c r="C28" s="41" t="s">
        <v>12</v>
      </c>
      <c r="D28" s="41" t="s">
        <v>12</v>
      </c>
      <c r="E28" s="41" t="s">
        <v>12</v>
      </c>
      <c r="F28" s="41" t="s">
        <v>12</v>
      </c>
      <c r="G28" s="41" t="s">
        <v>12</v>
      </c>
      <c r="H28" s="41" t="s">
        <v>12</v>
      </c>
      <c r="I28" s="41" t="s">
        <v>12</v>
      </c>
      <c r="J28" s="41" t="s">
        <v>12</v>
      </c>
      <c r="K28" s="41" t="s">
        <v>12</v>
      </c>
      <c r="L28" s="41" t="s">
        <v>12</v>
      </c>
      <c r="M28" s="41" t="s">
        <v>12</v>
      </c>
      <c r="N28" s="41" t="s">
        <v>12</v>
      </c>
    </row>
    <row r="29" spans="1:15" ht="19.899999999999999" hidden="1" customHeight="1" x14ac:dyDescent="0.2">
      <c r="A29" s="39" t="s">
        <v>72</v>
      </c>
      <c r="B29" s="41" t="s">
        <v>12</v>
      </c>
      <c r="C29" s="41" t="s">
        <v>12</v>
      </c>
      <c r="D29" s="41" t="s">
        <v>12</v>
      </c>
      <c r="E29" s="41" t="s">
        <v>12</v>
      </c>
      <c r="F29" s="41" t="s">
        <v>12</v>
      </c>
      <c r="G29" s="41" t="s">
        <v>12</v>
      </c>
      <c r="H29" s="41" t="s">
        <v>12</v>
      </c>
      <c r="I29" s="41" t="s">
        <v>12</v>
      </c>
      <c r="J29" s="41" t="s">
        <v>12</v>
      </c>
      <c r="K29" s="41" t="s">
        <v>12</v>
      </c>
      <c r="L29" s="41" t="s">
        <v>12</v>
      </c>
      <c r="M29" s="41" t="s">
        <v>12</v>
      </c>
      <c r="N29" s="41" t="s">
        <v>12</v>
      </c>
    </row>
    <row r="30" spans="1:15" ht="19.899999999999999" customHeight="1" x14ac:dyDescent="0.2">
      <c r="A30" s="169" t="s">
        <v>95</v>
      </c>
      <c r="B30" s="170"/>
      <c r="C30" s="170"/>
      <c r="D30" s="170"/>
      <c r="E30" s="170"/>
      <c r="F30" s="170"/>
      <c r="G30" s="170"/>
      <c r="H30" s="170"/>
      <c r="I30" s="170"/>
      <c r="J30" s="170"/>
      <c r="K30" s="170"/>
      <c r="L30" s="170"/>
      <c r="M30" s="170"/>
      <c r="N30" s="171"/>
    </row>
    <row r="31" spans="1:15" ht="19.899999999999999" customHeight="1" x14ac:dyDescent="0.2">
      <c r="A31" s="31" t="s">
        <v>94</v>
      </c>
      <c r="B31" s="29" t="s">
        <v>24</v>
      </c>
      <c r="C31" s="16">
        <f>ROUND((C12-C11)/(F62*$B$6),3)</f>
        <v>0.97</v>
      </c>
      <c r="D31" s="16">
        <f>ROUND((D12-D11)/(F59*$B$6),3)</f>
        <v>0.85299999999999998</v>
      </c>
      <c r="E31" s="16">
        <f>ROUND((E12-E11)/(F60*$B$6),3)</f>
        <v>0.45300000000000001</v>
      </c>
      <c r="F31" s="16">
        <f>ROUND((F12-F11)/(F56*$B$6),3)</f>
        <v>0.40200000000000002</v>
      </c>
      <c r="G31" s="29" t="s">
        <v>24</v>
      </c>
      <c r="H31" s="29" t="s">
        <v>24</v>
      </c>
      <c r="I31" s="29" t="s">
        <v>24</v>
      </c>
      <c r="J31" s="16">
        <f>ROUND((J12-J11)/(F39*$B$6),3)</f>
        <v>0.47599999999999998</v>
      </c>
      <c r="K31" s="29" t="s">
        <v>24</v>
      </c>
      <c r="L31" s="16">
        <f>ROUND((L12-L11)/(F42*$B$6),3)</f>
        <v>0.89800000000000002</v>
      </c>
      <c r="M31" s="29" t="s">
        <v>24</v>
      </c>
      <c r="N31" s="29" t="s">
        <v>24</v>
      </c>
    </row>
    <row r="32" spans="1:15" ht="20.100000000000001" customHeight="1" x14ac:dyDescent="0.2">
      <c r="A32" s="172" t="s">
        <v>12</v>
      </c>
      <c r="B32" s="173"/>
      <c r="C32" s="173"/>
      <c r="D32" s="173"/>
      <c r="E32" s="173"/>
      <c r="F32" s="173"/>
      <c r="G32" s="173"/>
      <c r="H32" s="173"/>
      <c r="I32" s="173"/>
      <c r="J32" s="173"/>
      <c r="K32" s="173"/>
      <c r="L32" s="173"/>
      <c r="M32" s="173"/>
      <c r="N32" s="173"/>
    </row>
    <row r="33" spans="1:11" ht="18" customHeight="1" x14ac:dyDescent="0.2">
      <c r="A33" s="174" t="s">
        <v>109</v>
      </c>
      <c r="B33" s="174"/>
      <c r="C33" s="174"/>
      <c r="D33" s="174"/>
      <c r="E33" s="174"/>
      <c r="F33" s="174"/>
      <c r="G33" s="174"/>
      <c r="H33" s="174"/>
      <c r="I33" s="174"/>
      <c r="J33" s="86"/>
    </row>
    <row r="34" spans="1:11" s="3" customFormat="1" ht="84.95" customHeight="1" x14ac:dyDescent="0.2">
      <c r="A34" s="35" t="s">
        <v>39</v>
      </c>
      <c r="B34" s="34" t="s">
        <v>9</v>
      </c>
      <c r="C34" s="92" t="s">
        <v>11</v>
      </c>
      <c r="D34" s="34" t="s">
        <v>92</v>
      </c>
      <c r="E34" s="34" t="s">
        <v>137</v>
      </c>
      <c r="F34" s="34" t="s">
        <v>31</v>
      </c>
      <c r="G34" s="34" t="s">
        <v>32</v>
      </c>
      <c r="H34" s="34" t="s">
        <v>63</v>
      </c>
      <c r="I34" s="34" t="s">
        <v>121</v>
      </c>
      <c r="J34" s="52" t="s">
        <v>12</v>
      </c>
    </row>
    <row r="35" spans="1:11" s="3" customFormat="1" ht="19.899999999999999" customHeight="1" x14ac:dyDescent="0.2">
      <c r="A35" s="36" t="s">
        <v>13</v>
      </c>
      <c r="B35" s="36" t="s">
        <v>24</v>
      </c>
      <c r="C35" s="18" t="s">
        <v>24</v>
      </c>
      <c r="D35" s="5" t="s">
        <v>24</v>
      </c>
      <c r="E35" s="56">
        <f>E36+E37+E38+E39+E41+E42+E43+E44+E45+E46+E47+E49+E50+E51+E52+E53+E54+E55+E56+E58</f>
        <v>150518.20000000001</v>
      </c>
      <c r="F35" s="56">
        <f>F36+F37+F38+F39+F41+F42+F43+F44+F45+F46+F47+F49+F50+F51+F52+F53+F54+F55+F56+F58</f>
        <v>157188.5</v>
      </c>
      <c r="G35" s="45" t="s">
        <v>24</v>
      </c>
      <c r="H35" s="56">
        <f>H36+H37+H38+H39+H41+H42+H43+H44+H45+H46+H47+H49+H50+H51+H52+H53+H54+H55+H56+H58</f>
        <v>12815.4</v>
      </c>
      <c r="I35" s="56">
        <f>I36+I37+I38+I39+I41+I42+I43+I44+I45+I46+I47+I49+I50+I51+I52+I53+I54+I55+I56+I58</f>
        <v>144373.1</v>
      </c>
      <c r="J35" s="95" t="s">
        <v>12</v>
      </c>
    </row>
    <row r="36" spans="1:11" s="2" customFormat="1" ht="19.899999999999999" customHeight="1" x14ac:dyDescent="0.2">
      <c r="A36" s="20" t="s">
        <v>2</v>
      </c>
      <c r="B36" s="101">
        <v>520</v>
      </c>
      <c r="C36" s="57" t="s">
        <v>147</v>
      </c>
      <c r="D36" s="47" t="s">
        <v>49</v>
      </c>
      <c r="E36" s="40">
        <v>2450</v>
      </c>
      <c r="F36" s="40">
        <v>2445</v>
      </c>
      <c r="G36" s="46">
        <f>F36/E36</f>
        <v>0.99795918367346936</v>
      </c>
      <c r="H36" s="18">
        <v>0</v>
      </c>
      <c r="I36" s="40">
        <f t="shared" ref="I36:I58" si="7">F36-H36</f>
        <v>2445</v>
      </c>
      <c r="J36" s="126" t="s">
        <v>12</v>
      </c>
      <c r="K36" s="127" t="s">
        <v>12</v>
      </c>
    </row>
    <row r="37" spans="1:11" s="2" customFormat="1" ht="19.899999999999999" customHeight="1" x14ac:dyDescent="0.2">
      <c r="A37" s="37" t="s">
        <v>64</v>
      </c>
      <c r="B37" s="57">
        <v>740</v>
      </c>
      <c r="C37" s="57" t="s">
        <v>148</v>
      </c>
      <c r="D37" s="47" t="s">
        <v>49</v>
      </c>
      <c r="E37" s="47">
        <v>22290</v>
      </c>
      <c r="F37" s="47">
        <v>22901</v>
      </c>
      <c r="G37" s="46">
        <f t="shared" ref="G37:G47" si="8">F37/E37</f>
        <v>1.0274113952445043</v>
      </c>
      <c r="H37" s="18">
        <v>11947.5</v>
      </c>
      <c r="I37" s="40">
        <f t="shared" si="7"/>
        <v>10953.5</v>
      </c>
      <c r="J37" s="126" t="s">
        <v>12</v>
      </c>
      <c r="K37" s="127" t="s">
        <v>12</v>
      </c>
    </row>
    <row r="38" spans="1:11" s="2" customFormat="1" ht="19.899999999999999" customHeight="1" x14ac:dyDescent="0.2">
      <c r="A38" s="37" t="s">
        <v>0</v>
      </c>
      <c r="B38" s="57">
        <v>2680</v>
      </c>
      <c r="C38" s="57" t="s">
        <v>215</v>
      </c>
      <c r="D38" s="47" t="s">
        <v>49</v>
      </c>
      <c r="E38" s="47">
        <v>8350</v>
      </c>
      <c r="F38" s="47">
        <v>8891</v>
      </c>
      <c r="G38" s="46">
        <f t="shared" si="8"/>
        <v>1.0647904191616766</v>
      </c>
      <c r="H38" s="18">
        <v>0</v>
      </c>
      <c r="I38" s="40">
        <f t="shared" si="7"/>
        <v>8891</v>
      </c>
      <c r="J38" s="126" t="s">
        <v>12</v>
      </c>
      <c r="K38" s="127" t="s">
        <v>12</v>
      </c>
    </row>
    <row r="39" spans="1:11" s="2" customFormat="1" ht="19.899999999999999" customHeight="1" x14ac:dyDescent="0.2">
      <c r="A39" s="37" t="s">
        <v>51</v>
      </c>
      <c r="B39" s="57">
        <v>4490</v>
      </c>
      <c r="C39" s="149">
        <v>9212</v>
      </c>
      <c r="D39" s="49">
        <f>C39/B39</f>
        <v>2.0516703786191535</v>
      </c>
      <c r="E39" s="47">
        <v>12640</v>
      </c>
      <c r="F39" s="47">
        <v>12617</v>
      </c>
      <c r="G39" s="46">
        <f t="shared" si="8"/>
        <v>0.99818037974683549</v>
      </c>
      <c r="H39" s="18">
        <v>0</v>
      </c>
      <c r="I39" s="40">
        <f t="shared" si="7"/>
        <v>12617</v>
      </c>
      <c r="J39" s="126" t="s">
        <v>12</v>
      </c>
      <c r="K39" s="127" t="s">
        <v>12</v>
      </c>
    </row>
    <row r="40" spans="1:11" s="2" customFormat="1" ht="19.899999999999999" customHeight="1" x14ac:dyDescent="0.2">
      <c r="A40" s="37" t="s">
        <v>79</v>
      </c>
      <c r="B40" s="57">
        <v>3390</v>
      </c>
      <c r="C40" s="149">
        <v>5501</v>
      </c>
      <c r="D40" s="49">
        <f>C40/B40</f>
        <v>1.6227138643067847</v>
      </c>
      <c r="E40" s="47" t="s">
        <v>24</v>
      </c>
      <c r="F40" s="47">
        <v>4221.6000000000004</v>
      </c>
      <c r="G40" s="46" t="s">
        <v>24</v>
      </c>
      <c r="H40" s="18">
        <v>0</v>
      </c>
      <c r="I40" s="40">
        <f t="shared" si="7"/>
        <v>4221.6000000000004</v>
      </c>
      <c r="J40" s="126" t="s">
        <v>12</v>
      </c>
      <c r="K40" s="127" t="s">
        <v>12</v>
      </c>
    </row>
    <row r="41" spans="1:11" s="2" customFormat="1" ht="19.899999999999999" customHeight="1" x14ac:dyDescent="0.2">
      <c r="A41" s="20" t="s">
        <v>3</v>
      </c>
      <c r="B41" s="57">
        <v>4060</v>
      </c>
      <c r="C41" s="149">
        <f>6169+65.7</f>
        <v>6234.7</v>
      </c>
      <c r="D41" s="49">
        <f>C41/B41</f>
        <v>1.5356403940886698</v>
      </c>
      <c r="E41" s="40">
        <v>6490</v>
      </c>
      <c r="F41" s="40">
        <v>6758</v>
      </c>
      <c r="G41" s="46">
        <f t="shared" si="8"/>
        <v>1.0412942989214176</v>
      </c>
      <c r="H41" s="18">
        <v>0</v>
      </c>
      <c r="I41" s="40">
        <f t="shared" si="7"/>
        <v>6758</v>
      </c>
      <c r="J41" s="126" t="s">
        <v>12</v>
      </c>
      <c r="K41" s="127" t="s">
        <v>12</v>
      </c>
    </row>
    <row r="42" spans="1:11" s="2" customFormat="1" ht="19.899999999999999" customHeight="1" x14ac:dyDescent="0.2">
      <c r="A42" s="20" t="s">
        <v>18</v>
      </c>
      <c r="B42" s="101">
        <v>610</v>
      </c>
      <c r="C42" s="149">
        <v>5160</v>
      </c>
      <c r="D42" s="49">
        <f>C42/B42</f>
        <v>8.4590163934426226</v>
      </c>
      <c r="E42" s="40">
        <v>20900</v>
      </c>
      <c r="F42" s="40">
        <v>21855</v>
      </c>
      <c r="G42" s="46">
        <f t="shared" si="8"/>
        <v>1.0456937799043062</v>
      </c>
      <c r="H42" s="18">
        <v>0</v>
      </c>
      <c r="I42" s="40">
        <f t="shared" si="7"/>
        <v>21855</v>
      </c>
      <c r="J42" s="126" t="s">
        <v>12</v>
      </c>
      <c r="K42" s="127" t="s">
        <v>146</v>
      </c>
    </row>
    <row r="43" spans="1:11" s="2" customFormat="1" ht="19.899999999999999" customHeight="1" x14ac:dyDescent="0.2">
      <c r="A43" s="20" t="s">
        <v>19</v>
      </c>
      <c r="B43" s="101">
        <v>1290</v>
      </c>
      <c r="C43" s="57" t="s">
        <v>149</v>
      </c>
      <c r="D43" s="47" t="s">
        <v>49</v>
      </c>
      <c r="E43" s="40">
        <v>3170</v>
      </c>
      <c r="F43" s="40">
        <v>3344</v>
      </c>
      <c r="G43" s="46">
        <f t="shared" si="8"/>
        <v>1.0548895899053627</v>
      </c>
      <c r="H43" s="18">
        <v>0</v>
      </c>
      <c r="I43" s="40">
        <f t="shared" si="7"/>
        <v>3344</v>
      </c>
      <c r="J43" s="126" t="s">
        <v>12</v>
      </c>
      <c r="K43" s="127" t="s">
        <v>12</v>
      </c>
    </row>
    <row r="44" spans="1:11" s="2" customFormat="1" ht="19.899999999999999" customHeight="1" x14ac:dyDescent="0.2">
      <c r="A44" s="20" t="s">
        <v>73</v>
      </c>
      <c r="B44" s="101">
        <v>3540</v>
      </c>
      <c r="C44" s="57" t="s">
        <v>150</v>
      </c>
      <c r="D44" s="47" t="s">
        <v>49</v>
      </c>
      <c r="E44" s="40">
        <v>5080</v>
      </c>
      <c r="F44" s="40">
        <v>5374</v>
      </c>
      <c r="G44" s="46">
        <f>F44/E44</f>
        <v>1.0578740157480315</v>
      </c>
      <c r="H44" s="18">
        <v>848.5</v>
      </c>
      <c r="I44" s="40">
        <f t="shared" si="7"/>
        <v>4525.5</v>
      </c>
      <c r="J44" s="126" t="s">
        <v>12</v>
      </c>
      <c r="K44" s="127" t="s">
        <v>12</v>
      </c>
    </row>
    <row r="45" spans="1:11" s="2" customFormat="1" ht="19.899999999999999" customHeight="1" x14ac:dyDescent="0.2">
      <c r="A45" s="20" t="s">
        <v>4</v>
      </c>
      <c r="B45" s="101">
        <v>1630</v>
      </c>
      <c r="C45" s="57" t="s">
        <v>151</v>
      </c>
      <c r="D45" s="47" t="s">
        <v>49</v>
      </c>
      <c r="E45" s="40">
        <v>2780</v>
      </c>
      <c r="F45" s="40">
        <v>2827</v>
      </c>
      <c r="G45" s="46">
        <f t="shared" si="8"/>
        <v>1.016906474820144</v>
      </c>
      <c r="H45" s="18">
        <v>0</v>
      </c>
      <c r="I45" s="40">
        <f t="shared" si="7"/>
        <v>2827</v>
      </c>
      <c r="J45" s="126" t="s">
        <v>12</v>
      </c>
      <c r="K45" s="127" t="s">
        <v>12</v>
      </c>
    </row>
    <row r="46" spans="1:11" s="2" customFormat="1" ht="19.899999999999999" customHeight="1" x14ac:dyDescent="0.2">
      <c r="A46" s="20" t="s">
        <v>20</v>
      </c>
      <c r="B46" s="101">
        <v>-2360</v>
      </c>
      <c r="C46" s="57" t="s">
        <v>82</v>
      </c>
      <c r="D46" s="47" t="s">
        <v>82</v>
      </c>
      <c r="E46" s="40">
        <v>18350</v>
      </c>
      <c r="F46" s="40">
        <v>20104</v>
      </c>
      <c r="G46" s="46">
        <f t="shared" si="8"/>
        <v>1.0955858310626703</v>
      </c>
      <c r="H46" s="18">
        <v>0</v>
      </c>
      <c r="I46" s="40">
        <f t="shared" si="7"/>
        <v>20104</v>
      </c>
      <c r="J46" s="126" t="s">
        <v>12</v>
      </c>
      <c r="K46" s="127" t="s">
        <v>12</v>
      </c>
    </row>
    <row r="47" spans="1:11" s="2" customFormat="1" ht="19.899999999999999" customHeight="1" x14ac:dyDescent="0.2">
      <c r="A47" s="20" t="s">
        <v>1</v>
      </c>
      <c r="B47" s="101">
        <v>960</v>
      </c>
      <c r="C47" s="57" t="s">
        <v>152</v>
      </c>
      <c r="D47" s="47" t="s">
        <v>49</v>
      </c>
      <c r="E47" s="40">
        <v>3750</v>
      </c>
      <c r="F47" s="40">
        <v>3916</v>
      </c>
      <c r="G47" s="46">
        <f t="shared" si="8"/>
        <v>1.0442666666666667</v>
      </c>
      <c r="H47" s="18">
        <v>0</v>
      </c>
      <c r="I47" s="40">
        <f t="shared" si="7"/>
        <v>3916</v>
      </c>
      <c r="J47" s="126" t="s">
        <v>12</v>
      </c>
      <c r="K47" s="127" t="s">
        <v>12</v>
      </c>
    </row>
    <row r="48" spans="1:11" s="2" customFormat="1" ht="19.899999999999999" customHeight="1" x14ac:dyDescent="0.2">
      <c r="A48" s="20" t="s">
        <v>43</v>
      </c>
      <c r="B48" s="101">
        <v>1230</v>
      </c>
      <c r="C48" s="150">
        <v>1898</v>
      </c>
      <c r="D48" s="49">
        <f>C48/B48</f>
        <v>1.5430894308943088</v>
      </c>
      <c r="E48" s="40" t="s">
        <v>24</v>
      </c>
      <c r="F48" s="47">
        <v>2279.5</v>
      </c>
      <c r="G48" s="46" t="s">
        <v>24</v>
      </c>
      <c r="H48" s="18">
        <v>0</v>
      </c>
      <c r="I48" s="40">
        <f t="shared" si="7"/>
        <v>2279.5</v>
      </c>
      <c r="J48" s="126" t="s">
        <v>12</v>
      </c>
      <c r="K48" s="127" t="s">
        <v>12</v>
      </c>
    </row>
    <row r="49" spans="1:11" s="2" customFormat="1" ht="19.899999999999999" customHeight="1" x14ac:dyDescent="0.2">
      <c r="A49" s="20" t="s">
        <v>80</v>
      </c>
      <c r="B49" s="101">
        <v>750</v>
      </c>
      <c r="C49" s="57" t="s">
        <v>153</v>
      </c>
      <c r="D49" s="47" t="s">
        <v>49</v>
      </c>
      <c r="E49" s="40">
        <v>2053.1999999999998</v>
      </c>
      <c r="F49" s="40">
        <v>2138.5</v>
      </c>
      <c r="G49" s="46">
        <f>F49/E49</f>
        <v>1.0415449055133452</v>
      </c>
      <c r="H49" s="18">
        <v>19.399999999999999</v>
      </c>
      <c r="I49" s="40">
        <f t="shared" si="7"/>
        <v>2119.1</v>
      </c>
      <c r="J49" s="126" t="s">
        <v>12</v>
      </c>
      <c r="K49" s="2" t="s">
        <v>12</v>
      </c>
    </row>
    <row r="50" spans="1:11" s="2" customFormat="1" ht="19.899999999999999" customHeight="1" x14ac:dyDescent="0.2">
      <c r="A50" s="20" t="s">
        <v>5</v>
      </c>
      <c r="B50" s="57">
        <v>2670</v>
      </c>
      <c r="C50" s="57" t="s">
        <v>216</v>
      </c>
      <c r="D50" s="47" t="s">
        <v>49</v>
      </c>
      <c r="E50" s="40">
        <v>5740</v>
      </c>
      <c r="F50" s="40">
        <v>5891</v>
      </c>
      <c r="G50" s="46">
        <f t="shared" ref="G50:G56" si="9">F50/E50</f>
        <v>1.0263066202090592</v>
      </c>
      <c r="H50" s="18">
        <v>0</v>
      </c>
      <c r="I50" s="40">
        <f t="shared" si="7"/>
        <v>5891</v>
      </c>
      <c r="J50" s="126" t="s">
        <v>12</v>
      </c>
    </row>
    <row r="51" spans="1:11" s="2" customFormat="1" ht="19.899999999999999" customHeight="1" x14ac:dyDescent="0.2">
      <c r="A51" s="20" t="s">
        <v>21</v>
      </c>
      <c r="B51" s="101">
        <v>1220</v>
      </c>
      <c r="C51" s="57" t="s">
        <v>154</v>
      </c>
      <c r="D51" s="47" t="s">
        <v>49</v>
      </c>
      <c r="E51" s="40">
        <v>2800</v>
      </c>
      <c r="F51" s="40">
        <v>2937</v>
      </c>
      <c r="G51" s="46">
        <f t="shared" si="9"/>
        <v>1.0489285714285714</v>
      </c>
      <c r="H51" s="18">
        <v>0</v>
      </c>
      <c r="I51" s="40">
        <f t="shared" si="7"/>
        <v>2937</v>
      </c>
      <c r="J51" s="126" t="s">
        <v>12</v>
      </c>
      <c r="K51" s="53" t="s">
        <v>12</v>
      </c>
    </row>
    <row r="52" spans="1:11" s="2" customFormat="1" ht="19.899999999999999" customHeight="1" x14ac:dyDescent="0.2">
      <c r="A52" s="20" t="s">
        <v>6</v>
      </c>
      <c r="B52" s="101">
        <v>2780</v>
      </c>
      <c r="C52" s="57" t="s">
        <v>155</v>
      </c>
      <c r="D52" s="47" t="s">
        <v>49</v>
      </c>
      <c r="E52" s="40">
        <v>8060</v>
      </c>
      <c r="F52" s="40">
        <v>8497</v>
      </c>
      <c r="G52" s="46">
        <f t="shared" si="9"/>
        <v>1.0542183622828785</v>
      </c>
      <c r="H52" s="18">
        <v>0</v>
      </c>
      <c r="I52" s="40">
        <f t="shared" si="7"/>
        <v>8497</v>
      </c>
      <c r="J52" s="126" t="s">
        <v>12</v>
      </c>
    </row>
    <row r="53" spans="1:11" s="2" customFormat="1" ht="19.899999999999999" customHeight="1" x14ac:dyDescent="0.2">
      <c r="A53" s="20" t="s">
        <v>22</v>
      </c>
      <c r="B53" s="101">
        <v>140</v>
      </c>
      <c r="C53" s="57" t="s">
        <v>156</v>
      </c>
      <c r="D53" s="47" t="s">
        <v>49</v>
      </c>
      <c r="E53" s="40">
        <v>2870</v>
      </c>
      <c r="F53" s="40">
        <v>2779</v>
      </c>
      <c r="G53" s="46">
        <f t="shared" si="9"/>
        <v>0.96829268292682924</v>
      </c>
      <c r="H53" s="18">
        <v>0</v>
      </c>
      <c r="I53" s="40">
        <f t="shared" si="7"/>
        <v>2779</v>
      </c>
      <c r="J53" s="126" t="s">
        <v>12</v>
      </c>
    </row>
    <row r="54" spans="1:11" s="2" customFormat="1" ht="19.899999999999999" customHeight="1" x14ac:dyDescent="0.2">
      <c r="A54" s="20" t="s">
        <v>7</v>
      </c>
      <c r="B54" s="101">
        <v>2870</v>
      </c>
      <c r="C54" s="149">
        <v>6985</v>
      </c>
      <c r="D54" s="49">
        <f>C54/B54</f>
        <v>2.4337979094076654</v>
      </c>
      <c r="E54" s="40">
        <v>5910</v>
      </c>
      <c r="F54" s="40">
        <v>6387</v>
      </c>
      <c r="G54" s="46">
        <f t="shared" si="9"/>
        <v>1.0807106598984773</v>
      </c>
      <c r="H54" s="18">
        <v>0</v>
      </c>
      <c r="I54" s="40">
        <f t="shared" si="7"/>
        <v>6387</v>
      </c>
      <c r="J54" s="126" t="s">
        <v>12</v>
      </c>
    </row>
    <row r="55" spans="1:11" s="2" customFormat="1" ht="19.899999999999999" customHeight="1" x14ac:dyDescent="0.2">
      <c r="A55" s="20" t="s">
        <v>33</v>
      </c>
      <c r="B55" s="101">
        <v>-170</v>
      </c>
      <c r="C55" s="150">
        <v>6168</v>
      </c>
      <c r="D55" s="49" t="s">
        <v>82</v>
      </c>
      <c r="E55" s="40">
        <f>6770+190</f>
        <v>6960</v>
      </c>
      <c r="F55" s="40">
        <f>7083+183</f>
        <v>7266</v>
      </c>
      <c r="G55" s="46">
        <f t="shared" si="9"/>
        <v>1.0439655172413793</v>
      </c>
      <c r="H55" s="18">
        <v>0</v>
      </c>
      <c r="I55" s="40">
        <f t="shared" si="7"/>
        <v>7266</v>
      </c>
      <c r="J55" s="126" t="s">
        <v>12</v>
      </c>
    </row>
    <row r="56" spans="1:11" s="2" customFormat="1" ht="19.899999999999999" customHeight="1" x14ac:dyDescent="0.2">
      <c r="A56" s="20" t="s">
        <v>8</v>
      </c>
      <c r="B56" s="101">
        <v>5590</v>
      </c>
      <c r="C56" s="149">
        <v>7856</v>
      </c>
      <c r="D56" s="50">
        <f>C56/B56</f>
        <v>1.4053667262969589</v>
      </c>
      <c r="E56" s="40">
        <v>9490</v>
      </c>
      <c r="F56" s="40">
        <v>9868</v>
      </c>
      <c r="G56" s="46">
        <f t="shared" si="9"/>
        <v>1.039831401475237</v>
      </c>
      <c r="H56" s="18">
        <v>0</v>
      </c>
      <c r="I56" s="40">
        <f t="shared" si="7"/>
        <v>9868</v>
      </c>
      <c r="J56" s="126" t="s">
        <v>12</v>
      </c>
    </row>
    <row r="57" spans="1:11" s="2" customFormat="1" ht="19.899999999999999" customHeight="1" x14ac:dyDescent="0.2">
      <c r="A57" s="20" t="s">
        <v>42</v>
      </c>
      <c r="B57" s="101">
        <v>2280</v>
      </c>
      <c r="C57" s="149">
        <v>3827</v>
      </c>
      <c r="D57" s="50">
        <f>C57/B57</f>
        <v>1.6785087719298246</v>
      </c>
      <c r="E57" s="40" t="s">
        <v>24</v>
      </c>
      <c r="F57" s="47">
        <v>4921.2</v>
      </c>
      <c r="G57" s="46" t="s">
        <v>24</v>
      </c>
      <c r="H57" s="18">
        <v>0</v>
      </c>
      <c r="I57" s="40">
        <f t="shared" si="7"/>
        <v>4921.2</v>
      </c>
      <c r="J57" s="126" t="s">
        <v>12</v>
      </c>
    </row>
    <row r="58" spans="1:11" s="2" customFormat="1" ht="19.899999999999999" customHeight="1" x14ac:dyDescent="0.2">
      <c r="A58" s="20" t="s">
        <v>40</v>
      </c>
      <c r="B58" s="101" t="s">
        <v>24</v>
      </c>
      <c r="C58" s="57" t="s">
        <v>24</v>
      </c>
      <c r="D58" s="47" t="s">
        <v>24</v>
      </c>
      <c r="E58" s="40">
        <v>385</v>
      </c>
      <c r="F58" s="40">
        <v>393</v>
      </c>
      <c r="G58" s="46">
        <f>F58/E58</f>
        <v>1.0207792207792208</v>
      </c>
      <c r="H58" s="18">
        <v>0</v>
      </c>
      <c r="I58" s="40">
        <f t="shared" si="7"/>
        <v>393</v>
      </c>
      <c r="J58" s="126" t="s">
        <v>12</v>
      </c>
    </row>
    <row r="59" spans="1:11" s="2" customFormat="1" ht="19.899999999999999" customHeight="1" x14ac:dyDescent="0.2">
      <c r="A59" s="20" t="s">
        <v>16</v>
      </c>
      <c r="B59" s="57">
        <v>1580</v>
      </c>
      <c r="C59" s="149">
        <v>8856</v>
      </c>
      <c r="D59" s="50">
        <f>C59/B59</f>
        <v>5.6050632911392402</v>
      </c>
      <c r="E59" s="40" t="s">
        <v>24</v>
      </c>
      <c r="F59" s="40">
        <f>F36+F47+F50+F52+F56+F58</f>
        <v>31010</v>
      </c>
      <c r="G59" s="48" t="s">
        <v>24</v>
      </c>
      <c r="H59" s="40">
        <f>H36+H47+H50+H52+H56+H58</f>
        <v>0</v>
      </c>
      <c r="I59" s="164" t="s">
        <v>12</v>
      </c>
      <c r="J59" s="126" t="s">
        <v>12</v>
      </c>
    </row>
    <row r="60" spans="1:11" s="2" customFormat="1" ht="19.899999999999999" customHeight="1" x14ac:dyDescent="0.2">
      <c r="A60" s="20" t="s">
        <v>14</v>
      </c>
      <c r="B60" s="57">
        <v>3920</v>
      </c>
      <c r="C60" s="149">
        <v>9400</v>
      </c>
      <c r="D60" s="50">
        <f>C60/B60</f>
        <v>2.3979591836734695</v>
      </c>
      <c r="E60" s="40" t="s">
        <v>24</v>
      </c>
      <c r="F60" s="40">
        <f>F41+F54</f>
        <v>13145</v>
      </c>
      <c r="G60" s="48" t="s">
        <v>24</v>
      </c>
      <c r="H60" s="40">
        <f>H41+H54</f>
        <v>0</v>
      </c>
      <c r="I60" s="165"/>
      <c r="J60" s="126" t="s">
        <v>12</v>
      </c>
    </row>
    <row r="61" spans="1:11" s="2" customFormat="1" ht="19.899999999999999" customHeight="1" x14ac:dyDescent="0.2">
      <c r="A61" s="37" t="s">
        <v>15</v>
      </c>
      <c r="B61" s="57">
        <v>-8310</v>
      </c>
      <c r="C61" s="57" t="s">
        <v>82</v>
      </c>
      <c r="D61" s="47" t="s">
        <v>82</v>
      </c>
      <c r="E61" s="40" t="s">
        <v>24</v>
      </c>
      <c r="F61" s="40">
        <f>F51+F53+F55</f>
        <v>12982</v>
      </c>
      <c r="G61" s="48" t="s">
        <v>24</v>
      </c>
      <c r="H61" s="40">
        <f>H51+H53+H55</f>
        <v>0</v>
      </c>
      <c r="I61" s="165"/>
      <c r="J61" s="126" t="s">
        <v>12</v>
      </c>
    </row>
    <row r="62" spans="1:11" s="2" customFormat="1" ht="19.899999999999999" customHeight="1" x14ac:dyDescent="0.2">
      <c r="A62" s="20" t="s">
        <v>17</v>
      </c>
      <c r="B62" s="57">
        <v>-6930</v>
      </c>
      <c r="C62" s="149">
        <v>7385</v>
      </c>
      <c r="D62" s="50" t="s">
        <v>82</v>
      </c>
      <c r="E62" s="40" t="s">
        <v>24</v>
      </c>
      <c r="F62" s="40">
        <f>F59+F60+F61</f>
        <v>57137</v>
      </c>
      <c r="G62" s="48" t="s">
        <v>24</v>
      </c>
      <c r="H62" s="40">
        <f>H59+H60+H61</f>
        <v>0</v>
      </c>
      <c r="I62" s="165"/>
      <c r="J62" s="126" t="s">
        <v>12</v>
      </c>
    </row>
    <row r="63" spans="1:11" s="2" customFormat="1" ht="19.899999999999999" customHeight="1" x14ac:dyDescent="0.2">
      <c r="A63" s="37" t="s">
        <v>34</v>
      </c>
      <c r="B63" s="57">
        <v>2050</v>
      </c>
      <c r="C63" s="57" t="s">
        <v>157</v>
      </c>
      <c r="D63" s="47" t="s">
        <v>49</v>
      </c>
      <c r="E63" s="40" t="s">
        <v>24</v>
      </c>
      <c r="F63" s="40">
        <f>F37+F38+F39+F42+F43+F44+F45+F49</f>
        <v>79947.5</v>
      </c>
      <c r="G63" s="48" t="s">
        <v>24</v>
      </c>
      <c r="H63" s="40">
        <f>H37+H38+H39+H42+H43+H44+H45+H49</f>
        <v>12815.4</v>
      </c>
      <c r="I63" s="166"/>
      <c r="J63" s="126" t="s">
        <v>12</v>
      </c>
    </row>
    <row r="64" spans="1:11" s="2" customFormat="1" ht="19.899999999999999" customHeight="1" x14ac:dyDescent="0.2">
      <c r="A64" s="174" t="s">
        <v>98</v>
      </c>
      <c r="B64" s="174"/>
      <c r="C64" s="174"/>
      <c r="D64" s="174"/>
      <c r="E64" s="174"/>
      <c r="F64" s="174"/>
      <c r="G64" s="174"/>
      <c r="H64" s="174"/>
      <c r="I64" s="174"/>
      <c r="J64" s="86"/>
      <c r="K64" s="63"/>
    </row>
    <row r="65" spans="1:12" s="2" customFormat="1" ht="5.0999999999999996" customHeight="1" x14ac:dyDescent="0.2">
      <c r="A65" s="73"/>
      <c r="B65" s="74"/>
      <c r="C65" s="74"/>
      <c r="D65" s="74"/>
      <c r="E65" s="74"/>
      <c r="F65" s="74"/>
      <c r="G65" s="74"/>
      <c r="H65" s="74"/>
      <c r="I65" s="118" t="s">
        <v>12</v>
      </c>
      <c r="J65" s="87"/>
      <c r="K65" s="63"/>
    </row>
    <row r="66" spans="1:12" ht="20.100000000000001" customHeight="1" x14ac:dyDescent="0.2">
      <c r="A66" s="174" t="s">
        <v>77</v>
      </c>
      <c r="B66" s="174"/>
      <c r="C66" s="174"/>
      <c r="D66" s="174"/>
      <c r="E66" s="174"/>
      <c r="F66" s="174"/>
      <c r="G66" s="174"/>
      <c r="H66" s="174"/>
      <c r="I66" s="174"/>
      <c r="J66" s="90" t="s">
        <v>12</v>
      </c>
    </row>
    <row r="67" spans="1:12" ht="20.100000000000001" customHeight="1" x14ac:dyDescent="0.2">
      <c r="A67" s="35" t="s">
        <v>96</v>
      </c>
      <c r="B67" s="174" t="s">
        <v>110</v>
      </c>
      <c r="C67" s="174"/>
      <c r="D67" s="174"/>
      <c r="E67" s="174"/>
      <c r="F67" s="174"/>
      <c r="G67" s="174"/>
      <c r="H67" s="174"/>
      <c r="I67" s="174"/>
      <c r="J67" s="88"/>
    </row>
    <row r="68" spans="1:12" ht="20.100000000000001" customHeight="1" x14ac:dyDescent="0.2">
      <c r="A68" s="20" t="s">
        <v>17</v>
      </c>
      <c r="B68" s="177" t="s">
        <v>158</v>
      </c>
      <c r="C68" s="177"/>
      <c r="D68" s="177"/>
      <c r="E68" s="177"/>
      <c r="F68" s="177"/>
      <c r="G68" s="177"/>
      <c r="H68" s="177"/>
      <c r="I68" s="177"/>
      <c r="J68" s="88"/>
    </row>
    <row r="69" spans="1:12" ht="20.100000000000001" customHeight="1" x14ac:dyDescent="0.2">
      <c r="A69" s="20" t="s">
        <v>16</v>
      </c>
      <c r="B69" s="177" t="s">
        <v>158</v>
      </c>
      <c r="C69" s="177"/>
      <c r="D69" s="177"/>
      <c r="E69" s="177"/>
      <c r="F69" s="177"/>
      <c r="G69" s="177"/>
      <c r="H69" s="177"/>
      <c r="I69" s="177"/>
      <c r="J69" s="88"/>
    </row>
    <row r="70" spans="1:12" ht="20.100000000000001" customHeight="1" x14ac:dyDescent="0.2">
      <c r="A70" s="20" t="s">
        <v>14</v>
      </c>
      <c r="B70" s="177" t="s">
        <v>159</v>
      </c>
      <c r="C70" s="177"/>
      <c r="D70" s="177"/>
      <c r="E70" s="177"/>
      <c r="F70" s="177"/>
      <c r="G70" s="177"/>
      <c r="H70" s="177"/>
      <c r="I70" s="177"/>
      <c r="J70" s="88"/>
    </row>
    <row r="71" spans="1:12" ht="20.100000000000001" customHeight="1" x14ac:dyDescent="0.2">
      <c r="A71" s="20" t="s">
        <v>8</v>
      </c>
      <c r="B71" s="177" t="s">
        <v>160</v>
      </c>
      <c r="C71" s="177"/>
      <c r="D71" s="177"/>
      <c r="E71" s="177"/>
      <c r="F71" s="177"/>
      <c r="G71" s="177"/>
      <c r="H71" s="177"/>
      <c r="I71" s="177"/>
      <c r="J71" s="88"/>
    </row>
    <row r="72" spans="1:12" ht="20.100000000000001" customHeight="1" x14ac:dyDescent="0.2">
      <c r="A72" s="20" t="s">
        <v>78</v>
      </c>
      <c r="B72" s="177" t="s">
        <v>160</v>
      </c>
      <c r="C72" s="177"/>
      <c r="D72" s="177"/>
      <c r="E72" s="177"/>
      <c r="F72" s="177"/>
      <c r="G72" s="177"/>
      <c r="H72" s="177"/>
      <c r="I72" s="177"/>
      <c r="J72" s="88"/>
      <c r="L72" s="4" t="s">
        <v>12</v>
      </c>
    </row>
    <row r="73" spans="1:12" ht="20.100000000000001" customHeight="1" x14ac:dyDescent="0.2">
      <c r="A73" s="20" t="s">
        <v>23</v>
      </c>
      <c r="B73" s="177" t="s">
        <v>161</v>
      </c>
      <c r="C73" s="177"/>
      <c r="D73" s="177"/>
      <c r="E73" s="177"/>
      <c r="F73" s="177"/>
      <c r="G73" s="177"/>
      <c r="H73" s="177"/>
      <c r="I73" s="177"/>
      <c r="J73" s="88"/>
    </row>
    <row r="74" spans="1:12" ht="20.100000000000001" customHeight="1" x14ac:dyDescent="0.2">
      <c r="A74" s="20" t="s">
        <v>7</v>
      </c>
      <c r="B74" s="177" t="s">
        <v>159</v>
      </c>
      <c r="C74" s="177"/>
      <c r="D74" s="177"/>
      <c r="E74" s="177"/>
      <c r="F74" s="177"/>
      <c r="G74" s="177"/>
      <c r="H74" s="177"/>
      <c r="I74" s="177"/>
      <c r="J74" s="88"/>
    </row>
    <row r="75" spans="1:12" ht="20.100000000000001" customHeight="1" x14ac:dyDescent="0.2">
      <c r="A75" s="37" t="s">
        <v>51</v>
      </c>
      <c r="B75" s="177" t="s">
        <v>162</v>
      </c>
      <c r="C75" s="177"/>
      <c r="D75" s="177"/>
      <c r="E75" s="177"/>
      <c r="F75" s="177"/>
      <c r="G75" s="177"/>
      <c r="H75" s="177"/>
      <c r="I75" s="177"/>
      <c r="J75" s="88"/>
    </row>
    <row r="76" spans="1:12" ht="20.100000000000001" customHeight="1" x14ac:dyDescent="0.2">
      <c r="A76" s="37" t="s">
        <v>79</v>
      </c>
      <c r="B76" s="177" t="s">
        <v>218</v>
      </c>
      <c r="C76" s="177"/>
      <c r="D76" s="177"/>
      <c r="E76" s="177"/>
      <c r="F76" s="177"/>
      <c r="G76" s="177"/>
      <c r="H76" s="177"/>
      <c r="I76" s="177"/>
      <c r="J76" s="93"/>
    </row>
    <row r="77" spans="1:12" ht="20.100000000000001" customHeight="1" x14ac:dyDescent="0.2">
      <c r="A77" s="37" t="s">
        <v>18</v>
      </c>
      <c r="B77" s="177" t="s">
        <v>159</v>
      </c>
      <c r="C77" s="177"/>
      <c r="D77" s="177"/>
      <c r="E77" s="177"/>
      <c r="F77" s="177"/>
      <c r="G77" s="177"/>
      <c r="H77" s="177"/>
      <c r="I77" s="177"/>
      <c r="J77" s="88"/>
    </row>
    <row r="78" spans="1:12" ht="20.100000000000001" customHeight="1" x14ac:dyDescent="0.2">
      <c r="A78" s="37" t="s">
        <v>3</v>
      </c>
      <c r="B78" s="177" t="s">
        <v>116</v>
      </c>
      <c r="C78" s="177"/>
      <c r="D78" s="177"/>
      <c r="E78" s="177"/>
      <c r="F78" s="177"/>
      <c r="G78" s="177"/>
      <c r="H78" s="177"/>
      <c r="I78" s="177"/>
      <c r="J78" s="88"/>
    </row>
    <row r="79" spans="1:12" ht="20.100000000000001" customHeight="1" x14ac:dyDescent="0.2">
      <c r="A79" s="37" t="s">
        <v>93</v>
      </c>
      <c r="B79" s="177" t="s">
        <v>117</v>
      </c>
      <c r="C79" s="177"/>
      <c r="D79" s="177"/>
      <c r="E79" s="177"/>
      <c r="F79" s="177"/>
      <c r="G79" s="177"/>
      <c r="H79" s="177"/>
      <c r="I79" s="177"/>
    </row>
    <row r="80" spans="1:12" ht="15" x14ac:dyDescent="0.2">
      <c r="A80" s="64" t="s">
        <v>12</v>
      </c>
      <c r="B80" s="106" t="s">
        <v>12</v>
      </c>
    </row>
    <row r="81" spans="1:14" ht="20.100000000000001" customHeight="1" x14ac:dyDescent="0.2">
      <c r="A81" s="156" t="s">
        <v>221</v>
      </c>
    </row>
    <row r="82" spans="1:14" ht="15" x14ac:dyDescent="0.2">
      <c r="A82" s="162" t="s">
        <v>234</v>
      </c>
      <c r="B82" s="162"/>
      <c r="C82" s="162"/>
      <c r="D82" s="162"/>
      <c r="E82" s="162"/>
      <c r="F82" s="162"/>
      <c r="G82" s="162"/>
      <c r="H82" s="162"/>
      <c r="I82" s="162"/>
      <c r="J82" s="162"/>
      <c r="K82" s="162"/>
      <c r="L82" s="162"/>
      <c r="M82" s="162"/>
      <c r="N82" s="162"/>
    </row>
  </sheetData>
  <mergeCells count="28">
    <mergeCell ref="A64:I64"/>
    <mergeCell ref="B69:I69"/>
    <mergeCell ref="B70:I70"/>
    <mergeCell ref="B71:I71"/>
    <mergeCell ref="B72:I72"/>
    <mergeCell ref="B73:I73"/>
    <mergeCell ref="A66:I66"/>
    <mergeCell ref="B67:I67"/>
    <mergeCell ref="B68:I68"/>
    <mergeCell ref="B79:I79"/>
    <mergeCell ref="B74:I74"/>
    <mergeCell ref="B75:I75"/>
    <mergeCell ref="B76:I76"/>
    <mergeCell ref="B77:I77"/>
    <mergeCell ref="B78:I78"/>
    <mergeCell ref="A1:F1"/>
    <mergeCell ref="I59:I63"/>
    <mergeCell ref="C8:N8"/>
    <mergeCell ref="A19:N19"/>
    <mergeCell ref="A30:N30"/>
    <mergeCell ref="A32:N32"/>
    <mergeCell ref="A33:I33"/>
    <mergeCell ref="A2:N2"/>
    <mergeCell ref="C3:N3"/>
    <mergeCell ref="C4:N4"/>
    <mergeCell ref="C5:N5"/>
    <mergeCell ref="C6:N6"/>
    <mergeCell ref="C7:N7"/>
  </mergeCells>
  <phoneticPr fontId="4" type="noConversion"/>
  <printOptions horizontalCentered="1" verticalCentered="1" gridLines="1"/>
  <pageMargins left="0.45" right="0.45" top="0.5" bottom="0.5" header="0.3" footer="0.3"/>
  <pageSetup scale="34" orientation="landscape" r:id="rId1"/>
  <headerFooter alignWithMargins="0"/>
  <rowBreaks count="1" manualBreakCount="1">
    <brk id="32" max="16383" man="1"/>
  </rowBreaks>
  <colBreaks count="1" manualBreakCount="1">
    <brk id="7" max="8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workbookViewId="0">
      <selection sqref="A1:E1"/>
    </sheetView>
  </sheetViews>
  <sheetFormatPr defaultRowHeight="12.75" x14ac:dyDescent="0.2"/>
  <cols>
    <col min="1" max="1" width="18.7109375" customWidth="1"/>
    <col min="2" max="2" width="21.7109375" customWidth="1"/>
    <col min="3" max="10" width="18.7109375" customWidth="1"/>
    <col min="11" max="11" width="27.140625" customWidth="1"/>
  </cols>
  <sheetData>
    <row r="1" spans="1:11" ht="18" x14ac:dyDescent="0.25">
      <c r="A1" s="181" t="s">
        <v>136</v>
      </c>
      <c r="B1" s="181"/>
      <c r="C1" s="181"/>
      <c r="D1" s="181"/>
      <c r="E1" s="181"/>
      <c r="F1" s="9"/>
      <c r="G1" s="9"/>
    </row>
    <row r="2" spans="1:11" ht="18" x14ac:dyDescent="0.25">
      <c r="A2" s="89" t="s">
        <v>12</v>
      </c>
      <c r="B2" s="89"/>
      <c r="C2" s="89"/>
      <c r="D2" s="81"/>
      <c r="E2" s="81"/>
      <c r="F2" s="9"/>
      <c r="G2" s="9"/>
    </row>
    <row r="3" spans="1:11" ht="20.100000000000001" customHeight="1" x14ac:dyDescent="0.2">
      <c r="A3" s="176" t="s">
        <v>59</v>
      </c>
      <c r="B3" s="176"/>
      <c r="C3" s="176"/>
      <c r="D3" s="176"/>
      <c r="E3" s="176"/>
      <c r="F3" s="9"/>
      <c r="G3" s="9"/>
    </row>
    <row r="4" spans="1:11" ht="20.100000000000001" customHeight="1" x14ac:dyDescent="0.2">
      <c r="A4" s="176" t="s">
        <v>107</v>
      </c>
      <c r="B4" s="176"/>
      <c r="C4" s="176"/>
      <c r="D4" s="176"/>
      <c r="E4" s="176"/>
      <c r="F4" s="51"/>
      <c r="G4" s="51"/>
      <c r="H4" s="51"/>
    </row>
    <row r="5" spans="1:11" ht="20.100000000000001" customHeight="1" x14ac:dyDescent="0.2">
      <c r="A5" s="176" t="s">
        <v>132</v>
      </c>
      <c r="B5" s="176"/>
      <c r="C5" s="176"/>
      <c r="D5" s="176"/>
      <c r="E5" s="117">
        <f>'2019-2020 Parameters'!B5</f>
        <v>6.6000000000000003E-2</v>
      </c>
      <c r="F5" s="51"/>
      <c r="G5" s="51"/>
      <c r="H5" s="9"/>
    </row>
    <row r="6" spans="1:11" ht="20.100000000000001" customHeight="1" x14ac:dyDescent="0.2">
      <c r="A6" s="175" t="s">
        <v>56</v>
      </c>
      <c r="B6" s="175"/>
      <c r="C6" s="175"/>
      <c r="D6" s="175"/>
      <c r="E6" s="175"/>
      <c r="F6" s="9"/>
      <c r="G6" s="9"/>
    </row>
    <row r="7" spans="1:11" ht="20.100000000000001" customHeight="1" x14ac:dyDescent="0.2">
      <c r="A7" s="175" t="s">
        <v>57</v>
      </c>
      <c r="B7" s="175"/>
      <c r="C7" s="175"/>
      <c r="D7" s="175"/>
      <c r="E7" s="175"/>
      <c r="F7" s="9"/>
      <c r="G7" s="9"/>
    </row>
    <row r="8" spans="1:11" ht="20.100000000000001" customHeight="1" x14ac:dyDescent="0.2">
      <c r="A8" s="178" t="s">
        <v>100</v>
      </c>
      <c r="B8" s="178"/>
      <c r="C8" s="178"/>
      <c r="D8" s="178"/>
      <c r="E8" s="178"/>
      <c r="F8" s="80"/>
      <c r="G8" s="9"/>
      <c r="I8" s="42" t="s">
        <v>12</v>
      </c>
    </row>
    <row r="9" spans="1:11" ht="20.100000000000001" customHeight="1" x14ac:dyDescent="0.2">
      <c r="A9" s="175" t="s">
        <v>58</v>
      </c>
      <c r="B9" s="175"/>
      <c r="C9" s="175"/>
      <c r="D9" s="175"/>
      <c r="E9" s="175"/>
      <c r="F9" s="9"/>
      <c r="G9" s="9"/>
      <c r="H9" s="44" t="s">
        <v>12</v>
      </c>
    </row>
    <row r="10" spans="1:11" x14ac:dyDescent="0.2">
      <c r="C10" s="116" t="s">
        <v>12</v>
      </c>
      <c r="F10" s="115" t="s">
        <v>12</v>
      </c>
    </row>
    <row r="11" spans="1:11" ht="75" customHeight="1" x14ac:dyDescent="0.2">
      <c r="A11" s="79" t="s">
        <v>101</v>
      </c>
      <c r="B11" s="22" t="s">
        <v>103</v>
      </c>
      <c r="C11" s="22" t="s">
        <v>133</v>
      </c>
      <c r="D11" s="22" t="s">
        <v>134</v>
      </c>
      <c r="E11" s="22" t="s">
        <v>89</v>
      </c>
      <c r="F11" s="22" t="s">
        <v>135</v>
      </c>
      <c r="G11" s="22" t="s">
        <v>105</v>
      </c>
      <c r="H11" s="22" t="s">
        <v>106</v>
      </c>
      <c r="I11" s="22" t="s">
        <v>104</v>
      </c>
      <c r="J11" s="22" t="s">
        <v>90</v>
      </c>
      <c r="K11" s="22" t="s">
        <v>122</v>
      </c>
    </row>
    <row r="12" spans="1:11" ht="15.95" customHeight="1" x14ac:dyDescent="0.25">
      <c r="A12" s="10" t="s">
        <v>52</v>
      </c>
      <c r="B12" s="12">
        <v>132200</v>
      </c>
      <c r="C12" s="114">
        <v>1.0085636898048251</v>
      </c>
      <c r="D12" s="12">
        <f>B12*C12</f>
        <v>133332.11979219789</v>
      </c>
      <c r="E12" s="7">
        <f>ROUND(D12/(366*(1-$E$5)),2)</f>
        <v>390.04</v>
      </c>
      <c r="F12" s="11"/>
      <c r="G12" s="11"/>
      <c r="H12" s="11"/>
      <c r="I12" s="13"/>
      <c r="J12" s="13"/>
      <c r="K12" s="111"/>
    </row>
    <row r="13" spans="1:11" ht="15.95" customHeight="1" x14ac:dyDescent="0.2">
      <c r="A13" s="78" t="s">
        <v>2</v>
      </c>
      <c r="B13" s="12" t="s">
        <v>12</v>
      </c>
      <c r="C13" s="12" t="s">
        <v>12</v>
      </c>
      <c r="D13" s="12" t="s">
        <v>12</v>
      </c>
      <c r="E13" s="7">
        <f>$E$12</f>
        <v>390.04</v>
      </c>
      <c r="F13" s="43">
        <v>28735</v>
      </c>
      <c r="G13" s="6">
        <v>2199</v>
      </c>
      <c r="H13" s="7">
        <f>($D$12-F13-G13)/366</f>
        <v>279.77628358524015</v>
      </c>
      <c r="I13" s="7">
        <f>ROUND(H13/(1-$E$5),2)</f>
        <v>299.55</v>
      </c>
      <c r="J13" s="7" t="s">
        <v>12</v>
      </c>
      <c r="K13" s="111"/>
    </row>
    <row r="14" spans="1:11" ht="15.95" customHeight="1" x14ac:dyDescent="0.2">
      <c r="A14" s="78" t="s">
        <v>1</v>
      </c>
      <c r="B14" s="12" t="s">
        <v>12</v>
      </c>
      <c r="C14" s="12" t="s">
        <v>12</v>
      </c>
      <c r="D14" s="12" t="s">
        <v>12</v>
      </c>
      <c r="E14" s="7">
        <f t="shared" ref="E14:E18" si="0">$E$12</f>
        <v>390.04</v>
      </c>
      <c r="F14" s="43">
        <v>41479</v>
      </c>
      <c r="G14" s="6">
        <v>2199</v>
      </c>
      <c r="H14" s="7">
        <f t="shared" ref="H14:H17" si="1">($D$12-F14-G14)/366</f>
        <v>244.95661145409258</v>
      </c>
      <c r="I14" s="7">
        <f t="shared" ref="I14:I17" si="2">ROUND(H14/(1-$E$5),2)</f>
        <v>262.27</v>
      </c>
      <c r="J14" s="7">
        <f>ROUND(MAX($E$12,1.5*I14),2)</f>
        <v>393.41</v>
      </c>
      <c r="K14" s="112" t="s">
        <v>43</v>
      </c>
    </row>
    <row r="15" spans="1:11" ht="15.95" customHeight="1" x14ac:dyDescent="0.2">
      <c r="A15" s="78" t="s">
        <v>5</v>
      </c>
      <c r="B15" s="12" t="s">
        <v>12</v>
      </c>
      <c r="C15" s="12" t="s">
        <v>12</v>
      </c>
      <c r="D15" s="12" t="s">
        <v>12</v>
      </c>
      <c r="E15" s="7">
        <f t="shared" si="0"/>
        <v>390.04</v>
      </c>
      <c r="F15" s="43">
        <v>41454</v>
      </c>
      <c r="G15" s="6">
        <v>2199</v>
      </c>
      <c r="H15" s="7">
        <f t="shared" si="1"/>
        <v>245.02491746502156</v>
      </c>
      <c r="I15" s="7">
        <f t="shared" si="2"/>
        <v>262.33999999999997</v>
      </c>
      <c r="J15" s="7" t="s">
        <v>12</v>
      </c>
      <c r="K15" s="111"/>
    </row>
    <row r="16" spans="1:11" ht="15.95" customHeight="1" x14ac:dyDescent="0.2">
      <c r="A16" s="78" t="s">
        <v>102</v>
      </c>
      <c r="B16" s="12" t="s">
        <v>12</v>
      </c>
      <c r="C16" s="12" t="s">
        <v>12</v>
      </c>
      <c r="D16" s="12" t="s">
        <v>12</v>
      </c>
      <c r="E16" s="7">
        <f t="shared" si="0"/>
        <v>390.04</v>
      </c>
      <c r="F16" s="43">
        <v>36208</v>
      </c>
      <c r="G16" s="6">
        <v>2199</v>
      </c>
      <c r="H16" s="7">
        <f t="shared" si="1"/>
        <v>259.3582507983549</v>
      </c>
      <c r="I16" s="7">
        <f t="shared" si="2"/>
        <v>277.69</v>
      </c>
      <c r="J16" s="7" t="s">
        <v>12</v>
      </c>
      <c r="K16" s="111"/>
    </row>
    <row r="17" spans="1:12" ht="15.95" customHeight="1" x14ac:dyDescent="0.2">
      <c r="A17" s="78" t="s">
        <v>75</v>
      </c>
      <c r="B17" s="12" t="s">
        <v>12</v>
      </c>
      <c r="C17" s="12" t="s">
        <v>12</v>
      </c>
      <c r="D17" s="12" t="s">
        <v>12</v>
      </c>
      <c r="E17" s="7">
        <f t="shared" si="0"/>
        <v>390.04</v>
      </c>
      <c r="F17" s="43">
        <v>27453</v>
      </c>
      <c r="G17" s="6">
        <v>2199</v>
      </c>
      <c r="H17" s="7">
        <f t="shared" si="1"/>
        <v>283.27901582567728</v>
      </c>
      <c r="I17" s="7">
        <f t="shared" si="2"/>
        <v>303.3</v>
      </c>
      <c r="J17" s="7">
        <f>ROUND(MAX($E$12,1.5*I17),2)</f>
        <v>454.95</v>
      </c>
      <c r="K17" s="110" t="s">
        <v>123</v>
      </c>
    </row>
    <row r="18" spans="1:12" ht="15.95" customHeight="1" x14ac:dyDescent="0.2">
      <c r="A18" s="78" t="s">
        <v>40</v>
      </c>
      <c r="B18" s="12" t="s">
        <v>12</v>
      </c>
      <c r="C18" s="12" t="s">
        <v>12</v>
      </c>
      <c r="D18" s="12" t="s">
        <v>12</v>
      </c>
      <c r="E18" s="7">
        <f t="shared" si="0"/>
        <v>390.04</v>
      </c>
      <c r="F18" s="43">
        <v>29730</v>
      </c>
      <c r="G18" s="6">
        <v>2199</v>
      </c>
      <c r="H18" s="7">
        <f>($D$12-F18-G18)/366</f>
        <v>277.05770435026744</v>
      </c>
      <c r="I18" s="7">
        <f>ROUND(H18/(1-$E$5),2)</f>
        <v>296.64</v>
      </c>
      <c r="J18" s="7" t="s">
        <v>12</v>
      </c>
      <c r="K18" s="111"/>
    </row>
    <row r="19" spans="1:12" ht="15.95" customHeight="1" x14ac:dyDescent="0.2">
      <c r="A19" s="77" t="s">
        <v>16</v>
      </c>
      <c r="B19" s="12" t="s">
        <v>12</v>
      </c>
      <c r="C19" s="12" t="s">
        <v>12</v>
      </c>
      <c r="D19" s="12" t="s">
        <v>12</v>
      </c>
      <c r="E19" s="8"/>
      <c r="F19" s="43" t="s">
        <v>12</v>
      </c>
      <c r="G19" s="6" t="s">
        <v>12</v>
      </c>
      <c r="H19" s="7">
        <f>ROUND(I19*(1-$E$5),2)</f>
        <v>264.91000000000003</v>
      </c>
      <c r="I19" s="7">
        <f>ROUND(AVERAGE(I13:I18),2)</f>
        <v>283.63</v>
      </c>
      <c r="J19" s="7">
        <f>ROUND(MAX($E$12,1.5*I19),2)</f>
        <v>425.45</v>
      </c>
      <c r="K19" s="110" t="s">
        <v>16</v>
      </c>
    </row>
    <row r="20" spans="1:12" ht="15.95" customHeight="1" x14ac:dyDescent="0.25">
      <c r="A20" s="10" t="s">
        <v>53</v>
      </c>
      <c r="B20" s="12">
        <v>130300</v>
      </c>
      <c r="C20" s="114">
        <v>1.0306913928853243</v>
      </c>
      <c r="D20" s="12">
        <f>B20*C20</f>
        <v>134299.08849295776</v>
      </c>
      <c r="E20" s="7">
        <f>ROUND(D20/(366*(1-$E$5)),2)</f>
        <v>392.87</v>
      </c>
      <c r="F20" s="43"/>
      <c r="G20" s="6"/>
      <c r="H20" s="7"/>
      <c r="I20" s="8" t="s">
        <v>12</v>
      </c>
      <c r="J20" s="8" t="s">
        <v>12</v>
      </c>
      <c r="K20" s="111"/>
    </row>
    <row r="21" spans="1:12" ht="15.95" customHeight="1" x14ac:dyDescent="0.2">
      <c r="A21" s="78" t="s">
        <v>3</v>
      </c>
      <c r="B21" s="12" t="s">
        <v>12</v>
      </c>
      <c r="C21" s="12" t="s">
        <v>12</v>
      </c>
      <c r="D21" s="12" t="s">
        <v>12</v>
      </c>
      <c r="E21" s="7">
        <f>$E$20</f>
        <v>392.87</v>
      </c>
      <c r="F21" s="43">
        <v>58390</v>
      </c>
      <c r="G21" s="6">
        <v>2199</v>
      </c>
      <c r="H21" s="7">
        <f>($D$20-F21-G21)/366</f>
        <v>201.3936844069884</v>
      </c>
      <c r="I21" s="7">
        <f>ROUND(H21/(1-$E$5),2)</f>
        <v>215.62</v>
      </c>
      <c r="J21" s="7">
        <f>ROUND(MAX($E$20,1.5*I21),2)</f>
        <v>392.87</v>
      </c>
      <c r="K21" s="110" t="s">
        <v>3</v>
      </c>
    </row>
    <row r="22" spans="1:12" ht="15.95" customHeight="1" x14ac:dyDescent="0.2">
      <c r="A22" s="78" t="s">
        <v>7</v>
      </c>
      <c r="B22" s="12"/>
      <c r="C22" s="12"/>
      <c r="D22" s="12"/>
      <c r="E22" s="7">
        <f>$E$20</f>
        <v>392.87</v>
      </c>
      <c r="F22" s="43">
        <v>48611</v>
      </c>
      <c r="G22" s="6">
        <v>2199</v>
      </c>
      <c r="H22" s="7">
        <f>($D$20-F22-G22)/366</f>
        <v>228.11226364196108</v>
      </c>
      <c r="I22" s="7">
        <f>ROUND(H22/(1-$E$5),2)</f>
        <v>244.23</v>
      </c>
      <c r="J22" s="7">
        <f>ROUND(MAX($E$20,1.5*I22),2)</f>
        <v>392.87</v>
      </c>
      <c r="K22" s="110" t="s">
        <v>7</v>
      </c>
    </row>
    <row r="23" spans="1:12" ht="15.95" customHeight="1" x14ac:dyDescent="0.2">
      <c r="A23" s="77" t="s">
        <v>14</v>
      </c>
      <c r="B23" s="12"/>
      <c r="C23" s="12"/>
      <c r="D23" s="12"/>
      <c r="E23" s="8"/>
      <c r="F23" s="43"/>
      <c r="G23" s="6" t="s">
        <v>12</v>
      </c>
      <c r="H23" s="7">
        <f>ROUND(I23*(1-$E$5),2)</f>
        <v>214.75</v>
      </c>
      <c r="I23" s="7">
        <f>ROUND(AVERAGE(I21:I22),2)</f>
        <v>229.93</v>
      </c>
      <c r="J23" s="7">
        <f>ROUND(MAX($E$20,1.5*I23),2)</f>
        <v>392.87</v>
      </c>
      <c r="K23" s="110" t="s">
        <v>14</v>
      </c>
    </row>
    <row r="24" spans="1:12" ht="15.95" customHeight="1" x14ac:dyDescent="0.25">
      <c r="A24" s="10" t="s">
        <v>55</v>
      </c>
      <c r="B24" s="12">
        <v>130300</v>
      </c>
      <c r="C24" s="114">
        <v>1.0307823325414209</v>
      </c>
      <c r="D24" s="12">
        <f>B24*C24</f>
        <v>134310.93793014713</v>
      </c>
      <c r="E24" s="7">
        <f>ROUND(D24/(366*(1-$E$5)),2)</f>
        <v>392.9</v>
      </c>
      <c r="F24" s="43"/>
      <c r="G24" s="6" t="s">
        <v>12</v>
      </c>
      <c r="H24" s="7"/>
      <c r="I24" s="8"/>
      <c r="J24" s="8"/>
      <c r="K24" s="111"/>
    </row>
    <row r="25" spans="1:12" ht="15.95" customHeight="1" x14ac:dyDescent="0.2">
      <c r="A25" s="78" t="s">
        <v>21</v>
      </c>
      <c r="B25" s="12" t="s">
        <v>12</v>
      </c>
      <c r="C25" s="12" t="s">
        <v>12</v>
      </c>
      <c r="D25" s="12" t="s">
        <v>12</v>
      </c>
      <c r="E25" s="7">
        <f>$E$24</f>
        <v>392.9</v>
      </c>
      <c r="F25" s="43">
        <v>36923</v>
      </c>
      <c r="G25" s="6">
        <v>2199</v>
      </c>
      <c r="H25" s="7">
        <f>($D$24-F25-G25)/366</f>
        <v>260.07906538291564</v>
      </c>
      <c r="I25" s="7">
        <f>ROUND(H25/(1-$E$5),2)</f>
        <v>278.45999999999998</v>
      </c>
      <c r="J25" s="7" t="s">
        <v>12</v>
      </c>
      <c r="K25" s="111"/>
    </row>
    <row r="26" spans="1:12" ht="15.95" customHeight="1" x14ac:dyDescent="0.2">
      <c r="A26" s="78" t="s">
        <v>76</v>
      </c>
      <c r="B26" s="12"/>
      <c r="C26" s="12"/>
      <c r="D26" s="12"/>
      <c r="E26" s="7">
        <f>$E$24</f>
        <v>392.9</v>
      </c>
      <c r="F26" s="43">
        <v>75902</v>
      </c>
      <c r="G26" s="6">
        <v>2199</v>
      </c>
      <c r="H26" s="7">
        <f t="shared" ref="H26:H27" si="3">($D$24-F26-G26)/366</f>
        <v>153.57906538291567</v>
      </c>
      <c r="I26" s="7">
        <f>ROUND(H26/(1-$E$5),2)</f>
        <v>164.43</v>
      </c>
      <c r="J26" s="7" t="s">
        <v>12</v>
      </c>
      <c r="K26" s="111"/>
    </row>
    <row r="27" spans="1:12" ht="15.95" customHeight="1" x14ac:dyDescent="0.2">
      <c r="A27" s="78" t="s">
        <v>74</v>
      </c>
      <c r="B27" s="12"/>
      <c r="C27" s="12"/>
      <c r="D27" s="12"/>
      <c r="E27" s="7">
        <f>$E$24</f>
        <v>392.9</v>
      </c>
      <c r="F27" s="43">
        <v>37169</v>
      </c>
      <c r="G27" s="6">
        <v>2199</v>
      </c>
      <c r="H27" s="7">
        <f t="shared" si="3"/>
        <v>259.40693423537471</v>
      </c>
      <c r="I27" s="7">
        <f t="shared" ref="I27" si="4">ROUND(H27/(1-$E$5),2)</f>
        <v>277.74</v>
      </c>
      <c r="J27" s="7">
        <f>ROUND(MAX($E$24,1.5*I27),2)</f>
        <v>416.61</v>
      </c>
      <c r="K27" s="110" t="s">
        <v>74</v>
      </c>
    </row>
    <row r="28" spans="1:12" ht="15.95" customHeight="1" x14ac:dyDescent="0.2">
      <c r="A28" s="77" t="s">
        <v>17</v>
      </c>
      <c r="B28" s="12" t="s">
        <v>12</v>
      </c>
      <c r="C28" s="12" t="s">
        <v>12</v>
      </c>
      <c r="D28" s="12" t="s">
        <v>12</v>
      </c>
      <c r="E28" s="7">
        <f>ROUND(AVERAGE(E13,E14,E15,E16,E17,E18,E21,E22,E25,E26,E27),2)</f>
        <v>391.33</v>
      </c>
      <c r="F28" s="43"/>
      <c r="G28" s="6" t="s">
        <v>12</v>
      </c>
      <c r="H28" s="7">
        <f>ROUND(I28*(1-$E$5),2)</f>
        <v>244.73</v>
      </c>
      <c r="I28" s="7">
        <f>ROUND(AVERAGE(I13,I14,I15,I16,I17,I18,I21,I22,I25,I26,I27),2)</f>
        <v>262.02</v>
      </c>
      <c r="J28" s="7">
        <f>ROUND(MAX($E$28,1.5*I28),2)</f>
        <v>393.03</v>
      </c>
      <c r="K28" s="110" t="s">
        <v>17</v>
      </c>
      <c r="L28" s="104" t="s">
        <v>12</v>
      </c>
    </row>
    <row r="29" spans="1:12" ht="15.95" customHeight="1" x14ac:dyDescent="0.25">
      <c r="A29" s="10" t="s">
        <v>54</v>
      </c>
      <c r="B29" s="12">
        <v>128900</v>
      </c>
      <c r="C29" s="114">
        <v>1.0292069227449292</v>
      </c>
      <c r="D29" s="12">
        <f>B29*C29</f>
        <v>132664.77234182137</v>
      </c>
      <c r="E29" s="7">
        <f>ROUND(D29/(366*(1-$E$5)),2)</f>
        <v>388.09</v>
      </c>
      <c r="F29" s="43"/>
      <c r="G29" s="6" t="s">
        <v>12</v>
      </c>
      <c r="H29" s="7"/>
      <c r="I29" s="8"/>
      <c r="J29" s="8"/>
      <c r="K29" s="111"/>
    </row>
    <row r="30" spans="1:12" ht="15.95" customHeight="1" x14ac:dyDescent="0.2">
      <c r="A30" s="109" t="s">
        <v>64</v>
      </c>
      <c r="B30" s="12"/>
      <c r="C30" s="12"/>
      <c r="D30" s="12"/>
      <c r="E30" s="7"/>
      <c r="F30" s="43">
        <v>33276</v>
      </c>
      <c r="G30" s="6">
        <v>2199</v>
      </c>
      <c r="H30" s="7">
        <f>($D$29-F30-G30)/366</f>
        <v>265.54582607055022</v>
      </c>
      <c r="I30" s="7">
        <f t="shared" ref="I30:I35" si="5">ROUND(H30/(1-$E$5),2)</f>
        <v>284.31</v>
      </c>
      <c r="J30" s="7" t="s">
        <v>12</v>
      </c>
      <c r="K30" s="111"/>
    </row>
    <row r="31" spans="1:12" ht="15.95" customHeight="1" x14ac:dyDescent="0.2">
      <c r="A31" s="109" t="s">
        <v>0</v>
      </c>
      <c r="B31" s="12"/>
      <c r="C31" s="12"/>
      <c r="D31" s="12"/>
      <c r="E31" s="7"/>
      <c r="F31" s="43">
        <v>45011</v>
      </c>
      <c r="G31" s="6">
        <v>2199</v>
      </c>
      <c r="H31" s="7">
        <f t="shared" ref="H31:H38" si="6">($D$29-F31-G31)/366</f>
        <v>233.48298454049555</v>
      </c>
      <c r="I31" s="7">
        <f t="shared" si="5"/>
        <v>249.98</v>
      </c>
      <c r="J31" s="7" t="s">
        <v>12</v>
      </c>
      <c r="K31" s="111"/>
    </row>
    <row r="32" spans="1:12" ht="15.95" customHeight="1" x14ac:dyDescent="0.2">
      <c r="A32" s="78" t="s">
        <v>51</v>
      </c>
      <c r="B32" s="12" t="s">
        <v>12</v>
      </c>
      <c r="C32" s="12" t="s">
        <v>12</v>
      </c>
      <c r="D32" s="12" t="s">
        <v>12</v>
      </c>
      <c r="E32" s="8" t="s">
        <v>12</v>
      </c>
      <c r="F32" s="43">
        <v>40200</v>
      </c>
      <c r="G32" s="6">
        <v>2199</v>
      </c>
      <c r="H32" s="7">
        <f t="shared" si="6"/>
        <v>246.62779328366494</v>
      </c>
      <c r="I32" s="7">
        <f t="shared" si="5"/>
        <v>264.06</v>
      </c>
      <c r="J32" s="7">
        <f>ROUND(MAX($E$29,1.5*I32),2)</f>
        <v>396.09</v>
      </c>
      <c r="K32" s="110" t="s">
        <v>124</v>
      </c>
    </row>
    <row r="33" spans="1:11" ht="15.95" customHeight="1" x14ac:dyDescent="0.2">
      <c r="A33" s="78" t="s">
        <v>18</v>
      </c>
      <c r="B33" s="12"/>
      <c r="C33" s="12"/>
      <c r="D33" s="12"/>
      <c r="E33" s="8"/>
      <c r="F33" s="43">
        <v>18189</v>
      </c>
      <c r="G33" s="6">
        <v>2199</v>
      </c>
      <c r="H33" s="7">
        <f t="shared" si="6"/>
        <v>306.76713754596005</v>
      </c>
      <c r="I33" s="7">
        <f t="shared" si="5"/>
        <v>328.44</v>
      </c>
      <c r="J33" s="7">
        <f>ROUND(MAX($E$29,1.5*I33),2)</f>
        <v>492.66</v>
      </c>
      <c r="K33" s="110" t="s">
        <v>18</v>
      </c>
    </row>
    <row r="34" spans="1:11" ht="15.95" customHeight="1" x14ac:dyDescent="0.2">
      <c r="A34" s="78" t="s">
        <v>19</v>
      </c>
      <c r="B34" s="12"/>
      <c r="C34" s="12"/>
      <c r="D34" s="12"/>
      <c r="E34" s="8"/>
      <c r="F34" s="43">
        <v>35657</v>
      </c>
      <c r="G34" s="6">
        <v>2199</v>
      </c>
      <c r="H34" s="7">
        <f t="shared" si="6"/>
        <v>259.04036158967585</v>
      </c>
      <c r="I34" s="7">
        <f t="shared" si="5"/>
        <v>277.35000000000002</v>
      </c>
      <c r="J34" s="7" t="s">
        <v>12</v>
      </c>
      <c r="K34" s="111"/>
    </row>
    <row r="35" spans="1:11" ht="15.95" customHeight="1" x14ac:dyDescent="0.2">
      <c r="A35" s="78" t="s">
        <v>73</v>
      </c>
      <c r="B35" s="12"/>
      <c r="C35" s="12"/>
      <c r="D35" s="12"/>
      <c r="E35" s="8"/>
      <c r="F35" s="43">
        <v>32209</v>
      </c>
      <c r="G35" s="6">
        <v>2199</v>
      </c>
      <c r="H35" s="7">
        <f t="shared" si="6"/>
        <v>268.46112661699829</v>
      </c>
      <c r="I35" s="7">
        <f t="shared" si="5"/>
        <v>287.43</v>
      </c>
      <c r="J35" s="7" t="s">
        <v>12</v>
      </c>
      <c r="K35" s="111"/>
    </row>
    <row r="36" spans="1:11" ht="15.95" customHeight="1" x14ac:dyDescent="0.2">
      <c r="A36" s="78" t="s">
        <v>4</v>
      </c>
      <c r="B36" s="12"/>
      <c r="C36" s="12"/>
      <c r="D36" s="12"/>
      <c r="E36" s="8"/>
      <c r="F36" s="43">
        <v>32492</v>
      </c>
      <c r="G36" s="6">
        <v>2199</v>
      </c>
      <c r="H36" s="7">
        <f t="shared" si="6"/>
        <v>267.68790257328243</v>
      </c>
      <c r="I36" s="7">
        <f t="shared" ref="I36:I38" si="7">ROUND(H36/(1-$E$5),2)</f>
        <v>286.60000000000002</v>
      </c>
      <c r="J36" s="7" t="s">
        <v>12</v>
      </c>
      <c r="K36" s="111"/>
    </row>
    <row r="37" spans="1:11" ht="15.95" customHeight="1" x14ac:dyDescent="0.2">
      <c r="A37" s="78" t="s">
        <v>20</v>
      </c>
      <c r="B37" s="12"/>
      <c r="C37" s="12"/>
      <c r="D37" s="12"/>
      <c r="E37" s="8"/>
      <c r="F37" s="43">
        <v>28567</v>
      </c>
      <c r="G37" s="6">
        <v>2199</v>
      </c>
      <c r="H37" s="7">
        <f t="shared" si="6"/>
        <v>278.41194628912945</v>
      </c>
      <c r="I37" s="7">
        <f t="shared" si="7"/>
        <v>298.08999999999997</v>
      </c>
      <c r="J37" s="7" t="s">
        <v>12</v>
      </c>
      <c r="K37" s="111"/>
    </row>
    <row r="38" spans="1:11" ht="15.95" customHeight="1" x14ac:dyDescent="0.2">
      <c r="A38" s="78" t="s">
        <v>80</v>
      </c>
      <c r="B38" s="12"/>
      <c r="C38" s="12"/>
      <c r="D38" s="12"/>
      <c r="E38" s="8"/>
      <c r="F38" s="43">
        <v>37658</v>
      </c>
      <c r="G38" s="6">
        <v>2199</v>
      </c>
      <c r="H38" s="7">
        <f t="shared" si="6"/>
        <v>253.57314847492179</v>
      </c>
      <c r="I38" s="7">
        <f t="shared" si="7"/>
        <v>271.49</v>
      </c>
      <c r="J38" s="7" t="s">
        <v>12</v>
      </c>
      <c r="K38" s="111"/>
    </row>
    <row r="39" spans="1:11" ht="15.95" customHeight="1" x14ac:dyDescent="0.2">
      <c r="A39" s="77" t="s">
        <v>13</v>
      </c>
      <c r="B39" s="12">
        <f>AVERAGE(B12,B20,B24,B29)</f>
        <v>130425</v>
      </c>
      <c r="C39" s="12" t="s">
        <v>12</v>
      </c>
      <c r="D39" s="12">
        <f>AVERAGE(D12,D20,D24,D29)</f>
        <v>133651.72963928102</v>
      </c>
      <c r="E39" s="7">
        <f>ROUND(D39/(366*(1-$E$5)),2)</f>
        <v>390.97</v>
      </c>
      <c r="F39" s="43">
        <v>29138</v>
      </c>
      <c r="G39" s="6">
        <f>G32</f>
        <v>2199</v>
      </c>
      <c r="H39" s="7">
        <f>($D$39-F39-G39)/366</f>
        <v>279.54844163737982</v>
      </c>
      <c r="I39" s="7">
        <f>ROUND(H39/(1-$E$5),2)</f>
        <v>299.3</v>
      </c>
      <c r="J39" s="7">
        <f>ROUND(MAX($E$39,1.5*I39),2)</f>
        <v>448.95</v>
      </c>
      <c r="K39" s="110" t="s">
        <v>13</v>
      </c>
    </row>
    <row r="40" spans="1:11" ht="20.100000000000001" customHeight="1" x14ac:dyDescent="0.2">
      <c r="A40" s="179" t="s">
        <v>91</v>
      </c>
      <c r="B40" s="180"/>
      <c r="C40" s="180"/>
      <c r="D40" s="180"/>
      <c r="E40" s="180"/>
      <c r="F40" s="180"/>
      <c r="G40" s="180"/>
      <c r="H40" s="180"/>
    </row>
    <row r="44" spans="1:11" x14ac:dyDescent="0.2">
      <c r="E44" s="100"/>
      <c r="F44" s="100"/>
      <c r="I44" s="100"/>
    </row>
    <row r="45" spans="1:11" x14ac:dyDescent="0.2">
      <c r="B45" s="100"/>
      <c r="C45" s="100"/>
      <c r="E45" s="100"/>
      <c r="F45" s="100"/>
      <c r="I45" s="100"/>
    </row>
    <row r="46" spans="1:11" x14ac:dyDescent="0.2">
      <c r="B46" s="100"/>
      <c r="C46" s="100"/>
      <c r="E46" s="100"/>
      <c r="F46" s="100"/>
      <c r="I46" s="100"/>
    </row>
    <row r="47" spans="1:11" x14ac:dyDescent="0.2">
      <c r="B47" s="100"/>
      <c r="C47" s="100"/>
      <c r="E47" s="100"/>
      <c r="F47" s="100"/>
      <c r="I47" s="100"/>
    </row>
    <row r="48" spans="1:11" x14ac:dyDescent="0.2">
      <c r="B48" s="100"/>
      <c r="C48" s="100"/>
      <c r="E48" s="100"/>
      <c r="F48" s="100"/>
      <c r="I48" s="100"/>
    </row>
    <row r="49" spans="2:9" x14ac:dyDescent="0.2">
      <c r="B49" s="100"/>
      <c r="C49" s="100"/>
      <c r="E49" s="100"/>
      <c r="F49" s="100"/>
      <c r="I49" s="100"/>
    </row>
    <row r="50" spans="2:9" x14ac:dyDescent="0.2">
      <c r="B50" s="100"/>
      <c r="C50" s="100"/>
      <c r="E50" s="100"/>
      <c r="F50" s="100"/>
      <c r="I50" s="100"/>
    </row>
    <row r="51" spans="2:9" x14ac:dyDescent="0.2">
      <c r="B51" s="100"/>
      <c r="C51" s="100"/>
      <c r="E51" s="100"/>
      <c r="F51" s="100"/>
      <c r="I51" s="100"/>
    </row>
    <row r="52" spans="2:9" x14ac:dyDescent="0.2">
      <c r="B52" s="100"/>
      <c r="C52" s="100"/>
      <c r="E52" s="100"/>
      <c r="F52" s="100"/>
      <c r="I52" s="100"/>
    </row>
    <row r="53" spans="2:9" x14ac:dyDescent="0.2">
      <c r="B53" s="100"/>
      <c r="C53" s="100"/>
      <c r="E53" s="100"/>
      <c r="F53" s="100"/>
      <c r="I53" s="100"/>
    </row>
    <row r="54" spans="2:9" x14ac:dyDescent="0.2">
      <c r="B54" s="100"/>
      <c r="C54" s="100"/>
      <c r="E54" s="100"/>
      <c r="F54" s="100"/>
      <c r="I54" s="100"/>
    </row>
    <row r="55" spans="2:9" x14ac:dyDescent="0.2">
      <c r="B55" s="100"/>
      <c r="C55" s="100"/>
      <c r="E55" s="100"/>
      <c r="F55" s="100"/>
      <c r="I55" s="100"/>
    </row>
    <row r="56" spans="2:9" x14ac:dyDescent="0.2">
      <c r="B56" s="100"/>
      <c r="C56" s="100"/>
      <c r="E56" s="100"/>
      <c r="F56" s="100"/>
      <c r="I56" s="100"/>
    </row>
    <row r="57" spans="2:9" x14ac:dyDescent="0.2">
      <c r="B57" s="100"/>
      <c r="C57" s="100"/>
      <c r="E57" s="100"/>
      <c r="F57" s="100"/>
      <c r="I57" s="100"/>
    </row>
    <row r="58" spans="2:9" x14ac:dyDescent="0.2">
      <c r="B58" s="100"/>
      <c r="C58" s="100"/>
      <c r="E58" s="100"/>
      <c r="F58" s="100"/>
      <c r="I58" s="100"/>
    </row>
    <row r="59" spans="2:9" x14ac:dyDescent="0.2">
      <c r="B59" s="100"/>
      <c r="C59" s="100"/>
      <c r="E59" s="100"/>
      <c r="F59" s="100"/>
      <c r="I59" s="100"/>
    </row>
    <row r="60" spans="2:9" x14ac:dyDescent="0.2">
      <c r="B60" s="100"/>
      <c r="C60" s="100"/>
      <c r="E60" s="100"/>
      <c r="F60" s="100"/>
      <c r="I60" s="100"/>
    </row>
    <row r="61" spans="2:9" x14ac:dyDescent="0.2">
      <c r="B61" s="100"/>
      <c r="C61" s="100"/>
      <c r="E61" s="100"/>
      <c r="F61" s="100"/>
      <c r="I61" s="100"/>
    </row>
    <row r="62" spans="2:9" x14ac:dyDescent="0.2">
      <c r="B62" s="100"/>
      <c r="C62" s="100"/>
      <c r="E62" s="100"/>
      <c r="F62" s="100"/>
      <c r="I62" s="100"/>
    </row>
    <row r="63" spans="2:9" x14ac:dyDescent="0.2">
      <c r="B63" s="100"/>
      <c r="C63" s="100"/>
      <c r="E63" s="100"/>
      <c r="F63" s="100"/>
      <c r="I63" s="100"/>
    </row>
    <row r="64" spans="2:9" x14ac:dyDescent="0.2">
      <c r="B64" s="100"/>
      <c r="C64" s="100"/>
      <c r="E64" s="100"/>
      <c r="F64" s="100"/>
      <c r="I64" s="100"/>
    </row>
    <row r="65" spans="2:9" x14ac:dyDescent="0.2">
      <c r="B65" s="100"/>
      <c r="C65" s="100"/>
      <c r="E65" s="100"/>
      <c r="F65" s="100"/>
      <c r="I65" s="100"/>
    </row>
    <row r="66" spans="2:9" x14ac:dyDescent="0.2">
      <c r="B66" s="100"/>
      <c r="C66" s="100"/>
      <c r="E66" s="100"/>
      <c r="F66" s="100"/>
      <c r="I66" s="100"/>
    </row>
    <row r="67" spans="2:9" x14ac:dyDescent="0.2">
      <c r="B67" s="100"/>
      <c r="C67" s="100"/>
      <c r="E67" s="100"/>
      <c r="F67" s="100"/>
      <c r="I67" s="100"/>
    </row>
    <row r="68" spans="2:9" x14ac:dyDescent="0.2">
      <c r="B68" s="100"/>
      <c r="C68" s="100"/>
      <c r="E68" s="100"/>
      <c r="F68" s="100"/>
    </row>
    <row r="69" spans="2:9" x14ac:dyDescent="0.2">
      <c r="B69" s="100"/>
      <c r="C69" s="100"/>
      <c r="E69" s="100"/>
      <c r="F69" s="100"/>
    </row>
    <row r="70" spans="2:9" x14ac:dyDescent="0.2">
      <c r="B70" s="100"/>
      <c r="C70" s="100"/>
      <c r="E70" s="100"/>
      <c r="F70" s="100"/>
    </row>
    <row r="71" spans="2:9" x14ac:dyDescent="0.2">
      <c r="B71" s="100"/>
      <c r="C71" s="100"/>
      <c r="E71" s="100"/>
      <c r="F71" s="100"/>
    </row>
    <row r="72" spans="2:9" x14ac:dyDescent="0.2">
      <c r="B72" s="100"/>
      <c r="C72" s="100"/>
      <c r="E72" s="100"/>
      <c r="F72" s="100"/>
    </row>
  </sheetData>
  <mergeCells count="9">
    <mergeCell ref="A8:E8"/>
    <mergeCell ref="A9:E9"/>
    <mergeCell ref="A40:H40"/>
    <mergeCell ref="A1:E1"/>
    <mergeCell ref="A4:E4"/>
    <mergeCell ref="A5:D5"/>
    <mergeCell ref="A6:E6"/>
    <mergeCell ref="A7:E7"/>
    <mergeCell ref="A3:E3"/>
  </mergeCells>
  <pageMargins left="0.7" right="0.7" top="0.75" bottom="0.7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zoomScaleNormal="100" workbookViewId="0">
      <selection sqref="A1:C1"/>
    </sheetView>
  </sheetViews>
  <sheetFormatPr defaultRowHeight="12.75" x14ac:dyDescent="0.2"/>
  <cols>
    <col min="1" max="1" width="12.7109375" customWidth="1"/>
    <col min="2" max="2" width="100.7109375" customWidth="1"/>
    <col min="3" max="3" width="15.7109375" customWidth="1"/>
  </cols>
  <sheetData>
    <row r="1" spans="1:3" ht="20.100000000000001" customHeight="1" thickBot="1" x14ac:dyDescent="0.25">
      <c r="A1" s="185" t="s">
        <v>130</v>
      </c>
      <c r="B1" s="186"/>
      <c r="C1" s="187"/>
    </row>
    <row r="2" spans="1:3" ht="30" customHeight="1" thickBot="1" x14ac:dyDescent="0.25">
      <c r="A2" s="128" t="s">
        <v>60</v>
      </c>
      <c r="B2" s="129" t="s">
        <v>61</v>
      </c>
      <c r="C2" s="130" t="s">
        <v>62</v>
      </c>
    </row>
    <row r="3" spans="1:3" ht="20.100000000000001" customHeight="1" x14ac:dyDescent="0.2">
      <c r="A3" s="138" t="s">
        <v>163</v>
      </c>
      <c r="B3" s="139" t="s">
        <v>164</v>
      </c>
      <c r="C3" s="140" t="s">
        <v>64</v>
      </c>
    </row>
    <row r="4" spans="1:3" ht="20.100000000000001" customHeight="1" x14ac:dyDescent="0.2">
      <c r="A4" s="141" t="s">
        <v>165</v>
      </c>
      <c r="B4" s="142" t="s">
        <v>166</v>
      </c>
      <c r="C4" s="143" t="s">
        <v>64</v>
      </c>
    </row>
    <row r="5" spans="1:3" ht="20.100000000000001" customHeight="1" x14ac:dyDescent="0.2">
      <c r="A5" s="141" t="s">
        <v>167</v>
      </c>
      <c r="B5" s="142" t="s">
        <v>168</v>
      </c>
      <c r="C5" s="143" t="s">
        <v>169</v>
      </c>
    </row>
    <row r="6" spans="1:3" ht="20.100000000000001" customHeight="1" x14ac:dyDescent="0.2">
      <c r="A6" s="141" t="s">
        <v>170</v>
      </c>
      <c r="B6" s="142" t="s">
        <v>171</v>
      </c>
      <c r="C6" s="143" t="s">
        <v>75</v>
      </c>
    </row>
    <row r="7" spans="1:3" ht="20.100000000000001" customHeight="1" x14ac:dyDescent="0.2">
      <c r="A7" s="141" t="s">
        <v>172</v>
      </c>
      <c r="B7" s="142" t="s">
        <v>173</v>
      </c>
      <c r="C7" s="143" t="s">
        <v>73</v>
      </c>
    </row>
    <row r="8" spans="1:3" ht="30" customHeight="1" x14ac:dyDescent="0.2">
      <c r="A8" s="141" t="s">
        <v>174</v>
      </c>
      <c r="B8" s="142" t="s">
        <v>175</v>
      </c>
      <c r="C8" s="143" t="s">
        <v>64</v>
      </c>
    </row>
    <row r="9" spans="1:3" ht="20.100000000000001" customHeight="1" x14ac:dyDescent="0.2">
      <c r="A9" s="141" t="s">
        <v>176</v>
      </c>
      <c r="B9" s="142" t="s">
        <v>177</v>
      </c>
      <c r="C9" s="143" t="s">
        <v>169</v>
      </c>
    </row>
    <row r="10" spans="1:3" ht="20.100000000000001" customHeight="1" x14ac:dyDescent="0.2">
      <c r="A10" s="141" t="s">
        <v>178</v>
      </c>
      <c r="B10" s="142" t="s">
        <v>179</v>
      </c>
      <c r="C10" s="143" t="s">
        <v>64</v>
      </c>
    </row>
    <row r="11" spans="1:3" ht="20.100000000000001" customHeight="1" x14ac:dyDescent="0.2">
      <c r="A11" s="141" t="s">
        <v>180</v>
      </c>
      <c r="B11" s="142" t="s">
        <v>181</v>
      </c>
      <c r="C11" s="143" t="s">
        <v>169</v>
      </c>
    </row>
    <row r="12" spans="1:3" ht="30" customHeight="1" x14ac:dyDescent="0.2">
      <c r="A12" s="141" t="s">
        <v>182</v>
      </c>
      <c r="B12" s="142" t="s">
        <v>183</v>
      </c>
      <c r="C12" s="143" t="s">
        <v>169</v>
      </c>
    </row>
    <row r="13" spans="1:3" ht="20.100000000000001" customHeight="1" x14ac:dyDescent="0.2">
      <c r="A13" s="141" t="s">
        <v>184</v>
      </c>
      <c r="B13" s="142" t="s">
        <v>185</v>
      </c>
      <c r="C13" s="143" t="s">
        <v>74</v>
      </c>
    </row>
    <row r="14" spans="1:3" ht="30" customHeight="1" x14ac:dyDescent="0.2">
      <c r="A14" s="141" t="s">
        <v>186</v>
      </c>
      <c r="B14" s="142" t="s">
        <v>187</v>
      </c>
      <c r="C14" s="143" t="s">
        <v>74</v>
      </c>
    </row>
    <row r="15" spans="1:3" ht="20.100000000000001" customHeight="1" x14ac:dyDescent="0.2">
      <c r="A15" s="141" t="s">
        <v>188</v>
      </c>
      <c r="B15" s="142" t="s">
        <v>189</v>
      </c>
      <c r="C15" s="143" t="s">
        <v>190</v>
      </c>
    </row>
    <row r="16" spans="1:3" ht="30" customHeight="1" x14ac:dyDescent="0.2">
      <c r="A16" s="141" t="s">
        <v>191</v>
      </c>
      <c r="B16" s="142" t="s">
        <v>192</v>
      </c>
      <c r="C16" s="143" t="s">
        <v>190</v>
      </c>
    </row>
    <row r="17" spans="1:3" ht="20.100000000000001" customHeight="1" x14ac:dyDescent="0.2">
      <c r="A17" s="141" t="s">
        <v>193</v>
      </c>
      <c r="B17" s="142" t="s">
        <v>194</v>
      </c>
      <c r="C17" s="143" t="s">
        <v>6</v>
      </c>
    </row>
    <row r="18" spans="1:3" ht="30" customHeight="1" x14ac:dyDescent="0.2">
      <c r="A18" s="141" t="s">
        <v>195</v>
      </c>
      <c r="B18" s="142" t="s">
        <v>196</v>
      </c>
      <c r="C18" s="143" t="s">
        <v>64</v>
      </c>
    </row>
    <row r="19" spans="1:3" ht="30" customHeight="1" x14ac:dyDescent="0.2">
      <c r="A19" s="141" t="s">
        <v>197</v>
      </c>
      <c r="B19" s="142" t="s">
        <v>198</v>
      </c>
      <c r="C19" s="143" t="s">
        <v>190</v>
      </c>
    </row>
    <row r="20" spans="1:3" ht="20.100000000000001" customHeight="1" x14ac:dyDescent="0.2">
      <c r="A20" s="141" t="s">
        <v>199</v>
      </c>
      <c r="B20" s="142" t="s">
        <v>200</v>
      </c>
      <c r="C20" s="143" t="s">
        <v>190</v>
      </c>
    </row>
    <row r="21" spans="1:3" ht="20.100000000000001" customHeight="1" x14ac:dyDescent="0.2">
      <c r="A21" s="141" t="s">
        <v>201</v>
      </c>
      <c r="B21" s="142" t="s">
        <v>202</v>
      </c>
      <c r="C21" s="143" t="s">
        <v>64</v>
      </c>
    </row>
    <row r="22" spans="1:3" ht="30" customHeight="1" x14ac:dyDescent="0.2">
      <c r="A22" s="141" t="s">
        <v>203</v>
      </c>
      <c r="B22" s="142" t="s">
        <v>204</v>
      </c>
      <c r="C22" s="143" t="s">
        <v>74</v>
      </c>
    </row>
    <row r="23" spans="1:3" ht="20.100000000000001" customHeight="1" x14ac:dyDescent="0.2">
      <c r="A23" s="141" t="s">
        <v>205</v>
      </c>
      <c r="B23" s="142" t="s">
        <v>206</v>
      </c>
      <c r="C23" s="143" t="s">
        <v>190</v>
      </c>
    </row>
    <row r="24" spans="1:3" ht="39.950000000000003" customHeight="1" x14ac:dyDescent="0.2">
      <c r="A24" s="141" t="s">
        <v>207</v>
      </c>
      <c r="B24" s="142" t="s">
        <v>208</v>
      </c>
      <c r="C24" s="143" t="s">
        <v>74</v>
      </c>
    </row>
    <row r="25" spans="1:3" ht="20.100000000000001" customHeight="1" x14ac:dyDescent="0.2">
      <c r="A25" s="141" t="s">
        <v>209</v>
      </c>
      <c r="B25" s="142" t="s">
        <v>210</v>
      </c>
      <c r="C25" s="143" t="s">
        <v>74</v>
      </c>
    </row>
    <row r="26" spans="1:3" ht="20.100000000000001" customHeight="1" x14ac:dyDescent="0.2">
      <c r="A26" s="141" t="s">
        <v>211</v>
      </c>
      <c r="B26" s="142" t="s">
        <v>212</v>
      </c>
      <c r="C26" s="143" t="s">
        <v>74</v>
      </c>
    </row>
    <row r="27" spans="1:3" ht="30" customHeight="1" thickBot="1" x14ac:dyDescent="0.25">
      <c r="A27" s="144" t="s">
        <v>213</v>
      </c>
      <c r="B27" s="145" t="s">
        <v>214</v>
      </c>
      <c r="C27" s="146" t="s">
        <v>64</v>
      </c>
    </row>
    <row r="28" spans="1:3" ht="20.100000000000001" customHeight="1" x14ac:dyDescent="0.2">
      <c r="A28" s="131"/>
      <c r="B28" s="132"/>
      <c r="C28" s="133"/>
    </row>
    <row r="29" spans="1:3" ht="15" customHeight="1" thickBot="1" x14ac:dyDescent="0.25">
      <c r="A29" s="134"/>
      <c r="B29" s="134"/>
      <c r="C29" s="134"/>
    </row>
    <row r="30" spans="1:3" ht="20.100000000000001" customHeight="1" thickBot="1" x14ac:dyDescent="0.25">
      <c r="A30" s="182" t="s">
        <v>131</v>
      </c>
      <c r="B30" s="183"/>
      <c r="C30" s="184"/>
    </row>
    <row r="31" spans="1:3" ht="30.95" customHeight="1" thickBot="1" x14ac:dyDescent="0.25">
      <c r="A31" s="128" t="s">
        <v>60</v>
      </c>
      <c r="B31" s="129" t="s">
        <v>61</v>
      </c>
      <c r="C31" s="130" t="s">
        <v>62</v>
      </c>
    </row>
    <row r="32" spans="1:3" ht="20.100000000000001" customHeight="1" thickBot="1" x14ac:dyDescent="0.25">
      <c r="A32" s="135" t="s">
        <v>97</v>
      </c>
      <c r="B32" s="136"/>
      <c r="C32" s="137"/>
    </row>
    <row r="33" spans="2:9" ht="15" customHeight="1" x14ac:dyDescent="0.2"/>
    <row r="34" spans="2:9" ht="15" customHeight="1" x14ac:dyDescent="0.2"/>
    <row r="35" spans="2:9" ht="15" customHeight="1" x14ac:dyDescent="0.2">
      <c r="E35" s="100"/>
      <c r="F35" s="100"/>
      <c r="I35" s="100"/>
    </row>
    <row r="36" spans="2:9" ht="30" customHeight="1" x14ac:dyDescent="0.2">
      <c r="B36" s="100"/>
      <c r="C36" s="100"/>
      <c r="E36" s="100"/>
      <c r="F36" s="100"/>
      <c r="I36" s="100"/>
    </row>
    <row r="37" spans="2:9" ht="15" customHeight="1" x14ac:dyDescent="0.2">
      <c r="B37" s="100"/>
      <c r="C37" s="100"/>
      <c r="E37" s="100"/>
      <c r="F37" s="100"/>
      <c r="I37" s="100"/>
    </row>
    <row r="38" spans="2:9" ht="15" customHeight="1" x14ac:dyDescent="0.2">
      <c r="B38" s="100"/>
      <c r="C38" s="100"/>
      <c r="E38" s="100"/>
      <c r="F38" s="100"/>
      <c r="I38" s="100"/>
    </row>
    <row r="39" spans="2:9" ht="15" customHeight="1" x14ac:dyDescent="0.2">
      <c r="B39" s="100"/>
      <c r="C39" s="100"/>
      <c r="E39" s="100"/>
      <c r="F39" s="100"/>
      <c r="I39" s="100"/>
    </row>
    <row r="40" spans="2:9" ht="15" customHeight="1" x14ac:dyDescent="0.2">
      <c r="B40" s="100"/>
      <c r="C40" s="100"/>
      <c r="E40" s="100"/>
      <c r="F40" s="100"/>
      <c r="I40" s="100"/>
    </row>
    <row r="41" spans="2:9" ht="15" customHeight="1" x14ac:dyDescent="0.2">
      <c r="B41" s="100"/>
      <c r="C41" s="100"/>
      <c r="E41" s="100"/>
      <c r="F41" s="100"/>
      <c r="I41" s="100"/>
    </row>
    <row r="42" spans="2:9" ht="15" customHeight="1" x14ac:dyDescent="0.2">
      <c r="B42" s="100"/>
      <c r="C42" s="100"/>
      <c r="E42" s="100"/>
      <c r="F42" s="100"/>
      <c r="I42" s="100"/>
    </row>
    <row r="43" spans="2:9" ht="15" customHeight="1" x14ac:dyDescent="0.2">
      <c r="B43" s="100"/>
      <c r="C43" s="100"/>
      <c r="E43" s="100"/>
      <c r="F43" s="100"/>
      <c r="I43" s="100"/>
    </row>
    <row r="44" spans="2:9" ht="15" customHeight="1" x14ac:dyDescent="0.2">
      <c r="B44" s="100"/>
      <c r="C44" s="100"/>
      <c r="E44" s="100"/>
      <c r="F44" s="100"/>
      <c r="I44" s="100"/>
    </row>
    <row r="45" spans="2:9" ht="15" customHeight="1" x14ac:dyDescent="0.2">
      <c r="B45" s="100"/>
      <c r="C45" s="100"/>
      <c r="E45" s="100"/>
      <c r="F45" s="100"/>
      <c r="I45" s="100"/>
    </row>
    <row r="46" spans="2:9" ht="15" customHeight="1" x14ac:dyDescent="0.2">
      <c r="B46" s="100"/>
      <c r="C46" s="100"/>
      <c r="E46" s="100"/>
      <c r="F46" s="100"/>
      <c r="I46" s="100"/>
    </row>
    <row r="47" spans="2:9" ht="15" customHeight="1" x14ac:dyDescent="0.2">
      <c r="B47" s="100"/>
      <c r="C47" s="100"/>
      <c r="E47" s="100"/>
      <c r="F47" s="100"/>
      <c r="I47" s="100"/>
    </row>
    <row r="48" spans="2:9" ht="15" customHeight="1" x14ac:dyDescent="0.2">
      <c r="B48" s="100"/>
      <c r="C48" s="100"/>
      <c r="E48" s="100"/>
      <c r="F48" s="100"/>
      <c r="I48" s="100"/>
    </row>
    <row r="49" spans="2:9" ht="15" customHeight="1" x14ac:dyDescent="0.2">
      <c r="B49" s="100"/>
      <c r="C49" s="100"/>
      <c r="E49" s="100"/>
      <c r="F49" s="100"/>
      <c r="I49" s="100"/>
    </row>
    <row r="50" spans="2:9" ht="15" customHeight="1" x14ac:dyDescent="0.2">
      <c r="B50" s="100"/>
      <c r="C50" s="100"/>
      <c r="E50" s="100"/>
      <c r="F50" s="100"/>
      <c r="I50" s="100"/>
    </row>
    <row r="51" spans="2:9" ht="15" customHeight="1" x14ac:dyDescent="0.2">
      <c r="B51" s="100"/>
      <c r="C51" s="100"/>
      <c r="E51" s="100"/>
      <c r="F51" s="100"/>
      <c r="I51" s="100"/>
    </row>
    <row r="52" spans="2:9" ht="15" customHeight="1" x14ac:dyDescent="0.2">
      <c r="B52" s="100"/>
      <c r="C52" s="100"/>
      <c r="E52" s="100"/>
      <c r="F52" s="100"/>
      <c r="I52" s="100"/>
    </row>
    <row r="53" spans="2:9" ht="15" customHeight="1" x14ac:dyDescent="0.2">
      <c r="B53" s="100"/>
      <c r="C53" s="100"/>
      <c r="E53" s="100"/>
      <c r="F53" s="100"/>
      <c r="I53" s="100"/>
    </row>
    <row r="54" spans="2:9" ht="15" customHeight="1" x14ac:dyDescent="0.2">
      <c r="B54" s="100"/>
      <c r="C54" s="100"/>
      <c r="E54" s="100"/>
      <c r="F54" s="100"/>
      <c r="I54" s="100"/>
    </row>
    <row r="55" spans="2:9" ht="15" customHeight="1" x14ac:dyDescent="0.2">
      <c r="B55" s="100"/>
      <c r="C55" s="100"/>
      <c r="E55" s="100"/>
      <c r="F55" s="100"/>
      <c r="I55" s="100"/>
    </row>
    <row r="56" spans="2:9" ht="15" customHeight="1" x14ac:dyDescent="0.2">
      <c r="B56" s="100"/>
      <c r="C56" s="100"/>
      <c r="E56" s="100"/>
      <c r="F56" s="100"/>
      <c r="I56" s="100"/>
    </row>
    <row r="57" spans="2:9" ht="30" customHeight="1" x14ac:dyDescent="0.2">
      <c r="B57" s="100"/>
      <c r="C57" s="100"/>
      <c r="E57" s="100"/>
      <c r="F57" s="100"/>
      <c r="I57" s="100"/>
    </row>
    <row r="58" spans="2:9" ht="15" customHeight="1" x14ac:dyDescent="0.2">
      <c r="B58" s="100"/>
      <c r="C58" s="100"/>
      <c r="E58" s="100"/>
      <c r="F58" s="100"/>
      <c r="I58" s="100"/>
    </row>
    <row r="59" spans="2:9" ht="15" customHeight="1" x14ac:dyDescent="0.2">
      <c r="B59" s="100"/>
      <c r="C59" s="100"/>
      <c r="E59" s="100"/>
      <c r="F59" s="100"/>
    </row>
    <row r="60" spans="2:9" ht="15" customHeight="1" x14ac:dyDescent="0.2">
      <c r="B60" s="100"/>
      <c r="C60" s="100"/>
      <c r="E60" s="100"/>
      <c r="F60" s="100"/>
    </row>
    <row r="61" spans="2:9" ht="15" customHeight="1" x14ac:dyDescent="0.2">
      <c r="B61" s="100"/>
      <c r="C61" s="100"/>
      <c r="E61" s="100"/>
      <c r="F61" s="100"/>
    </row>
    <row r="62" spans="2:9" ht="15" customHeight="1" x14ac:dyDescent="0.2">
      <c r="B62" s="100"/>
      <c r="C62" s="100"/>
      <c r="E62" s="100"/>
      <c r="F62" s="100"/>
    </row>
    <row r="63" spans="2:9" ht="15" customHeight="1" x14ac:dyDescent="0.2">
      <c r="B63" s="100"/>
      <c r="C63" s="100"/>
      <c r="E63" s="100"/>
      <c r="F63" s="100"/>
    </row>
    <row r="64" spans="2:9" ht="15" customHeight="1" x14ac:dyDescent="0.2"/>
    <row r="65" ht="15" customHeight="1" x14ac:dyDescent="0.2"/>
  </sheetData>
  <mergeCells count="2">
    <mergeCell ref="A30:C30"/>
    <mergeCell ref="A1:C1"/>
  </mergeCells>
  <printOptions horizontalCentered="1" verticalCentered="1"/>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selection sqref="A1:B1"/>
    </sheetView>
  </sheetViews>
  <sheetFormatPr defaultRowHeight="12.75" x14ac:dyDescent="0.2"/>
  <cols>
    <col min="1" max="1" width="69.28515625" customWidth="1"/>
    <col min="2" max="14" width="15.7109375" customWidth="1"/>
  </cols>
  <sheetData>
    <row r="1" spans="1:14" ht="18" x14ac:dyDescent="0.2">
      <c r="A1" s="188" t="s">
        <v>224</v>
      </c>
      <c r="B1" s="189"/>
      <c r="C1" s="54"/>
      <c r="D1" s="91" t="s">
        <v>12</v>
      </c>
      <c r="E1" s="54"/>
      <c r="F1" s="54"/>
    </row>
    <row r="2" spans="1:14" ht="20.100000000000001" customHeight="1" x14ac:dyDescent="0.2">
      <c r="A2" s="70" t="s">
        <v>65</v>
      </c>
      <c r="B2" s="71">
        <f>'2019-2020 Parameters'!B6</f>
        <v>1.0881000000000001</v>
      </c>
      <c r="C2" s="14" t="s">
        <v>12</v>
      </c>
      <c r="D2" s="94" t="s">
        <v>12</v>
      </c>
      <c r="E2" s="15" t="s">
        <v>12</v>
      </c>
    </row>
    <row r="3" spans="1:14" ht="20.100000000000001" customHeight="1" x14ac:dyDescent="0.2">
      <c r="A3" s="72" t="s">
        <v>108</v>
      </c>
      <c r="B3" s="105">
        <f>'2019-2020 Parameters'!B5</f>
        <v>6.6000000000000003E-2</v>
      </c>
      <c r="C3" s="14"/>
      <c r="D3" s="94"/>
      <c r="E3" s="15"/>
    </row>
    <row r="4" spans="1:14" ht="20.100000000000001" customHeight="1" x14ac:dyDescent="0.2">
      <c r="A4" s="72"/>
      <c r="B4" s="105"/>
      <c r="C4" s="190" t="s">
        <v>128</v>
      </c>
      <c r="D4" s="190"/>
      <c r="E4" s="190"/>
      <c r="F4" s="190"/>
      <c r="G4" s="190"/>
      <c r="H4" s="190"/>
      <c r="I4" s="190"/>
      <c r="J4" s="190"/>
      <c r="K4" s="190"/>
      <c r="L4" s="190"/>
      <c r="M4" s="190"/>
      <c r="N4" s="190"/>
    </row>
    <row r="5" spans="1:14" ht="31.5" x14ac:dyDescent="0.2">
      <c r="A5" s="83" t="s">
        <v>83</v>
      </c>
      <c r="B5" s="84" t="s">
        <v>66</v>
      </c>
      <c r="C5" s="84" t="s">
        <v>17</v>
      </c>
      <c r="D5" s="84" t="s">
        <v>16</v>
      </c>
      <c r="E5" s="84" t="s">
        <v>14</v>
      </c>
      <c r="F5" s="84" t="s">
        <v>8</v>
      </c>
      <c r="G5" s="84" t="s">
        <v>42</v>
      </c>
      <c r="H5" s="84" t="s">
        <v>43</v>
      </c>
      <c r="I5" s="84" t="s">
        <v>7</v>
      </c>
      <c r="J5" s="84" t="s">
        <v>51</v>
      </c>
      <c r="K5" s="85" t="s">
        <v>81</v>
      </c>
      <c r="L5" s="58" t="s">
        <v>18</v>
      </c>
      <c r="M5" s="58" t="s">
        <v>3</v>
      </c>
      <c r="N5" s="58" t="s">
        <v>93</v>
      </c>
    </row>
    <row r="6" spans="1:14" ht="20.100000000000001" customHeight="1" x14ac:dyDescent="0.2">
      <c r="A6" s="82" t="s">
        <v>67</v>
      </c>
      <c r="B6" s="59">
        <f>'2019-2020 Parameters'!B7</f>
        <v>157188.5</v>
      </c>
      <c r="C6" s="59">
        <f>'2019-2020 Parameters'!F62</f>
        <v>57137</v>
      </c>
      <c r="D6" s="59">
        <f>'2019-2020 Parameters'!F59</f>
        <v>31010</v>
      </c>
      <c r="E6" s="59">
        <f>'2019-2020 Parameters'!F60</f>
        <v>13145</v>
      </c>
      <c r="F6" s="59">
        <f>'2019-2020 Parameters'!F56</f>
        <v>9868</v>
      </c>
      <c r="G6" s="59">
        <f>'2019-2020 Parameters'!F57</f>
        <v>4921.2</v>
      </c>
      <c r="H6" s="59">
        <f>'2019-2020 Parameters'!F48</f>
        <v>2279.5</v>
      </c>
      <c r="I6" s="59">
        <f>'2019-2020 Parameters'!F54</f>
        <v>6387</v>
      </c>
      <c r="J6" s="59">
        <f>'2019-2020 Parameters'!F39</f>
        <v>12617</v>
      </c>
      <c r="K6" s="59">
        <f>'2019-2020 Parameters'!F40</f>
        <v>4221.6000000000004</v>
      </c>
      <c r="L6" s="59">
        <f>'2019-2020 Parameters'!F42</f>
        <v>21855</v>
      </c>
      <c r="M6" s="59">
        <f>'2019-2020 Parameters'!F41</f>
        <v>6758</v>
      </c>
      <c r="N6" s="59">
        <f>'2019-2020 Parameters'!F55</f>
        <v>7266</v>
      </c>
    </row>
    <row r="7" spans="1:14" ht="20.100000000000001" customHeight="1" x14ac:dyDescent="0.2">
      <c r="A7" s="82" t="s">
        <v>68</v>
      </c>
      <c r="B7" s="59">
        <f>'2019-2020 Parameters'!B13</f>
        <v>12815.4</v>
      </c>
      <c r="C7" s="59">
        <f>'2019-2020 Parameters'!C13</f>
        <v>0</v>
      </c>
      <c r="D7" s="59">
        <f>'2019-2020 Parameters'!D13</f>
        <v>0</v>
      </c>
      <c r="E7" s="59">
        <f>'2019-2020 Parameters'!E13</f>
        <v>0</v>
      </c>
      <c r="F7" s="59">
        <f>'2019-2020 Parameters'!F13</f>
        <v>0</v>
      </c>
      <c r="G7" s="59">
        <f>'2019-2020 Parameters'!G13</f>
        <v>0</v>
      </c>
      <c r="H7" s="59">
        <f>'2019-2020 Parameters'!H13</f>
        <v>0</v>
      </c>
      <c r="I7" s="59">
        <f>'2019-2020 Parameters'!I13</f>
        <v>0</v>
      </c>
      <c r="J7" s="59">
        <f>'2019-2020 Parameters'!J13</f>
        <v>0</v>
      </c>
      <c r="K7" s="59">
        <f>'2019-2020 Parameters'!K13</f>
        <v>0</v>
      </c>
      <c r="L7" s="59">
        <f>'2019-2020 Parameters'!L13</f>
        <v>0</v>
      </c>
      <c r="M7" s="59">
        <f>'2019-2020 Parameters'!M13</f>
        <v>0</v>
      </c>
      <c r="N7" s="59">
        <f>'2019-2020 Parameters'!N13</f>
        <v>0</v>
      </c>
    </row>
    <row r="8" spans="1:14" ht="20.100000000000001" customHeight="1" x14ac:dyDescent="0.2">
      <c r="A8" s="82" t="s">
        <v>226</v>
      </c>
      <c r="B8" s="59">
        <f>B6-B7</f>
        <v>144373.1</v>
      </c>
      <c r="C8" s="59">
        <f>C6-C7</f>
        <v>57137</v>
      </c>
      <c r="D8" s="59">
        <f t="shared" ref="D8:I8" si="0">D6-D7</f>
        <v>31010</v>
      </c>
      <c r="E8" s="59">
        <f t="shared" si="0"/>
        <v>13145</v>
      </c>
      <c r="F8" s="59">
        <f t="shared" si="0"/>
        <v>9868</v>
      </c>
      <c r="G8" s="59">
        <f t="shared" si="0"/>
        <v>4921.2</v>
      </c>
      <c r="H8" s="59">
        <f t="shared" si="0"/>
        <v>2279.5</v>
      </c>
      <c r="I8" s="59">
        <f t="shared" si="0"/>
        <v>6387</v>
      </c>
      <c r="J8" s="59">
        <f>J6-J7</f>
        <v>12617</v>
      </c>
      <c r="K8" s="59">
        <f>K6-K7</f>
        <v>4221.6000000000004</v>
      </c>
      <c r="L8" s="59">
        <f>L6-L7</f>
        <v>21855</v>
      </c>
      <c r="M8" s="59">
        <f>M6-M7</f>
        <v>6758</v>
      </c>
      <c r="N8" s="59">
        <f>N6-N7</f>
        <v>7266</v>
      </c>
    </row>
    <row r="9" spans="1:14" ht="20.100000000000001" customHeight="1" x14ac:dyDescent="0.2">
      <c r="A9" s="82" t="s">
        <v>225</v>
      </c>
      <c r="B9" s="59">
        <f>'2019-2020 Parameters'!B17</f>
        <v>1738.3</v>
      </c>
      <c r="C9" s="59">
        <f>'2019-2020 Parameters'!C17</f>
        <v>609.6</v>
      </c>
      <c r="D9" s="59">
        <f>'2019-2020 Parameters'!D17</f>
        <v>204.7</v>
      </c>
      <c r="E9" s="59">
        <f>'2019-2020 Parameters'!E17</f>
        <v>307.60000000000002</v>
      </c>
      <c r="F9" s="59">
        <f>'2019-2020 Parameters'!F17</f>
        <v>46.8</v>
      </c>
      <c r="G9" s="59">
        <f>'2019-2020 Parameters'!G17</f>
        <v>9.1999999999999993</v>
      </c>
      <c r="H9" s="59">
        <f>'2019-2020 Parameters'!H17</f>
        <v>1.2</v>
      </c>
      <c r="I9" s="59">
        <f>'2019-2020 Parameters'!I17</f>
        <v>121.5</v>
      </c>
      <c r="J9" s="59">
        <f>'2019-2020 Parameters'!J17</f>
        <v>49.5</v>
      </c>
      <c r="K9" s="59">
        <f>'2019-2020 Parameters'!K17</f>
        <v>0.5</v>
      </c>
      <c r="L9" s="59">
        <f>'2019-2020 Parameters'!L17</f>
        <v>666.4</v>
      </c>
      <c r="M9" s="59">
        <f>'2019-2020 Parameters'!M17</f>
        <v>186.1</v>
      </c>
      <c r="N9" s="59">
        <f>'2019-2020 Parameters'!N17</f>
        <v>56.6</v>
      </c>
    </row>
    <row r="10" spans="1:14" ht="20.100000000000001" customHeight="1" x14ac:dyDescent="0.2">
      <c r="A10" s="38" t="s">
        <v>111</v>
      </c>
      <c r="B10" s="59"/>
      <c r="C10" s="59"/>
      <c r="D10" s="59"/>
      <c r="E10" s="59"/>
      <c r="F10" s="59"/>
      <c r="G10" s="59"/>
      <c r="H10" s="59"/>
      <c r="I10" s="59"/>
      <c r="J10" s="59"/>
      <c r="K10" s="59"/>
      <c r="L10" s="59"/>
      <c r="M10" s="59"/>
      <c r="N10" s="59"/>
    </row>
    <row r="11" spans="1:14" ht="20.100000000000001" customHeight="1" x14ac:dyDescent="0.2">
      <c r="A11" s="82" t="s">
        <v>69</v>
      </c>
      <c r="B11" s="60">
        <v>8.6999999999999994E-2</v>
      </c>
      <c r="C11" s="60">
        <v>0.188</v>
      </c>
      <c r="D11" s="60">
        <v>0.16400000000000001</v>
      </c>
      <c r="E11" s="60">
        <v>6.7000000000000004E-2</v>
      </c>
      <c r="F11" s="60">
        <v>0.108</v>
      </c>
      <c r="G11" s="60">
        <v>4.1000000000000002E-2</v>
      </c>
      <c r="H11" s="60">
        <v>8.2000000000000003E-2</v>
      </c>
      <c r="I11" s="60">
        <v>6.7000000000000004E-2</v>
      </c>
      <c r="J11" s="60">
        <v>0.14699999999999999</v>
      </c>
      <c r="K11" s="60">
        <v>0.26400000000000001</v>
      </c>
      <c r="L11" s="60">
        <v>0.13600000000000001</v>
      </c>
      <c r="M11" s="60">
        <v>6.3E-2</v>
      </c>
      <c r="N11" s="60">
        <v>0.217</v>
      </c>
    </row>
    <row r="12" spans="1:14" ht="20.100000000000001" customHeight="1" x14ac:dyDescent="0.2">
      <c r="A12" s="67" t="s">
        <v>112</v>
      </c>
      <c r="B12" s="59">
        <f>B8*B11*$B$2+B9*B11*$B$2</f>
        <v>13831.591847580001</v>
      </c>
      <c r="C12" s="59">
        <f t="shared" ref="C12:M12" si="1">C8*C11*$B$2+C9*C11*$B$2</f>
        <v>11812.80618648</v>
      </c>
      <c r="D12" s="59">
        <f t="shared" si="1"/>
        <v>5570.2132714800009</v>
      </c>
      <c r="E12" s="59">
        <f t="shared" si="1"/>
        <v>980.73086202000013</v>
      </c>
      <c r="F12" s="59">
        <f t="shared" si="1"/>
        <v>1165.1357390399999</v>
      </c>
      <c r="G12" s="59">
        <f t="shared" si="1"/>
        <v>219.95549784000002</v>
      </c>
      <c r="H12" s="59">
        <f t="shared" si="1"/>
        <v>203.49363294000003</v>
      </c>
      <c r="I12" s="59">
        <f t="shared" si="1"/>
        <v>474.48722295000005</v>
      </c>
      <c r="J12" s="59">
        <f t="shared" si="1"/>
        <v>2026.0155415499999</v>
      </c>
      <c r="K12" s="59">
        <f t="shared" si="1"/>
        <v>1212.8336906400002</v>
      </c>
      <c r="L12" s="59">
        <f t="shared" si="1"/>
        <v>3332.7528062400002</v>
      </c>
      <c r="M12" s="59">
        <f t="shared" si="1"/>
        <v>476.02013823000004</v>
      </c>
      <c r="N12" s="59">
        <f>N8*N11*$B$2+N9*N11*$B$2</f>
        <v>1728.9954700200001</v>
      </c>
    </row>
    <row r="13" spans="1:14" ht="20.100000000000001" customHeight="1" x14ac:dyDescent="0.2">
      <c r="A13" s="38" t="s">
        <v>113</v>
      </c>
      <c r="B13" s="57"/>
      <c r="C13" s="57"/>
      <c r="D13" s="57"/>
      <c r="E13" s="57"/>
      <c r="F13" s="57"/>
      <c r="G13" s="57"/>
      <c r="H13" s="57"/>
      <c r="I13" s="57"/>
      <c r="J13" s="57"/>
      <c r="K13" s="57"/>
      <c r="L13" s="57"/>
      <c r="M13" s="57"/>
      <c r="N13" s="57"/>
    </row>
    <row r="14" spans="1:14" ht="20.100000000000001" customHeight="1" x14ac:dyDescent="0.2">
      <c r="A14" s="82" t="s">
        <v>69</v>
      </c>
      <c r="B14" s="60">
        <v>0.19900000000000001</v>
      </c>
      <c r="C14" s="60">
        <v>0.309</v>
      </c>
      <c r="D14" s="60">
        <v>0.44900000000000001</v>
      </c>
      <c r="E14" s="60">
        <v>0.20200000000000001</v>
      </c>
      <c r="F14" s="60">
        <v>0.46800000000000003</v>
      </c>
      <c r="G14" s="60">
        <v>0.36099999999999999</v>
      </c>
      <c r="H14" s="60">
        <v>0.154</v>
      </c>
      <c r="I14" s="60">
        <v>0.222</v>
      </c>
      <c r="J14" s="60">
        <v>0.27800000000000002</v>
      </c>
      <c r="K14" s="60">
        <v>0.33700000000000002</v>
      </c>
      <c r="L14" s="60">
        <v>0.53500000000000003</v>
      </c>
      <c r="M14" s="60">
        <v>0.158</v>
      </c>
      <c r="N14" s="60">
        <v>0.24099999999999999</v>
      </c>
    </row>
    <row r="15" spans="1:14" ht="20.100000000000001" customHeight="1" x14ac:dyDescent="0.2">
      <c r="A15" s="67" t="s">
        <v>114</v>
      </c>
      <c r="B15" s="59">
        <f>B8*B14*(1-$B$3)+B9*B11*$B$2</f>
        <v>26998.60625261</v>
      </c>
      <c r="C15" s="59">
        <f t="shared" ref="C15:M15" si="2">C8*C14*(1-$B$3)+C9*C11*$B$2</f>
        <v>16614.782504879997</v>
      </c>
      <c r="D15" s="59">
        <f t="shared" si="2"/>
        <v>13041.068047479999</v>
      </c>
      <c r="E15" s="59">
        <f t="shared" si="2"/>
        <v>2502.4657305199994</v>
      </c>
      <c r="F15" s="59">
        <f t="shared" si="2"/>
        <v>4318.9209086399997</v>
      </c>
      <c r="G15" s="59">
        <f t="shared" si="2"/>
        <v>1659.7111201199998</v>
      </c>
      <c r="H15" s="59">
        <f t="shared" si="2"/>
        <v>327.98123104000001</v>
      </c>
      <c r="I15" s="59">
        <f t="shared" si="2"/>
        <v>1333.18935405</v>
      </c>
      <c r="J15" s="59">
        <f t="shared" si="2"/>
        <v>3283.9468436500001</v>
      </c>
      <c r="K15" s="59">
        <f t="shared" si="2"/>
        <v>1328.9260020000002</v>
      </c>
      <c r="L15" s="59">
        <f t="shared" si="2"/>
        <v>11019.33988824</v>
      </c>
      <c r="M15" s="59">
        <f t="shared" si="2"/>
        <v>1010.04878683</v>
      </c>
      <c r="N15" s="59">
        <f>N8*N14*(1-$B$3)+N9*N11*$B$2</f>
        <v>1648.8972658199998</v>
      </c>
    </row>
    <row r="16" spans="1:14" ht="20.100000000000001" customHeight="1" x14ac:dyDescent="0.2">
      <c r="A16" s="38" t="s">
        <v>99</v>
      </c>
      <c r="B16" s="57"/>
      <c r="C16" s="57"/>
      <c r="D16" s="57"/>
      <c r="E16" s="61"/>
      <c r="F16" s="57"/>
      <c r="G16" s="57"/>
      <c r="H16" s="57"/>
      <c r="I16" s="61"/>
      <c r="J16" s="57"/>
      <c r="K16" s="57"/>
      <c r="L16" s="57"/>
      <c r="M16" s="57"/>
      <c r="N16" s="57"/>
    </row>
    <row r="17" spans="1:14" ht="20.100000000000001" customHeight="1" x14ac:dyDescent="0.2">
      <c r="A17" s="68" t="s">
        <v>111</v>
      </c>
      <c r="B17" s="69">
        <f t="shared" ref="B17:N17" si="3">B11</f>
        <v>8.6999999999999994E-2</v>
      </c>
      <c r="C17" s="69">
        <f t="shared" si="3"/>
        <v>0.188</v>
      </c>
      <c r="D17" s="69">
        <f t="shared" si="3"/>
        <v>0.16400000000000001</v>
      </c>
      <c r="E17" s="69">
        <f t="shared" si="3"/>
        <v>6.7000000000000004E-2</v>
      </c>
      <c r="F17" s="69">
        <f t="shared" si="3"/>
        <v>0.108</v>
      </c>
      <c r="G17" s="69">
        <f t="shared" si="3"/>
        <v>4.1000000000000002E-2</v>
      </c>
      <c r="H17" s="69">
        <f t="shared" si="3"/>
        <v>8.2000000000000003E-2</v>
      </c>
      <c r="I17" s="69">
        <f t="shared" si="3"/>
        <v>6.7000000000000004E-2</v>
      </c>
      <c r="J17" s="69">
        <f t="shared" si="3"/>
        <v>0.14699999999999999</v>
      </c>
      <c r="K17" s="69">
        <f t="shared" si="3"/>
        <v>0.26400000000000001</v>
      </c>
      <c r="L17" s="69">
        <f t="shared" si="3"/>
        <v>0.13600000000000001</v>
      </c>
      <c r="M17" s="69">
        <f t="shared" si="3"/>
        <v>6.3E-2</v>
      </c>
      <c r="N17" s="69">
        <f t="shared" si="3"/>
        <v>0.217</v>
      </c>
    </row>
    <row r="18" spans="1:14" ht="20.100000000000001" customHeight="1" x14ac:dyDescent="0.2">
      <c r="A18" s="68" t="s">
        <v>113</v>
      </c>
      <c r="B18" s="69">
        <f>B14</f>
        <v>0.19900000000000001</v>
      </c>
      <c r="C18" s="69">
        <f t="shared" ref="C18:E18" si="4">C14</f>
        <v>0.309</v>
      </c>
      <c r="D18" s="69">
        <f t="shared" si="4"/>
        <v>0.44900000000000001</v>
      </c>
      <c r="E18" s="69">
        <f t="shared" si="4"/>
        <v>0.20200000000000001</v>
      </c>
      <c r="F18" s="69">
        <f>F14</f>
        <v>0.46800000000000003</v>
      </c>
      <c r="G18" s="69">
        <f t="shared" ref="G18:K18" si="5">G14</f>
        <v>0.36099999999999999</v>
      </c>
      <c r="H18" s="69">
        <f t="shared" si="5"/>
        <v>0.154</v>
      </c>
      <c r="I18" s="69">
        <f t="shared" si="5"/>
        <v>0.222</v>
      </c>
      <c r="J18" s="69">
        <f t="shared" si="5"/>
        <v>0.27800000000000002</v>
      </c>
      <c r="K18" s="69">
        <f t="shared" si="5"/>
        <v>0.33700000000000002</v>
      </c>
      <c r="L18" s="69">
        <f>L14</f>
        <v>0.53500000000000003</v>
      </c>
      <c r="M18" s="69">
        <f>M14</f>
        <v>0.158</v>
      </c>
      <c r="N18" s="69">
        <f>N14</f>
        <v>0.24099999999999999</v>
      </c>
    </row>
    <row r="34" spans="2:9" x14ac:dyDescent="0.2">
      <c r="E34" s="100"/>
      <c r="F34" s="100"/>
      <c r="I34" s="100"/>
    </row>
    <row r="35" spans="2:9" x14ac:dyDescent="0.2">
      <c r="B35" s="100"/>
      <c r="C35" s="100"/>
      <c r="E35" s="100"/>
      <c r="F35" s="100"/>
      <c r="I35" s="100"/>
    </row>
    <row r="36" spans="2:9" x14ac:dyDescent="0.2">
      <c r="B36" s="100"/>
      <c r="C36" s="100"/>
      <c r="E36" s="100"/>
      <c r="F36" s="100"/>
      <c r="I36" s="100"/>
    </row>
    <row r="37" spans="2:9" x14ac:dyDescent="0.2">
      <c r="B37" s="100"/>
      <c r="C37" s="100"/>
      <c r="E37" s="100"/>
      <c r="F37" s="100"/>
      <c r="I37" s="100"/>
    </row>
    <row r="38" spans="2:9" x14ac:dyDescent="0.2">
      <c r="B38" s="100"/>
      <c r="C38" s="100"/>
      <c r="E38" s="100"/>
      <c r="F38" s="100"/>
      <c r="I38" s="100"/>
    </row>
    <row r="39" spans="2:9" x14ac:dyDescent="0.2">
      <c r="B39" s="100"/>
      <c r="C39" s="100"/>
      <c r="E39" s="100"/>
      <c r="F39" s="100"/>
      <c r="I39" s="100"/>
    </row>
    <row r="40" spans="2:9" x14ac:dyDescent="0.2">
      <c r="B40" s="100"/>
      <c r="C40" s="100"/>
      <c r="E40" s="100"/>
      <c r="F40" s="100"/>
      <c r="I40" s="100"/>
    </row>
    <row r="41" spans="2:9" x14ac:dyDescent="0.2">
      <c r="B41" s="100"/>
      <c r="C41" s="100"/>
      <c r="E41" s="100"/>
      <c r="F41" s="100"/>
      <c r="I41" s="100"/>
    </row>
    <row r="42" spans="2:9" x14ac:dyDescent="0.2">
      <c r="B42" s="100"/>
      <c r="C42" s="100"/>
      <c r="E42" s="100"/>
      <c r="F42" s="100"/>
      <c r="I42" s="100"/>
    </row>
    <row r="43" spans="2:9" x14ac:dyDescent="0.2">
      <c r="B43" s="100"/>
      <c r="C43" s="100"/>
      <c r="E43" s="100"/>
      <c r="F43" s="100"/>
      <c r="I43" s="100"/>
    </row>
    <row r="44" spans="2:9" x14ac:dyDescent="0.2">
      <c r="B44" s="100"/>
      <c r="C44" s="100"/>
      <c r="E44" s="100"/>
      <c r="F44" s="100"/>
      <c r="I44" s="100"/>
    </row>
    <row r="45" spans="2:9" x14ac:dyDescent="0.2">
      <c r="B45" s="100"/>
      <c r="C45" s="100"/>
      <c r="E45" s="100"/>
      <c r="F45" s="100"/>
      <c r="I45" s="100"/>
    </row>
    <row r="46" spans="2:9" x14ac:dyDescent="0.2">
      <c r="B46" s="100"/>
      <c r="C46" s="100"/>
      <c r="E46" s="100"/>
      <c r="F46" s="100"/>
      <c r="I46" s="100"/>
    </row>
    <row r="47" spans="2:9" x14ac:dyDescent="0.2">
      <c r="B47" s="100"/>
      <c r="C47" s="100"/>
      <c r="E47" s="100"/>
      <c r="F47" s="100"/>
      <c r="I47" s="100"/>
    </row>
    <row r="48" spans="2:9" x14ac:dyDescent="0.2">
      <c r="B48" s="100"/>
      <c r="C48" s="100"/>
      <c r="E48" s="100"/>
      <c r="F48" s="100"/>
      <c r="I48" s="100"/>
    </row>
    <row r="49" spans="2:9" x14ac:dyDescent="0.2">
      <c r="B49" s="100"/>
      <c r="C49" s="100"/>
      <c r="E49" s="100"/>
      <c r="F49" s="100"/>
      <c r="I49" s="100"/>
    </row>
    <row r="50" spans="2:9" x14ac:dyDescent="0.2">
      <c r="B50" s="100"/>
      <c r="C50" s="100"/>
      <c r="E50" s="100"/>
      <c r="F50" s="100"/>
      <c r="I50" s="100"/>
    </row>
    <row r="51" spans="2:9" x14ac:dyDescent="0.2">
      <c r="B51" s="100"/>
      <c r="C51" s="100"/>
      <c r="E51" s="100"/>
      <c r="F51" s="100"/>
      <c r="I51" s="100"/>
    </row>
    <row r="52" spans="2:9" x14ac:dyDescent="0.2">
      <c r="B52" s="100"/>
      <c r="C52" s="100"/>
      <c r="E52" s="100"/>
      <c r="F52" s="100"/>
      <c r="I52" s="100"/>
    </row>
    <row r="53" spans="2:9" x14ac:dyDescent="0.2">
      <c r="B53" s="100"/>
      <c r="C53" s="100"/>
      <c r="E53" s="100"/>
      <c r="F53" s="100"/>
      <c r="I53" s="100"/>
    </row>
    <row r="54" spans="2:9" x14ac:dyDescent="0.2">
      <c r="B54" s="100"/>
      <c r="C54" s="100"/>
      <c r="E54" s="100"/>
      <c r="F54" s="100"/>
      <c r="I54" s="100"/>
    </row>
    <row r="55" spans="2:9" x14ac:dyDescent="0.2">
      <c r="B55" s="100"/>
      <c r="C55" s="100"/>
      <c r="E55" s="100"/>
      <c r="F55" s="100"/>
      <c r="I55" s="100"/>
    </row>
    <row r="56" spans="2:9" x14ac:dyDescent="0.2">
      <c r="B56" s="100"/>
      <c r="C56" s="100"/>
      <c r="E56" s="100"/>
      <c r="F56" s="100"/>
      <c r="I56" s="100"/>
    </row>
    <row r="57" spans="2:9" x14ac:dyDescent="0.2">
      <c r="B57" s="100"/>
      <c r="C57" s="100"/>
      <c r="E57" s="100"/>
      <c r="F57" s="100"/>
      <c r="I57" s="100"/>
    </row>
    <row r="58" spans="2:9" x14ac:dyDescent="0.2">
      <c r="B58" s="100"/>
      <c r="C58" s="100"/>
      <c r="E58" s="100"/>
      <c r="F58" s="100"/>
    </row>
    <row r="59" spans="2:9" x14ac:dyDescent="0.2">
      <c r="B59" s="100"/>
      <c r="C59" s="100"/>
      <c r="E59" s="100"/>
      <c r="F59" s="100"/>
    </row>
    <row r="60" spans="2:9" x14ac:dyDescent="0.2">
      <c r="B60" s="100"/>
      <c r="C60" s="100"/>
      <c r="E60" s="100"/>
      <c r="F60" s="100"/>
    </row>
    <row r="61" spans="2:9" x14ac:dyDescent="0.2">
      <c r="B61" s="100"/>
      <c r="C61" s="100"/>
      <c r="E61" s="100"/>
      <c r="F61" s="100"/>
    </row>
    <row r="62" spans="2:9" x14ac:dyDescent="0.2">
      <c r="B62" s="100"/>
      <c r="C62" s="100"/>
      <c r="E62" s="100"/>
      <c r="F62" s="100"/>
    </row>
  </sheetData>
  <mergeCells count="2">
    <mergeCell ref="A1:B1"/>
    <mergeCell ref="C4:N4"/>
  </mergeCells>
  <pageMargins left="0.45" right="0.45" top="0.5" bottom="0.5" header="0.3" footer="0.3"/>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sqref="A1:G1"/>
    </sheetView>
  </sheetViews>
  <sheetFormatPr defaultRowHeight="12.75" x14ac:dyDescent="0.2"/>
  <cols>
    <col min="1" max="1" width="85.7109375" customWidth="1"/>
    <col min="2" max="2" width="18.42578125" customWidth="1"/>
    <col min="3" max="3" width="16.42578125" customWidth="1"/>
    <col min="4" max="8" width="15.7109375" customWidth="1"/>
  </cols>
  <sheetData>
    <row r="1" spans="1:9" ht="24.95" customHeight="1" x14ac:dyDescent="0.2">
      <c r="A1" s="193" t="s">
        <v>129</v>
      </c>
      <c r="B1" s="193"/>
      <c r="C1" s="193"/>
      <c r="D1" s="193"/>
      <c r="E1" s="193"/>
      <c r="F1" s="193"/>
      <c r="G1" s="193"/>
    </row>
    <row r="2" spans="1:9" ht="24.95" customHeight="1" x14ac:dyDescent="0.2">
      <c r="A2" s="97"/>
      <c r="B2" s="194" t="s">
        <v>115</v>
      </c>
      <c r="C2" s="194"/>
      <c r="D2" s="194"/>
      <c r="E2" s="194"/>
      <c r="F2" s="194"/>
      <c r="G2" s="194"/>
    </row>
    <row r="3" spans="1:9" ht="24.95" customHeight="1" x14ac:dyDescent="0.25">
      <c r="A3" s="96" t="s">
        <v>12</v>
      </c>
      <c r="B3" s="84" t="s">
        <v>118</v>
      </c>
      <c r="C3" s="84" t="s">
        <v>84</v>
      </c>
      <c r="D3" s="84" t="s">
        <v>85</v>
      </c>
      <c r="E3" s="84" t="s">
        <v>86</v>
      </c>
      <c r="F3" s="84" t="s">
        <v>87</v>
      </c>
      <c r="G3" s="84" t="s">
        <v>88</v>
      </c>
      <c r="H3" s="122" t="s">
        <v>12</v>
      </c>
      <c r="I3" s="107"/>
    </row>
    <row r="4" spans="1:9" ht="20.100000000000001" customHeight="1" x14ac:dyDescent="0.2">
      <c r="A4" s="20" t="s">
        <v>119</v>
      </c>
      <c r="B4" s="101">
        <f>SUM(C4:G4)</f>
        <v>8211</v>
      </c>
      <c r="C4" s="101">
        <v>51</v>
      </c>
      <c r="D4" s="101">
        <v>2639.9</v>
      </c>
      <c r="E4" s="101">
        <v>4193.1000000000004</v>
      </c>
      <c r="F4" s="101">
        <v>704</v>
      </c>
      <c r="G4" s="101">
        <v>623</v>
      </c>
      <c r="H4" s="151" t="s">
        <v>12</v>
      </c>
    </row>
    <row r="5" spans="1:9" ht="20.100000000000001" customHeight="1" x14ac:dyDescent="0.2">
      <c r="A5" s="20" t="s">
        <v>120</v>
      </c>
      <c r="B5" s="101">
        <v>3500</v>
      </c>
      <c r="C5" s="101">
        <f>ROUND(C4*$B$5/$B$4,1)</f>
        <v>21.7</v>
      </c>
      <c r="D5" s="101">
        <f>ROUND(D4*$B$5/$B$4,1)</f>
        <v>1125.3</v>
      </c>
      <c r="E5" s="101">
        <f>ROUND(E4*$B$5/$B$4,1)</f>
        <v>1787.3</v>
      </c>
      <c r="F5" s="101">
        <f>ROUND(F4*$B$5/$B$4,1)</f>
        <v>300.10000000000002</v>
      </c>
      <c r="G5" s="101">
        <f>ROUND(G4*$B$5/$B$4,1)</f>
        <v>265.60000000000002</v>
      </c>
      <c r="H5" s="151" t="s">
        <v>12</v>
      </c>
    </row>
    <row r="6" spans="1:9" ht="20.100000000000001" customHeight="1" x14ac:dyDescent="0.2">
      <c r="A6" s="103" t="s">
        <v>138</v>
      </c>
      <c r="B6" s="101">
        <f>SUM(C6:G6)</f>
        <v>13017</v>
      </c>
      <c r="C6" s="101">
        <v>788</v>
      </c>
      <c r="D6" s="101">
        <v>3787</v>
      </c>
      <c r="E6" s="101">
        <v>5424</v>
      </c>
      <c r="F6" s="101">
        <v>2092</v>
      </c>
      <c r="G6" s="101">
        <v>926</v>
      </c>
      <c r="H6" s="151" t="s">
        <v>12</v>
      </c>
    </row>
    <row r="7" spans="1:9" ht="20.100000000000001" customHeight="1" x14ac:dyDescent="0.2">
      <c r="A7" s="103" t="s">
        <v>139</v>
      </c>
      <c r="B7" s="101">
        <f>SUM(C7:G7)</f>
        <v>4973.3</v>
      </c>
      <c r="C7" s="101">
        <v>0</v>
      </c>
      <c r="D7" s="101">
        <v>1916</v>
      </c>
      <c r="E7" s="101">
        <v>2139</v>
      </c>
      <c r="F7" s="101">
        <v>482.3</v>
      </c>
      <c r="G7" s="101">
        <v>436</v>
      </c>
      <c r="H7" s="151" t="s">
        <v>12</v>
      </c>
    </row>
    <row r="8" spans="1:9" ht="20.100000000000001" customHeight="1" x14ac:dyDescent="0.2">
      <c r="A8" s="123" t="s">
        <v>140</v>
      </c>
      <c r="B8" s="102">
        <f t="shared" ref="B8:G8" si="0">IF(MIN(B4-B5-B7,B6-B5-B7)&lt;0,0,MIN(B4-B5-B7,B6-B5-B7))</f>
        <v>0</v>
      </c>
      <c r="C8" s="102">
        <f t="shared" si="0"/>
        <v>29.3</v>
      </c>
      <c r="D8" s="102">
        <f t="shared" si="0"/>
        <v>0</v>
      </c>
      <c r="E8" s="102">
        <f t="shared" si="0"/>
        <v>266.80000000000018</v>
      </c>
      <c r="F8" s="102">
        <f t="shared" si="0"/>
        <v>0</v>
      </c>
      <c r="G8" s="102">
        <f t="shared" si="0"/>
        <v>0</v>
      </c>
      <c r="H8" s="121" t="s">
        <v>12</v>
      </c>
    </row>
    <row r="9" spans="1:9" ht="20.100000000000001" customHeight="1" x14ac:dyDescent="0.2">
      <c r="A9" s="62" t="s">
        <v>41</v>
      </c>
      <c r="H9" s="121" t="s">
        <v>12</v>
      </c>
    </row>
    <row r="10" spans="1:9" ht="20.100000000000001" customHeight="1" x14ac:dyDescent="0.2">
      <c r="A10" s="191" t="s">
        <v>223</v>
      </c>
      <c r="B10" s="191"/>
      <c r="C10" s="191"/>
      <c r="D10" s="191"/>
      <c r="E10" s="191"/>
      <c r="F10" s="191"/>
      <c r="G10" s="191"/>
    </row>
    <row r="11" spans="1:9" ht="20.100000000000001" customHeight="1" x14ac:dyDescent="0.2">
      <c r="A11" s="191" t="s">
        <v>222</v>
      </c>
      <c r="B11" s="191"/>
      <c r="C11" s="191"/>
      <c r="D11" s="191"/>
      <c r="E11" s="191"/>
      <c r="F11" s="191"/>
      <c r="G11" s="191"/>
      <c r="H11" s="98"/>
    </row>
    <row r="12" spans="1:9" ht="50.1" customHeight="1" x14ac:dyDescent="0.2">
      <c r="A12" s="192" t="s">
        <v>141</v>
      </c>
      <c r="B12" s="192"/>
      <c r="C12" s="192"/>
      <c r="D12" s="192"/>
      <c r="E12" s="192"/>
      <c r="F12" s="192"/>
      <c r="G12" s="192"/>
      <c r="H12" s="119"/>
    </row>
    <row r="14" spans="1:9" x14ac:dyDescent="0.2">
      <c r="B14" s="100"/>
      <c r="C14" s="100"/>
      <c r="E14" s="100"/>
      <c r="F14" s="100"/>
      <c r="I14" s="100"/>
    </row>
    <row r="15" spans="1:9" x14ac:dyDescent="0.2">
      <c r="B15" s="100"/>
      <c r="C15" s="100"/>
      <c r="E15" s="100"/>
      <c r="F15" s="100"/>
      <c r="I15" s="100"/>
    </row>
    <row r="16" spans="1:9" x14ac:dyDescent="0.2">
      <c r="B16" s="100"/>
      <c r="C16" s="100"/>
      <c r="E16" s="100"/>
      <c r="F16" s="100"/>
      <c r="I16" s="100"/>
    </row>
    <row r="17" spans="2:9" x14ac:dyDescent="0.2">
      <c r="B17" s="100"/>
      <c r="C17" s="100"/>
      <c r="E17" s="100"/>
      <c r="F17" s="100"/>
      <c r="I17" s="100"/>
    </row>
    <row r="18" spans="2:9" x14ac:dyDescent="0.2">
      <c r="B18" s="100"/>
      <c r="C18" s="100"/>
      <c r="E18" s="100"/>
      <c r="F18" s="100"/>
      <c r="I18" s="100"/>
    </row>
    <row r="19" spans="2:9" x14ac:dyDescent="0.2">
      <c r="B19" s="100"/>
      <c r="C19" s="100"/>
      <c r="E19" s="100"/>
      <c r="F19" s="100"/>
      <c r="I19" s="100"/>
    </row>
    <row r="20" spans="2:9" x14ac:dyDescent="0.2">
      <c r="B20" s="100"/>
      <c r="C20" s="100"/>
      <c r="E20" s="100"/>
      <c r="F20" s="100"/>
      <c r="I20" s="100"/>
    </row>
    <row r="21" spans="2:9" x14ac:dyDescent="0.2">
      <c r="B21" s="100"/>
      <c r="C21" s="100"/>
      <c r="E21" s="100"/>
      <c r="F21" s="100"/>
      <c r="I21" s="100"/>
    </row>
    <row r="22" spans="2:9" x14ac:dyDescent="0.2">
      <c r="B22" s="100"/>
      <c r="C22" s="100"/>
      <c r="E22" s="100"/>
      <c r="F22" s="100"/>
      <c r="I22" s="100"/>
    </row>
    <row r="23" spans="2:9" x14ac:dyDescent="0.2">
      <c r="B23" s="100"/>
      <c r="C23" s="100"/>
      <c r="E23" s="100"/>
      <c r="F23" s="100"/>
      <c r="I23" s="100"/>
    </row>
    <row r="24" spans="2:9" x14ac:dyDescent="0.2">
      <c r="B24" s="100"/>
      <c r="C24" s="100"/>
      <c r="E24" s="100"/>
      <c r="F24" s="100"/>
      <c r="I24" s="100"/>
    </row>
    <row r="25" spans="2:9" x14ac:dyDescent="0.2">
      <c r="B25" s="100"/>
      <c r="C25" s="100"/>
      <c r="E25" s="100"/>
      <c r="F25" s="100"/>
      <c r="I25" s="100"/>
    </row>
    <row r="26" spans="2:9" x14ac:dyDescent="0.2">
      <c r="B26" s="100"/>
      <c r="C26" s="100"/>
      <c r="E26" s="100"/>
      <c r="F26" s="100"/>
      <c r="I26" s="100"/>
    </row>
    <row r="27" spans="2:9" x14ac:dyDescent="0.2">
      <c r="B27" s="100"/>
      <c r="C27" s="100"/>
      <c r="E27" s="100"/>
      <c r="F27" s="100"/>
      <c r="I27" s="100"/>
    </row>
    <row r="28" spans="2:9" x14ac:dyDescent="0.2">
      <c r="B28" s="100"/>
      <c r="C28" s="100"/>
      <c r="E28" s="100"/>
      <c r="F28" s="100"/>
      <c r="I28" s="100"/>
    </row>
    <row r="29" spans="2:9" x14ac:dyDescent="0.2">
      <c r="B29" s="100"/>
      <c r="C29" s="100"/>
      <c r="E29" s="100"/>
      <c r="F29" s="100"/>
      <c r="I29" s="100"/>
    </row>
    <row r="30" spans="2:9" x14ac:dyDescent="0.2">
      <c r="B30" s="100"/>
      <c r="C30" s="100"/>
      <c r="E30" s="100"/>
      <c r="F30" s="100"/>
      <c r="I30" s="100"/>
    </row>
    <row r="31" spans="2:9" x14ac:dyDescent="0.2">
      <c r="B31" s="100"/>
      <c r="C31" s="100"/>
      <c r="E31" s="100"/>
      <c r="F31" s="100"/>
      <c r="I31" s="100"/>
    </row>
    <row r="32" spans="2:9" x14ac:dyDescent="0.2">
      <c r="B32" s="100"/>
      <c r="C32" s="100"/>
      <c r="E32" s="100"/>
      <c r="F32" s="100"/>
      <c r="I32" s="100"/>
    </row>
    <row r="33" spans="2:6" x14ac:dyDescent="0.2">
      <c r="B33" s="100"/>
      <c r="C33" s="100"/>
      <c r="E33" s="100"/>
      <c r="F33" s="100"/>
    </row>
    <row r="34" spans="2:6" x14ac:dyDescent="0.2">
      <c r="B34" s="100"/>
      <c r="C34" s="100"/>
      <c r="E34" s="100"/>
      <c r="F34" s="100"/>
    </row>
    <row r="35" spans="2:6" x14ac:dyDescent="0.2">
      <c r="B35" s="100"/>
      <c r="C35" s="100"/>
      <c r="E35" s="100"/>
      <c r="F35" s="100"/>
    </row>
    <row r="36" spans="2:6" x14ac:dyDescent="0.2">
      <c r="B36" s="100"/>
      <c r="C36" s="100"/>
      <c r="E36" s="100"/>
      <c r="F36" s="100"/>
    </row>
    <row r="37" spans="2:6" x14ac:dyDescent="0.2">
      <c r="B37" s="100"/>
      <c r="C37" s="100"/>
      <c r="E37" s="100"/>
      <c r="F37" s="100"/>
    </row>
  </sheetData>
  <mergeCells count="5">
    <mergeCell ref="A11:G11"/>
    <mergeCell ref="A12:G12"/>
    <mergeCell ref="A1:G1"/>
    <mergeCell ref="B2:G2"/>
    <mergeCell ref="A10:G10"/>
  </mergeCells>
  <pageMargins left="0.7" right="0.7" top="0.75" bottom="0.75" header="0.3" footer="0.3"/>
  <pageSetup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heetViews>
  <sheetFormatPr defaultRowHeight="12.75" x14ac:dyDescent="0.2"/>
  <cols>
    <col min="1" max="1" width="57.28515625" bestFit="1" customWidth="1"/>
    <col min="2" max="10" width="15.7109375" customWidth="1"/>
    <col min="11" max="11" width="19" customWidth="1"/>
    <col min="12" max="14" width="15.7109375" customWidth="1"/>
  </cols>
  <sheetData>
    <row r="1" spans="1:14" ht="18" x14ac:dyDescent="0.25">
      <c r="A1" s="124" t="s">
        <v>145</v>
      </c>
      <c r="B1" s="124"/>
      <c r="C1" s="124"/>
      <c r="D1" s="124"/>
      <c r="E1" s="124"/>
      <c r="F1" s="124"/>
      <c r="G1" s="124"/>
      <c r="H1" s="124"/>
      <c r="I1" s="124"/>
      <c r="J1" s="124"/>
      <c r="K1" s="124"/>
      <c r="L1" s="107"/>
      <c r="M1" s="107"/>
      <c r="N1" s="107"/>
    </row>
    <row r="2" spans="1:14" ht="18" x14ac:dyDescent="0.25">
      <c r="A2" s="124"/>
      <c r="B2" s="124"/>
      <c r="C2" s="124"/>
      <c r="D2" s="124"/>
      <c r="E2" s="124"/>
      <c r="F2" s="124"/>
      <c r="G2" s="124"/>
      <c r="H2" s="124"/>
      <c r="I2" s="124"/>
      <c r="J2" s="124"/>
      <c r="K2" s="124"/>
      <c r="L2" s="107"/>
      <c r="M2" s="107"/>
      <c r="N2" s="107"/>
    </row>
    <row r="3" spans="1:14" ht="20.100000000000001" customHeight="1" x14ac:dyDescent="0.2">
      <c r="A3" s="113" t="s">
        <v>12</v>
      </c>
      <c r="B3" s="84" t="s">
        <v>13</v>
      </c>
      <c r="C3" s="84" t="s">
        <v>17</v>
      </c>
      <c r="D3" s="84" t="s">
        <v>16</v>
      </c>
      <c r="E3" s="84" t="s">
        <v>14</v>
      </c>
      <c r="F3" s="84" t="s">
        <v>8</v>
      </c>
      <c r="G3" s="84" t="s">
        <v>42</v>
      </c>
      <c r="H3" s="84" t="s">
        <v>43</v>
      </c>
      <c r="I3" s="84" t="s">
        <v>7</v>
      </c>
      <c r="J3" s="84" t="s">
        <v>51</v>
      </c>
      <c r="K3" s="84" t="s">
        <v>81</v>
      </c>
      <c r="L3" s="58" t="s">
        <v>18</v>
      </c>
      <c r="M3" s="58" t="s">
        <v>3</v>
      </c>
      <c r="N3" s="58" t="s">
        <v>93</v>
      </c>
    </row>
    <row r="4" spans="1:14" ht="20.100000000000001" customHeight="1" x14ac:dyDescent="0.2">
      <c r="A4" s="120" t="s">
        <v>47</v>
      </c>
      <c r="B4" s="7">
        <f>'2019-2020 Parameters'!B16</f>
        <v>299.3</v>
      </c>
      <c r="C4" s="7">
        <f>'2019-2020 Parameters'!C16</f>
        <v>262.02</v>
      </c>
      <c r="D4" s="7">
        <f>'2019-2020 Parameters'!D16</f>
        <v>283.63</v>
      </c>
      <c r="E4" s="7">
        <f>'2019-2020 Parameters'!E16</f>
        <v>229.93</v>
      </c>
      <c r="F4" s="7">
        <f>'2019-2020 Parameters'!F16</f>
        <v>303.3</v>
      </c>
      <c r="G4" s="7">
        <f>'2019-2020 Parameters'!G16</f>
        <v>303.3</v>
      </c>
      <c r="H4" s="7">
        <f>'2019-2020 Parameters'!H16</f>
        <v>262.27</v>
      </c>
      <c r="I4" s="7">
        <f>'2019-2020 Parameters'!I16</f>
        <v>244.23</v>
      </c>
      <c r="J4" s="7">
        <f>'2019-2020 Parameters'!J16</f>
        <v>264.06</v>
      </c>
      <c r="K4" s="7">
        <f>'2019-2020 Parameters'!K16</f>
        <v>264.06</v>
      </c>
      <c r="L4" s="7">
        <f>'2019-2020 Parameters'!L16</f>
        <v>328.44</v>
      </c>
      <c r="M4" s="7">
        <f>'2019-2020 Parameters'!M16</f>
        <v>215.62</v>
      </c>
      <c r="N4" s="7">
        <f>'2019-2020 Parameters'!N16</f>
        <v>277.74</v>
      </c>
    </row>
    <row r="5" spans="1:14" ht="20.100000000000001" customHeight="1" x14ac:dyDescent="0.2">
      <c r="A5" s="120" t="s">
        <v>142</v>
      </c>
      <c r="B5" s="76">
        <f>ROUND(MAX($B$4*0.3, 20)*366,2)</f>
        <v>32863.14</v>
      </c>
      <c r="C5" s="76">
        <f t="shared" ref="C5:N6" si="0">ROUND(MAX($B$4*0.3, 20)*366,2)</f>
        <v>32863.14</v>
      </c>
      <c r="D5" s="76">
        <f t="shared" si="0"/>
        <v>32863.14</v>
      </c>
      <c r="E5" s="76">
        <f t="shared" si="0"/>
        <v>32863.14</v>
      </c>
      <c r="F5" s="76">
        <f t="shared" si="0"/>
        <v>32863.14</v>
      </c>
      <c r="G5" s="76">
        <f t="shared" si="0"/>
        <v>32863.14</v>
      </c>
      <c r="H5" s="76">
        <f t="shared" si="0"/>
        <v>32863.14</v>
      </c>
      <c r="I5" s="76">
        <f t="shared" si="0"/>
        <v>32863.14</v>
      </c>
      <c r="J5" s="76">
        <f t="shared" si="0"/>
        <v>32863.14</v>
      </c>
      <c r="K5" s="76">
        <f t="shared" si="0"/>
        <v>32863.14</v>
      </c>
      <c r="L5" s="76">
        <f t="shared" si="0"/>
        <v>32863.14</v>
      </c>
      <c r="M5" s="76">
        <f t="shared" si="0"/>
        <v>32863.14</v>
      </c>
      <c r="N5" s="76">
        <f t="shared" si="0"/>
        <v>32863.14</v>
      </c>
    </row>
    <row r="6" spans="1:14" ht="20.100000000000001" customHeight="1" x14ac:dyDescent="0.2">
      <c r="A6" s="120" t="s">
        <v>143</v>
      </c>
      <c r="B6" s="76">
        <f t="shared" ref="B6" si="1">ROUND(MAX($B$4*0.3, 20)*366,2)</f>
        <v>32863.14</v>
      </c>
      <c r="C6" s="76">
        <f t="shared" si="0"/>
        <v>32863.14</v>
      </c>
      <c r="D6" s="76">
        <f t="shared" si="0"/>
        <v>32863.14</v>
      </c>
      <c r="E6" s="76">
        <f t="shared" si="0"/>
        <v>32863.14</v>
      </c>
      <c r="F6" s="76">
        <f t="shared" si="0"/>
        <v>32863.14</v>
      </c>
      <c r="G6" s="76">
        <f t="shared" si="0"/>
        <v>32863.14</v>
      </c>
      <c r="H6" s="76">
        <f t="shared" si="0"/>
        <v>32863.14</v>
      </c>
      <c r="I6" s="76">
        <f t="shared" si="0"/>
        <v>32863.14</v>
      </c>
      <c r="J6" s="76">
        <f t="shared" si="0"/>
        <v>32863.14</v>
      </c>
      <c r="K6" s="76">
        <f t="shared" si="0"/>
        <v>32863.14</v>
      </c>
      <c r="L6" s="76">
        <f t="shared" si="0"/>
        <v>32863.14</v>
      </c>
      <c r="M6" s="76">
        <f t="shared" si="0"/>
        <v>32863.14</v>
      </c>
      <c r="N6" s="76">
        <f t="shared" si="0"/>
        <v>32863.14</v>
      </c>
    </row>
    <row r="7" spans="1:14" ht="20.100000000000001" customHeight="1" x14ac:dyDescent="0.2">
      <c r="A7" s="120" t="s">
        <v>144</v>
      </c>
      <c r="B7" s="125">
        <f>ROUND(MAX(B$4*0.5, 20)*366,2)</f>
        <v>54771.9</v>
      </c>
      <c r="C7" s="125">
        <f t="shared" ref="C7:N7" si="2">ROUND(MAX(C$4*0.5, 20)*366,2)</f>
        <v>47949.66</v>
      </c>
      <c r="D7" s="125">
        <f t="shared" si="2"/>
        <v>51904.29</v>
      </c>
      <c r="E7" s="125">
        <f t="shared" si="2"/>
        <v>42077.19</v>
      </c>
      <c r="F7" s="125">
        <f t="shared" si="2"/>
        <v>55503.9</v>
      </c>
      <c r="G7" s="125">
        <f t="shared" si="2"/>
        <v>55503.9</v>
      </c>
      <c r="H7" s="125">
        <f t="shared" si="2"/>
        <v>47995.41</v>
      </c>
      <c r="I7" s="125">
        <f t="shared" si="2"/>
        <v>44694.09</v>
      </c>
      <c r="J7" s="125">
        <f t="shared" si="2"/>
        <v>48322.98</v>
      </c>
      <c r="K7" s="125">
        <f t="shared" si="2"/>
        <v>48322.98</v>
      </c>
      <c r="L7" s="125">
        <f t="shared" si="2"/>
        <v>60104.52</v>
      </c>
      <c r="M7" s="125">
        <f t="shared" si="2"/>
        <v>39458.46</v>
      </c>
      <c r="N7" s="125">
        <f t="shared" si="2"/>
        <v>50826.42</v>
      </c>
    </row>
    <row r="11" spans="1:14" ht="20.100000000000001" customHeight="1" x14ac:dyDescent="0.25">
      <c r="A11" s="195" t="s">
        <v>232</v>
      </c>
      <c r="B11" s="195"/>
      <c r="C11" s="195"/>
      <c r="D11" s="195"/>
      <c r="E11" s="195"/>
      <c r="F11" s="195"/>
      <c r="G11" s="195"/>
      <c r="H11" s="195"/>
      <c r="I11" s="195"/>
      <c r="J11" s="124"/>
    </row>
    <row r="12" spans="1:14" ht="20.100000000000001" customHeight="1" x14ac:dyDescent="0.25">
      <c r="A12" s="158" t="s">
        <v>36</v>
      </c>
      <c r="B12" s="26">
        <f>'2019-2020 Parameters'!B5</f>
        <v>6.6000000000000003E-2</v>
      </c>
      <c r="C12" s="124"/>
      <c r="D12" s="124"/>
      <c r="E12" s="124"/>
      <c r="F12" s="124"/>
      <c r="G12" s="124"/>
      <c r="H12" s="124"/>
      <c r="I12" s="124"/>
      <c r="J12" s="124"/>
    </row>
    <row r="13" spans="1:14" ht="20.100000000000001" customHeight="1" x14ac:dyDescent="0.2">
      <c r="A13" s="113" t="s">
        <v>12</v>
      </c>
      <c r="B13" s="159" t="s">
        <v>13</v>
      </c>
      <c r="C13" s="159" t="s">
        <v>17</v>
      </c>
      <c r="D13" s="159" t="s">
        <v>16</v>
      </c>
      <c r="E13" s="159" t="s">
        <v>14</v>
      </c>
      <c r="F13" s="159" t="s">
        <v>8</v>
      </c>
      <c r="G13" s="159" t="s">
        <v>42</v>
      </c>
      <c r="H13" s="159" t="s">
        <v>43</v>
      </c>
      <c r="I13" s="159" t="s">
        <v>7</v>
      </c>
      <c r="J13" s="159" t="s">
        <v>51</v>
      </c>
      <c r="K13" s="159" t="s">
        <v>81</v>
      </c>
      <c r="L13" s="58" t="s">
        <v>18</v>
      </c>
      <c r="M13" s="58" t="s">
        <v>3</v>
      </c>
      <c r="N13" s="58" t="s">
        <v>93</v>
      </c>
    </row>
    <row r="14" spans="1:14" ht="20.100000000000001" customHeight="1" x14ac:dyDescent="0.2">
      <c r="A14" s="66" t="s">
        <v>47</v>
      </c>
      <c r="B14" s="7">
        <f>B4</f>
        <v>299.3</v>
      </c>
      <c r="C14" s="7">
        <f t="shared" ref="C14:N14" si="3">C4</f>
        <v>262.02</v>
      </c>
      <c r="D14" s="7">
        <f t="shared" si="3"/>
        <v>283.63</v>
      </c>
      <c r="E14" s="7">
        <f t="shared" si="3"/>
        <v>229.93</v>
      </c>
      <c r="F14" s="7">
        <f t="shared" si="3"/>
        <v>303.3</v>
      </c>
      <c r="G14" s="7">
        <f t="shared" si="3"/>
        <v>303.3</v>
      </c>
      <c r="H14" s="7">
        <f t="shared" si="3"/>
        <v>262.27</v>
      </c>
      <c r="I14" s="7">
        <f t="shared" si="3"/>
        <v>244.23</v>
      </c>
      <c r="J14" s="7">
        <f t="shared" si="3"/>
        <v>264.06</v>
      </c>
      <c r="K14" s="7">
        <f t="shared" si="3"/>
        <v>264.06</v>
      </c>
      <c r="L14" s="7">
        <f t="shared" si="3"/>
        <v>328.44</v>
      </c>
      <c r="M14" s="7">
        <f t="shared" si="3"/>
        <v>215.62</v>
      </c>
      <c r="N14" s="7">
        <f t="shared" si="3"/>
        <v>277.74</v>
      </c>
    </row>
    <row r="15" spans="1:14" ht="20.100000000000001" customHeight="1" x14ac:dyDescent="0.2">
      <c r="A15" s="157" t="s">
        <v>227</v>
      </c>
      <c r="B15" s="8"/>
      <c r="C15" s="8"/>
      <c r="D15" s="8"/>
      <c r="E15" s="8"/>
      <c r="F15" s="8"/>
      <c r="G15" s="8"/>
      <c r="H15" s="8"/>
      <c r="I15" s="8"/>
      <c r="J15" s="8"/>
      <c r="K15" s="8"/>
      <c r="L15" s="108"/>
      <c r="M15" s="108"/>
      <c r="N15" s="108"/>
    </row>
    <row r="16" spans="1:14" ht="20.100000000000001" customHeight="1" x14ac:dyDescent="0.2">
      <c r="A16" s="66" t="s">
        <v>228</v>
      </c>
      <c r="B16" s="7">
        <v>80</v>
      </c>
      <c r="C16" s="7">
        <v>80</v>
      </c>
      <c r="D16" s="7">
        <v>99.77</v>
      </c>
      <c r="E16" s="7">
        <v>80</v>
      </c>
      <c r="F16" s="7">
        <v>99.77</v>
      </c>
      <c r="G16" s="7">
        <v>99.77</v>
      </c>
      <c r="H16" s="7">
        <v>99.77</v>
      </c>
      <c r="I16" s="7">
        <v>0.01</v>
      </c>
      <c r="J16" s="7">
        <v>80</v>
      </c>
      <c r="K16" s="7">
        <v>80</v>
      </c>
      <c r="L16" s="7">
        <v>182.77</v>
      </c>
      <c r="M16" s="7">
        <v>80.3</v>
      </c>
      <c r="N16" s="7">
        <v>80</v>
      </c>
    </row>
    <row r="17" spans="1:14" ht="20.100000000000001" customHeight="1" x14ac:dyDescent="0.2">
      <c r="A17" s="66" t="s">
        <v>229</v>
      </c>
      <c r="B17" s="160">
        <f>ROUND(MAX(0.2*B16,20)*366,2)</f>
        <v>7320</v>
      </c>
      <c r="C17" s="160">
        <f t="shared" ref="C17:N17" si="4">ROUND(MAX(0.2*C16,20)*366,2)</f>
        <v>7320</v>
      </c>
      <c r="D17" s="160">
        <f t="shared" si="4"/>
        <v>7320</v>
      </c>
      <c r="E17" s="160">
        <f t="shared" si="4"/>
        <v>7320</v>
      </c>
      <c r="F17" s="160">
        <f t="shared" si="4"/>
        <v>7320</v>
      </c>
      <c r="G17" s="160">
        <f t="shared" si="4"/>
        <v>7320</v>
      </c>
      <c r="H17" s="160">
        <f t="shared" si="4"/>
        <v>7320</v>
      </c>
      <c r="I17" s="160">
        <f t="shared" si="4"/>
        <v>7320</v>
      </c>
      <c r="J17" s="160">
        <f t="shared" si="4"/>
        <v>7320</v>
      </c>
      <c r="K17" s="160">
        <f t="shared" si="4"/>
        <v>7320</v>
      </c>
      <c r="L17" s="160">
        <f t="shared" si="4"/>
        <v>13378.76</v>
      </c>
      <c r="M17" s="160">
        <f t="shared" si="4"/>
        <v>7320</v>
      </c>
      <c r="N17" s="160">
        <f t="shared" si="4"/>
        <v>7320</v>
      </c>
    </row>
    <row r="18" spans="1:14" ht="20.100000000000001" customHeight="1" x14ac:dyDescent="0.2">
      <c r="A18" s="157" t="s">
        <v>230</v>
      </c>
      <c r="B18" s="161"/>
      <c r="C18" s="161"/>
      <c r="D18" s="161"/>
      <c r="E18" s="161"/>
      <c r="F18" s="161"/>
      <c r="G18" s="161"/>
      <c r="H18" s="161"/>
      <c r="I18" s="161"/>
      <c r="J18" s="161"/>
      <c r="K18" s="161"/>
      <c r="L18" s="108"/>
      <c r="M18" s="108"/>
      <c r="N18" s="108"/>
    </row>
    <row r="19" spans="1:14" ht="20.100000000000001" customHeight="1" x14ac:dyDescent="0.2">
      <c r="A19" s="66" t="s">
        <v>228</v>
      </c>
      <c r="B19" s="7">
        <v>80</v>
      </c>
      <c r="C19" s="7">
        <v>80</v>
      </c>
      <c r="D19" s="7">
        <v>99.77</v>
      </c>
      <c r="E19" s="7">
        <v>80</v>
      </c>
      <c r="F19" s="7">
        <v>99.77</v>
      </c>
      <c r="G19" s="7">
        <v>99.77</v>
      </c>
      <c r="H19" s="7">
        <v>99.77</v>
      </c>
      <c r="I19" s="7">
        <v>80</v>
      </c>
      <c r="J19" s="7">
        <v>80</v>
      </c>
      <c r="K19" s="7">
        <v>80</v>
      </c>
      <c r="L19" s="7">
        <v>182.77</v>
      </c>
      <c r="M19" s="7">
        <v>80.3</v>
      </c>
      <c r="N19" s="7">
        <v>80</v>
      </c>
    </row>
    <row r="20" spans="1:14" ht="20.100000000000001" customHeight="1" x14ac:dyDescent="0.2">
      <c r="A20" s="66" t="s">
        <v>229</v>
      </c>
      <c r="B20" s="160">
        <f>ROUND(MAX(0.2*B19,20)*366,2)</f>
        <v>7320</v>
      </c>
      <c r="C20" s="160">
        <f t="shared" ref="C20:N20" si="5">ROUND(MAX(0.2*C19,20)*366,2)</f>
        <v>7320</v>
      </c>
      <c r="D20" s="160">
        <f t="shared" si="5"/>
        <v>7320</v>
      </c>
      <c r="E20" s="160">
        <f t="shared" si="5"/>
        <v>7320</v>
      </c>
      <c r="F20" s="160">
        <f t="shared" si="5"/>
        <v>7320</v>
      </c>
      <c r="G20" s="160">
        <f t="shared" si="5"/>
        <v>7320</v>
      </c>
      <c r="H20" s="160">
        <f t="shared" si="5"/>
        <v>7320</v>
      </c>
      <c r="I20" s="160">
        <f t="shared" si="5"/>
        <v>7320</v>
      </c>
      <c r="J20" s="160">
        <f t="shared" si="5"/>
        <v>7320</v>
      </c>
      <c r="K20" s="160">
        <f t="shared" si="5"/>
        <v>7320</v>
      </c>
      <c r="L20" s="160">
        <f t="shared" si="5"/>
        <v>13378.76</v>
      </c>
      <c r="M20" s="160">
        <f t="shared" si="5"/>
        <v>7320</v>
      </c>
      <c r="N20" s="160">
        <f t="shared" si="5"/>
        <v>7320</v>
      </c>
    </row>
    <row r="21" spans="1:14" ht="20.100000000000001" customHeight="1" x14ac:dyDescent="0.2">
      <c r="A21" s="157" t="s">
        <v>231</v>
      </c>
      <c r="B21" s="161"/>
      <c r="C21" s="161"/>
      <c r="D21" s="161"/>
      <c r="E21" s="161"/>
      <c r="F21" s="161"/>
      <c r="G21" s="161"/>
      <c r="H21" s="161"/>
      <c r="I21" s="161"/>
      <c r="J21" s="161"/>
      <c r="K21" s="161"/>
      <c r="L21" s="108"/>
      <c r="M21" s="108"/>
      <c r="N21" s="108"/>
    </row>
    <row r="22" spans="1:14" ht="20.100000000000001" customHeight="1" x14ac:dyDescent="0.2">
      <c r="A22" s="66" t="s">
        <v>228</v>
      </c>
      <c r="B22" s="7">
        <v>100</v>
      </c>
      <c r="C22" s="7">
        <v>100</v>
      </c>
      <c r="D22" s="7">
        <v>119.77</v>
      </c>
      <c r="E22" s="7">
        <v>100</v>
      </c>
      <c r="F22" s="7">
        <v>119.77</v>
      </c>
      <c r="G22" s="7">
        <v>119.77</v>
      </c>
      <c r="H22" s="7">
        <v>119.77</v>
      </c>
      <c r="I22" s="7">
        <v>100</v>
      </c>
      <c r="J22" s="7">
        <v>100</v>
      </c>
      <c r="K22" s="7">
        <v>100</v>
      </c>
      <c r="L22" s="7">
        <v>202.77</v>
      </c>
      <c r="M22" s="7">
        <v>100.3</v>
      </c>
      <c r="N22" s="7">
        <v>100</v>
      </c>
    </row>
    <row r="23" spans="1:14" ht="20.100000000000001" customHeight="1" x14ac:dyDescent="0.2">
      <c r="A23" s="66" t="s">
        <v>229</v>
      </c>
      <c r="B23" s="160">
        <f>ROUND(MAX(20,0.2*B22,MIN(0.5*B14,1.5*B14*(1-$B$12)-B22)*366),2)</f>
        <v>54771.9</v>
      </c>
      <c r="C23" s="160">
        <f t="shared" ref="C23:N23" si="6">ROUND(MAX(20,0.2*C22,MIN(0.5*C14,1.5*C14*(1-$B$12)-C22)*366),2)</f>
        <v>47949.66</v>
      </c>
      <c r="D23" s="160">
        <f t="shared" si="6"/>
        <v>51904.29</v>
      </c>
      <c r="E23" s="160">
        <f t="shared" si="6"/>
        <v>42077.19</v>
      </c>
      <c r="F23" s="160">
        <f t="shared" si="6"/>
        <v>55503.9</v>
      </c>
      <c r="G23" s="160">
        <f t="shared" si="6"/>
        <v>55503.9</v>
      </c>
      <c r="H23" s="160">
        <f t="shared" si="6"/>
        <v>47995.41</v>
      </c>
      <c r="I23" s="160">
        <f t="shared" si="6"/>
        <v>44694.09</v>
      </c>
      <c r="J23" s="160">
        <f t="shared" si="6"/>
        <v>48322.98</v>
      </c>
      <c r="K23" s="160">
        <f t="shared" si="6"/>
        <v>48322.98</v>
      </c>
      <c r="L23" s="160">
        <f t="shared" si="6"/>
        <v>60104.52</v>
      </c>
      <c r="M23" s="160">
        <f t="shared" si="6"/>
        <v>39458.46</v>
      </c>
      <c r="N23" s="160">
        <f t="shared" si="6"/>
        <v>50826.42</v>
      </c>
    </row>
    <row r="25" spans="1:14" x14ac:dyDescent="0.2">
      <c r="B25" t="s">
        <v>12</v>
      </c>
    </row>
    <row r="26" spans="1:14" x14ac:dyDescent="0.2">
      <c r="B26" s="104" t="s">
        <v>12</v>
      </c>
      <c r="C26" s="104" t="s">
        <v>12</v>
      </c>
      <c r="D26" s="104" t="s">
        <v>12</v>
      </c>
      <c r="E26" s="104" t="s">
        <v>12</v>
      </c>
      <c r="F26" s="104" t="s">
        <v>12</v>
      </c>
      <c r="G26" s="104" t="s">
        <v>12</v>
      </c>
      <c r="H26" s="104" t="s">
        <v>12</v>
      </c>
      <c r="I26" s="104" t="s">
        <v>233</v>
      </c>
      <c r="J26" s="104" t="s">
        <v>12</v>
      </c>
      <c r="K26" s="104" t="s">
        <v>12</v>
      </c>
      <c r="L26" s="104" t="s">
        <v>12</v>
      </c>
      <c r="M26" s="104" t="s">
        <v>12</v>
      </c>
      <c r="N26" s="104" t="s">
        <v>12</v>
      </c>
    </row>
  </sheetData>
  <mergeCells count="1">
    <mergeCell ref="A11:I11"/>
  </mergeCells>
  <pageMargins left="0.7" right="0.7"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2019-2020 Parameters</vt:lpstr>
      <vt:lpstr>Net CONE</vt:lpstr>
      <vt:lpstr>Key Transmission Upgrades</vt:lpstr>
      <vt:lpstr>Base Capacity Constraints</vt:lpstr>
      <vt:lpstr>Cap Import Limits</vt:lpstr>
      <vt:lpstr>Credit Rate</vt:lpstr>
      <vt:lpstr>'2019-2020 Parameters'!Print_Area</vt:lpstr>
      <vt:lpstr>'Base Capacity Constraints'!Print_Area</vt:lpstr>
      <vt:lpstr>'Cap Import Limits'!Print_Area</vt:lpstr>
      <vt:lpstr>'Credit Rate'!Print_Area</vt:lpstr>
      <vt:lpstr>'Key Transmission Upgrades'!Print_Area</vt:lpstr>
      <vt:lpstr>'Net CONE'!Print_Area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Bruno, Patrick</cp:lastModifiedBy>
  <cp:lastPrinted>2016-05-09T18:01:52Z</cp:lastPrinted>
  <dcterms:created xsi:type="dcterms:W3CDTF">2007-01-26T13:56:48Z</dcterms:created>
  <dcterms:modified xsi:type="dcterms:W3CDTF">2016-06-10T14:26:57Z</dcterms:modified>
</cp:coreProperties>
</file>