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45" windowWidth="14940" windowHeight="9150"/>
  </bookViews>
  <sheets>
    <sheet name="2020-2021 Parameters" sheetId="1" r:id="rId1"/>
    <sheet name="Net CONE" sheetId="12" r:id="rId2"/>
    <sheet name="Key Transmission Upgrades" sheetId="3" r:id="rId3"/>
  </sheets>
  <definedNames>
    <definedName name="_xlnm.Print_Area" localSheetId="0">'2020-2021 Parameters'!$A$1:$P$94</definedName>
    <definedName name="_xlnm.Print_Area" localSheetId="2">'Key Transmission Upgrades'!$A$1:$C$25</definedName>
    <definedName name="_xlnm.Print_Area" localSheetId="1">'Net CONE'!$A$1:$J$38</definedName>
  </definedNames>
  <calcPr calcId="145621"/>
</workbook>
</file>

<file path=xl/calcChain.xml><?xml version="1.0" encoding="utf-8"?>
<calcChain xmlns="http://schemas.openxmlformats.org/spreadsheetml/2006/main">
  <c r="D55" i="1" l="1"/>
  <c r="D54" i="1"/>
  <c r="B12" i="1" l="1"/>
  <c r="D26" i="1" l="1"/>
  <c r="E26" i="1"/>
  <c r="M32" i="1" l="1"/>
  <c r="I32" i="1"/>
  <c r="H32" i="1"/>
  <c r="E32" i="1"/>
  <c r="D32" i="1"/>
  <c r="C32" i="1"/>
  <c r="B32" i="1"/>
  <c r="D52" i="1" l="1"/>
  <c r="P17" i="1"/>
  <c r="O17" i="1"/>
  <c r="P16" i="1"/>
  <c r="O16" i="1"/>
  <c r="P13" i="1"/>
  <c r="P14" i="1" s="1"/>
  <c r="O13" i="1"/>
  <c r="O14" i="1" s="1"/>
  <c r="O15" i="1" s="1"/>
  <c r="O24" i="1" s="1"/>
  <c r="N13" i="1"/>
  <c r="P11" i="1"/>
  <c r="P42" i="1" s="1"/>
  <c r="O11" i="1"/>
  <c r="P10" i="1"/>
  <c r="O10" i="1"/>
  <c r="P15" i="1" l="1"/>
  <c r="P25" i="1" s="1"/>
  <c r="O21" i="1"/>
  <c r="O38" i="1"/>
  <c r="P21" i="1"/>
  <c r="P38" i="1"/>
  <c r="O25" i="1"/>
  <c r="O23" i="1"/>
  <c r="O20" i="1"/>
  <c r="P20" i="1"/>
  <c r="P23" i="1" l="1"/>
  <c r="P24" i="1"/>
  <c r="C26" i="1"/>
  <c r="B26" i="1" s="1"/>
  <c r="G60" i="1" l="1"/>
  <c r="F66" i="1"/>
  <c r="E66" i="1"/>
  <c r="B38" i="12" l="1"/>
  <c r="M13" i="1" l="1"/>
  <c r="L13" i="1"/>
  <c r="K13" i="1"/>
  <c r="J13" i="1"/>
  <c r="I13" i="1"/>
  <c r="H13" i="1"/>
  <c r="G13" i="1"/>
  <c r="F13" i="1"/>
  <c r="H74" i="1"/>
  <c r="D28" i="12" l="1"/>
  <c r="D23" i="12"/>
  <c r="D19" i="12"/>
  <c r="D11" i="12"/>
  <c r="H21" i="12" l="1"/>
  <c r="I21" i="12" s="1"/>
  <c r="H20" i="12"/>
  <c r="I20" i="12" s="1"/>
  <c r="E19" i="12"/>
  <c r="H14" i="12"/>
  <c r="E11" i="12"/>
  <c r="H17" i="12"/>
  <c r="H13" i="12"/>
  <c r="D38" i="12"/>
  <c r="H16" i="12"/>
  <c r="H12" i="12"/>
  <c r="I12" i="12" s="1"/>
  <c r="H15" i="12"/>
  <c r="H24" i="12"/>
  <c r="H26" i="12"/>
  <c r="H25" i="12"/>
  <c r="E23" i="12"/>
  <c r="H29" i="12"/>
  <c r="H36" i="12"/>
  <c r="H32" i="12"/>
  <c r="H35" i="12"/>
  <c r="H31" i="12"/>
  <c r="H34" i="12"/>
  <c r="H30" i="12"/>
  <c r="H37" i="12"/>
  <c r="H33" i="12"/>
  <c r="E28" i="12"/>
  <c r="E36" i="12" l="1"/>
  <c r="E32" i="12"/>
  <c r="L16" i="1" s="1"/>
  <c r="E35" i="12"/>
  <c r="E31" i="12"/>
  <c r="E34" i="12"/>
  <c r="E30" i="12"/>
  <c r="E37" i="12"/>
  <c r="E33" i="12"/>
  <c r="E29" i="12"/>
  <c r="E14" i="12"/>
  <c r="E18" i="12"/>
  <c r="D16" i="1" s="1"/>
  <c r="E15" i="12"/>
  <c r="E12" i="12"/>
  <c r="E16" i="12"/>
  <c r="E13" i="12"/>
  <c r="H16" i="1" s="1"/>
  <c r="E17" i="12"/>
  <c r="E38" i="12"/>
  <c r="B16" i="1" s="1"/>
  <c r="E26" i="12"/>
  <c r="N16" i="1" s="1"/>
  <c r="E25" i="12"/>
  <c r="E24" i="12"/>
  <c r="E22" i="12"/>
  <c r="E16" i="1" s="1"/>
  <c r="E21" i="12"/>
  <c r="I16" i="1" s="1"/>
  <c r="E20" i="12"/>
  <c r="M16" i="1" s="1"/>
  <c r="I22" i="12"/>
  <c r="H22" i="12" s="1"/>
  <c r="I17" i="12"/>
  <c r="E27" i="12" l="1"/>
  <c r="C16" i="1" s="1"/>
  <c r="K16" i="1"/>
  <c r="J16" i="1"/>
  <c r="F16" i="1"/>
  <c r="G16" i="1"/>
  <c r="H46" i="1"/>
  <c r="B13" i="1" s="1"/>
  <c r="B14" i="1" s="1"/>
  <c r="B15" i="1" s="1"/>
  <c r="B23" i="1" s="1"/>
  <c r="B33" i="1" s="1"/>
  <c r="I37" i="12" l="1"/>
  <c r="I36" i="12"/>
  <c r="I35" i="12"/>
  <c r="I34" i="12"/>
  <c r="I33" i="12"/>
  <c r="I30" i="12"/>
  <c r="I29" i="12"/>
  <c r="G38" i="12" l="1"/>
  <c r="H38" i="12" s="1"/>
  <c r="I32" i="12"/>
  <c r="I31" i="12"/>
  <c r="I26" i="12"/>
  <c r="I25" i="12"/>
  <c r="I24" i="12"/>
  <c r="I16" i="12"/>
  <c r="I15" i="12"/>
  <c r="I14" i="12"/>
  <c r="I13" i="12"/>
  <c r="F74" i="1"/>
  <c r="E46" i="1"/>
  <c r="I18" i="12" l="1"/>
  <c r="H18" i="12" s="1"/>
  <c r="I27" i="12"/>
  <c r="H27" i="12" s="1"/>
  <c r="I38" i="12"/>
  <c r="L17" i="1"/>
  <c r="L38" i="1" s="1"/>
  <c r="N17" i="1"/>
  <c r="N38" i="1" s="1"/>
  <c r="H17" i="1"/>
  <c r="H38" i="1" s="1"/>
  <c r="K17" i="1"/>
  <c r="K38" i="1" s="1"/>
  <c r="J17" i="1"/>
  <c r="J38" i="1" s="1"/>
  <c r="G17" i="1"/>
  <c r="G38" i="1" s="1"/>
  <c r="F17" i="1"/>
  <c r="F38" i="1" s="1"/>
  <c r="I17" i="1"/>
  <c r="I38" i="1" s="1"/>
  <c r="M17" i="1"/>
  <c r="M38" i="1" s="1"/>
  <c r="N21" i="1" l="1"/>
  <c r="G20" i="1"/>
  <c r="I20" i="1"/>
  <c r="I28" i="1" s="1"/>
  <c r="K20" i="1"/>
  <c r="L20" i="1"/>
  <c r="F20" i="1"/>
  <c r="M20" i="1"/>
  <c r="M28" i="1" s="1"/>
  <c r="J20" i="1"/>
  <c r="N20" i="1"/>
  <c r="H21" i="1"/>
  <c r="H20" i="1"/>
  <c r="H28" i="1" s="1"/>
  <c r="L21" i="1"/>
  <c r="B17" i="1"/>
  <c r="B38" i="1" s="1"/>
  <c r="I21" i="1"/>
  <c r="E17" i="1"/>
  <c r="E38" i="1" s="1"/>
  <c r="D17" i="1"/>
  <c r="D38" i="1" s="1"/>
  <c r="K21" i="1"/>
  <c r="G21" i="1"/>
  <c r="J21" i="1"/>
  <c r="M21" i="1"/>
  <c r="F21" i="1"/>
  <c r="C17" i="1"/>
  <c r="C38" i="1" s="1"/>
  <c r="B20" i="1" l="1"/>
  <c r="B28" i="1" s="1"/>
  <c r="I29" i="1"/>
  <c r="H29" i="1"/>
  <c r="M29" i="1"/>
  <c r="D20" i="1"/>
  <c r="D28" i="1" s="1"/>
  <c r="C20" i="1"/>
  <c r="C28" i="1" s="1"/>
  <c r="B21" i="1"/>
  <c r="E20" i="1"/>
  <c r="E28" i="1" s="1"/>
  <c r="E21" i="1"/>
  <c r="D21" i="1"/>
  <c r="C21" i="1"/>
  <c r="F71" i="1"/>
  <c r="F70" i="1"/>
  <c r="N11" i="1"/>
  <c r="N10" i="1"/>
  <c r="N14" i="1"/>
  <c r="I59" i="1"/>
  <c r="D53" i="1"/>
  <c r="D50" i="1"/>
  <c r="M11" i="1"/>
  <c r="M42" i="1" s="1"/>
  <c r="L11" i="1"/>
  <c r="L42" i="1" s="1"/>
  <c r="M10" i="1"/>
  <c r="L10" i="1"/>
  <c r="M14" i="1"/>
  <c r="L14" i="1"/>
  <c r="G66" i="1"/>
  <c r="G55" i="1"/>
  <c r="K14" i="1"/>
  <c r="K11" i="1"/>
  <c r="D51" i="1"/>
  <c r="K10" i="1"/>
  <c r="I60" i="1"/>
  <c r="I48" i="1"/>
  <c r="D71" i="1"/>
  <c r="J14" i="1"/>
  <c r="D59" i="1"/>
  <c r="J11" i="1"/>
  <c r="J10" i="1"/>
  <c r="H72" i="1"/>
  <c r="H71" i="1"/>
  <c r="E13" i="1" s="1"/>
  <c r="H70" i="1"/>
  <c r="D13" i="1" s="1"/>
  <c r="I47" i="1"/>
  <c r="G69" i="1"/>
  <c r="G67" i="1"/>
  <c r="G65" i="1"/>
  <c r="G64" i="1"/>
  <c r="G63" i="1"/>
  <c r="G62" i="1"/>
  <c r="G61" i="1"/>
  <c r="G58" i="1"/>
  <c r="G57" i="1"/>
  <c r="G56" i="1"/>
  <c r="G54" i="1"/>
  <c r="G53" i="1"/>
  <c r="G52" i="1"/>
  <c r="G50" i="1"/>
  <c r="G49" i="1"/>
  <c r="G48" i="1"/>
  <c r="G47" i="1"/>
  <c r="G14" i="1"/>
  <c r="I69" i="1"/>
  <c r="I67" i="1"/>
  <c r="I65" i="1"/>
  <c r="I64" i="1"/>
  <c r="I63" i="1"/>
  <c r="I62" i="1"/>
  <c r="I61" i="1"/>
  <c r="I58" i="1"/>
  <c r="I57" i="1"/>
  <c r="I56" i="1"/>
  <c r="I54" i="1"/>
  <c r="I53" i="1"/>
  <c r="I52" i="1"/>
  <c r="I50" i="1"/>
  <c r="I49" i="1"/>
  <c r="D70" i="1"/>
  <c r="D68" i="1"/>
  <c r="D67" i="1"/>
  <c r="D65" i="1"/>
  <c r="I11" i="1"/>
  <c r="H11" i="1"/>
  <c r="G10" i="1"/>
  <c r="H10" i="1"/>
  <c r="I10" i="1"/>
  <c r="G11" i="1"/>
  <c r="F11" i="1"/>
  <c r="F42" i="1" s="1"/>
  <c r="F10" i="1"/>
  <c r="E11" i="1"/>
  <c r="E42" i="1" s="1"/>
  <c r="E10" i="1"/>
  <c r="D11" i="1"/>
  <c r="D10" i="1"/>
  <c r="C10" i="1"/>
  <c r="C11" i="1"/>
  <c r="I55" i="1"/>
  <c r="F46" i="1"/>
  <c r="I68" i="1"/>
  <c r="I66" i="1"/>
  <c r="I51" i="1"/>
  <c r="F72" i="1"/>
  <c r="D42" i="1" l="1"/>
  <c r="C29" i="1"/>
  <c r="E29" i="1"/>
  <c r="B29" i="1"/>
  <c r="D29" i="1"/>
  <c r="B24" i="1"/>
  <c r="B34" i="1" s="1"/>
  <c r="B25" i="1"/>
  <c r="K15" i="1"/>
  <c r="M15" i="1"/>
  <c r="J15" i="1"/>
  <c r="G15" i="1"/>
  <c r="N15" i="1"/>
  <c r="L15" i="1"/>
  <c r="I14" i="1"/>
  <c r="D14" i="1"/>
  <c r="H73" i="1"/>
  <c r="C13" i="1" s="1"/>
  <c r="F14" i="1"/>
  <c r="H14" i="1"/>
  <c r="I46" i="1"/>
  <c r="F73" i="1"/>
  <c r="C42" i="1" s="1"/>
  <c r="B36" i="1" l="1"/>
  <c r="B35" i="1" s="1"/>
  <c r="B37" i="1"/>
  <c r="G25" i="1"/>
  <c r="G24" i="1"/>
  <c r="G23" i="1"/>
  <c r="J25" i="1"/>
  <c r="J24" i="1"/>
  <c r="J23" i="1"/>
  <c r="L25" i="1"/>
  <c r="L24" i="1"/>
  <c r="L23" i="1"/>
  <c r="M25" i="1"/>
  <c r="M24" i="1"/>
  <c r="M34" i="1" s="1"/>
  <c r="M23" i="1"/>
  <c r="M33" i="1" s="1"/>
  <c r="N25" i="1"/>
  <c r="N24" i="1"/>
  <c r="N23" i="1"/>
  <c r="K25" i="1"/>
  <c r="K24" i="1"/>
  <c r="K23" i="1"/>
  <c r="F15" i="1"/>
  <c r="D15" i="1"/>
  <c r="I15" i="1"/>
  <c r="H15" i="1"/>
  <c r="E14" i="1"/>
  <c r="M37" i="1" l="1"/>
  <c r="M36" i="1"/>
  <c r="M35" i="1" s="1"/>
  <c r="F25" i="1"/>
  <c r="F24" i="1"/>
  <c r="F23" i="1"/>
  <c r="I25" i="1"/>
  <c r="I24" i="1"/>
  <c r="I34" i="1" s="1"/>
  <c r="I23" i="1"/>
  <c r="I33" i="1" s="1"/>
  <c r="D25" i="1"/>
  <c r="D24" i="1"/>
  <c r="D34" i="1" s="1"/>
  <c r="D23" i="1"/>
  <c r="D33" i="1" s="1"/>
  <c r="H25" i="1"/>
  <c r="H24" i="1"/>
  <c r="H34" i="1" s="1"/>
  <c r="H23" i="1"/>
  <c r="H33" i="1" s="1"/>
  <c r="E15" i="1"/>
  <c r="C14" i="1"/>
  <c r="H37" i="1" l="1"/>
  <c r="H36" i="1"/>
  <c r="H35" i="1" s="1"/>
  <c r="I37" i="1"/>
  <c r="I36" i="1"/>
  <c r="I35" i="1" s="1"/>
  <c r="D37" i="1"/>
  <c r="D36" i="1"/>
  <c r="D35" i="1" s="1"/>
  <c r="E25" i="1"/>
  <c r="E24" i="1"/>
  <c r="E34" i="1" s="1"/>
  <c r="E23" i="1"/>
  <c r="E33" i="1" s="1"/>
  <c r="C15" i="1"/>
  <c r="E37" i="1" l="1"/>
  <c r="E36" i="1"/>
  <c r="E35" i="1" s="1"/>
  <c r="C25" i="1"/>
  <c r="C24" i="1"/>
  <c r="C34" i="1" s="1"/>
  <c r="C23" i="1"/>
  <c r="C33" i="1" s="1"/>
  <c r="C37" i="1" l="1"/>
  <c r="C36" i="1"/>
  <c r="C35" i="1" s="1"/>
</calcChain>
</file>

<file path=xl/sharedStrings.xml><?xml version="1.0" encoding="utf-8"?>
<sst xmlns="http://schemas.openxmlformats.org/spreadsheetml/2006/main" count="544" uniqueCount="189">
  <si>
    <t>APS</t>
  </si>
  <si>
    <t>DPL</t>
  </si>
  <si>
    <t>AE</t>
  </si>
  <si>
    <t>BGE</t>
  </si>
  <si>
    <t>DLCO</t>
  </si>
  <si>
    <t>JCPL</t>
  </si>
  <si>
    <t>PECO</t>
  </si>
  <si>
    <t>PEPCO</t>
  </si>
  <si>
    <t>PS</t>
  </si>
  <si>
    <t>CETO</t>
  </si>
  <si>
    <t>Reliability Requirement</t>
  </si>
  <si>
    <t>CETL</t>
  </si>
  <si>
    <t xml:space="preserve"> </t>
  </si>
  <si>
    <t>RTO</t>
  </si>
  <si>
    <t>SWMAAC</t>
  </si>
  <si>
    <t>Western MAAC</t>
  </si>
  <si>
    <t>EMAAC</t>
  </si>
  <si>
    <t>MAAC</t>
  </si>
  <si>
    <t>COMED</t>
  </si>
  <si>
    <t>DAYTON</t>
  </si>
  <si>
    <t>DOM</t>
  </si>
  <si>
    <t>METED</t>
  </si>
  <si>
    <t>PENLC</t>
  </si>
  <si>
    <t>DPLSOUTH</t>
  </si>
  <si>
    <t>NA</t>
  </si>
  <si>
    <t>Point (a) UCAP Price, $/MW-Day</t>
  </si>
  <si>
    <t>Point (b) UCAP Price, $/MW-Day</t>
  </si>
  <si>
    <t>Point (c) UCAP Price, $/MW-Day</t>
  </si>
  <si>
    <t>Point (a) UCAP Level, MW</t>
  </si>
  <si>
    <t>Point (b) UCAP Level, MW</t>
  </si>
  <si>
    <t>Point (c) UCAP Level, MW</t>
  </si>
  <si>
    <t>Preliminary Zonal Peak Load Forecast</t>
  </si>
  <si>
    <t>Base Zonal FRR Scaling Factor</t>
  </si>
  <si>
    <t>PL (incl. UGI)</t>
  </si>
  <si>
    <t>Western PJM</t>
  </si>
  <si>
    <t xml:space="preserve">Installed Reserve Margin (IRM) </t>
  </si>
  <si>
    <t>Pool-Wide Average EFORd</t>
  </si>
  <si>
    <t>Forecast Pool Requirement (FPR)</t>
  </si>
  <si>
    <t>Preliminary Forecast Peak Load</t>
  </si>
  <si>
    <t>LDA/Zone</t>
  </si>
  <si>
    <t>RECO</t>
  </si>
  <si>
    <t>Notes:</t>
  </si>
  <si>
    <t>PS NORTH</t>
  </si>
  <si>
    <t>DPL SOUTH</t>
  </si>
  <si>
    <t>Preliminary FRR Obligation</t>
  </si>
  <si>
    <t>Net CONE, $/MW-Day (UCAP Price)</t>
  </si>
  <si>
    <t>Variable Resource Requirement Curve:</t>
  </si>
  <si>
    <t>&gt; 115%</t>
  </si>
  <si>
    <t>Participant-Funded ICTRs Awarded</t>
  </si>
  <si>
    <t>ATSI</t>
  </si>
  <si>
    <t>CONE Area 1</t>
  </si>
  <si>
    <t>CONE Area 2</t>
  </si>
  <si>
    <t>CONE Area 3</t>
  </si>
  <si>
    <t>CONE Area 4</t>
  </si>
  <si>
    <t>CONE Area 1: AE, DPL, JCPL, PECO, PS, RECO</t>
  </si>
  <si>
    <t>CONE Area 2: BGE, PEPCO</t>
  </si>
  <si>
    <t>CONE Area 4: MetEd, Penelec, PPL</t>
  </si>
  <si>
    <t>ICAP to UCAP Conversion Factor:</t>
  </si>
  <si>
    <t>Upgrade ID</t>
  </si>
  <si>
    <t>Description</t>
  </si>
  <si>
    <t>Transmission Owner</t>
  </si>
  <si>
    <t xml:space="preserve">FRR Portion of the Preliminary Peak Load Forecast       </t>
  </si>
  <si>
    <t>AEP</t>
  </si>
  <si>
    <t>DEOK</t>
  </si>
  <si>
    <t>PPL</t>
  </si>
  <si>
    <t>PSEG</t>
  </si>
  <si>
    <t>PENELEC</t>
  </si>
  <si>
    <t>Limiting conditions at the CETL for modeled LDAs:</t>
  </si>
  <si>
    <t>PSNORTH</t>
  </si>
  <si>
    <t>ATSI-CLEVELAND</t>
  </si>
  <si>
    <t>EKPC</t>
  </si>
  <si>
    <t>ATSI-Cleveland</t>
  </si>
  <si>
    <t>*</t>
  </si>
  <si>
    <t>Gross CONE, $/MW-Day, UCAP Price</t>
  </si>
  <si>
    <t>CETL to CETO Ratio %</t>
  </si>
  <si>
    <t>PL</t>
  </si>
  <si>
    <t>FRR Load Requirement (% Obligation):</t>
  </si>
  <si>
    <t xml:space="preserve">LDA      </t>
  </si>
  <si>
    <t>None</t>
  </si>
  <si>
    <t>* LDA has adequate internal resources to meet the reliability criterion.</t>
  </si>
  <si>
    <t>CONE Area 3: AEP, APS, ATSI, ComEd, Dayton, DEOK, Dominion, Duquesne (DLCo), EKPC</t>
  </si>
  <si>
    <t>Zone/LDA</t>
  </si>
  <si>
    <t>PE</t>
  </si>
  <si>
    <t>Net CONE,   $/MW-Day,  UCAP Price</t>
  </si>
  <si>
    <t>Ancillary Services Offset,          $/MW-Year        per Tariff</t>
  </si>
  <si>
    <t>Net CONE,         $/MW-Day,    ICAP Price</t>
  </si>
  <si>
    <t>UCAP Price = ICAP Price / (1 - Pool-Wide Average EFORd)</t>
  </si>
  <si>
    <t>LDA CETO/CETL Data; Zonal Peak Loads, Base Zonal FRR Scaling Factors, and FRR load.</t>
  </si>
  <si>
    <t>Preliminary Zonal Peak Load Forecast less FRR load</t>
  </si>
  <si>
    <t>LDA Modeled with VRR Curve</t>
  </si>
  <si>
    <t>PS, PSEG NORTH</t>
  </si>
  <si>
    <t>ATSI, ATSI CLEVELAND</t>
  </si>
  <si>
    <t>Locational Deliverability Area</t>
  </si>
  <si>
    <t xml:space="preserve">2019/2020 BRA CONE: Levelized Revenue Requirement,     $/MW-Year </t>
  </si>
  <si>
    <t xml:space="preserve">   </t>
  </si>
  <si>
    <t>2020-2021 RPM Base Residual Auction Planning Parameters</t>
  </si>
  <si>
    <t>BLS Composite Index: 2015/2014 Escalation</t>
  </si>
  <si>
    <t xml:space="preserve">2020/2021 BRA CONE: Levelized Revenue Requirement,     $/MW-Year </t>
  </si>
  <si>
    <t>RPM CONE and E&amp;AS Values for 2020/2021 Base Residual Auction</t>
  </si>
  <si>
    <t>Historic (2014-2016) Net Energy Revenue Offset, $/MW-Year</t>
  </si>
  <si>
    <t>New Key Transmission Upgrades included for 2020/2021 Model</t>
  </si>
  <si>
    <t>Key Transmission Upgrades included for 2019/2020 model but not included for 2020/2021 model</t>
  </si>
  <si>
    <t>2016 IRM Study</t>
  </si>
  <si>
    <t>Load data: from 2017 Load Report with adjustments due to load served outside PJM.</t>
  </si>
  <si>
    <t>Gross CONE, $/MW-Day (UCAP Price)</t>
  </si>
  <si>
    <t>2016 Zonal W/N Coincident Peak Loads</t>
  </si>
  <si>
    <t>Nominated PRD Value, MW</t>
  </si>
  <si>
    <t>b2668</t>
  </si>
  <si>
    <t>Reconductor Dequine - Meadow Lake 345 kV circuit #1 utilizing dual 954 ACSR 54/7 cardinal conductor</t>
  </si>
  <si>
    <t>b2729</t>
  </si>
  <si>
    <t>Optimal Capacitors Configuration: New 175 MVAR 230 kV capacitor bank at Brambleton substation, new 175 MVAR 230 kV capacitor bank at Ashburn substation, new 300 MVAR 230 kV capacitor bank at Shelhorn substation, new 150 MVAR 230 kV capacitor bank at Liber</t>
  </si>
  <si>
    <t>Dominion</t>
  </si>
  <si>
    <t>b2732.1</t>
  </si>
  <si>
    <t>Cut-in of line 93505 Tazewell - Kendall 345 kV line into Dresden</t>
  </si>
  <si>
    <t>ComEd</t>
  </si>
  <si>
    <t>b2732.2</t>
  </si>
  <si>
    <t xml:space="preserve">Raise towers to remove the sag limitations on 345 kV line 8012 Pontiac - Loretto </t>
  </si>
  <si>
    <t>b2743.1</t>
  </si>
  <si>
    <t>Tap the Conemaugh - Hunterstown 500 kV line &amp; create new Rice 500 kV &amp; 230 kV stations.  Install two 500/230 kV transformers, operated together.</t>
  </si>
  <si>
    <t>Transource</t>
  </si>
  <si>
    <t>b2743.2</t>
  </si>
  <si>
    <t>Tie in new Rice substation to Conemaugh-Hunterstown 500 kV</t>
  </si>
  <si>
    <t>b2743.5</t>
  </si>
  <si>
    <t>Build new 230 kV double circuit line between Rice and Ringgold 230 kV, operated as a single circuit.</t>
  </si>
  <si>
    <t>b2744</t>
  </si>
  <si>
    <t>Rebuild the Carson - Rogers Rd 500 kV circuit</t>
  </si>
  <si>
    <t>b2745</t>
  </si>
  <si>
    <t>Rebuild 21.32 miles of existing line between Chesterfield - Lakeside 230 kV</t>
  </si>
  <si>
    <t>b2752.1</t>
  </si>
  <si>
    <t>Tap the Peach Bottom – TMI 500 kV line &amp; create new Furnace Run 500 kV &amp; 230 kV stations.  Install two 500/230 kV transformers, operated together.</t>
  </si>
  <si>
    <t>b2752.2</t>
  </si>
  <si>
    <t>Tie in new Furnace Run substation to Peach Bottom-TMI 500 kV</t>
  </si>
  <si>
    <t>b2752.5</t>
  </si>
  <si>
    <t>Build new 230 kV double circuit line between Furnace Run and Conastone 230 kV, operated as a single circuit.</t>
  </si>
  <si>
    <t>b2752.7</t>
  </si>
  <si>
    <t>Reconductor/Rebuild the two Conastone - Northwest 230 kV lines and upgrade terminal equipment on both ends</t>
  </si>
  <si>
    <t>s0866</t>
  </si>
  <si>
    <t>Build a new 230 kV circuit from Martins Creek to Monroe using existing Martins Creek-Stroudsburg 69 kV decommissioned line, and reconfigure Martins Creek and Monroe substations</t>
  </si>
  <si>
    <t>s1101</t>
  </si>
  <si>
    <t>Rebuild the existing Shawnee-Bushkill 230 kV line (Approximately 2.2 Miles).</t>
  </si>
  <si>
    <t>n4906</t>
  </si>
  <si>
    <t>Upgrade the wire drops to the high side circuit switcher.  Change the tap settings on the Pumphrey breakers B31 &amp; B32 current transformers to correspond to 3000 amps and adjust relays to accommodate.  Reset 6 additional relays and change out an auxiliary</t>
  </si>
  <si>
    <t>s1141</t>
  </si>
  <si>
    <t>Loop in the Meadow Lake - Olive 345 kV circuit  into NIPSCo's Reynolds 765/345 kV station</t>
  </si>
  <si>
    <t>s1143</t>
  </si>
  <si>
    <t>Add second circuit to approximately 23.7 miles of the Susquehanna-Jenkins 230 kV line using 1590 ACSR conductor</t>
  </si>
  <si>
    <t xml:space="preserve"> Thermal/Sandy Spring "2334" - High Ridge 230 kV for loss of Sandy Spring "2314" - Burtonsville 230 kV</t>
  </si>
  <si>
    <t xml:space="preserve"> Thermal/Graceton - Bagley 230 kV CKT #1 and #2 for the loss of the one or the other</t>
  </si>
  <si>
    <t xml:space="preserve"> Thermal/Red Lion - Cedar Creek 230 kV for the loss of Cartanza - Milford 230 kV </t>
  </si>
  <si>
    <t xml:space="preserve">  Violation/Limiting Facility</t>
  </si>
  <si>
    <t>&gt;1311</t>
  </si>
  <si>
    <t>&gt;2323</t>
  </si>
  <si>
    <t>&gt;1760</t>
  </si>
  <si>
    <t>&gt;1047</t>
  </si>
  <si>
    <t>&gt;644</t>
  </si>
  <si>
    <t>&gt;3945</t>
  </si>
  <si>
    <t>&gt;886</t>
  </si>
  <si>
    <t>&gt;3094</t>
  </si>
  <si>
    <t>&gt;2703</t>
  </si>
  <si>
    <t>Pool-Wide Average EFORd for 2020/2021</t>
  </si>
  <si>
    <t>Point (b1) UCAP Level, MW</t>
  </si>
  <si>
    <t>Point (b1) UCAP Price, $/MW-Day</t>
  </si>
  <si>
    <t>Point (a1) UCAP Price, $/MW-Day</t>
  </si>
  <si>
    <t>Point (a1) UCAP Level, MW</t>
  </si>
  <si>
    <t>Point (prd1) UCAP Price, $/MW-Day</t>
  </si>
  <si>
    <t>Point (prd2) UCAP Price, $/MW-Day</t>
  </si>
  <si>
    <t>Point (prd1) UCAP Level, MW</t>
  </si>
  <si>
    <t>Point (prd2) UCAP Level, MW</t>
  </si>
  <si>
    <t>VRR Curve adjusted for PRD:</t>
  </si>
  <si>
    <t>Pre-Auction Credit Rate, $/MW</t>
  </si>
  <si>
    <t xml:space="preserve"> Thermal/South Canton - Harmon 345kV line for the loss of the Hanna - Canton Central 345kV line</t>
  </si>
  <si>
    <t xml:space="preserve"> Voltage/Low Voltage at Hayes for the loss of the Hayes - Davis Besse 345kV line</t>
  </si>
  <si>
    <t xml:space="preserve"> Thermal/Eugene - Dequin 345kV line for the loss of the Greentown - Jefferson 765kV line</t>
  </si>
  <si>
    <t>Minimum Internal Resource Requirement</t>
  </si>
  <si>
    <t>#47825914</t>
  </si>
  <si>
    <t xml:space="preserve"> Thermal/Tanner - Miami Fort 345 kV line for the loss of the Terminal - South Bend 345 kV line</t>
  </si>
  <si>
    <t>s1106</t>
  </si>
  <si>
    <t>Build new 500-230 kV Substation and associated transmission work (tap Sunbury - Susquehanna 500 kV and Colombia - Frackville 230 kV).</t>
  </si>
  <si>
    <t xml:space="preserve"> Voltage/Voltage drop at High Ridge 230 kV station for the loss of Burches Hill - Possum Point 500 kV line</t>
  </si>
  <si>
    <t xml:space="preserve"> Thermal/Wescosville 500/138 kV transformer pre-contingency (Basecase)</t>
  </si>
  <si>
    <t>Total Peak Load of FRR Entities</t>
  </si>
  <si>
    <t xml:space="preserve"> Thermal/Pumphrey - Howard 230 kV line pre-contingency (Basecase)</t>
  </si>
  <si>
    <t>Reliability Requirement adjusted for FRR</t>
  </si>
  <si>
    <t xml:space="preserve"> Voltage/Low Voltage at Cochranville 230 kV for loss of Keeney - Rock Springs 500 kV; low voltage at Hopatcong &amp; Roseland        500 kV for loss of Branchburg - Hopatcong 500 kV</t>
  </si>
  <si>
    <t xml:space="preserve"> Thermal/Sugar Creek - OHH 138 kV line for loss of OHH - College Corner 138 kV</t>
  </si>
  <si>
    <t xml:space="preserve"> Thermal/Voltage/Roseland - Cedar Grove 230 kV for loss of Roseland - Williams Pipeline 230 kV/ Low voltage at Hopatcong &amp; Roseland 500 kV for loss of Branchburg - Hopatcong 500 kV</t>
  </si>
  <si>
    <t>EE Addback (UCAP)</t>
  </si>
  <si>
    <t>Planning Parameters initially posted on 2/1/2017. 
Updated on 2/13/2017: Limiting facilities updated for BGE, PL, DAYTON, and DEOK; PL CETL revised from 8285 MW to 7,226 MW; Added s1106 to the Key Transmission Upgrades.
Updated on 4/13/2017: Added FRR load adjustments; updated CETL values for all LDAs except PEPCO and ATSI-Cleveland (and updated Limiting Facilitites for LDAs where applicable); updated CETO and Reliability Requirement for DAYTON LDA.                                                                                                                                                                             Updated 5/9/2017: VRR Curve updated to reflect adjustments for total quantity of EE Resources for which PJM accepted an EE M&amp;V Plan submitted for the auction.
Updated 5/23/2017:  Updated EE Add-backs to reflect cleared EE MW quantity of first-pass BRA solution times the threshold in accordance with Section 2.4.5 of Manual 18.  Updated DEOK Reliability Requirement to adjust for FRR Minimum Internal Resource Requirement. Added Post-Auction Credit Rates for cleared resources.</t>
  </si>
  <si>
    <t>Post-Auction Credit Rate, $/MW</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</si>
</sst>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0.0%"/>
    <numFmt numFmtId="166" formatCode="0.0"/>
    <numFmt numFmtId="167" formatCode="&quot;$&quot;#,##0.00"/>
    <numFmt numFmtId="168" formatCode="#,##0.0"/>
    <numFmt numFmtId="169" formatCode="0.00000"/>
    <numFmt numFmtId="170" formatCode="&quot;$&quot;#,##0"/>
    <numFmt numFmtId="175" formatCode="0.000000"/>
  </numFmts>
  <fonts count="21"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4"/>
      <name val="Arial"/>
      <family val="2"/>
    </font>
    <font>
      <b/>
      <sz val="12"/>
      <name val="Arial"/>
      <family val="2"/>
    </font>
    <font>
      <sz val="12"/>
      <name val="Arial"/>
      <family val="2"/>
    </font>
    <font>
      <sz val="10"/>
      <name val="Arial"/>
      <family val="2"/>
    </font>
    <font>
      <sz val="10"/>
      <name val="Arial"/>
      <family val="2"/>
    </font>
    <font>
      <sz val="11"/>
      <name val="Arial"/>
      <family val="2"/>
    </font>
    <font>
      <b/>
      <sz val="11"/>
      <name val="Arial"/>
      <family val="2"/>
    </font>
    <font>
      <sz val="11"/>
      <color theme="1"/>
      <name val="Calibri"/>
      <family val="2"/>
      <scheme val="minor"/>
    </font>
    <font>
      <sz val="10"/>
      <color rgb="FFFF0000"/>
      <name val="Arial"/>
      <family val="2"/>
    </font>
    <font>
      <sz val="12"/>
      <color rgb="FFFF0000"/>
      <name val="Arial"/>
      <family val="2"/>
    </font>
    <font>
      <b/>
      <sz val="12"/>
      <color rgb="FFFF0000"/>
      <name val="Arial"/>
      <family val="2"/>
    </font>
    <font>
      <sz val="10"/>
      <color theme="1"/>
      <name val="Arial"/>
      <family val="2"/>
    </font>
    <font>
      <sz val="11"/>
      <color rgb="FF1F497D"/>
      <name val="Calibri"/>
      <family val="2"/>
    </font>
    <font>
      <sz val="12"/>
      <color theme="1"/>
      <name val="Arial"/>
      <family val="2"/>
    </font>
    <font>
      <sz val="9"/>
      <color rgb="FFFF0000"/>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s>
  <cellStyleXfs count="20">
    <xf numFmtId="0" fontId="0" fillId="0" borderId="0"/>
    <xf numFmtId="43" fontId="3" fillId="0" borderId="0" applyFont="0" applyFill="0" applyBorder="0" applyAlignment="0" applyProtection="0"/>
    <xf numFmtId="43" fontId="13" fillId="0" borderId="0" applyFont="0" applyFill="0" applyBorder="0" applyAlignment="0" applyProtection="0"/>
    <xf numFmtId="0" fontId="10" fillId="0" borderId="0"/>
    <xf numFmtId="0" fontId="9" fillId="0" borderId="0">
      <alignment wrapText="1"/>
    </xf>
    <xf numFmtId="0" fontId="9" fillId="0" borderId="0"/>
    <xf numFmtId="0" fontId="13" fillId="0" borderId="0"/>
    <xf numFmtId="9"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0" fontId="9" fillId="0" borderId="0"/>
    <xf numFmtId="0" fontId="2" fillId="0" borderId="0"/>
    <xf numFmtId="9" fontId="9" fillId="0" borderId="0" applyFont="0" applyFill="0" applyBorder="0" applyAlignment="0" applyProtection="0"/>
    <xf numFmtId="0" fontId="17" fillId="0" borderId="0"/>
    <xf numFmtId="0" fontId="3" fillId="0" borderId="0"/>
    <xf numFmtId="0" fontId="17" fillId="0" borderId="0"/>
    <xf numFmtId="0" fontId="1" fillId="0" borderId="0"/>
    <xf numFmtId="0" fontId="3" fillId="0" borderId="0"/>
    <xf numFmtId="0" fontId="3" fillId="0" borderId="0">
      <alignment wrapText="1"/>
    </xf>
  </cellStyleXfs>
  <cellXfs count="211">
    <xf numFmtId="0" fontId="0" fillId="0" borderId="0" xfId="0"/>
    <xf numFmtId="0" fontId="0" fillId="0" borderId="0" xfId="0" applyAlignment="1">
      <alignment horizontal="center"/>
    </xf>
    <xf numFmtId="0" fontId="8" fillId="0" borderId="0" xfId="0" applyFont="1" applyBorder="1"/>
    <xf numFmtId="0" fontId="5" fillId="0" borderId="0" xfId="0" applyFont="1" applyAlignment="1">
      <alignment wrapText="1"/>
    </xf>
    <xf numFmtId="0" fontId="9" fillId="0" borderId="0" xfId="0" applyFont="1"/>
    <xf numFmtId="168"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0" fontId="0" fillId="0" borderId="0" xfId="0" applyAlignment="1">
      <alignment wrapText="1"/>
    </xf>
    <xf numFmtId="6" fontId="8" fillId="0" borderId="1" xfId="0" applyNumberFormat="1" applyFont="1" applyBorder="1" applyAlignment="1">
      <alignment horizontal="center" vertical="center" wrapText="1"/>
    </xf>
    <xf numFmtId="165" fontId="8" fillId="0" borderId="1" xfId="7" applyNumberFormat="1" applyFont="1" applyBorder="1" applyAlignment="1">
      <alignment horizontal="right" vertical="center"/>
    </xf>
    <xf numFmtId="167" fontId="8" fillId="0" borderId="1" xfId="0" applyNumberFormat="1" applyFont="1" applyBorder="1" applyAlignment="1">
      <alignment horizontal="right" vertical="center" wrapText="1"/>
    </xf>
    <xf numFmtId="168" fontId="8" fillId="0" borderId="1" xfId="0" applyNumberFormat="1" applyFont="1" applyBorder="1" applyAlignment="1">
      <alignment horizontal="right" vertical="center" wrapText="1"/>
    </xf>
    <xf numFmtId="166" fontId="8" fillId="0" borderId="1" xfId="0" applyNumberFormat="1" applyFont="1" applyBorder="1" applyAlignment="1">
      <alignment horizontal="right" vertical="center"/>
    </xf>
    <xf numFmtId="0" fontId="8" fillId="0" borderId="1" xfId="0" applyFont="1" applyBorder="1" applyAlignment="1">
      <alignment horizontal="right" vertical="center"/>
    </xf>
    <xf numFmtId="167" fontId="7" fillId="0" borderId="1" xfId="0" applyNumberFormat="1" applyFont="1" applyBorder="1" applyAlignment="1">
      <alignment horizontal="right" vertical="center" wrapText="1"/>
    </xf>
    <xf numFmtId="0" fontId="8" fillId="0" borderId="1" xfId="0" applyFont="1" applyBorder="1" applyAlignment="1">
      <alignment horizontal="left" vertical="center"/>
    </xf>
    <xf numFmtId="0" fontId="7" fillId="0" borderId="1" xfId="0" applyFont="1" applyBorder="1" applyAlignment="1">
      <alignment horizontal="center" vertical="center"/>
    </xf>
    <xf numFmtId="165" fontId="8" fillId="0" borderId="1" xfId="0" applyNumberFormat="1" applyFont="1" applyBorder="1" applyAlignment="1">
      <alignment horizontal="right" vertical="center" wrapText="1"/>
    </xf>
    <xf numFmtId="0" fontId="7" fillId="0" borderId="2" xfId="0" applyFont="1" applyBorder="1" applyAlignment="1">
      <alignment horizontal="center" vertical="center"/>
    </xf>
    <xf numFmtId="0" fontId="8"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right" vertical="center" wrapText="1"/>
    </xf>
    <xf numFmtId="0" fontId="8" fillId="0" borderId="1" xfId="0" applyFont="1" applyBorder="1" applyAlignment="1">
      <alignment horizontal="right" vertical="center" wrapText="1"/>
    </xf>
    <xf numFmtId="0" fontId="8" fillId="0" borderId="1" xfId="0" applyFont="1" applyFill="1" applyBorder="1" applyAlignment="1">
      <alignment horizontal="right" vertical="center"/>
    </xf>
    <xf numFmtId="168" fontId="8" fillId="0" borderId="1" xfId="7" applyNumberFormat="1" applyFont="1" applyBorder="1" applyAlignment="1">
      <alignment horizontal="right" vertical="center"/>
    </xf>
    <xf numFmtId="0" fontId="14" fillId="0" borderId="0" xfId="0" applyFont="1"/>
    <xf numFmtId="170" fontId="8" fillId="0" borderId="1" xfId="0" applyNumberFormat="1" applyFont="1" applyFill="1" applyBorder="1" applyAlignment="1">
      <alignment horizontal="center" vertical="center" wrapText="1"/>
    </xf>
    <xf numFmtId="8" fontId="0" fillId="0" borderId="0" xfId="0" applyNumberFormat="1"/>
    <xf numFmtId="166" fontId="8" fillId="0" borderId="1" xfId="0" applyNumberFormat="1" applyFont="1" applyBorder="1" applyAlignment="1">
      <alignment horizontal="right" vertical="center" wrapText="1"/>
    </xf>
    <xf numFmtId="169" fontId="8" fillId="0" borderId="1" xfId="7" applyNumberFormat="1" applyFont="1" applyBorder="1" applyAlignment="1">
      <alignment horizontal="right" vertical="center"/>
    </xf>
    <xf numFmtId="168" fontId="8" fillId="0" borderId="1" xfId="7" applyNumberFormat="1" applyFont="1" applyFill="1" applyBorder="1" applyAlignment="1">
      <alignment horizontal="right" vertical="center"/>
    </xf>
    <xf numFmtId="166" fontId="8" fillId="0" borderId="1" xfId="7" applyNumberFormat="1" applyFont="1" applyBorder="1" applyAlignment="1">
      <alignment horizontal="right" vertical="center"/>
    </xf>
    <xf numFmtId="9" fontId="8" fillId="0" borderId="1" xfId="7" applyFont="1" applyFill="1" applyBorder="1" applyAlignment="1">
      <alignment horizontal="right" vertical="center"/>
    </xf>
    <xf numFmtId="9" fontId="8" fillId="0" borderId="1" xfId="7" applyNumberFormat="1" applyFont="1" applyFill="1" applyBorder="1" applyAlignment="1">
      <alignment horizontal="right" vertical="center"/>
    </xf>
    <xf numFmtId="0" fontId="8" fillId="0" borderId="0" xfId="0" applyFont="1" applyBorder="1" applyAlignment="1">
      <alignment vertical="center"/>
    </xf>
    <xf numFmtId="0" fontId="15" fillId="0" borderId="0" xfId="0" applyFont="1" applyBorder="1"/>
    <xf numFmtId="168" fontId="7" fillId="0" borderId="1" xfId="0" applyNumberFormat="1" applyFont="1" applyBorder="1" applyAlignment="1">
      <alignment horizontal="right" vertical="center" wrapText="1"/>
    </xf>
    <xf numFmtId="168" fontId="8" fillId="0" borderId="1" xfId="0" applyNumberFormat="1" applyFont="1" applyFill="1" applyBorder="1" applyAlignment="1">
      <alignment horizontal="right" vertical="center"/>
    </xf>
    <xf numFmtId="0" fontId="7" fillId="0" borderId="1" xfId="0" applyFont="1" applyFill="1" applyBorder="1" applyAlignment="1">
      <alignment horizontal="center" vertical="center"/>
    </xf>
    <xf numFmtId="165" fontId="8" fillId="0" borderId="0" xfId="7" applyNumberFormat="1" applyFont="1" applyBorder="1"/>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8" fillId="0" borderId="1" xfId="0" applyFont="1" applyBorder="1" applyAlignment="1">
      <alignment horizontal="left" vertical="center"/>
    </xf>
    <xf numFmtId="167" fontId="8" fillId="0" borderId="1" xfId="0" applyNumberFormat="1" applyFont="1" applyBorder="1" applyAlignment="1">
      <alignment horizontal="center" vertical="center"/>
    </xf>
    <xf numFmtId="0" fontId="8" fillId="0" borderId="0" xfId="0" applyFont="1" applyFill="1" applyBorder="1" applyAlignment="1">
      <alignment horizontal="left" vertical="center"/>
    </xf>
    <xf numFmtId="0" fontId="0" fillId="0" borderId="0" xfId="0" applyBorder="1" applyAlignment="1">
      <alignment horizontal="left"/>
    </xf>
    <xf numFmtId="0" fontId="7" fillId="0" borderId="0" xfId="0" applyFont="1" applyBorder="1" applyAlignment="1">
      <alignment horizontal="center" vertical="center"/>
    </xf>
    <xf numFmtId="0" fontId="8" fillId="0" borderId="0" xfId="0" applyFont="1" applyFill="1" applyBorder="1" applyAlignment="1">
      <alignment vertical="center"/>
    </xf>
    <xf numFmtId="0" fontId="14" fillId="0" borderId="0" xfId="0" applyFont="1" applyBorder="1" applyAlignment="1">
      <alignment vertical="center"/>
    </xf>
    <xf numFmtId="0" fontId="7" fillId="0" borderId="1" xfId="0" applyFont="1" applyBorder="1" applyAlignment="1">
      <alignment horizontal="center" vertical="center" wrapText="1"/>
    </xf>
    <xf numFmtId="0" fontId="8" fillId="0" borderId="0" xfId="5" applyFont="1" applyFill="1" applyBorder="1" applyAlignment="1">
      <alignment vertical="center"/>
    </xf>
    <xf numFmtId="3" fontId="8" fillId="0" borderId="1" xfId="0" applyNumberFormat="1" applyFont="1" applyBorder="1" applyAlignment="1">
      <alignment horizontal="right" vertical="center"/>
    </xf>
    <xf numFmtId="3" fontId="0" fillId="0" borderId="0" xfId="0" applyNumberFormat="1"/>
    <xf numFmtId="168" fontId="8" fillId="0" borderId="1" xfId="0" applyNumberFormat="1" applyFont="1" applyBorder="1" applyAlignment="1">
      <alignment horizontal="right" vertical="center"/>
    </xf>
    <xf numFmtId="167" fontId="0" fillId="0" borderId="0" xfId="0" applyNumberFormat="1"/>
    <xf numFmtId="0" fontId="3" fillId="0" borderId="0" xfId="0" applyFont="1"/>
    <xf numFmtId="0" fontId="0" fillId="0" borderId="0" xfId="0" applyBorder="1"/>
    <xf numFmtId="0" fontId="14" fillId="0" borderId="0" xfId="0" applyFont="1" applyAlignment="1">
      <alignment horizontal="center"/>
    </xf>
    <xf numFmtId="0" fontId="20" fillId="0" borderId="0" xfId="0" applyFont="1" applyAlignment="1">
      <alignment horizontal="center" vertical="center"/>
    </xf>
    <xf numFmtId="0" fontId="14" fillId="0" borderId="8" xfId="0" applyFont="1" applyBorder="1" applyAlignment="1">
      <alignment horizontal="left"/>
    </xf>
    <xf numFmtId="0" fontId="3" fillId="0" borderId="0" xfId="0" applyFont="1" applyBorder="1" applyAlignment="1">
      <alignment horizontal="center" vertical="center"/>
    </xf>
    <xf numFmtId="0" fontId="12" fillId="0" borderId="5" xfId="4" applyFont="1" applyBorder="1" applyAlignment="1">
      <alignment vertical="center"/>
    </xf>
    <xf numFmtId="0" fontId="12" fillId="0" borderId="6" xfId="4" applyFont="1" applyBorder="1" applyAlignment="1">
      <alignment horizontal="center" vertical="center"/>
    </xf>
    <xf numFmtId="0" fontId="12" fillId="0" borderId="17" xfId="4" applyFont="1" applyBorder="1" applyAlignment="1">
      <alignment horizontal="center" vertical="center" wrapText="1"/>
    </xf>
    <xf numFmtId="0" fontId="3" fillId="0" borderId="5" xfId="18" applyFont="1" applyFill="1" applyBorder="1" applyAlignment="1">
      <alignment vertical="top"/>
    </xf>
    <xf numFmtId="0" fontId="3" fillId="0" borderId="6" xfId="18" applyFont="1" applyFill="1" applyBorder="1" applyAlignment="1">
      <alignment vertical="top" wrapText="1"/>
    </xf>
    <xf numFmtId="0" fontId="3" fillId="0" borderId="17" xfId="18" applyFont="1" applyFill="1" applyBorder="1" applyAlignment="1">
      <alignment horizontal="center" vertical="top"/>
    </xf>
    <xf numFmtId="1" fontId="8" fillId="0" borderId="16" xfId="0" applyNumberFormat="1" applyFont="1" applyBorder="1" applyAlignment="1">
      <alignment horizontal="left" vertical="center"/>
    </xf>
    <xf numFmtId="1" fontId="8" fillId="0" borderId="3" xfId="0" applyNumberFormat="1" applyFont="1" applyBorder="1" applyAlignment="1">
      <alignment horizontal="left" vertical="center"/>
    </xf>
    <xf numFmtId="0" fontId="6" fillId="0" borderId="0" xfId="0" applyFont="1" applyBorder="1" applyAlignment="1">
      <alignment horizontal="center" vertical="center"/>
    </xf>
    <xf numFmtId="170" fontId="8" fillId="0" borderId="1" xfId="1" applyNumberFormat="1" applyFont="1" applyBorder="1" applyAlignment="1">
      <alignment horizontal="center"/>
    </xf>
    <xf numFmtId="10" fontId="7" fillId="3" borderId="1" xfId="7" applyNumberFormat="1" applyFont="1" applyFill="1" applyBorder="1" applyAlignment="1">
      <alignment vertical="center"/>
    </xf>
    <xf numFmtId="0" fontId="7" fillId="2" borderId="5" xfId="0" applyFont="1" applyFill="1" applyBorder="1" applyAlignment="1">
      <alignment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7" fillId="2" borderId="27" xfId="0" applyFont="1" applyFill="1" applyBorder="1" applyAlignment="1">
      <alignment wrapText="1"/>
    </xf>
    <xf numFmtId="170" fontId="8" fillId="0" borderId="22" xfId="1" applyNumberFormat="1" applyFont="1" applyBorder="1" applyAlignment="1">
      <alignment horizontal="center"/>
    </xf>
    <xf numFmtId="175" fontId="8" fillId="0" borderId="22" xfId="0" applyNumberFormat="1" applyFont="1" applyBorder="1" applyAlignment="1">
      <alignment horizontal="center" vertical="center" wrapText="1"/>
    </xf>
    <xf numFmtId="6" fontId="8" fillId="0" borderId="22" xfId="0" applyNumberFormat="1" applyFont="1" applyBorder="1" applyAlignment="1">
      <alignment horizontal="center" vertical="center" wrapText="1"/>
    </xf>
    <xf numFmtId="167" fontId="8" fillId="0" borderId="22" xfId="0" applyNumberFormat="1" applyFont="1" applyBorder="1" applyAlignment="1">
      <alignment horizontal="center" vertical="center" wrapText="1"/>
    </xf>
    <xf numFmtId="0" fontId="8" fillId="0" borderId="22" xfId="0" applyFont="1" applyBorder="1" applyAlignment="1">
      <alignment vertical="center" wrapText="1"/>
    </xf>
    <xf numFmtId="0" fontId="7" fillId="0" borderId="22" xfId="0" applyFont="1" applyBorder="1" applyAlignment="1">
      <alignment vertical="center" wrapText="1"/>
    </xf>
    <xf numFmtId="0" fontId="0" fillId="0" borderId="23" xfId="0" applyBorder="1" applyAlignment="1">
      <alignment horizontal="center"/>
    </xf>
    <xf numFmtId="0" fontId="8" fillId="2" borderId="3" xfId="0" applyFont="1" applyFill="1" applyBorder="1" applyAlignment="1">
      <alignment horizontal="left" vertical="center" wrapText="1"/>
    </xf>
    <xf numFmtId="0" fontId="0" fillId="0" borderId="14" xfId="0" applyBorder="1" applyAlignment="1">
      <alignment horizontal="center"/>
    </xf>
    <xf numFmtId="0" fontId="8" fillId="0" borderId="14" xfId="0" applyFont="1" applyBorder="1" applyAlignment="1">
      <alignment horizontal="center"/>
    </xf>
    <xf numFmtId="0" fontId="8" fillId="0" borderId="14" xfId="0" applyFont="1" applyBorder="1" applyAlignment="1">
      <alignment horizontal="center" vertical="center"/>
    </xf>
    <xf numFmtId="0" fontId="7" fillId="2" borderId="11" xfId="0" applyFont="1" applyFill="1" applyBorder="1" applyAlignment="1">
      <alignment horizontal="left" vertical="center" wrapText="1"/>
    </xf>
    <xf numFmtId="170" fontId="8" fillId="0" borderId="12" xfId="1" applyNumberFormat="1" applyFont="1" applyBorder="1" applyAlignment="1">
      <alignment horizontal="center"/>
    </xf>
    <xf numFmtId="6" fontId="8" fillId="0" borderId="12" xfId="0" applyNumberFormat="1" applyFont="1" applyBorder="1" applyAlignment="1">
      <alignment horizontal="center" vertical="center" wrapText="1"/>
    </xf>
    <xf numFmtId="167" fontId="8" fillId="0" borderId="12" xfId="0" applyNumberFormat="1" applyFont="1" applyBorder="1" applyAlignment="1">
      <alignment horizontal="center" vertical="center" wrapText="1"/>
    </xf>
    <xf numFmtId="170" fontId="8" fillId="0" borderId="12" xfId="0" applyNumberFormat="1" applyFont="1" applyFill="1" applyBorder="1" applyAlignment="1">
      <alignment horizontal="center" vertical="center" wrapText="1"/>
    </xf>
    <xf numFmtId="170" fontId="8" fillId="0" borderId="12" xfId="0" applyNumberFormat="1" applyFont="1" applyBorder="1" applyAlignment="1">
      <alignment horizontal="center" vertical="center" wrapText="1"/>
    </xf>
    <xf numFmtId="0" fontId="8" fillId="0" borderId="15" xfId="0" applyFont="1" applyBorder="1" applyAlignment="1">
      <alignment horizontal="center" vertical="center"/>
    </xf>
    <xf numFmtId="170" fontId="8" fillId="0" borderId="22" xfId="0" applyNumberFormat="1" applyFont="1" applyFill="1" applyBorder="1" applyAlignment="1">
      <alignment horizontal="center" vertical="center" wrapText="1"/>
    </xf>
    <xf numFmtId="170" fontId="8" fillId="0" borderId="22" xfId="0" applyNumberFormat="1" applyFont="1" applyBorder="1" applyAlignment="1">
      <alignment horizontal="center" vertical="center" wrapText="1"/>
    </xf>
    <xf numFmtId="167" fontId="7" fillId="0" borderId="22" xfId="0" applyNumberFormat="1" applyFont="1" applyBorder="1" applyAlignment="1">
      <alignment horizontal="center" vertical="center" wrapText="1"/>
    </xf>
    <xf numFmtId="0" fontId="8" fillId="2" borderId="3" xfId="0" applyFont="1" applyFill="1" applyBorder="1" applyAlignment="1">
      <alignment wrapText="1"/>
    </xf>
    <xf numFmtId="0" fontId="8" fillId="2" borderId="11" xfId="0" applyFont="1" applyFill="1" applyBorder="1" applyAlignment="1">
      <alignment horizontal="left" vertical="center" wrapText="1"/>
    </xf>
    <xf numFmtId="0" fontId="0" fillId="0" borderId="15" xfId="0" applyBorder="1" applyAlignment="1">
      <alignment horizontal="center"/>
    </xf>
    <xf numFmtId="0" fontId="7" fillId="2" borderId="5" xfId="0" applyFont="1" applyFill="1" applyBorder="1" applyAlignment="1">
      <alignment horizontal="left" vertical="center" wrapText="1"/>
    </xf>
    <xf numFmtId="6" fontId="8" fillId="0" borderId="6" xfId="0" applyNumberFormat="1" applyFont="1" applyBorder="1" applyAlignment="1">
      <alignment horizontal="center" vertical="center" wrapText="1"/>
    </xf>
    <xf numFmtId="167" fontId="8" fillId="0" borderId="6" xfId="0" applyNumberFormat="1" applyFont="1" applyBorder="1" applyAlignment="1">
      <alignment horizontal="center" vertical="center" wrapText="1"/>
    </xf>
    <xf numFmtId="170" fontId="8" fillId="0" borderId="6" xfId="0" applyNumberFormat="1" applyFont="1" applyFill="1" applyBorder="1" applyAlignment="1">
      <alignment horizontal="center" vertical="center" wrapText="1"/>
    </xf>
    <xf numFmtId="170" fontId="8" fillId="0" borderId="6" xfId="0" applyNumberFormat="1" applyFont="1" applyBorder="1" applyAlignment="1">
      <alignment horizontal="center" vertical="center" wrapText="1"/>
    </xf>
    <xf numFmtId="0" fontId="8" fillId="0" borderId="17" xfId="0" applyFont="1" applyBorder="1" applyAlignment="1">
      <alignment horizontal="center" vertical="center"/>
    </xf>
    <xf numFmtId="0" fontId="7" fillId="0" borderId="8" xfId="0" applyFont="1" applyBorder="1" applyAlignment="1">
      <alignment horizontal="left" vertical="center"/>
    </xf>
    <xf numFmtId="0" fontId="16" fillId="0" borderId="0" xfId="0" applyFont="1" applyBorder="1" applyAlignment="1">
      <alignment horizontal="left" vertical="center"/>
    </xf>
    <xf numFmtId="168" fontId="7" fillId="0" borderId="1" xfId="1" applyNumberFormat="1" applyFont="1" applyFill="1" applyBorder="1" applyAlignment="1">
      <alignment horizontal="right" vertical="center"/>
    </xf>
    <xf numFmtId="0" fontId="5" fillId="0" borderId="0" xfId="0" applyFont="1" applyFill="1" applyAlignment="1">
      <alignment horizontal="right" wrapText="1"/>
    </xf>
    <xf numFmtId="0" fontId="18" fillId="0" borderId="0" xfId="0" applyFont="1" applyFill="1" applyAlignment="1">
      <alignment vertical="center"/>
    </xf>
    <xf numFmtId="0" fontId="3" fillId="0" borderId="0" xfId="0" applyFont="1" applyFill="1" applyBorder="1" applyAlignment="1">
      <alignment vertical="center"/>
    </xf>
    <xf numFmtId="0" fontId="6" fillId="0" borderId="0" xfId="0" applyFont="1" applyBorder="1" applyAlignment="1">
      <alignment horizontal="left" vertical="center"/>
    </xf>
    <xf numFmtId="0" fontId="8" fillId="0" borderId="1" xfId="0" applyFont="1" applyBorder="1" applyAlignment="1">
      <alignment horizontal="left" vertical="center"/>
    </xf>
    <xf numFmtId="168" fontId="7" fillId="0" borderId="1" xfId="0" applyNumberFormat="1" applyFont="1" applyFill="1" applyBorder="1" applyAlignment="1">
      <alignment horizontal="right" vertical="center"/>
    </xf>
    <xf numFmtId="0" fontId="3" fillId="0" borderId="0" xfId="18" applyFont="1" applyFill="1"/>
    <xf numFmtId="0" fontId="3" fillId="0" borderId="0" xfId="0" applyFont="1" applyBorder="1" applyAlignment="1">
      <alignment vertical="center"/>
    </xf>
    <xf numFmtId="0" fontId="6" fillId="0" borderId="9" xfId="0" applyFont="1" applyBorder="1" applyAlignment="1">
      <alignment horizontal="center"/>
    </xf>
    <xf numFmtId="165" fontId="8" fillId="0" borderId="9" xfId="0" applyNumberFormat="1" applyFont="1" applyBorder="1" applyAlignment="1">
      <alignment horizontal="center" vertical="center"/>
    </xf>
    <xf numFmtId="10"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8" fontId="8" fillId="0" borderId="9" xfId="0" applyNumberFormat="1" applyFont="1" applyBorder="1" applyAlignment="1">
      <alignment horizontal="center" vertical="center"/>
    </xf>
    <xf numFmtId="0" fontId="14" fillId="0" borderId="0" xfId="0" applyFont="1" applyFill="1" applyAlignment="1">
      <alignment vertical="top" wrapText="1"/>
    </xf>
    <xf numFmtId="0" fontId="3" fillId="0" borderId="0" xfId="0" applyFont="1" applyFill="1" applyBorder="1" applyAlignment="1">
      <alignment horizontal="left" vertical="center"/>
    </xf>
    <xf numFmtId="0" fontId="8" fillId="0" borderId="0" xfId="0" applyFont="1" applyFill="1" applyBorder="1"/>
    <xf numFmtId="0" fontId="8" fillId="0" borderId="0" xfId="0" applyFont="1" applyBorder="1" applyAlignment="1">
      <alignment horizontal="left" vertical="center"/>
    </xf>
    <xf numFmtId="167" fontId="8" fillId="4" borderId="1" xfId="0" applyNumberFormat="1" applyFont="1" applyFill="1" applyBorder="1" applyAlignment="1">
      <alignment horizontal="right" vertical="center" wrapText="1"/>
    </xf>
    <xf numFmtId="0" fontId="8" fillId="4"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168" fontId="8" fillId="3" borderId="1" xfId="0" applyNumberFormat="1" applyFont="1" applyFill="1" applyBorder="1" applyAlignment="1">
      <alignment horizontal="right" vertical="center" wrapText="1"/>
    </xf>
    <xf numFmtId="167" fontId="8" fillId="5" borderId="1" xfId="0" applyNumberFormat="1" applyFont="1" applyFill="1" applyBorder="1" applyAlignment="1">
      <alignment horizontal="right" vertical="center" wrapText="1"/>
    </xf>
    <xf numFmtId="0" fontId="8" fillId="5" borderId="3" xfId="0" applyFont="1" applyFill="1" applyBorder="1" applyAlignment="1">
      <alignment horizontal="left" vertical="center" wrapText="1"/>
    </xf>
    <xf numFmtId="168" fontId="8" fillId="5" borderId="1" xfId="0" applyNumberFormat="1" applyFont="1" applyFill="1" applyBorder="1" applyAlignment="1">
      <alignment horizontal="right" vertical="center" wrapText="1"/>
    </xf>
    <xf numFmtId="0" fontId="3" fillId="0" borderId="0" xfId="0" applyFont="1" applyFill="1"/>
    <xf numFmtId="168" fontId="8" fillId="0" borderId="0"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168" fontId="8" fillId="0" borderId="2" xfId="0" applyNumberFormat="1" applyFont="1" applyFill="1" applyBorder="1" applyAlignment="1">
      <alignment horizontal="right" vertical="center" wrapText="1"/>
    </xf>
    <xf numFmtId="0" fontId="8" fillId="5" borderId="27" xfId="0" applyFont="1" applyFill="1" applyBorder="1" applyAlignment="1">
      <alignment horizontal="left" vertical="center" wrapText="1"/>
    </xf>
    <xf numFmtId="167" fontId="8" fillId="5" borderId="22" xfId="0" applyNumberFormat="1" applyFont="1" applyFill="1" applyBorder="1" applyAlignment="1">
      <alignment horizontal="right" vertical="center" wrapText="1"/>
    </xf>
    <xf numFmtId="167" fontId="8" fillId="5" borderId="23" xfId="0" applyNumberFormat="1" applyFont="1" applyFill="1" applyBorder="1" applyAlignment="1">
      <alignment horizontal="right" vertical="center" wrapText="1"/>
    </xf>
    <xf numFmtId="167" fontId="8" fillId="5" borderId="14" xfId="0" applyNumberFormat="1" applyFont="1" applyFill="1" applyBorder="1" applyAlignment="1">
      <alignment horizontal="right" vertical="center" wrapText="1"/>
    </xf>
    <xf numFmtId="168" fontId="8" fillId="5" borderId="14" xfId="0" applyNumberFormat="1" applyFont="1" applyFill="1" applyBorder="1" applyAlignment="1">
      <alignment horizontal="right" vertical="center" wrapText="1"/>
    </xf>
    <xf numFmtId="0" fontId="8" fillId="5" borderId="11" xfId="0" applyFont="1" applyFill="1" applyBorder="1" applyAlignment="1">
      <alignment horizontal="left" vertical="center" wrapText="1"/>
    </xf>
    <xf numFmtId="168" fontId="8" fillId="5" borderId="12" xfId="0" applyNumberFormat="1" applyFont="1" applyFill="1" applyBorder="1" applyAlignment="1">
      <alignment horizontal="right" vertical="center" wrapText="1"/>
    </xf>
    <xf numFmtId="168" fontId="8" fillId="5" borderId="15" xfId="0" applyNumberFormat="1" applyFont="1" applyFill="1" applyBorder="1" applyAlignment="1">
      <alignment horizontal="right" vertical="center" wrapText="1"/>
    </xf>
    <xf numFmtId="0" fontId="8" fillId="4" borderId="27" xfId="0" applyFont="1" applyFill="1" applyBorder="1" applyAlignment="1">
      <alignment horizontal="left" vertical="center" wrapText="1"/>
    </xf>
    <xf numFmtId="167" fontId="8" fillId="4" borderId="22" xfId="0" applyNumberFormat="1" applyFont="1" applyFill="1" applyBorder="1" applyAlignment="1">
      <alignment horizontal="right" vertical="center" wrapText="1"/>
    </xf>
    <xf numFmtId="167" fontId="8" fillId="4" borderId="23" xfId="0" applyNumberFormat="1" applyFont="1" applyFill="1" applyBorder="1" applyAlignment="1">
      <alignment horizontal="right" vertical="center" wrapText="1"/>
    </xf>
    <xf numFmtId="167" fontId="8" fillId="4" borderId="14" xfId="0" applyNumberFormat="1" applyFont="1" applyFill="1" applyBorder="1" applyAlignment="1">
      <alignment horizontal="right" vertical="center" wrapText="1"/>
    </xf>
    <xf numFmtId="0" fontId="8" fillId="4" borderId="11" xfId="0" applyFont="1" applyFill="1" applyBorder="1" applyAlignment="1">
      <alignment horizontal="left" vertical="center" wrapText="1"/>
    </xf>
    <xf numFmtId="167" fontId="8" fillId="4" borderId="12" xfId="0" applyNumberFormat="1" applyFont="1" applyFill="1" applyBorder="1" applyAlignment="1">
      <alignment horizontal="right" vertical="center" wrapText="1"/>
    </xf>
    <xf numFmtId="167" fontId="8" fillId="4" borderId="15" xfId="0" applyNumberFormat="1" applyFont="1" applyFill="1" applyBorder="1" applyAlignment="1">
      <alignment horizontal="right" vertical="center" wrapText="1"/>
    </xf>
    <xf numFmtId="167" fontId="19" fillId="0" borderId="2" xfId="0" applyNumberFormat="1" applyFont="1" applyFill="1" applyBorder="1" applyAlignment="1">
      <alignment horizontal="right" vertical="center"/>
    </xf>
    <xf numFmtId="0" fontId="8" fillId="3" borderId="27" xfId="0" applyFont="1" applyFill="1" applyBorder="1" applyAlignment="1">
      <alignment horizontal="left" vertical="center" wrapText="1"/>
    </xf>
    <xf numFmtId="168" fontId="8" fillId="3" borderId="22" xfId="0" applyNumberFormat="1" applyFont="1" applyFill="1" applyBorder="1" applyAlignment="1">
      <alignment horizontal="right" vertical="center" wrapText="1"/>
    </xf>
    <xf numFmtId="0" fontId="8" fillId="3" borderId="11" xfId="0" applyFont="1" applyFill="1" applyBorder="1" applyAlignment="1">
      <alignment horizontal="left" vertical="center" wrapText="1"/>
    </xf>
    <xf numFmtId="168" fontId="8" fillId="3" borderId="12" xfId="0" applyNumberFormat="1" applyFont="1" applyFill="1" applyBorder="1" applyAlignment="1">
      <alignment horizontal="right" vertical="center" wrapText="1"/>
    </xf>
    <xf numFmtId="0" fontId="3" fillId="0" borderId="0" xfId="0" applyFont="1" applyFill="1" applyBorder="1"/>
    <xf numFmtId="0" fontId="5" fillId="0" borderId="0" xfId="0" applyFont="1" applyFill="1" applyBorder="1" applyAlignment="1">
      <alignment horizontal="right" wrapText="1"/>
    </xf>
    <xf numFmtId="0" fontId="18" fillId="0" borderId="0" xfId="0" applyFont="1" applyFill="1" applyBorder="1" applyAlignment="1">
      <alignment vertical="center"/>
    </xf>
    <xf numFmtId="0" fontId="8" fillId="0" borderId="7" xfId="0" applyFont="1" applyFill="1" applyBorder="1" applyAlignment="1">
      <alignment horizontal="left" vertical="center"/>
    </xf>
    <xf numFmtId="0" fontId="7" fillId="0" borderId="8" xfId="0" applyFont="1" applyFill="1" applyBorder="1" applyAlignment="1">
      <alignment horizontal="left" vertical="center"/>
    </xf>
    <xf numFmtId="0" fontId="14" fillId="0" borderId="0" xfId="0" applyFont="1" applyAlignment="1">
      <alignment vertical="center"/>
    </xf>
    <xf numFmtId="0" fontId="16" fillId="0" borderId="18" xfId="0" applyFont="1" applyFill="1" applyBorder="1" applyAlignment="1">
      <alignment horizontal="center" vertical="center"/>
    </xf>
    <xf numFmtId="166" fontId="8" fillId="0" borderId="13" xfId="0" applyNumberFormat="1" applyFont="1" applyFill="1" applyBorder="1" applyAlignment="1">
      <alignment horizontal="left" vertical="center"/>
    </xf>
    <xf numFmtId="0" fontId="3" fillId="0" borderId="3" xfId="16" applyFont="1" applyFill="1" applyBorder="1" applyAlignment="1">
      <alignment vertical="top"/>
    </xf>
    <xf numFmtId="0" fontId="3" fillId="0" borderId="1" xfId="16" applyFont="1" applyFill="1" applyBorder="1" applyAlignment="1">
      <alignment vertical="top" wrapText="1"/>
    </xf>
    <xf numFmtId="0" fontId="3" fillId="0" borderId="14" xfId="16" applyFont="1" applyFill="1" applyBorder="1" applyAlignment="1">
      <alignment horizontal="center" vertical="top"/>
    </xf>
    <xf numFmtId="14" fontId="6" fillId="0" borderId="0" xfId="0" applyNumberFormat="1" applyFont="1" applyFill="1" applyBorder="1" applyAlignment="1">
      <alignment horizontal="center" vertical="center"/>
    </xf>
    <xf numFmtId="0" fontId="8" fillId="0" borderId="0" xfId="0" applyFont="1" applyFill="1" applyBorder="1" applyAlignment="1">
      <alignment horizontal="right" vertical="center"/>
    </xf>
    <xf numFmtId="168" fontId="8" fillId="0" borderId="0" xfId="0" applyNumberFormat="1" applyFont="1" applyFill="1" applyBorder="1" applyAlignment="1">
      <alignment horizontal="left" vertical="center"/>
    </xf>
    <xf numFmtId="0" fontId="14" fillId="0" borderId="0" xfId="0" applyFont="1" applyFill="1" applyAlignment="1">
      <alignment vertical="center"/>
    </xf>
    <xf numFmtId="0" fontId="3" fillId="0" borderId="11" xfId="16" applyFont="1" applyFill="1" applyBorder="1" applyAlignment="1">
      <alignment vertical="top"/>
    </xf>
    <xf numFmtId="0" fontId="3" fillId="0" borderId="12" xfId="16" applyFont="1" applyFill="1" applyBorder="1" applyAlignment="1">
      <alignment vertical="top" wrapText="1"/>
    </xf>
    <xf numFmtId="0" fontId="3" fillId="0" borderId="15" xfId="16" applyFont="1" applyFill="1" applyBorder="1" applyAlignment="1">
      <alignment horizontal="center" vertical="top"/>
    </xf>
    <xf numFmtId="0" fontId="16" fillId="0" borderId="0" xfId="0" applyFont="1" applyFill="1" applyBorder="1" applyAlignment="1">
      <alignment vertical="center"/>
    </xf>
    <xf numFmtId="0" fontId="7" fillId="0" borderId="0" xfId="0" applyFont="1" applyBorder="1" applyAlignment="1">
      <alignment horizontal="left"/>
    </xf>
    <xf numFmtId="168" fontId="8" fillId="0" borderId="1" xfId="0" applyNumberFormat="1" applyFont="1" applyFill="1" applyBorder="1" applyAlignment="1">
      <alignment horizontal="left" vertical="center"/>
    </xf>
    <xf numFmtId="168" fontId="8" fillId="0" borderId="9" xfId="0" applyNumberFormat="1" applyFont="1" applyFill="1" applyBorder="1" applyAlignment="1">
      <alignment horizontal="left" vertical="center" wrapText="1"/>
    </xf>
    <xf numFmtId="168" fontId="8" fillId="0" borderId="28" xfId="0" applyNumberFormat="1" applyFont="1" applyFill="1" applyBorder="1" applyAlignment="1">
      <alignment horizontal="left" vertical="center" wrapText="1"/>
    </xf>
    <xf numFmtId="168" fontId="8" fillId="0" borderId="16" xfId="0" applyNumberFormat="1" applyFont="1" applyFill="1" applyBorder="1" applyAlignment="1">
      <alignment horizontal="left" vertical="center" wrapText="1"/>
    </xf>
    <xf numFmtId="0" fontId="7" fillId="0" borderId="1" xfId="0" applyFont="1" applyBorder="1" applyAlignment="1">
      <alignment horizontal="left" vertical="center"/>
    </xf>
    <xf numFmtId="168" fontId="8" fillId="0" borderId="9" xfId="0" applyNumberFormat="1" applyFont="1" applyFill="1" applyBorder="1" applyAlignment="1">
      <alignment horizontal="left" vertical="center"/>
    </xf>
    <xf numFmtId="168" fontId="8" fillId="0" borderId="28" xfId="0" applyNumberFormat="1" applyFont="1" applyFill="1" applyBorder="1" applyAlignment="1">
      <alignment horizontal="left" vertical="center"/>
    </xf>
    <xf numFmtId="168" fontId="8" fillId="0" borderId="16" xfId="0" applyNumberFormat="1" applyFont="1" applyFill="1" applyBorder="1" applyAlignment="1">
      <alignment horizontal="left" vertical="center"/>
    </xf>
    <xf numFmtId="0" fontId="8" fillId="0" borderId="1" xfId="0" applyFont="1" applyBorder="1" applyAlignment="1">
      <alignment vertical="center" wrapText="1"/>
    </xf>
    <xf numFmtId="0" fontId="7" fillId="0" borderId="1" xfId="0" applyFont="1" applyBorder="1" applyAlignment="1">
      <alignment vertical="center"/>
    </xf>
    <xf numFmtId="168" fontId="11" fillId="0" borderId="10" xfId="7" applyNumberFormat="1" applyFont="1" applyBorder="1" applyAlignment="1">
      <alignment horizontal="center" vertical="center" wrapText="1"/>
    </xf>
    <xf numFmtId="168" fontId="11" fillId="0" borderId="13" xfId="0" applyNumberFormat="1" applyFont="1" applyBorder="1" applyAlignment="1">
      <alignment horizontal="center" vertical="center" wrapText="1"/>
    </xf>
    <xf numFmtId="168" fontId="11" fillId="0" borderId="2" xfId="0" applyNumberFormat="1" applyFont="1" applyBorder="1" applyAlignment="1">
      <alignment horizontal="center" vertical="center" wrapText="1"/>
    </xf>
    <xf numFmtId="0" fontId="8" fillId="0" borderId="1" xfId="0" applyFont="1" applyBorder="1" applyAlignment="1">
      <alignment vertical="center"/>
    </xf>
    <xf numFmtId="0" fontId="7" fillId="0" borderId="1" xfId="0" applyFont="1" applyBorder="1" applyAlignment="1">
      <alignment horizontal="center" vertical="center" wrapText="1"/>
    </xf>
    <xf numFmtId="0" fontId="7" fillId="0" borderId="10" xfId="0" applyFont="1" applyBorder="1" applyAlignment="1">
      <alignment horizontal="left" vertical="center" wrapText="1"/>
    </xf>
    <xf numFmtId="0" fontId="7" fillId="0" borderId="10"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Border="1" applyAlignment="1">
      <alignment horizontal="left" vertical="center"/>
    </xf>
    <xf numFmtId="0" fontId="8" fillId="0" borderId="18" xfId="0" applyFont="1" applyFill="1" applyBorder="1" applyAlignment="1">
      <alignment vertical="center" wrapText="1"/>
    </xf>
    <xf numFmtId="0" fontId="8" fillId="0" borderId="0" xfId="0" applyFont="1" applyFill="1" applyBorder="1" applyAlignment="1">
      <alignment vertical="center" wrapText="1"/>
    </xf>
    <xf numFmtId="0" fontId="6" fillId="0" borderId="0" xfId="0" applyFont="1" applyAlignment="1"/>
    <xf numFmtId="0" fontId="6" fillId="0" borderId="19" xfId="19" applyFont="1" applyFill="1" applyBorder="1" applyAlignment="1">
      <alignment horizontal="center" vertical="center"/>
    </xf>
    <xf numFmtId="0" fontId="6" fillId="0" borderId="20" xfId="19" applyFont="1" applyFill="1" applyBorder="1" applyAlignment="1">
      <alignment horizontal="center" vertical="center"/>
    </xf>
    <xf numFmtId="0" fontId="6" fillId="0" borderId="21" xfId="19" applyFont="1" applyFill="1" applyBorder="1" applyAlignment="1">
      <alignment horizontal="center" vertical="center"/>
    </xf>
    <xf numFmtId="0" fontId="6" fillId="0" borderId="24" xfId="4" applyFont="1" applyBorder="1" applyAlignment="1">
      <alignment horizontal="center" vertical="center"/>
    </xf>
    <xf numFmtId="0" fontId="6" fillId="0" borderId="25" xfId="4" applyFont="1" applyBorder="1" applyAlignment="1">
      <alignment horizontal="center" vertical="center"/>
    </xf>
    <xf numFmtId="0" fontId="6" fillId="0" borderId="26" xfId="4" applyFont="1" applyBorder="1" applyAlignment="1">
      <alignment horizontal="center" vertical="center"/>
    </xf>
  </cellXfs>
  <cellStyles count="20">
    <cellStyle name="Comma" xfId="1" builtinId="3"/>
    <cellStyle name="Comma 2" xfId="2"/>
    <cellStyle name="Comma 2 2" xfId="9"/>
    <cellStyle name="Comma 3" xfId="8"/>
    <cellStyle name="Currency 2" xfId="10"/>
    <cellStyle name="Normal" xfId="0" builtinId="0"/>
    <cellStyle name="Normal 10 2" xfId="18"/>
    <cellStyle name="Normal 2" xfId="3"/>
    <cellStyle name="Normal 2 2" xfId="4"/>
    <cellStyle name="Normal 2 2 2" xfId="19"/>
    <cellStyle name="Normal 2 3" xfId="11"/>
    <cellStyle name="Normal 3" xfId="14"/>
    <cellStyle name="Normal 3 7" xfId="16"/>
    <cellStyle name="Normal 4" xfId="15"/>
    <cellStyle name="Normal 4 3" xfId="5"/>
    <cellStyle name="Normal 6" xfId="6"/>
    <cellStyle name="Normal 6 2" xfId="12"/>
    <cellStyle name="Normal 6 7" xfId="17"/>
    <cellStyle name="Percent" xfId="7" builtinId="5"/>
    <cellStyle name="Percent 2"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96"/>
  <sheetViews>
    <sheetView tabSelected="1" zoomScale="80" zoomScaleNormal="80" zoomScaleSheetLayoutView="75" workbookViewId="0"/>
  </sheetViews>
  <sheetFormatPr defaultColWidth="30.7109375" defaultRowHeight="12.75" x14ac:dyDescent="0.2"/>
  <cols>
    <col min="1" max="1" width="60" customWidth="1"/>
    <col min="2" max="7" width="16.7109375" style="1" customWidth="1"/>
    <col min="8" max="8" width="16.7109375" customWidth="1"/>
    <col min="9" max="9" width="17.7109375" customWidth="1"/>
    <col min="10" max="16" width="18.7109375" customWidth="1"/>
  </cols>
  <sheetData>
    <row r="1" spans="1:18" ht="24.95" customHeight="1" x14ac:dyDescent="0.25">
      <c r="A1" s="117" t="s">
        <v>95</v>
      </c>
      <c r="B1" s="117"/>
      <c r="C1" s="117"/>
      <c r="D1" s="117"/>
      <c r="E1" s="74" t="s">
        <v>174</v>
      </c>
      <c r="F1" s="117"/>
      <c r="G1" s="173">
        <v>42878</v>
      </c>
      <c r="H1" s="74" t="s">
        <v>12</v>
      </c>
      <c r="I1" s="181" t="s">
        <v>12</v>
      </c>
      <c r="J1" s="112" t="s">
        <v>12</v>
      </c>
    </row>
    <row r="2" spans="1:18" ht="5.0999999999999996" customHeight="1" x14ac:dyDescent="0.2">
      <c r="A2" s="130" t="s">
        <v>12</v>
      </c>
      <c r="B2" s="112"/>
      <c r="C2" s="112"/>
      <c r="D2" s="112"/>
      <c r="E2" s="112"/>
      <c r="F2" s="112"/>
      <c r="G2" s="112"/>
      <c r="H2" s="112"/>
      <c r="I2" s="112"/>
      <c r="J2" s="112"/>
      <c r="K2" s="112"/>
      <c r="L2" s="112"/>
      <c r="M2" s="112"/>
      <c r="N2" s="112"/>
    </row>
    <row r="3" spans="1:18" ht="20.100000000000001" customHeight="1" x14ac:dyDescent="0.25">
      <c r="A3" s="118" t="s">
        <v>12</v>
      </c>
      <c r="B3" s="122" t="s">
        <v>13</v>
      </c>
      <c r="C3" s="191" t="s">
        <v>41</v>
      </c>
      <c r="D3" s="191"/>
      <c r="E3" s="191"/>
      <c r="F3" s="191"/>
      <c r="G3" s="191"/>
      <c r="H3" s="191"/>
      <c r="I3" s="191"/>
      <c r="J3" s="191"/>
      <c r="K3" s="191"/>
      <c r="L3" s="191"/>
      <c r="M3" s="191"/>
      <c r="N3" s="191"/>
      <c r="O3" s="191"/>
      <c r="P3" s="191"/>
    </row>
    <row r="4" spans="1:18" ht="20.100000000000001" customHeight="1" x14ac:dyDescent="0.2">
      <c r="A4" s="16" t="s">
        <v>35</v>
      </c>
      <c r="B4" s="123">
        <v>0.16600000000000001</v>
      </c>
      <c r="C4" s="195" t="s">
        <v>102</v>
      </c>
      <c r="D4" s="195"/>
      <c r="E4" s="195"/>
      <c r="F4" s="195"/>
      <c r="G4" s="195"/>
      <c r="H4" s="195"/>
      <c r="I4" s="195"/>
      <c r="J4" s="195"/>
      <c r="K4" s="195"/>
      <c r="L4" s="195"/>
      <c r="M4" s="195"/>
      <c r="N4" s="195"/>
      <c r="O4" s="195"/>
      <c r="P4" s="195"/>
    </row>
    <row r="5" spans="1:18" ht="20.100000000000001" customHeight="1" x14ac:dyDescent="0.2">
      <c r="A5" s="16" t="s">
        <v>36</v>
      </c>
      <c r="B5" s="124">
        <v>6.59E-2</v>
      </c>
      <c r="C5" s="195" t="s">
        <v>102</v>
      </c>
      <c r="D5" s="195"/>
      <c r="E5" s="195"/>
      <c r="F5" s="195"/>
      <c r="G5" s="195"/>
      <c r="H5" s="195"/>
      <c r="I5" s="195"/>
      <c r="J5" s="195"/>
      <c r="K5" s="195"/>
      <c r="L5" s="195"/>
      <c r="M5" s="195"/>
      <c r="N5" s="195"/>
      <c r="O5" s="195"/>
      <c r="P5" s="195"/>
    </row>
    <row r="6" spans="1:18" ht="20.100000000000001" customHeight="1" x14ac:dyDescent="0.2">
      <c r="A6" s="16" t="s">
        <v>37</v>
      </c>
      <c r="B6" s="125">
        <v>1.0891999999999999</v>
      </c>
      <c r="C6" s="195" t="s">
        <v>102</v>
      </c>
      <c r="D6" s="195"/>
      <c r="E6" s="195"/>
      <c r="F6" s="195"/>
      <c r="G6" s="195"/>
      <c r="H6" s="195"/>
      <c r="I6" s="195"/>
      <c r="J6" s="195"/>
      <c r="K6" s="195"/>
      <c r="L6" s="195"/>
      <c r="M6" s="195"/>
      <c r="N6" s="195"/>
      <c r="O6" s="195"/>
      <c r="P6" s="195"/>
    </row>
    <row r="7" spans="1:18" ht="20.100000000000001" customHeight="1" x14ac:dyDescent="0.2">
      <c r="A7" s="16" t="s">
        <v>38</v>
      </c>
      <c r="B7" s="126">
        <v>153915</v>
      </c>
      <c r="C7" s="195" t="s">
        <v>103</v>
      </c>
      <c r="D7" s="195"/>
      <c r="E7" s="195"/>
      <c r="F7" s="195"/>
      <c r="G7" s="195"/>
      <c r="H7" s="195"/>
      <c r="I7" s="195"/>
      <c r="J7" s="195"/>
      <c r="K7" s="195"/>
      <c r="L7" s="195"/>
      <c r="M7" s="195"/>
      <c r="N7" s="195"/>
      <c r="O7" s="195"/>
      <c r="P7" s="195"/>
    </row>
    <row r="8" spans="1:18" ht="20.100000000000001" customHeight="1" x14ac:dyDescent="0.2">
      <c r="A8" s="47" t="s">
        <v>12</v>
      </c>
      <c r="B8" s="48" t="s">
        <v>12</v>
      </c>
      <c r="C8" s="196" t="s">
        <v>92</v>
      </c>
      <c r="D8" s="196"/>
      <c r="E8" s="196"/>
      <c r="F8" s="196"/>
      <c r="G8" s="196"/>
      <c r="H8" s="196"/>
      <c r="I8" s="196"/>
      <c r="J8" s="196"/>
      <c r="K8" s="196"/>
      <c r="L8" s="196"/>
      <c r="M8" s="196"/>
      <c r="N8" s="196"/>
      <c r="O8" s="196"/>
      <c r="P8" s="196"/>
    </row>
    <row r="9" spans="1:18" ht="30" customHeight="1" x14ac:dyDescent="0.2">
      <c r="A9" s="22" t="s">
        <v>12</v>
      </c>
      <c r="B9" s="19" t="s">
        <v>13</v>
      </c>
      <c r="C9" s="19" t="s">
        <v>17</v>
      </c>
      <c r="D9" s="19" t="s">
        <v>16</v>
      </c>
      <c r="E9" s="19" t="s">
        <v>14</v>
      </c>
      <c r="F9" s="19" t="s">
        <v>8</v>
      </c>
      <c r="G9" s="19" t="s">
        <v>42</v>
      </c>
      <c r="H9" s="19" t="s">
        <v>43</v>
      </c>
      <c r="I9" s="19" t="s">
        <v>7</v>
      </c>
      <c r="J9" s="17" t="s">
        <v>49</v>
      </c>
      <c r="K9" s="17" t="s">
        <v>71</v>
      </c>
      <c r="L9" s="41" t="s">
        <v>18</v>
      </c>
      <c r="M9" s="41" t="s">
        <v>3</v>
      </c>
      <c r="N9" s="41" t="s">
        <v>75</v>
      </c>
      <c r="O9" s="41" t="s">
        <v>19</v>
      </c>
      <c r="P9" s="41" t="s">
        <v>63</v>
      </c>
      <c r="Q9" s="168" t="s">
        <v>12</v>
      </c>
      <c r="R9" s="61"/>
    </row>
    <row r="10" spans="1:18" ht="19.899999999999999" customHeight="1" x14ac:dyDescent="0.2">
      <c r="A10" s="20" t="s">
        <v>9</v>
      </c>
      <c r="B10" s="12" t="s">
        <v>24</v>
      </c>
      <c r="C10" s="12">
        <f>B73</f>
        <v>-7000</v>
      </c>
      <c r="D10" s="58">
        <f>B70</f>
        <v>3650</v>
      </c>
      <c r="E10" s="58">
        <f>B71</f>
        <v>2900</v>
      </c>
      <c r="F10" s="58">
        <f>B67</f>
        <v>5900</v>
      </c>
      <c r="G10" s="58">
        <f>B68</f>
        <v>2620</v>
      </c>
      <c r="H10" s="58">
        <f>B59</f>
        <v>1230</v>
      </c>
      <c r="I10" s="58">
        <f>B65</f>
        <v>1540</v>
      </c>
      <c r="J10" s="58">
        <f>B50</f>
        <v>4660</v>
      </c>
      <c r="K10" s="58">
        <f>B51</f>
        <v>3540</v>
      </c>
      <c r="L10" s="58">
        <f>B53</f>
        <v>640</v>
      </c>
      <c r="M10" s="58">
        <f>B52</f>
        <v>4410</v>
      </c>
      <c r="N10" s="58">
        <f>B66</f>
        <v>-1010</v>
      </c>
      <c r="O10" s="58">
        <f>B54</f>
        <v>2550</v>
      </c>
      <c r="P10" s="58">
        <f>B55</f>
        <v>3650</v>
      </c>
    </row>
    <row r="11" spans="1:18" ht="19.899999999999999" customHeight="1" x14ac:dyDescent="0.2">
      <c r="A11" s="20" t="s">
        <v>11</v>
      </c>
      <c r="B11" s="12" t="s">
        <v>24</v>
      </c>
      <c r="C11" s="12">
        <f>C73</f>
        <v>4218</v>
      </c>
      <c r="D11" s="58">
        <f>C70</f>
        <v>8800</v>
      </c>
      <c r="E11" s="58">
        <f>C71</f>
        <v>9802</v>
      </c>
      <c r="F11" s="58">
        <f>C67</f>
        <v>8001</v>
      </c>
      <c r="G11" s="58">
        <f>C68</f>
        <v>4264</v>
      </c>
      <c r="H11" s="58">
        <f>C59</f>
        <v>1872</v>
      </c>
      <c r="I11" s="58">
        <f>C65</f>
        <v>7625</v>
      </c>
      <c r="J11" s="58">
        <f>C50</f>
        <v>9889</v>
      </c>
      <c r="K11" s="58">
        <f>C51</f>
        <v>5605</v>
      </c>
      <c r="L11" s="58">
        <f>C53</f>
        <v>4064</v>
      </c>
      <c r="M11" s="58">
        <f>C52</f>
        <v>6244</v>
      </c>
      <c r="N11" s="58">
        <f>C66</f>
        <v>7084</v>
      </c>
      <c r="O11" s="58">
        <f>C54</f>
        <v>3401</v>
      </c>
      <c r="P11" s="58">
        <f>C55</f>
        <v>5072</v>
      </c>
    </row>
    <row r="12" spans="1:18" ht="19.899999999999999" customHeight="1" x14ac:dyDescent="0.2">
      <c r="A12" s="21" t="s">
        <v>10</v>
      </c>
      <c r="B12" s="12">
        <f>ROUND((B7*B6),1)</f>
        <v>167644.20000000001</v>
      </c>
      <c r="C12" s="12">
        <v>66385</v>
      </c>
      <c r="D12" s="27">
        <v>36921</v>
      </c>
      <c r="E12" s="27">
        <v>15486</v>
      </c>
      <c r="F12" s="27">
        <v>11797</v>
      </c>
      <c r="G12" s="27">
        <v>6023</v>
      </c>
      <c r="H12" s="27">
        <v>2999</v>
      </c>
      <c r="I12" s="27">
        <v>7978</v>
      </c>
      <c r="J12" s="27">
        <v>15610</v>
      </c>
      <c r="K12" s="27">
        <v>5865</v>
      </c>
      <c r="L12" s="27">
        <v>26224</v>
      </c>
      <c r="M12" s="27">
        <v>8132</v>
      </c>
      <c r="N12" s="27">
        <v>9829</v>
      </c>
      <c r="O12" s="27">
        <v>4027</v>
      </c>
      <c r="P12" s="27">
        <v>7500</v>
      </c>
    </row>
    <row r="13" spans="1:18" ht="19.899999999999999" customHeight="1" x14ac:dyDescent="0.2">
      <c r="A13" s="20" t="s">
        <v>180</v>
      </c>
      <c r="B13" s="58">
        <f>H46</f>
        <v>12200.6</v>
      </c>
      <c r="C13" s="56">
        <f>H73</f>
        <v>0</v>
      </c>
      <c r="D13" s="56">
        <f>H70</f>
        <v>0</v>
      </c>
      <c r="E13" s="56">
        <f>H71</f>
        <v>0</v>
      </c>
      <c r="F13" s="56">
        <f>H67</f>
        <v>0</v>
      </c>
      <c r="G13" s="56">
        <f>H68</f>
        <v>0</v>
      </c>
      <c r="H13" s="56">
        <f>H59</f>
        <v>0</v>
      </c>
      <c r="I13" s="56">
        <f>H65</f>
        <v>0</v>
      </c>
      <c r="J13" s="56">
        <f>H50</f>
        <v>0</v>
      </c>
      <c r="K13" s="56">
        <f>H51</f>
        <v>0</v>
      </c>
      <c r="L13" s="58">
        <f>H53</f>
        <v>0</v>
      </c>
      <c r="M13" s="56">
        <f>H52</f>
        <v>0</v>
      </c>
      <c r="N13" s="56">
        <f>H66</f>
        <v>0</v>
      </c>
      <c r="O13" s="56">
        <f>H54</f>
        <v>0</v>
      </c>
      <c r="P13" s="58">
        <f>H55</f>
        <v>875.5</v>
      </c>
    </row>
    <row r="14" spans="1:18" ht="19.899999999999999" customHeight="1" x14ac:dyDescent="0.2">
      <c r="A14" s="20" t="s">
        <v>44</v>
      </c>
      <c r="B14" s="58">
        <f>ROUND(B13*$B$6,1)</f>
        <v>13288.9</v>
      </c>
      <c r="C14" s="56">
        <f t="shared" ref="C14:I14" si="0">ROUND(C13*$B$6,1)</f>
        <v>0</v>
      </c>
      <c r="D14" s="56">
        <f t="shared" si="0"/>
        <v>0</v>
      </c>
      <c r="E14" s="56">
        <f t="shared" si="0"/>
        <v>0</v>
      </c>
      <c r="F14" s="56">
        <f t="shared" si="0"/>
        <v>0</v>
      </c>
      <c r="G14" s="56">
        <f t="shared" si="0"/>
        <v>0</v>
      </c>
      <c r="H14" s="56">
        <f t="shared" si="0"/>
        <v>0</v>
      </c>
      <c r="I14" s="56">
        <f t="shared" si="0"/>
        <v>0</v>
      </c>
      <c r="J14" s="56">
        <f>ROUND(J13*$B$6,1)</f>
        <v>0</v>
      </c>
      <c r="K14" s="56">
        <f>ROUND(K13*$B$6,1)</f>
        <v>0</v>
      </c>
      <c r="L14" s="58">
        <f>ROUND(L13*$B$6,1)</f>
        <v>0</v>
      </c>
      <c r="M14" s="56">
        <f>ROUND(M13*$B$6,1)</f>
        <v>0</v>
      </c>
      <c r="N14" s="56">
        <f>ROUND(N13*$B$6,1)</f>
        <v>0</v>
      </c>
      <c r="O14" s="56">
        <f t="shared" ref="O14" si="1">ROUND(O13*$B$6,1)</f>
        <v>0</v>
      </c>
      <c r="P14" s="58">
        <f>ROUND(P13*$B$6,1)</f>
        <v>953.6</v>
      </c>
    </row>
    <row r="15" spans="1:18" ht="19.899999999999999" customHeight="1" x14ac:dyDescent="0.2">
      <c r="A15" s="73" t="s">
        <v>182</v>
      </c>
      <c r="B15" s="39">
        <f>B12-B14</f>
        <v>154355.30000000002</v>
      </c>
      <c r="C15" s="39">
        <f t="shared" ref="C15:N15" si="2">C12-C14</f>
        <v>66385</v>
      </c>
      <c r="D15" s="39">
        <f t="shared" si="2"/>
        <v>36921</v>
      </c>
      <c r="E15" s="39">
        <f t="shared" si="2"/>
        <v>15486</v>
      </c>
      <c r="F15" s="39">
        <f t="shared" si="2"/>
        <v>11797</v>
      </c>
      <c r="G15" s="39">
        <f t="shared" si="2"/>
        <v>6023</v>
      </c>
      <c r="H15" s="39">
        <f t="shared" si="2"/>
        <v>2999</v>
      </c>
      <c r="I15" s="39">
        <f t="shared" si="2"/>
        <v>7978</v>
      </c>
      <c r="J15" s="39">
        <f t="shared" si="2"/>
        <v>15610</v>
      </c>
      <c r="K15" s="39">
        <f t="shared" si="2"/>
        <v>5865</v>
      </c>
      <c r="L15" s="39">
        <f t="shared" si="2"/>
        <v>26224</v>
      </c>
      <c r="M15" s="39">
        <f t="shared" si="2"/>
        <v>8132</v>
      </c>
      <c r="N15" s="39">
        <f t="shared" si="2"/>
        <v>9829</v>
      </c>
      <c r="O15" s="39">
        <f t="shared" ref="O15" si="3">O12-O14</f>
        <v>4027</v>
      </c>
      <c r="P15" s="39">
        <f>P12-(P14*P42)</f>
        <v>7102.3487999999998</v>
      </c>
    </row>
    <row r="16" spans="1:18" ht="19.899999999999999" customHeight="1" x14ac:dyDescent="0.2">
      <c r="A16" s="44" t="s">
        <v>104</v>
      </c>
      <c r="B16" s="11">
        <f>'Net CONE'!E38</f>
        <v>394.43</v>
      </c>
      <c r="C16" s="11">
        <f>'Net CONE'!E27</f>
        <v>394.55</v>
      </c>
      <c r="D16" s="11">
        <f>'Net CONE'!E18</f>
        <v>393.93</v>
      </c>
      <c r="E16" s="11">
        <f>'Net CONE'!E22</f>
        <v>401.04</v>
      </c>
      <c r="F16" s="11">
        <f>'Net CONE'!E16</f>
        <v>393.93</v>
      </c>
      <c r="G16" s="11">
        <f>'Net CONE'!E16</f>
        <v>393.93</v>
      </c>
      <c r="H16" s="11">
        <f>'Net CONE'!E13</f>
        <v>393.93</v>
      </c>
      <c r="I16" s="11">
        <f>'Net CONE'!E21</f>
        <v>401.04</v>
      </c>
      <c r="J16" s="11">
        <f>'Net CONE'!E31</f>
        <v>391.3</v>
      </c>
      <c r="K16" s="11">
        <f>'Net CONE'!E31</f>
        <v>391.3</v>
      </c>
      <c r="L16" s="11">
        <f>'Net CONE'!E32</f>
        <v>391.3</v>
      </c>
      <c r="M16" s="11">
        <f>'Net CONE'!E20</f>
        <v>401.04</v>
      </c>
      <c r="N16" s="11">
        <f>'Net CONE'!E26</f>
        <v>391.45</v>
      </c>
      <c r="O16" s="11">
        <f>'Net CONE'!E33</f>
        <v>391.3</v>
      </c>
      <c r="P16" s="11">
        <f>'Net CONE'!E34</f>
        <v>391.3</v>
      </c>
    </row>
    <row r="17" spans="1:18" ht="19.899999999999999" customHeight="1" x14ac:dyDescent="0.2">
      <c r="A17" s="43" t="s">
        <v>45</v>
      </c>
      <c r="B17" s="15">
        <f>'Net CONE'!I38</f>
        <v>292.95</v>
      </c>
      <c r="C17" s="15">
        <f>'Net CONE'!I27</f>
        <v>252.4</v>
      </c>
      <c r="D17" s="15">
        <f>'Net CONE'!I18</f>
        <v>283.10000000000002</v>
      </c>
      <c r="E17" s="15">
        <f>'Net CONE'!I22</f>
        <v>202.43</v>
      </c>
      <c r="F17" s="15">
        <f>'Net CONE'!I16</f>
        <v>306.92</v>
      </c>
      <c r="G17" s="15">
        <f>'Net CONE'!I16</f>
        <v>306.92</v>
      </c>
      <c r="H17" s="15">
        <f>'Net CONE'!I13</f>
        <v>254.97</v>
      </c>
      <c r="I17" s="15">
        <f>'Net CONE'!I21</f>
        <v>226.53</v>
      </c>
      <c r="J17" s="15">
        <f>'Net CONE'!I31</f>
        <v>261.17</v>
      </c>
      <c r="K17" s="15">
        <f>'Net CONE'!I31</f>
        <v>261.17</v>
      </c>
      <c r="L17" s="15">
        <f>'Net CONE'!I32</f>
        <v>329.81</v>
      </c>
      <c r="M17" s="15">
        <f>'Net CONE'!I20</f>
        <v>178.33</v>
      </c>
      <c r="N17" s="15">
        <f>'Net CONE'!I26</f>
        <v>267.33</v>
      </c>
      <c r="O17" s="15">
        <f>'Net CONE'!I33</f>
        <v>273.14</v>
      </c>
      <c r="P17" s="15">
        <f>'Net CONE'!I34</f>
        <v>282.45999999999998</v>
      </c>
    </row>
    <row r="18" spans="1:18" ht="19.899999999999999" customHeight="1" x14ac:dyDescent="0.2">
      <c r="A18" s="72" t="s">
        <v>186</v>
      </c>
      <c r="B18" s="13">
        <v>2432.8000000000002</v>
      </c>
      <c r="C18" s="13">
        <v>775.3</v>
      </c>
      <c r="D18" s="13">
        <v>416.9</v>
      </c>
      <c r="E18" s="13">
        <v>273</v>
      </c>
      <c r="F18" s="13">
        <v>127.9</v>
      </c>
      <c r="G18" s="13">
        <v>25.5</v>
      </c>
      <c r="H18" s="13">
        <v>11</v>
      </c>
      <c r="I18" s="13">
        <v>95</v>
      </c>
      <c r="J18" s="13">
        <v>47.2</v>
      </c>
      <c r="K18" s="13">
        <v>0.6</v>
      </c>
      <c r="L18" s="13">
        <v>830.3</v>
      </c>
      <c r="M18" s="13">
        <v>178</v>
      </c>
      <c r="N18" s="13">
        <v>49.1</v>
      </c>
      <c r="O18" s="13">
        <v>47.1</v>
      </c>
      <c r="P18" s="31">
        <v>84.4</v>
      </c>
    </row>
    <row r="19" spans="1:18" ht="19.899999999999999" customHeight="1" thickBot="1" x14ac:dyDescent="0.25">
      <c r="A19" s="197" t="s">
        <v>46</v>
      </c>
      <c r="B19" s="197"/>
      <c r="C19" s="197"/>
      <c r="D19" s="197"/>
      <c r="E19" s="197"/>
      <c r="F19" s="197"/>
      <c r="G19" s="197"/>
      <c r="H19" s="197"/>
      <c r="I19" s="197"/>
      <c r="J19" s="197"/>
      <c r="K19" s="197"/>
      <c r="L19" s="197"/>
      <c r="M19" s="197"/>
      <c r="N19" s="197"/>
      <c r="O19" s="197"/>
      <c r="P19" s="197"/>
    </row>
    <row r="20" spans="1:18" ht="19.899999999999999" customHeight="1" x14ac:dyDescent="0.2">
      <c r="A20" s="142" t="s">
        <v>25</v>
      </c>
      <c r="B20" s="143">
        <f>ROUND(MAX(B16,1.5*B17),2)</f>
        <v>439.43</v>
      </c>
      <c r="C20" s="143">
        <f t="shared" ref="C20:N20" si="4">ROUND(MAX(C16,1.5*C17),2)</f>
        <v>394.55</v>
      </c>
      <c r="D20" s="143">
        <f t="shared" si="4"/>
        <v>424.65</v>
      </c>
      <c r="E20" s="143">
        <f t="shared" si="4"/>
        <v>401.04</v>
      </c>
      <c r="F20" s="143">
        <f t="shared" si="4"/>
        <v>460.38</v>
      </c>
      <c r="G20" s="143">
        <f t="shared" si="4"/>
        <v>460.38</v>
      </c>
      <c r="H20" s="143">
        <f t="shared" si="4"/>
        <v>393.93</v>
      </c>
      <c r="I20" s="143">
        <f t="shared" si="4"/>
        <v>401.04</v>
      </c>
      <c r="J20" s="143">
        <f t="shared" si="4"/>
        <v>391.76</v>
      </c>
      <c r="K20" s="143">
        <f t="shared" si="4"/>
        <v>391.76</v>
      </c>
      <c r="L20" s="143">
        <f t="shared" si="4"/>
        <v>494.72</v>
      </c>
      <c r="M20" s="143">
        <f t="shared" si="4"/>
        <v>401.04</v>
      </c>
      <c r="N20" s="143">
        <f t="shared" si="4"/>
        <v>401</v>
      </c>
      <c r="O20" s="143">
        <f>ROUND(MAX(O16,1.5*O17),2)</f>
        <v>409.71</v>
      </c>
      <c r="P20" s="144">
        <f>ROUND(MAX(P16,1.5*P17),2)</f>
        <v>423.69</v>
      </c>
    </row>
    <row r="21" spans="1:18" ht="19.899999999999999" customHeight="1" x14ac:dyDescent="0.2">
      <c r="A21" s="136" t="s">
        <v>26</v>
      </c>
      <c r="B21" s="135">
        <f>ROUND(B$17*0.75,2)</f>
        <v>219.71</v>
      </c>
      <c r="C21" s="135">
        <f t="shared" ref="C21:M21" si="5">ROUND(C$17*0.75,2)</f>
        <v>189.3</v>
      </c>
      <c r="D21" s="135">
        <f t="shared" si="5"/>
        <v>212.33</v>
      </c>
      <c r="E21" s="135">
        <f t="shared" si="5"/>
        <v>151.82</v>
      </c>
      <c r="F21" s="135">
        <f t="shared" si="5"/>
        <v>230.19</v>
      </c>
      <c r="G21" s="135">
        <f t="shared" si="5"/>
        <v>230.19</v>
      </c>
      <c r="H21" s="135">
        <f t="shared" si="5"/>
        <v>191.23</v>
      </c>
      <c r="I21" s="135">
        <f t="shared" si="5"/>
        <v>169.9</v>
      </c>
      <c r="J21" s="135">
        <f t="shared" si="5"/>
        <v>195.88</v>
      </c>
      <c r="K21" s="135">
        <f t="shared" si="5"/>
        <v>195.88</v>
      </c>
      <c r="L21" s="135">
        <f t="shared" si="5"/>
        <v>247.36</v>
      </c>
      <c r="M21" s="135">
        <f t="shared" si="5"/>
        <v>133.75</v>
      </c>
      <c r="N21" s="135">
        <f>ROUND(N$17*0.75,2)</f>
        <v>200.5</v>
      </c>
      <c r="O21" s="135">
        <f>ROUND(O$17*0.75,2)</f>
        <v>204.86</v>
      </c>
      <c r="P21" s="145">
        <f>ROUND(P$17*0.75,2)</f>
        <v>211.85</v>
      </c>
    </row>
    <row r="22" spans="1:18" ht="19.899999999999999" customHeight="1" x14ac:dyDescent="0.2">
      <c r="A22" s="136" t="s">
        <v>27</v>
      </c>
      <c r="B22" s="135">
        <v>0</v>
      </c>
      <c r="C22" s="135">
        <v>0</v>
      </c>
      <c r="D22" s="135">
        <v>0</v>
      </c>
      <c r="E22" s="135">
        <v>0</v>
      </c>
      <c r="F22" s="135">
        <v>0</v>
      </c>
      <c r="G22" s="135">
        <v>0</v>
      </c>
      <c r="H22" s="135">
        <v>0</v>
      </c>
      <c r="I22" s="135">
        <v>0</v>
      </c>
      <c r="J22" s="135">
        <v>0</v>
      </c>
      <c r="K22" s="135">
        <v>0</v>
      </c>
      <c r="L22" s="135">
        <v>0</v>
      </c>
      <c r="M22" s="135">
        <v>0</v>
      </c>
      <c r="N22" s="135">
        <v>0</v>
      </c>
      <c r="O22" s="135">
        <v>0</v>
      </c>
      <c r="P22" s="145">
        <v>0</v>
      </c>
    </row>
    <row r="23" spans="1:18" ht="19.899999999999999" customHeight="1" x14ac:dyDescent="0.2">
      <c r="A23" s="136" t="s">
        <v>28</v>
      </c>
      <c r="B23" s="137">
        <f>ROUND(B$15*(1+$B$4-0.2%)/(1+$B$4),1)+B$18</f>
        <v>156523.29999999999</v>
      </c>
      <c r="C23" s="137">
        <f t="shared" ref="C23:N23" si="6">ROUND(C$15*(1+$B$4-0.2%)/(1+$B$4),1)+C$18</f>
        <v>67046.400000000009</v>
      </c>
      <c r="D23" s="137">
        <f t="shared" si="6"/>
        <v>37274.6</v>
      </c>
      <c r="E23" s="137">
        <f t="shared" si="6"/>
        <v>15732.4</v>
      </c>
      <c r="F23" s="137">
        <f t="shared" si="6"/>
        <v>11904.699999999999</v>
      </c>
      <c r="G23" s="137">
        <f t="shared" si="6"/>
        <v>6038.2</v>
      </c>
      <c r="H23" s="137">
        <f t="shared" si="6"/>
        <v>3004.9</v>
      </c>
      <c r="I23" s="137">
        <f t="shared" si="6"/>
        <v>8059.3</v>
      </c>
      <c r="J23" s="137">
        <f t="shared" si="6"/>
        <v>15630.400000000001</v>
      </c>
      <c r="K23" s="137">
        <f t="shared" si="6"/>
        <v>5855.5</v>
      </c>
      <c r="L23" s="137">
        <f t="shared" si="6"/>
        <v>27009.3</v>
      </c>
      <c r="M23" s="137">
        <f t="shared" si="6"/>
        <v>8296.1</v>
      </c>
      <c r="N23" s="137">
        <f t="shared" si="6"/>
        <v>9861.2000000000007</v>
      </c>
      <c r="O23" s="137">
        <f>ROUND(O$15*(1+$B$4-0.2%)/(1+$B$4),1)+O$18</f>
        <v>4067.2</v>
      </c>
      <c r="P23" s="146">
        <f>ROUND(P$15*(1+$B$4-0.2%)/(1+$B$4),1)+P$18</f>
        <v>7174.5999999999995</v>
      </c>
      <c r="Q23" s="139" t="s">
        <v>12</v>
      </c>
      <c r="R23" s="61"/>
    </row>
    <row r="24" spans="1:18" ht="19.899999999999999" customHeight="1" x14ac:dyDescent="0.2">
      <c r="A24" s="136" t="s">
        <v>29</v>
      </c>
      <c r="B24" s="137">
        <f t="shared" ref="B24:N24" si="7">ROUND(B$15*(1+$B$4+2.9%)/(1+$B$4),1)+B$18</f>
        <v>160627.09999999998</v>
      </c>
      <c r="C24" s="137">
        <f t="shared" si="7"/>
        <v>68811.400000000009</v>
      </c>
      <c r="D24" s="137">
        <f t="shared" si="7"/>
        <v>38256.200000000004</v>
      </c>
      <c r="E24" s="137">
        <f t="shared" si="7"/>
        <v>16144.2</v>
      </c>
      <c r="F24" s="137">
        <f t="shared" si="7"/>
        <v>12218.3</v>
      </c>
      <c r="G24" s="137">
        <f t="shared" si="7"/>
        <v>6198.3</v>
      </c>
      <c r="H24" s="137">
        <f t="shared" si="7"/>
        <v>3084.6</v>
      </c>
      <c r="I24" s="137">
        <f t="shared" si="7"/>
        <v>8271.4</v>
      </c>
      <c r="J24" s="137">
        <f t="shared" si="7"/>
        <v>16045.400000000001</v>
      </c>
      <c r="K24" s="137">
        <f t="shared" si="7"/>
        <v>6011.5</v>
      </c>
      <c r="L24" s="137">
        <f t="shared" si="7"/>
        <v>27706.5</v>
      </c>
      <c r="M24" s="137">
        <f t="shared" si="7"/>
        <v>8512.2999999999993</v>
      </c>
      <c r="N24" s="137">
        <f t="shared" si="7"/>
        <v>10122.6</v>
      </c>
      <c r="O24" s="137">
        <f>ROUND(O$15*(1+$B$4+2.9%)/(1+$B$4),1)+O$18</f>
        <v>4174.3</v>
      </c>
      <c r="P24" s="146">
        <f>ROUND(P$15*(1+$B$4+2.9%)/(1+$B$4),1)+P$18</f>
        <v>7363.4</v>
      </c>
      <c r="Q24" s="139" t="s">
        <v>12</v>
      </c>
      <c r="R24" s="61"/>
    </row>
    <row r="25" spans="1:18" ht="19.899999999999999" customHeight="1" thickBot="1" x14ac:dyDescent="0.25">
      <c r="A25" s="147" t="s">
        <v>30</v>
      </c>
      <c r="B25" s="148">
        <f t="shared" ref="B25:N25" si="8">ROUND(B$15*(1+$B$4+8.8%)/(1+$B$4),1)+B$18</f>
        <v>168437.59999999998</v>
      </c>
      <c r="C25" s="148">
        <f t="shared" si="8"/>
        <v>72170.5</v>
      </c>
      <c r="D25" s="148">
        <f t="shared" si="8"/>
        <v>40124.400000000001</v>
      </c>
      <c r="E25" s="148">
        <f t="shared" si="8"/>
        <v>16927.8</v>
      </c>
      <c r="F25" s="148">
        <f t="shared" si="8"/>
        <v>12815.199999999999</v>
      </c>
      <c r="G25" s="148">
        <f t="shared" si="8"/>
        <v>6503.1</v>
      </c>
      <c r="H25" s="148">
        <f t="shared" si="8"/>
        <v>3236.3</v>
      </c>
      <c r="I25" s="148">
        <f t="shared" si="8"/>
        <v>8675.1</v>
      </c>
      <c r="J25" s="148">
        <f t="shared" si="8"/>
        <v>16835.3</v>
      </c>
      <c r="K25" s="148">
        <f t="shared" si="8"/>
        <v>6308.2000000000007</v>
      </c>
      <c r="L25" s="148">
        <f t="shared" si="8"/>
        <v>29033.5</v>
      </c>
      <c r="M25" s="148">
        <f t="shared" si="8"/>
        <v>8923.7000000000007</v>
      </c>
      <c r="N25" s="148">
        <f t="shared" si="8"/>
        <v>10619.9</v>
      </c>
      <c r="O25" s="148">
        <f>ROUND(O$15*(1+$B$4+8.8%)/(1+$B$4),1)+O$18</f>
        <v>4378</v>
      </c>
      <c r="P25" s="149">
        <f>ROUND(P$15*(1+$B$4+8.8%)/(1+$B$4),1)+P$18</f>
        <v>7722.7999999999993</v>
      </c>
      <c r="Q25" s="139" t="s">
        <v>12</v>
      </c>
      <c r="R25" s="61"/>
    </row>
    <row r="26" spans="1:18" ht="19.899999999999999" customHeight="1" x14ac:dyDescent="0.2">
      <c r="A26" s="140" t="s">
        <v>106</v>
      </c>
      <c r="B26" s="141">
        <f>C26+J26+L26</f>
        <v>558</v>
      </c>
      <c r="C26" s="141">
        <f>D26+E26+N26</f>
        <v>558</v>
      </c>
      <c r="D26" s="141">
        <f>31+H26</f>
        <v>58</v>
      </c>
      <c r="E26" s="141">
        <f>I26+M26</f>
        <v>500</v>
      </c>
      <c r="F26" s="141">
        <v>0</v>
      </c>
      <c r="G26" s="141">
        <v>0</v>
      </c>
      <c r="H26" s="141">
        <v>27</v>
      </c>
      <c r="I26" s="141">
        <v>170</v>
      </c>
      <c r="J26" s="141">
        <v>0</v>
      </c>
      <c r="K26" s="141">
        <v>0</v>
      </c>
      <c r="L26" s="141">
        <v>0</v>
      </c>
      <c r="M26" s="141">
        <v>330</v>
      </c>
      <c r="N26" s="141">
        <v>0</v>
      </c>
      <c r="O26" s="141">
        <v>0</v>
      </c>
      <c r="P26" s="141">
        <v>0</v>
      </c>
    </row>
    <row r="27" spans="1:18" ht="19.899999999999999" customHeight="1" thickBot="1" x14ac:dyDescent="0.25">
      <c r="A27" s="198" t="s">
        <v>168</v>
      </c>
      <c r="B27" s="198"/>
      <c r="C27" s="198"/>
      <c r="D27" s="198"/>
      <c r="E27" s="198"/>
      <c r="F27" s="198"/>
      <c r="G27" s="198"/>
      <c r="H27" s="198"/>
      <c r="I27" s="198"/>
      <c r="J27" s="198"/>
      <c r="K27" s="198"/>
      <c r="L27" s="198"/>
      <c r="M27" s="198"/>
      <c r="N27" s="198"/>
      <c r="O27" s="198"/>
      <c r="P27" s="198"/>
    </row>
    <row r="28" spans="1:18" ht="19.899999999999999" customHeight="1" x14ac:dyDescent="0.2">
      <c r="A28" s="150" t="s">
        <v>162</v>
      </c>
      <c r="B28" s="151">
        <f>B20</f>
        <v>439.43</v>
      </c>
      <c r="C28" s="151">
        <f t="shared" ref="C28:M28" si="9">C20</f>
        <v>394.55</v>
      </c>
      <c r="D28" s="151">
        <f t="shared" si="9"/>
        <v>424.65</v>
      </c>
      <c r="E28" s="151">
        <f t="shared" si="9"/>
        <v>401.04</v>
      </c>
      <c r="F28" s="151" t="s">
        <v>12</v>
      </c>
      <c r="G28" s="151" t="s">
        <v>12</v>
      </c>
      <c r="H28" s="151">
        <f t="shared" si="9"/>
        <v>393.93</v>
      </c>
      <c r="I28" s="151">
        <f t="shared" si="9"/>
        <v>401.04</v>
      </c>
      <c r="J28" s="151" t="s">
        <v>12</v>
      </c>
      <c r="K28" s="151" t="s">
        <v>12</v>
      </c>
      <c r="L28" s="151" t="s">
        <v>12</v>
      </c>
      <c r="M28" s="151">
        <f t="shared" si="9"/>
        <v>401.04</v>
      </c>
      <c r="N28" s="151" t="s">
        <v>12</v>
      </c>
      <c r="O28" s="151" t="s">
        <v>12</v>
      </c>
      <c r="P28" s="152" t="s">
        <v>12</v>
      </c>
    </row>
    <row r="29" spans="1:18" ht="19.899999999999999" customHeight="1" x14ac:dyDescent="0.2">
      <c r="A29" s="132" t="s">
        <v>161</v>
      </c>
      <c r="B29" s="131">
        <f>B21</f>
        <v>219.71</v>
      </c>
      <c r="C29" s="131">
        <f t="shared" ref="C29:M29" si="10">C21</f>
        <v>189.3</v>
      </c>
      <c r="D29" s="131">
        <f t="shared" si="10"/>
        <v>212.33</v>
      </c>
      <c r="E29" s="131">
        <f t="shared" si="10"/>
        <v>151.82</v>
      </c>
      <c r="F29" s="131" t="s">
        <v>12</v>
      </c>
      <c r="G29" s="131" t="s">
        <v>12</v>
      </c>
      <c r="H29" s="131">
        <f t="shared" si="10"/>
        <v>191.23</v>
      </c>
      <c r="I29" s="131">
        <f t="shared" si="10"/>
        <v>169.9</v>
      </c>
      <c r="J29" s="131" t="s">
        <v>12</v>
      </c>
      <c r="K29" s="131" t="s">
        <v>12</v>
      </c>
      <c r="L29" s="131" t="s">
        <v>12</v>
      </c>
      <c r="M29" s="131">
        <f t="shared" si="10"/>
        <v>133.75</v>
      </c>
      <c r="N29" s="131" t="s">
        <v>12</v>
      </c>
      <c r="O29" s="131" t="s">
        <v>12</v>
      </c>
      <c r="P29" s="153" t="s">
        <v>12</v>
      </c>
    </row>
    <row r="30" spans="1:18" ht="19.899999999999999" customHeight="1" x14ac:dyDescent="0.2">
      <c r="A30" s="132" t="s">
        <v>164</v>
      </c>
      <c r="B30" s="131">
        <v>0.01</v>
      </c>
      <c r="C30" s="131">
        <v>0.01</v>
      </c>
      <c r="D30" s="131">
        <v>0.01</v>
      </c>
      <c r="E30" s="131">
        <v>0.01</v>
      </c>
      <c r="F30" s="131" t="s">
        <v>12</v>
      </c>
      <c r="G30" s="131" t="s">
        <v>12</v>
      </c>
      <c r="H30" s="131">
        <v>0.01</v>
      </c>
      <c r="I30" s="131">
        <v>0.01</v>
      </c>
      <c r="J30" s="131" t="s">
        <v>12</v>
      </c>
      <c r="K30" s="131" t="s">
        <v>12</v>
      </c>
      <c r="L30" s="131" t="s">
        <v>12</v>
      </c>
      <c r="M30" s="131">
        <v>0.01</v>
      </c>
      <c r="N30" s="131" t="s">
        <v>12</v>
      </c>
      <c r="O30" s="131" t="s">
        <v>12</v>
      </c>
      <c r="P30" s="153" t="s">
        <v>12</v>
      </c>
    </row>
    <row r="31" spans="1:18" ht="19.899999999999999" customHeight="1" x14ac:dyDescent="0.2">
      <c r="A31" s="132" t="s">
        <v>165</v>
      </c>
      <c r="B31" s="131">
        <v>0.01</v>
      </c>
      <c r="C31" s="131">
        <v>0.01</v>
      </c>
      <c r="D31" s="131">
        <v>0.01</v>
      </c>
      <c r="E31" s="131">
        <v>0.01</v>
      </c>
      <c r="F31" s="131" t="s">
        <v>12</v>
      </c>
      <c r="G31" s="131" t="s">
        <v>12</v>
      </c>
      <c r="H31" s="131">
        <v>0.01</v>
      </c>
      <c r="I31" s="131">
        <v>0.01</v>
      </c>
      <c r="J31" s="131" t="s">
        <v>12</v>
      </c>
      <c r="K31" s="131" t="s">
        <v>12</v>
      </c>
      <c r="L31" s="131" t="s">
        <v>12</v>
      </c>
      <c r="M31" s="131">
        <v>0.01</v>
      </c>
      <c r="N31" s="131" t="s">
        <v>12</v>
      </c>
      <c r="O31" s="131" t="s">
        <v>12</v>
      </c>
      <c r="P31" s="153" t="s">
        <v>12</v>
      </c>
    </row>
    <row r="32" spans="1:18" ht="19.899999999999999" customHeight="1" thickBot="1" x14ac:dyDescent="0.25">
      <c r="A32" s="154" t="s">
        <v>27</v>
      </c>
      <c r="B32" s="155">
        <f>B22</f>
        <v>0</v>
      </c>
      <c r="C32" s="155">
        <f t="shared" ref="C32:M32" si="11">C22</f>
        <v>0</v>
      </c>
      <c r="D32" s="155">
        <f t="shared" si="11"/>
        <v>0</v>
      </c>
      <c r="E32" s="155">
        <f t="shared" si="11"/>
        <v>0</v>
      </c>
      <c r="F32" s="155" t="s">
        <v>12</v>
      </c>
      <c r="G32" s="155" t="s">
        <v>12</v>
      </c>
      <c r="H32" s="155">
        <f t="shared" si="11"/>
        <v>0</v>
      </c>
      <c r="I32" s="155">
        <f t="shared" si="11"/>
        <v>0</v>
      </c>
      <c r="J32" s="155" t="s">
        <v>12</v>
      </c>
      <c r="K32" s="155" t="s">
        <v>12</v>
      </c>
      <c r="L32" s="155" t="s">
        <v>12</v>
      </c>
      <c r="M32" s="155">
        <f t="shared" si="11"/>
        <v>0</v>
      </c>
      <c r="N32" s="155" t="s">
        <v>12</v>
      </c>
      <c r="O32" s="155" t="s">
        <v>12</v>
      </c>
      <c r="P32" s="156" t="s">
        <v>12</v>
      </c>
    </row>
    <row r="33" spans="1:17" ht="19.899999999999999" customHeight="1" x14ac:dyDescent="0.2">
      <c r="A33" s="158" t="s">
        <v>163</v>
      </c>
      <c r="B33" s="159">
        <f>ROUND(B23-B$26*$B$6,1)</f>
        <v>155915.5</v>
      </c>
      <c r="C33" s="159">
        <f t="shared" ref="C33:M33" si="12">ROUND(C23-C$26*$B$6,1)</f>
        <v>66438.600000000006</v>
      </c>
      <c r="D33" s="159">
        <f t="shared" si="12"/>
        <v>37211.4</v>
      </c>
      <c r="E33" s="159">
        <f t="shared" si="12"/>
        <v>15187.8</v>
      </c>
      <c r="F33" s="159" t="s">
        <v>12</v>
      </c>
      <c r="G33" s="159" t="s">
        <v>12</v>
      </c>
      <c r="H33" s="159">
        <f t="shared" si="12"/>
        <v>2975.5</v>
      </c>
      <c r="I33" s="159">
        <f t="shared" si="12"/>
        <v>7874.1</v>
      </c>
      <c r="J33" s="159" t="s">
        <v>12</v>
      </c>
      <c r="K33" s="159" t="s">
        <v>12</v>
      </c>
      <c r="L33" s="159" t="s">
        <v>12</v>
      </c>
      <c r="M33" s="159">
        <f t="shared" si="12"/>
        <v>7936.7</v>
      </c>
      <c r="N33" s="159" t="s">
        <v>12</v>
      </c>
      <c r="O33" s="159" t="s">
        <v>12</v>
      </c>
      <c r="P33" s="159" t="s">
        <v>12</v>
      </c>
    </row>
    <row r="34" spans="1:17" ht="19.899999999999999" customHeight="1" x14ac:dyDescent="0.2">
      <c r="A34" s="133" t="s">
        <v>160</v>
      </c>
      <c r="B34" s="134">
        <f>ROUND(B24-B$26*$B$6,1)</f>
        <v>160019.29999999999</v>
      </c>
      <c r="C34" s="134">
        <f t="shared" ref="C34:M34" si="13">ROUND(C24-C$26*$B$6,1)</f>
        <v>68203.600000000006</v>
      </c>
      <c r="D34" s="134">
        <f t="shared" si="13"/>
        <v>38193</v>
      </c>
      <c r="E34" s="134">
        <f t="shared" si="13"/>
        <v>15599.6</v>
      </c>
      <c r="F34" s="134" t="s">
        <v>12</v>
      </c>
      <c r="G34" s="134" t="s">
        <v>12</v>
      </c>
      <c r="H34" s="134">
        <f t="shared" si="13"/>
        <v>3055.2</v>
      </c>
      <c r="I34" s="134">
        <f t="shared" si="13"/>
        <v>8086.2</v>
      </c>
      <c r="J34" s="134" t="s">
        <v>12</v>
      </c>
      <c r="K34" s="134" t="s">
        <v>12</v>
      </c>
      <c r="L34" s="134" t="s">
        <v>12</v>
      </c>
      <c r="M34" s="134">
        <f t="shared" si="13"/>
        <v>8152.9</v>
      </c>
      <c r="N34" s="134" t="s">
        <v>12</v>
      </c>
      <c r="O34" s="134" t="s">
        <v>12</v>
      </c>
      <c r="P34" s="134" t="s">
        <v>12</v>
      </c>
    </row>
    <row r="35" spans="1:17" ht="19.899999999999999" customHeight="1" x14ac:dyDescent="0.2">
      <c r="A35" s="133" t="s">
        <v>166</v>
      </c>
      <c r="B35" s="134">
        <f>ROUND(B36-B$26*$B$6,1)</f>
        <v>167829.4</v>
      </c>
      <c r="C35" s="134">
        <f t="shared" ref="C35:M35" si="14">ROUND(C36-C$26*$B$6,1)</f>
        <v>71562.5</v>
      </c>
      <c r="D35" s="134">
        <f t="shared" si="14"/>
        <v>40061.1</v>
      </c>
      <c r="E35" s="134">
        <f t="shared" si="14"/>
        <v>16383.1</v>
      </c>
      <c r="F35" s="134" t="s">
        <v>12</v>
      </c>
      <c r="G35" s="134" t="s">
        <v>12</v>
      </c>
      <c r="H35" s="134">
        <f t="shared" si="14"/>
        <v>3206.9</v>
      </c>
      <c r="I35" s="134">
        <f t="shared" si="14"/>
        <v>8489.9</v>
      </c>
      <c r="J35" s="134" t="s">
        <v>12</v>
      </c>
      <c r="K35" s="134" t="s">
        <v>12</v>
      </c>
      <c r="L35" s="134" t="s">
        <v>12</v>
      </c>
      <c r="M35" s="134">
        <f t="shared" si="14"/>
        <v>8564.2999999999993</v>
      </c>
      <c r="N35" s="134" t="s">
        <v>12</v>
      </c>
      <c r="O35" s="134" t="s">
        <v>12</v>
      </c>
      <c r="P35" s="134" t="s">
        <v>12</v>
      </c>
    </row>
    <row r="36" spans="1:17" ht="19.899999999999999" customHeight="1" x14ac:dyDescent="0.2">
      <c r="A36" s="133" t="s">
        <v>167</v>
      </c>
      <c r="B36" s="134">
        <f>ROUND(B25-B31*(B25-B24)/B21,1)</f>
        <v>168437.2</v>
      </c>
      <c r="C36" s="134">
        <f t="shared" ref="C36:M36" si="15">ROUND(C25-C31*(C25-C24)/C21,1)</f>
        <v>72170.3</v>
      </c>
      <c r="D36" s="134">
        <f t="shared" si="15"/>
        <v>40124.300000000003</v>
      </c>
      <c r="E36" s="134">
        <f t="shared" si="15"/>
        <v>16927.7</v>
      </c>
      <c r="F36" s="134" t="s">
        <v>12</v>
      </c>
      <c r="G36" s="134" t="s">
        <v>12</v>
      </c>
      <c r="H36" s="134">
        <f t="shared" si="15"/>
        <v>3236.3</v>
      </c>
      <c r="I36" s="134">
        <f t="shared" si="15"/>
        <v>8675.1</v>
      </c>
      <c r="J36" s="134" t="s">
        <v>12</v>
      </c>
      <c r="K36" s="134" t="s">
        <v>12</v>
      </c>
      <c r="L36" s="134" t="s">
        <v>12</v>
      </c>
      <c r="M36" s="134">
        <f t="shared" si="15"/>
        <v>8923.7000000000007</v>
      </c>
      <c r="N36" s="134" t="s">
        <v>12</v>
      </c>
      <c r="O36" s="134" t="s">
        <v>12</v>
      </c>
      <c r="P36" s="134" t="s">
        <v>12</v>
      </c>
    </row>
    <row r="37" spans="1:17" ht="19.899999999999999" customHeight="1" thickBot="1" x14ac:dyDescent="0.25">
      <c r="A37" s="160" t="s">
        <v>30</v>
      </c>
      <c r="B37" s="161">
        <f>B25</f>
        <v>168437.59999999998</v>
      </c>
      <c r="C37" s="161">
        <f t="shared" ref="C37:M37" si="16">C25</f>
        <v>72170.5</v>
      </c>
      <c r="D37" s="161">
        <f t="shared" si="16"/>
        <v>40124.400000000001</v>
      </c>
      <c r="E37" s="161">
        <f t="shared" si="16"/>
        <v>16927.8</v>
      </c>
      <c r="F37" s="161" t="s">
        <v>12</v>
      </c>
      <c r="G37" s="161" t="s">
        <v>12</v>
      </c>
      <c r="H37" s="161">
        <f t="shared" si="16"/>
        <v>3236.3</v>
      </c>
      <c r="I37" s="161">
        <f t="shared" si="16"/>
        <v>8675.1</v>
      </c>
      <c r="J37" s="161" t="s">
        <v>12</v>
      </c>
      <c r="K37" s="161" t="s">
        <v>12</v>
      </c>
      <c r="L37" s="161" t="s">
        <v>12</v>
      </c>
      <c r="M37" s="161">
        <f t="shared" si="16"/>
        <v>8923.7000000000007</v>
      </c>
      <c r="N37" s="161" t="s">
        <v>12</v>
      </c>
      <c r="O37" s="161" t="s">
        <v>12</v>
      </c>
      <c r="P37" s="161" t="s">
        <v>12</v>
      </c>
    </row>
    <row r="38" spans="1:17" ht="19.899999999999999" customHeight="1" x14ac:dyDescent="0.2">
      <c r="A38" s="140" t="s">
        <v>169</v>
      </c>
      <c r="B38" s="157">
        <f>ROUND(MAX(B$17*0.5, 20)*365,2)</f>
        <v>53463.38</v>
      </c>
      <c r="C38" s="157">
        <f t="shared" ref="C38:M38" si="17">ROUND(MAX(C$17*0.5, 20)*365,2)</f>
        <v>46063</v>
      </c>
      <c r="D38" s="157">
        <f t="shared" si="17"/>
        <v>51665.75</v>
      </c>
      <c r="E38" s="157">
        <f t="shared" si="17"/>
        <v>36943.480000000003</v>
      </c>
      <c r="F38" s="157">
        <f t="shared" si="17"/>
        <v>56012.9</v>
      </c>
      <c r="G38" s="157">
        <f t="shared" si="17"/>
        <v>56012.9</v>
      </c>
      <c r="H38" s="157">
        <f t="shared" si="17"/>
        <v>46532.03</v>
      </c>
      <c r="I38" s="157">
        <f t="shared" si="17"/>
        <v>41341.730000000003</v>
      </c>
      <c r="J38" s="157">
        <f t="shared" si="17"/>
        <v>47663.53</v>
      </c>
      <c r="K38" s="157">
        <f t="shared" si="17"/>
        <v>47663.53</v>
      </c>
      <c r="L38" s="157">
        <f t="shared" si="17"/>
        <v>60190.33</v>
      </c>
      <c r="M38" s="157">
        <f t="shared" si="17"/>
        <v>32545.23</v>
      </c>
      <c r="N38" s="157">
        <f>ROUND(MAX(N$17*0.5, 20)*365,2)</f>
        <v>48787.73</v>
      </c>
      <c r="O38" s="157">
        <f>ROUND(MAX(O$17*0.5, 20)*365,2)</f>
        <v>49848.05</v>
      </c>
      <c r="P38" s="157">
        <f>ROUND(MAX(P$17*0.5, 20)*365,2)</f>
        <v>51548.95</v>
      </c>
    </row>
    <row r="39" spans="1:17" ht="15.75" x14ac:dyDescent="0.2">
      <c r="A39" s="140" t="s">
        <v>188</v>
      </c>
      <c r="B39" s="157">
        <v>53463.375</v>
      </c>
      <c r="C39" s="157">
        <v>46063</v>
      </c>
      <c r="D39" s="157">
        <v>51665.750000000007</v>
      </c>
      <c r="E39" s="157">
        <v>36943.474999999999</v>
      </c>
      <c r="F39" s="157">
        <v>56012.9</v>
      </c>
      <c r="G39" s="157">
        <v>56012.9</v>
      </c>
      <c r="H39" s="157">
        <v>46532.025000000001</v>
      </c>
      <c r="I39" s="157">
        <v>41341.724999999999</v>
      </c>
      <c r="J39" s="157">
        <v>47663.525000000001</v>
      </c>
      <c r="K39" s="157">
        <v>47663.525000000001</v>
      </c>
      <c r="L39" s="157">
        <v>60190.324999999997</v>
      </c>
      <c r="M39" s="157">
        <v>32545.225000000002</v>
      </c>
      <c r="N39" s="157">
        <v>48787.724999999999</v>
      </c>
      <c r="O39" s="157">
        <v>49848.049999999996</v>
      </c>
      <c r="P39" s="157">
        <v>51548.95</v>
      </c>
    </row>
    <row r="40" spans="1:17" ht="19.899999999999999" customHeight="1" x14ac:dyDescent="0.2">
      <c r="A40" s="20" t="s">
        <v>48</v>
      </c>
      <c r="B40" s="18" t="s">
        <v>24</v>
      </c>
      <c r="C40" s="13">
        <v>1557</v>
      </c>
      <c r="D40" s="13">
        <v>40</v>
      </c>
      <c r="E40" s="13" t="s">
        <v>24</v>
      </c>
      <c r="F40" s="13">
        <v>41</v>
      </c>
      <c r="G40" s="13">
        <v>21</v>
      </c>
      <c r="H40" s="13">
        <v>72</v>
      </c>
      <c r="I40" s="13" t="s">
        <v>24</v>
      </c>
      <c r="J40" s="13" t="s">
        <v>24</v>
      </c>
      <c r="K40" s="13" t="s">
        <v>24</v>
      </c>
      <c r="L40" s="13" t="s">
        <v>24</v>
      </c>
      <c r="M40" s="13">
        <v>65.7</v>
      </c>
      <c r="N40" s="13" t="s">
        <v>24</v>
      </c>
      <c r="O40" s="13" t="s">
        <v>24</v>
      </c>
      <c r="P40" s="13">
        <v>155</v>
      </c>
      <c r="Q40" s="169" t="s">
        <v>12</v>
      </c>
    </row>
    <row r="41" spans="1:17" ht="19.899999999999999" customHeight="1" x14ac:dyDescent="0.2">
      <c r="A41" s="199" t="s">
        <v>76</v>
      </c>
      <c r="B41" s="199"/>
      <c r="C41" s="199"/>
      <c r="D41" s="199"/>
      <c r="E41" s="199"/>
      <c r="F41" s="199"/>
      <c r="G41" s="199"/>
      <c r="H41" s="199"/>
      <c r="I41" s="199"/>
      <c r="J41" s="199"/>
      <c r="K41" s="199"/>
      <c r="L41" s="199"/>
      <c r="M41" s="199"/>
      <c r="N41" s="199"/>
      <c r="O41" s="199"/>
      <c r="P41" s="199"/>
    </row>
    <row r="42" spans="1:17" ht="19.899999999999999" customHeight="1" x14ac:dyDescent="0.2">
      <c r="A42" s="20" t="s">
        <v>173</v>
      </c>
      <c r="B42" s="18" t="s">
        <v>24</v>
      </c>
      <c r="C42" s="10">
        <f>MIN((C12-C11)/(F73*$B$6),1)</f>
        <v>1</v>
      </c>
      <c r="D42" s="10">
        <f>ROUND((D12-D11)/(F70*$B$6),3)</f>
        <v>0.85</v>
      </c>
      <c r="E42" s="10">
        <f>ROUND((E12-E11)/(F71*$B$6),3)</f>
        <v>0.40600000000000003</v>
      </c>
      <c r="F42" s="10">
        <f>ROUND((F12-F11)/(F67*$B$6),3)</f>
        <v>0.36099999999999999</v>
      </c>
      <c r="G42" s="18" t="s">
        <v>24</v>
      </c>
      <c r="H42" s="18" t="s">
        <v>24</v>
      </c>
      <c r="I42" s="18" t="s">
        <v>24</v>
      </c>
      <c r="J42" s="18" t="s">
        <v>24</v>
      </c>
      <c r="K42" s="18" t="s">
        <v>24</v>
      </c>
      <c r="L42" s="10">
        <f>ROUND((L12-L11)/(F53*$B$6),3)</f>
        <v>0.94199999999999995</v>
      </c>
      <c r="M42" s="10">
        <f>ROUND((M12-M11)/(F52*$B$6),3)</f>
        <v>0.26400000000000001</v>
      </c>
      <c r="N42" s="18" t="s">
        <v>24</v>
      </c>
      <c r="O42" s="18" t="s">
        <v>24</v>
      </c>
      <c r="P42" s="10">
        <f>ROUND((P12-P11)/(F55*$B$6),3)</f>
        <v>0.41699999999999998</v>
      </c>
    </row>
    <row r="43" spans="1:17" ht="24.95" customHeight="1" x14ac:dyDescent="0.2">
      <c r="A43" s="165" t="s">
        <v>12</v>
      </c>
      <c r="B43" s="166"/>
      <c r="C43" s="166"/>
      <c r="D43" s="166"/>
      <c r="E43" s="166"/>
      <c r="F43" s="166"/>
      <c r="G43" s="111"/>
      <c r="H43" s="111"/>
      <c r="I43" s="111"/>
      <c r="J43" s="111"/>
      <c r="K43" s="111"/>
      <c r="L43" s="111"/>
      <c r="M43" s="111"/>
      <c r="N43" s="111"/>
    </row>
    <row r="44" spans="1:17" ht="18" customHeight="1" x14ac:dyDescent="0.2">
      <c r="A44" s="186" t="s">
        <v>87</v>
      </c>
      <c r="B44" s="186"/>
      <c r="C44" s="186"/>
      <c r="D44" s="186"/>
      <c r="E44" s="186"/>
      <c r="F44" s="186"/>
      <c r="G44" s="186"/>
      <c r="H44" s="186"/>
      <c r="I44" s="186"/>
      <c r="J44" s="50"/>
      <c r="K44" s="60" t="s">
        <v>12</v>
      </c>
      <c r="M44" s="162" t="s">
        <v>12</v>
      </c>
      <c r="Q44" s="138" t="s">
        <v>12</v>
      </c>
    </row>
    <row r="45" spans="1:17" s="3" customFormat="1" ht="84.95" customHeight="1" x14ac:dyDescent="0.2">
      <c r="A45" s="24" t="s">
        <v>39</v>
      </c>
      <c r="B45" s="23" t="s">
        <v>9</v>
      </c>
      <c r="C45" s="54" t="s">
        <v>11</v>
      </c>
      <c r="D45" s="23" t="s">
        <v>74</v>
      </c>
      <c r="E45" s="23" t="s">
        <v>105</v>
      </c>
      <c r="F45" s="23" t="s">
        <v>31</v>
      </c>
      <c r="G45" s="23" t="s">
        <v>32</v>
      </c>
      <c r="H45" s="23" t="s">
        <v>61</v>
      </c>
      <c r="I45" s="23" t="s">
        <v>88</v>
      </c>
      <c r="J45" s="114"/>
      <c r="K45" s="127" t="s">
        <v>12</v>
      </c>
      <c r="M45" s="163" t="s">
        <v>12</v>
      </c>
    </row>
    <row r="46" spans="1:17" s="3" customFormat="1" ht="19.899999999999999" customHeight="1" x14ac:dyDescent="0.2">
      <c r="A46" s="25" t="s">
        <v>13</v>
      </c>
      <c r="B46" s="25" t="s">
        <v>24</v>
      </c>
      <c r="C46" s="12" t="s">
        <v>24</v>
      </c>
      <c r="D46" s="5" t="s">
        <v>24</v>
      </c>
      <c r="E46" s="39">
        <f>E47+E48+E49+E50+E52+E53+E54+E55+E56+E57+E58+E60+E61+E62+E63+E64+E65+E66+E67+E69</f>
        <v>150313.4</v>
      </c>
      <c r="F46" s="39">
        <f>F47+F48+F49+F50+F52+F53+F54+F55+F56+F57+F58+F60+F61+F62+F63+F64+F65+F66+F67+F69</f>
        <v>153915</v>
      </c>
      <c r="G46" s="31" t="s">
        <v>24</v>
      </c>
      <c r="H46" s="39">
        <f>H47+H48+H49+H50+H52+H53+H54+H55+H56+H57+H58+H60+H61+H62+H63+H64+H65+H66+H67+H69</f>
        <v>12200.6</v>
      </c>
      <c r="I46" s="39">
        <f>I47+I48+I49+I50+I52+I53+I54+I55+I56+I57+I58+I60+I61+I62+I63+I64+I65+I66+I67+I69</f>
        <v>141714.40000000002</v>
      </c>
      <c r="J46" s="115"/>
      <c r="M46" s="164" t="s">
        <v>12</v>
      </c>
    </row>
    <row r="47" spans="1:17" s="2" customFormat="1" ht="19.899999999999999" customHeight="1" x14ac:dyDescent="0.2">
      <c r="A47" s="14" t="s">
        <v>2</v>
      </c>
      <c r="B47" s="40">
        <v>1140</v>
      </c>
      <c r="C47" s="40" t="s">
        <v>150</v>
      </c>
      <c r="D47" s="33" t="s">
        <v>47</v>
      </c>
      <c r="E47" s="27">
        <v>2460</v>
      </c>
      <c r="F47" s="27">
        <v>2368</v>
      </c>
      <c r="G47" s="32">
        <f>F47/E47</f>
        <v>0.9626016260162602</v>
      </c>
      <c r="H47" s="12">
        <v>0</v>
      </c>
      <c r="I47" s="27">
        <f t="shared" ref="I47:I69" si="18">F47-H47</f>
        <v>2368</v>
      </c>
      <c r="J47" s="116"/>
      <c r="K47" s="65" t="s">
        <v>12</v>
      </c>
      <c r="M47" s="116" t="s">
        <v>12</v>
      </c>
    </row>
    <row r="48" spans="1:17" s="2" customFormat="1" ht="19.899999999999999" customHeight="1" x14ac:dyDescent="0.2">
      <c r="A48" s="26" t="s">
        <v>62</v>
      </c>
      <c r="B48" s="40">
        <v>-170</v>
      </c>
      <c r="C48" s="40" t="s">
        <v>72</v>
      </c>
      <c r="D48" s="33" t="s">
        <v>72</v>
      </c>
      <c r="E48" s="33">
        <v>22320</v>
      </c>
      <c r="F48" s="33">
        <v>22313</v>
      </c>
      <c r="G48" s="32">
        <f t="shared" ref="G48:G58" si="19">F48/E48</f>
        <v>0.99968637992831544</v>
      </c>
      <c r="H48" s="12">
        <v>11305.7</v>
      </c>
      <c r="I48" s="27">
        <f t="shared" si="18"/>
        <v>11007.3</v>
      </c>
      <c r="J48" s="116"/>
      <c r="K48" s="65" t="s">
        <v>12</v>
      </c>
      <c r="M48" s="116" t="s">
        <v>12</v>
      </c>
    </row>
    <row r="49" spans="1:13" s="2" customFormat="1" ht="19.899999999999999" customHeight="1" x14ac:dyDescent="0.2">
      <c r="A49" s="26" t="s">
        <v>0</v>
      </c>
      <c r="B49" s="40">
        <v>2020</v>
      </c>
      <c r="C49" s="40" t="s">
        <v>151</v>
      </c>
      <c r="D49" s="33" t="s">
        <v>47</v>
      </c>
      <c r="E49" s="33">
        <v>8440</v>
      </c>
      <c r="F49" s="33">
        <v>8617</v>
      </c>
      <c r="G49" s="32">
        <f t="shared" si="19"/>
        <v>1.0209715639810426</v>
      </c>
      <c r="H49" s="12">
        <v>0</v>
      </c>
      <c r="I49" s="27">
        <f t="shared" si="18"/>
        <v>8617</v>
      </c>
      <c r="J49" s="116"/>
      <c r="K49" s="128" t="s">
        <v>12</v>
      </c>
      <c r="L49" s="129"/>
      <c r="M49" s="116" t="s">
        <v>12</v>
      </c>
    </row>
    <row r="50" spans="1:13" s="2" customFormat="1" ht="19.899999999999999" customHeight="1" x14ac:dyDescent="0.2">
      <c r="A50" s="26" t="s">
        <v>49</v>
      </c>
      <c r="B50" s="40">
        <v>4660</v>
      </c>
      <c r="C50" s="113">
        <v>9889</v>
      </c>
      <c r="D50" s="35">
        <f t="shared" ref="D50:D55" si="20">C50/B50</f>
        <v>2.1221030042918456</v>
      </c>
      <c r="E50" s="33">
        <v>12660</v>
      </c>
      <c r="F50" s="33">
        <v>12508</v>
      </c>
      <c r="G50" s="32">
        <f t="shared" si="19"/>
        <v>0.9879936808846761</v>
      </c>
      <c r="H50" s="12">
        <v>0</v>
      </c>
      <c r="I50" s="27">
        <f t="shared" si="18"/>
        <v>12508</v>
      </c>
      <c r="J50" s="116"/>
      <c r="K50" s="65" t="s">
        <v>12</v>
      </c>
      <c r="M50" s="116" t="s">
        <v>12</v>
      </c>
    </row>
    <row r="51" spans="1:13" s="2" customFormat="1" ht="19.899999999999999" customHeight="1" x14ac:dyDescent="0.2">
      <c r="A51" s="26" t="s">
        <v>69</v>
      </c>
      <c r="B51" s="40">
        <v>3540</v>
      </c>
      <c r="C51" s="113">
        <v>5605</v>
      </c>
      <c r="D51" s="35">
        <f t="shared" si="20"/>
        <v>1.5833333333333333</v>
      </c>
      <c r="E51" s="33" t="s">
        <v>24</v>
      </c>
      <c r="F51" s="33">
        <v>4185.2</v>
      </c>
      <c r="G51" s="32" t="s">
        <v>24</v>
      </c>
      <c r="H51" s="12">
        <v>0</v>
      </c>
      <c r="I51" s="27">
        <f t="shared" si="18"/>
        <v>4185.2</v>
      </c>
      <c r="J51" s="116"/>
      <c r="K51" s="65" t="s">
        <v>12</v>
      </c>
      <c r="M51" s="116" t="s">
        <v>12</v>
      </c>
    </row>
    <row r="52" spans="1:13" s="2" customFormat="1" ht="19.899999999999999" customHeight="1" x14ac:dyDescent="0.2">
      <c r="A52" s="14" t="s">
        <v>3</v>
      </c>
      <c r="B52" s="40">
        <v>4410</v>
      </c>
      <c r="C52" s="113">
        <v>6244</v>
      </c>
      <c r="D52" s="35">
        <f t="shared" si="20"/>
        <v>1.4158730158730159</v>
      </c>
      <c r="E52" s="27">
        <v>6330</v>
      </c>
      <c r="F52" s="27">
        <v>6566</v>
      </c>
      <c r="G52" s="32">
        <f t="shared" si="19"/>
        <v>1.0372827804107425</v>
      </c>
      <c r="H52" s="12">
        <v>0</v>
      </c>
      <c r="I52" s="27">
        <f t="shared" si="18"/>
        <v>6566</v>
      </c>
      <c r="J52" s="116"/>
      <c r="K52" s="65" t="s">
        <v>12</v>
      </c>
      <c r="M52" s="116" t="s">
        <v>12</v>
      </c>
    </row>
    <row r="53" spans="1:13" s="2" customFormat="1" ht="19.899999999999999" customHeight="1" x14ac:dyDescent="0.2">
      <c r="A53" s="14" t="s">
        <v>18</v>
      </c>
      <c r="B53" s="40">
        <v>640</v>
      </c>
      <c r="C53" s="113">
        <v>4064</v>
      </c>
      <c r="D53" s="35">
        <f t="shared" si="20"/>
        <v>6.35</v>
      </c>
      <c r="E53" s="27">
        <v>20560</v>
      </c>
      <c r="F53" s="27">
        <v>21589</v>
      </c>
      <c r="G53" s="32">
        <f t="shared" si="19"/>
        <v>1.0500486381322958</v>
      </c>
      <c r="H53" s="12">
        <v>0</v>
      </c>
      <c r="I53" s="27">
        <f t="shared" si="18"/>
        <v>21589</v>
      </c>
      <c r="J53" s="116"/>
      <c r="K53" s="65" t="s">
        <v>94</v>
      </c>
      <c r="M53" s="116" t="s">
        <v>12</v>
      </c>
    </row>
    <row r="54" spans="1:13" s="2" customFormat="1" ht="19.899999999999999" customHeight="1" x14ac:dyDescent="0.2">
      <c r="A54" s="14" t="s">
        <v>19</v>
      </c>
      <c r="B54" s="40">
        <v>2550</v>
      </c>
      <c r="C54" s="119">
        <v>3401</v>
      </c>
      <c r="D54" s="35">
        <f t="shared" si="20"/>
        <v>1.3337254901960784</v>
      </c>
      <c r="E54" s="27">
        <v>3270</v>
      </c>
      <c r="F54" s="27">
        <v>3305</v>
      </c>
      <c r="G54" s="32">
        <f t="shared" si="19"/>
        <v>1.010703363914373</v>
      </c>
      <c r="H54" s="12">
        <v>0</v>
      </c>
      <c r="I54" s="27">
        <f t="shared" si="18"/>
        <v>3305</v>
      </c>
      <c r="J54" s="116"/>
      <c r="K54" s="65" t="s">
        <v>12</v>
      </c>
      <c r="M54" s="116" t="s">
        <v>12</v>
      </c>
    </row>
    <row r="55" spans="1:13" s="2" customFormat="1" ht="19.899999999999999" customHeight="1" x14ac:dyDescent="0.2">
      <c r="A55" s="14" t="s">
        <v>63</v>
      </c>
      <c r="B55" s="40">
        <v>3650</v>
      </c>
      <c r="C55" s="119">
        <v>5072</v>
      </c>
      <c r="D55" s="35">
        <f t="shared" si="20"/>
        <v>1.3895890410958904</v>
      </c>
      <c r="E55" s="27">
        <v>5020</v>
      </c>
      <c r="F55" s="27">
        <v>5343</v>
      </c>
      <c r="G55" s="32">
        <f>F55/E55</f>
        <v>1.0643426294820717</v>
      </c>
      <c r="H55" s="12">
        <v>875.5</v>
      </c>
      <c r="I55" s="27">
        <f t="shared" si="18"/>
        <v>4467.5</v>
      </c>
      <c r="J55" s="116"/>
      <c r="K55" s="65" t="s">
        <v>12</v>
      </c>
      <c r="M55" s="116" t="s">
        <v>12</v>
      </c>
    </row>
    <row r="56" spans="1:13" s="2" customFormat="1" ht="19.899999999999999" customHeight="1" x14ac:dyDescent="0.2">
      <c r="A56" s="14" t="s">
        <v>4</v>
      </c>
      <c r="B56" s="40">
        <v>1530</v>
      </c>
      <c r="C56" s="40" t="s">
        <v>152</v>
      </c>
      <c r="D56" s="33" t="s">
        <v>47</v>
      </c>
      <c r="E56" s="27">
        <v>2750</v>
      </c>
      <c r="F56" s="27">
        <v>2771</v>
      </c>
      <c r="G56" s="32">
        <f t="shared" si="19"/>
        <v>1.0076363636363637</v>
      </c>
      <c r="H56" s="12">
        <v>0</v>
      </c>
      <c r="I56" s="27">
        <f t="shared" si="18"/>
        <v>2771</v>
      </c>
      <c r="J56" s="116"/>
      <c r="K56" s="65" t="s">
        <v>12</v>
      </c>
      <c r="M56" s="116" t="s">
        <v>12</v>
      </c>
    </row>
    <row r="57" spans="1:13" s="2" customFormat="1" ht="19.899999999999999" customHeight="1" x14ac:dyDescent="0.2">
      <c r="A57" s="14" t="s">
        <v>20</v>
      </c>
      <c r="B57" s="40">
        <v>-3010</v>
      </c>
      <c r="C57" s="40" t="s">
        <v>72</v>
      </c>
      <c r="D57" s="33" t="s">
        <v>72</v>
      </c>
      <c r="E57" s="27">
        <v>18450</v>
      </c>
      <c r="F57" s="27">
        <v>19428</v>
      </c>
      <c r="G57" s="32">
        <f t="shared" si="19"/>
        <v>1.0530081300813008</v>
      </c>
      <c r="H57" s="12">
        <v>0</v>
      </c>
      <c r="I57" s="27">
        <f t="shared" si="18"/>
        <v>19428</v>
      </c>
      <c r="J57" s="116"/>
      <c r="K57" s="65" t="s">
        <v>12</v>
      </c>
      <c r="M57" s="116" t="s">
        <v>12</v>
      </c>
    </row>
    <row r="58" spans="1:13" s="2" customFormat="1" ht="19.899999999999999" customHeight="1" x14ac:dyDescent="0.2">
      <c r="A58" s="14" t="s">
        <v>1</v>
      </c>
      <c r="B58" s="40">
        <v>910</v>
      </c>
      <c r="C58" s="40" t="s">
        <v>153</v>
      </c>
      <c r="D58" s="33" t="s">
        <v>47</v>
      </c>
      <c r="E58" s="27">
        <v>3740</v>
      </c>
      <c r="F58" s="27">
        <v>3844</v>
      </c>
      <c r="G58" s="32">
        <f t="shared" si="19"/>
        <v>1.0278074866310161</v>
      </c>
      <c r="H58" s="12">
        <v>0</v>
      </c>
      <c r="I58" s="27">
        <f t="shared" si="18"/>
        <v>3844</v>
      </c>
      <c r="J58" s="116"/>
      <c r="K58" s="65" t="s">
        <v>12</v>
      </c>
      <c r="M58" s="116" t="s">
        <v>12</v>
      </c>
    </row>
    <row r="59" spans="1:13" s="2" customFormat="1" ht="19.899999999999999" customHeight="1" x14ac:dyDescent="0.2">
      <c r="A59" s="14" t="s">
        <v>43</v>
      </c>
      <c r="B59" s="40">
        <v>1230</v>
      </c>
      <c r="C59" s="119">
        <v>1872</v>
      </c>
      <c r="D59" s="35">
        <f>C59/B59</f>
        <v>1.5219512195121951</v>
      </c>
      <c r="E59" s="27" t="s">
        <v>24</v>
      </c>
      <c r="F59" s="33">
        <v>2237.6</v>
      </c>
      <c r="G59" s="32" t="s">
        <v>24</v>
      </c>
      <c r="H59" s="12">
        <v>0</v>
      </c>
      <c r="I59" s="27">
        <f t="shared" si="18"/>
        <v>2237.6</v>
      </c>
      <c r="J59" s="116"/>
      <c r="K59" s="65" t="s">
        <v>12</v>
      </c>
      <c r="M59" s="116" t="s">
        <v>12</v>
      </c>
    </row>
    <row r="60" spans="1:13" s="2" customFormat="1" ht="19.899999999999999" customHeight="1" x14ac:dyDescent="0.2">
      <c r="A60" s="14" t="s">
        <v>70</v>
      </c>
      <c r="B60" s="40">
        <v>560</v>
      </c>
      <c r="C60" s="40" t="s">
        <v>154</v>
      </c>
      <c r="D60" s="33" t="s">
        <v>47</v>
      </c>
      <c r="E60" s="27">
        <v>2108.4</v>
      </c>
      <c r="F60" s="33">
        <v>2132</v>
      </c>
      <c r="G60" s="32">
        <f>F60/E60</f>
        <v>1.011193321950294</v>
      </c>
      <c r="H60" s="12">
        <v>19.399999999999999</v>
      </c>
      <c r="I60" s="27">
        <f t="shared" si="18"/>
        <v>2112.6</v>
      </c>
      <c r="J60" s="116"/>
      <c r="K60" s="2" t="s">
        <v>12</v>
      </c>
      <c r="M60" s="116" t="s">
        <v>12</v>
      </c>
    </row>
    <row r="61" spans="1:13" s="2" customFormat="1" ht="19.899999999999999" customHeight="1" x14ac:dyDescent="0.2">
      <c r="A61" s="14" t="s">
        <v>5</v>
      </c>
      <c r="B61" s="40">
        <v>3430</v>
      </c>
      <c r="C61" s="40" t="s">
        <v>155</v>
      </c>
      <c r="D61" s="33" t="s">
        <v>47</v>
      </c>
      <c r="E61" s="27">
        <v>5650</v>
      </c>
      <c r="F61" s="27">
        <v>5815</v>
      </c>
      <c r="G61" s="32">
        <f t="shared" ref="G61:G67" si="21">F61/E61</f>
        <v>1.0292035398230088</v>
      </c>
      <c r="H61" s="12">
        <v>0</v>
      </c>
      <c r="I61" s="27">
        <f t="shared" si="18"/>
        <v>5815</v>
      </c>
      <c r="J61" s="116"/>
      <c r="K61" s="38"/>
      <c r="M61" s="116" t="s">
        <v>12</v>
      </c>
    </row>
    <row r="62" spans="1:13" s="2" customFormat="1" ht="19.899999999999999" customHeight="1" x14ac:dyDescent="0.2">
      <c r="A62" s="14" t="s">
        <v>21</v>
      </c>
      <c r="B62" s="40">
        <v>770</v>
      </c>
      <c r="C62" s="40" t="s">
        <v>156</v>
      </c>
      <c r="D62" s="33" t="s">
        <v>47</v>
      </c>
      <c r="E62" s="27">
        <v>2850</v>
      </c>
      <c r="F62" s="27">
        <v>2865</v>
      </c>
      <c r="G62" s="32">
        <f t="shared" si="21"/>
        <v>1.0052631578947369</v>
      </c>
      <c r="H62" s="12">
        <v>0</v>
      </c>
      <c r="I62" s="27">
        <f t="shared" si="18"/>
        <v>2865</v>
      </c>
      <c r="J62" s="116"/>
      <c r="K62" s="38" t="s">
        <v>12</v>
      </c>
      <c r="M62" s="116" t="s">
        <v>12</v>
      </c>
    </row>
    <row r="63" spans="1:13" s="2" customFormat="1" ht="19.899999999999999" customHeight="1" x14ac:dyDescent="0.2">
      <c r="A63" s="14" t="s">
        <v>6</v>
      </c>
      <c r="B63" s="40">
        <v>2690</v>
      </c>
      <c r="C63" s="40" t="s">
        <v>157</v>
      </c>
      <c r="D63" s="33" t="s">
        <v>47</v>
      </c>
      <c r="E63" s="27">
        <v>8120</v>
      </c>
      <c r="F63" s="27">
        <v>8305</v>
      </c>
      <c r="G63" s="32">
        <f t="shared" si="21"/>
        <v>1.0227832512315271</v>
      </c>
      <c r="H63" s="12">
        <v>0</v>
      </c>
      <c r="I63" s="27">
        <f t="shared" si="18"/>
        <v>8305</v>
      </c>
      <c r="J63" s="116"/>
      <c r="M63" s="116" t="s">
        <v>12</v>
      </c>
    </row>
    <row r="64" spans="1:13" s="2" customFormat="1" ht="19.899999999999999" customHeight="1" x14ac:dyDescent="0.2">
      <c r="A64" s="14" t="s">
        <v>22</v>
      </c>
      <c r="B64" s="40">
        <v>-210</v>
      </c>
      <c r="C64" s="40" t="s">
        <v>72</v>
      </c>
      <c r="D64" s="33" t="s">
        <v>72</v>
      </c>
      <c r="E64" s="27">
        <v>2770</v>
      </c>
      <c r="F64" s="27">
        <v>2771</v>
      </c>
      <c r="G64" s="32">
        <f t="shared" si="21"/>
        <v>1.0003610108303249</v>
      </c>
      <c r="H64" s="12">
        <v>0</v>
      </c>
      <c r="I64" s="27">
        <f t="shared" si="18"/>
        <v>2771</v>
      </c>
      <c r="J64" s="116"/>
      <c r="M64" s="116" t="s">
        <v>12</v>
      </c>
    </row>
    <row r="65" spans="1:13" s="2" customFormat="1" ht="19.899999999999999" customHeight="1" x14ac:dyDescent="0.2">
      <c r="A65" s="14" t="s">
        <v>7</v>
      </c>
      <c r="B65" s="40">
        <v>1540</v>
      </c>
      <c r="C65" s="113">
        <v>7625</v>
      </c>
      <c r="D65" s="35">
        <f>C65/B65</f>
        <v>4.9512987012987013</v>
      </c>
      <c r="E65" s="27">
        <v>6030</v>
      </c>
      <c r="F65" s="27">
        <v>6278</v>
      </c>
      <c r="G65" s="32">
        <f t="shared" si="21"/>
        <v>1.0411276948590382</v>
      </c>
      <c r="H65" s="12">
        <v>0</v>
      </c>
      <c r="I65" s="27">
        <f t="shared" si="18"/>
        <v>6278</v>
      </c>
      <c r="J65" s="116"/>
      <c r="M65" s="116" t="s">
        <v>12</v>
      </c>
    </row>
    <row r="66" spans="1:13" s="2" customFormat="1" ht="19.899999999999999" customHeight="1" x14ac:dyDescent="0.2">
      <c r="A66" s="14" t="s">
        <v>33</v>
      </c>
      <c r="B66" s="40">
        <v>-1010</v>
      </c>
      <c r="C66" s="119">
        <v>7084</v>
      </c>
      <c r="D66" s="35" t="s">
        <v>72</v>
      </c>
      <c r="E66" s="27">
        <f>6680+190</f>
        <v>6870</v>
      </c>
      <c r="F66" s="27">
        <f>6889+182</f>
        <v>7071</v>
      </c>
      <c r="G66" s="32">
        <f t="shared" si="21"/>
        <v>1.0292576419213975</v>
      </c>
      <c r="H66" s="12">
        <v>0</v>
      </c>
      <c r="I66" s="27">
        <f t="shared" si="18"/>
        <v>7071</v>
      </c>
      <c r="J66" s="116"/>
      <c r="M66" s="116" t="s">
        <v>12</v>
      </c>
    </row>
    <row r="67" spans="1:13" s="2" customFormat="1" ht="19.899999999999999" customHeight="1" x14ac:dyDescent="0.2">
      <c r="A67" s="14" t="s">
        <v>8</v>
      </c>
      <c r="B67" s="40">
        <v>5900</v>
      </c>
      <c r="C67" s="113">
        <v>8001</v>
      </c>
      <c r="D67" s="36">
        <f>C67/B67</f>
        <v>1.3561016949152542</v>
      </c>
      <c r="E67" s="27">
        <v>9530</v>
      </c>
      <c r="F67" s="27">
        <v>9641</v>
      </c>
      <c r="G67" s="32">
        <f t="shared" si="21"/>
        <v>1.0116474291710389</v>
      </c>
      <c r="H67" s="12">
        <v>0</v>
      </c>
      <c r="I67" s="27">
        <f t="shared" si="18"/>
        <v>9641</v>
      </c>
      <c r="J67" s="116"/>
      <c r="M67" s="116" t="s">
        <v>12</v>
      </c>
    </row>
    <row r="68" spans="1:13" s="2" customFormat="1" ht="19.899999999999999" customHeight="1" x14ac:dyDescent="0.2">
      <c r="A68" s="14" t="s">
        <v>42</v>
      </c>
      <c r="B68" s="40">
        <v>2620</v>
      </c>
      <c r="C68" s="113">
        <v>4264</v>
      </c>
      <c r="D68" s="36">
        <f>C68/B68</f>
        <v>1.6274809160305344</v>
      </c>
      <c r="E68" s="27" t="s">
        <v>24</v>
      </c>
      <c r="F68" s="33">
        <v>4808</v>
      </c>
      <c r="G68" s="32" t="s">
        <v>24</v>
      </c>
      <c r="H68" s="12">
        <v>0</v>
      </c>
      <c r="I68" s="27">
        <f t="shared" si="18"/>
        <v>4808</v>
      </c>
      <c r="J68" s="116"/>
      <c r="M68" s="116" t="s">
        <v>12</v>
      </c>
    </row>
    <row r="69" spans="1:13" s="2" customFormat="1" ht="19.899999999999999" customHeight="1" x14ac:dyDescent="0.2">
      <c r="A69" s="14" t="s">
        <v>40</v>
      </c>
      <c r="B69" s="40" t="s">
        <v>24</v>
      </c>
      <c r="C69" s="40" t="s">
        <v>24</v>
      </c>
      <c r="D69" s="33" t="s">
        <v>24</v>
      </c>
      <c r="E69" s="27">
        <v>385</v>
      </c>
      <c r="F69" s="27">
        <v>385</v>
      </c>
      <c r="G69" s="32">
        <f>F69/E69</f>
        <v>1</v>
      </c>
      <c r="H69" s="12">
        <v>0</v>
      </c>
      <c r="I69" s="27">
        <f t="shared" si="18"/>
        <v>385</v>
      </c>
      <c r="J69" s="116"/>
      <c r="M69" s="116" t="s">
        <v>12</v>
      </c>
    </row>
    <row r="70" spans="1:13" s="2" customFormat="1" ht="19.899999999999999" customHeight="1" x14ac:dyDescent="0.2">
      <c r="A70" s="14" t="s">
        <v>16</v>
      </c>
      <c r="B70" s="40">
        <v>3650</v>
      </c>
      <c r="C70" s="113">
        <v>8800</v>
      </c>
      <c r="D70" s="36">
        <f>C70/B70</f>
        <v>2.4109589041095889</v>
      </c>
      <c r="E70" s="27" t="s">
        <v>24</v>
      </c>
      <c r="F70" s="27">
        <f>F47+F58+F61+F63+F67+F69</f>
        <v>30358</v>
      </c>
      <c r="G70" s="34" t="s">
        <v>24</v>
      </c>
      <c r="H70" s="27">
        <f>H47+H58+H61+H63+H67+H69</f>
        <v>0</v>
      </c>
      <c r="I70" s="192" t="s">
        <v>12</v>
      </c>
      <c r="J70" s="116"/>
      <c r="M70" s="116" t="s">
        <v>12</v>
      </c>
    </row>
    <row r="71" spans="1:13" s="2" customFormat="1" ht="19.899999999999999" customHeight="1" x14ac:dyDescent="0.2">
      <c r="A71" s="14" t="s">
        <v>14</v>
      </c>
      <c r="B71" s="40">
        <v>2900</v>
      </c>
      <c r="C71" s="113">
        <v>9802</v>
      </c>
      <c r="D71" s="36">
        <f>C71/B71</f>
        <v>3.38</v>
      </c>
      <c r="E71" s="27" t="s">
        <v>24</v>
      </c>
      <c r="F71" s="27">
        <f>F52+F65</f>
        <v>12844</v>
      </c>
      <c r="G71" s="34" t="s">
        <v>24</v>
      </c>
      <c r="H71" s="27">
        <f>H52+H65</f>
        <v>0</v>
      </c>
      <c r="I71" s="193"/>
      <c r="J71" s="116"/>
      <c r="M71" s="116" t="s">
        <v>12</v>
      </c>
    </row>
    <row r="72" spans="1:13" s="2" customFormat="1" ht="19.899999999999999" customHeight="1" x14ac:dyDescent="0.2">
      <c r="A72" s="26" t="s">
        <v>15</v>
      </c>
      <c r="B72" s="40">
        <v>-10140</v>
      </c>
      <c r="C72" s="40" t="s">
        <v>72</v>
      </c>
      <c r="D72" s="33" t="s">
        <v>72</v>
      </c>
      <c r="E72" s="27" t="s">
        <v>24</v>
      </c>
      <c r="F72" s="27">
        <f>F62+F64+F66</f>
        <v>12707</v>
      </c>
      <c r="G72" s="34" t="s">
        <v>24</v>
      </c>
      <c r="H72" s="27">
        <f>H62+H64+H66</f>
        <v>0</v>
      </c>
      <c r="I72" s="193"/>
      <c r="J72" s="116"/>
      <c r="M72" s="116" t="s">
        <v>12</v>
      </c>
    </row>
    <row r="73" spans="1:13" s="2" customFormat="1" ht="19.899999999999999" customHeight="1" x14ac:dyDescent="0.2">
      <c r="A73" s="14" t="s">
        <v>17</v>
      </c>
      <c r="B73" s="40">
        <v>-7000</v>
      </c>
      <c r="C73" s="113">
        <v>4218</v>
      </c>
      <c r="D73" s="36" t="s">
        <v>72</v>
      </c>
      <c r="E73" s="27" t="s">
        <v>24</v>
      </c>
      <c r="F73" s="27">
        <f>F70+F71+F72</f>
        <v>55909</v>
      </c>
      <c r="G73" s="34" t="s">
        <v>24</v>
      </c>
      <c r="H73" s="27">
        <f>H70+H71+H72</f>
        <v>0</v>
      </c>
      <c r="I73" s="193"/>
      <c r="J73" s="116"/>
      <c r="M73" s="116" t="s">
        <v>12</v>
      </c>
    </row>
    <row r="74" spans="1:13" s="2" customFormat="1" ht="19.899999999999999" customHeight="1" x14ac:dyDescent="0.2">
      <c r="A74" s="26" t="s">
        <v>34</v>
      </c>
      <c r="B74" s="40">
        <v>2350</v>
      </c>
      <c r="C74" s="40" t="s">
        <v>158</v>
      </c>
      <c r="D74" s="33" t="s">
        <v>47</v>
      </c>
      <c r="E74" s="27" t="s">
        <v>24</v>
      </c>
      <c r="F74" s="27">
        <f>F48+F49+F50+F53+F54+F55+F56+F60</f>
        <v>78578</v>
      </c>
      <c r="G74" s="34" t="s">
        <v>24</v>
      </c>
      <c r="H74" s="27">
        <f>H48+H49+H50+H53+H54+H55+H56+H60</f>
        <v>12200.6</v>
      </c>
      <c r="I74" s="194"/>
      <c r="J74" s="116"/>
      <c r="M74" s="116" t="s">
        <v>12</v>
      </c>
    </row>
    <row r="75" spans="1:13" s="2" customFormat="1" ht="19.899999999999999" customHeight="1" x14ac:dyDescent="0.2">
      <c r="A75" s="186" t="s">
        <v>79</v>
      </c>
      <c r="B75" s="186"/>
      <c r="C75" s="186"/>
      <c r="D75" s="186"/>
      <c r="E75" s="186"/>
      <c r="F75" s="186"/>
      <c r="G75" s="186"/>
      <c r="H75" s="186"/>
      <c r="I75" s="186"/>
      <c r="J75" s="50"/>
      <c r="K75" s="42"/>
      <c r="M75" s="2" t="s">
        <v>12</v>
      </c>
    </row>
    <row r="76" spans="1:13" s="2" customFormat="1" ht="5.0999999999999996" customHeight="1" x14ac:dyDescent="0.2">
      <c r="A76" s="45"/>
      <c r="B76" s="46"/>
      <c r="C76" s="46"/>
      <c r="D76" s="46"/>
      <c r="E76" s="46"/>
      <c r="F76" s="46"/>
      <c r="G76" s="46"/>
      <c r="H76" s="46"/>
      <c r="I76" s="64" t="s">
        <v>12</v>
      </c>
      <c r="J76" s="51"/>
      <c r="K76" s="42"/>
      <c r="M76" s="2" t="s">
        <v>12</v>
      </c>
    </row>
    <row r="77" spans="1:13" ht="20.100000000000001" customHeight="1" x14ac:dyDescent="0.2">
      <c r="A77" s="186" t="s">
        <v>67</v>
      </c>
      <c r="B77" s="186"/>
      <c r="C77" s="186"/>
      <c r="D77" s="186"/>
      <c r="E77" s="186"/>
      <c r="F77" s="186"/>
      <c r="G77" s="186"/>
      <c r="H77" s="186"/>
      <c r="I77" s="186"/>
      <c r="J77" s="53" t="s">
        <v>12</v>
      </c>
    </row>
    <row r="78" spans="1:13" ht="20.100000000000001" customHeight="1" x14ac:dyDescent="0.2">
      <c r="A78" s="24" t="s">
        <v>77</v>
      </c>
      <c r="B78" s="186" t="s">
        <v>149</v>
      </c>
      <c r="C78" s="186"/>
      <c r="D78" s="186"/>
      <c r="E78" s="186"/>
      <c r="F78" s="186"/>
      <c r="G78" s="186"/>
      <c r="H78" s="186"/>
      <c r="I78" s="186"/>
      <c r="J78" s="180" t="s">
        <v>12</v>
      </c>
    </row>
    <row r="79" spans="1:13" ht="20.100000000000001" customHeight="1" x14ac:dyDescent="0.2">
      <c r="A79" s="14" t="s">
        <v>17</v>
      </c>
      <c r="B79" s="187" t="s">
        <v>146</v>
      </c>
      <c r="C79" s="188"/>
      <c r="D79" s="188"/>
      <c r="E79" s="188"/>
      <c r="F79" s="188"/>
      <c r="G79" s="188"/>
      <c r="H79" s="188"/>
      <c r="I79" s="189"/>
      <c r="J79" s="121" t="s">
        <v>12</v>
      </c>
      <c r="K79" s="61"/>
    </row>
    <row r="80" spans="1:13" ht="35.1" customHeight="1" x14ac:dyDescent="0.2">
      <c r="A80" s="14" t="s">
        <v>16</v>
      </c>
      <c r="B80" s="183" t="s">
        <v>183</v>
      </c>
      <c r="C80" s="184"/>
      <c r="D80" s="184"/>
      <c r="E80" s="184"/>
      <c r="F80" s="184"/>
      <c r="G80" s="184"/>
      <c r="H80" s="184"/>
      <c r="I80" s="185"/>
      <c r="J80" s="52"/>
    </row>
    <row r="81" spans="1:12" ht="20.100000000000001" customHeight="1" x14ac:dyDescent="0.2">
      <c r="A81" s="14" t="s">
        <v>14</v>
      </c>
      <c r="B81" s="182" t="s">
        <v>147</v>
      </c>
      <c r="C81" s="182"/>
      <c r="D81" s="182"/>
      <c r="E81" s="182"/>
      <c r="F81" s="182"/>
      <c r="G81" s="182"/>
      <c r="H81" s="182"/>
      <c r="I81" s="182"/>
      <c r="J81" s="52"/>
    </row>
    <row r="82" spans="1:12" ht="35.1" customHeight="1" x14ac:dyDescent="0.2">
      <c r="A82" s="14" t="s">
        <v>8</v>
      </c>
      <c r="B82" s="183" t="s">
        <v>185</v>
      </c>
      <c r="C82" s="184"/>
      <c r="D82" s="184"/>
      <c r="E82" s="184"/>
      <c r="F82" s="184"/>
      <c r="G82" s="184"/>
      <c r="H82" s="184"/>
      <c r="I82" s="185"/>
      <c r="J82" s="52"/>
    </row>
    <row r="83" spans="1:12" ht="35.1" customHeight="1" x14ac:dyDescent="0.2">
      <c r="A83" s="14" t="s">
        <v>68</v>
      </c>
      <c r="B83" s="183" t="s">
        <v>185</v>
      </c>
      <c r="C83" s="184"/>
      <c r="D83" s="184"/>
      <c r="E83" s="184"/>
      <c r="F83" s="184"/>
      <c r="G83" s="184"/>
      <c r="H83" s="184"/>
      <c r="I83" s="185"/>
      <c r="J83" s="52"/>
      <c r="L83" s="4" t="s">
        <v>12</v>
      </c>
    </row>
    <row r="84" spans="1:12" ht="20.100000000000001" customHeight="1" x14ac:dyDescent="0.2">
      <c r="A84" s="14" t="s">
        <v>23</v>
      </c>
      <c r="B84" s="182" t="s">
        <v>148</v>
      </c>
      <c r="C84" s="182"/>
      <c r="D84" s="182"/>
      <c r="E84" s="182"/>
      <c r="F84" s="182"/>
      <c r="G84" s="182"/>
      <c r="H84" s="182"/>
      <c r="I84" s="182"/>
      <c r="J84" s="52"/>
    </row>
    <row r="85" spans="1:12" ht="20.100000000000001" customHeight="1" x14ac:dyDescent="0.2">
      <c r="A85" s="14" t="s">
        <v>7</v>
      </c>
      <c r="B85" s="182" t="s">
        <v>178</v>
      </c>
      <c r="C85" s="182"/>
      <c r="D85" s="182"/>
      <c r="E85" s="182"/>
      <c r="F85" s="182"/>
      <c r="G85" s="182"/>
      <c r="H85" s="182"/>
      <c r="I85" s="182"/>
      <c r="J85" s="52"/>
    </row>
    <row r="86" spans="1:12" ht="20.100000000000001" customHeight="1" x14ac:dyDescent="0.2">
      <c r="A86" s="26" t="s">
        <v>49</v>
      </c>
      <c r="B86" s="182" t="s">
        <v>170</v>
      </c>
      <c r="C86" s="182"/>
      <c r="D86" s="182"/>
      <c r="E86" s="182"/>
      <c r="F86" s="182"/>
      <c r="G86" s="182"/>
      <c r="H86" s="182"/>
      <c r="I86" s="182"/>
      <c r="J86" s="52"/>
    </row>
    <row r="87" spans="1:12" ht="20.100000000000001" customHeight="1" x14ac:dyDescent="0.2">
      <c r="A87" s="26" t="s">
        <v>69</v>
      </c>
      <c r="B87" s="182" t="s">
        <v>171</v>
      </c>
      <c r="C87" s="182"/>
      <c r="D87" s="182"/>
      <c r="E87" s="182"/>
      <c r="F87" s="182"/>
      <c r="G87" s="182"/>
      <c r="H87" s="182"/>
      <c r="I87" s="182"/>
      <c r="J87" s="55"/>
    </row>
    <row r="88" spans="1:12" ht="20.100000000000001" customHeight="1" x14ac:dyDescent="0.2">
      <c r="A88" s="26" t="s">
        <v>18</v>
      </c>
      <c r="B88" s="182" t="s">
        <v>172</v>
      </c>
      <c r="C88" s="182"/>
      <c r="D88" s="182"/>
      <c r="E88" s="182"/>
      <c r="F88" s="182"/>
      <c r="G88" s="182"/>
      <c r="H88" s="182"/>
      <c r="I88" s="182"/>
      <c r="J88" s="52"/>
    </row>
    <row r="89" spans="1:12" ht="20.100000000000001" customHeight="1" x14ac:dyDescent="0.2">
      <c r="A89" s="26" t="s">
        <v>3</v>
      </c>
      <c r="B89" s="182" t="s">
        <v>181</v>
      </c>
      <c r="C89" s="182"/>
      <c r="D89" s="182"/>
      <c r="E89" s="182"/>
      <c r="F89" s="182"/>
      <c r="G89" s="182"/>
      <c r="H89" s="182"/>
      <c r="I89" s="182"/>
      <c r="J89" s="52"/>
    </row>
    <row r="90" spans="1:12" ht="20.100000000000001" customHeight="1" x14ac:dyDescent="0.2">
      <c r="A90" s="26" t="s">
        <v>75</v>
      </c>
      <c r="B90" s="182" t="s">
        <v>179</v>
      </c>
      <c r="C90" s="182"/>
      <c r="D90" s="182"/>
      <c r="E90" s="182"/>
      <c r="F90" s="182"/>
      <c r="G90" s="182"/>
      <c r="H90" s="182"/>
      <c r="I90" s="182"/>
      <c r="J90" s="176" t="s">
        <v>12</v>
      </c>
    </row>
    <row r="91" spans="1:12" ht="20.100000000000001" customHeight="1" x14ac:dyDescent="0.2">
      <c r="A91" s="26" t="s">
        <v>19</v>
      </c>
      <c r="B91" s="182" t="s">
        <v>184</v>
      </c>
      <c r="C91" s="182"/>
      <c r="D91" s="182"/>
      <c r="E91" s="182"/>
      <c r="F91" s="182"/>
      <c r="G91" s="182"/>
      <c r="H91" s="182"/>
      <c r="I91" s="182"/>
    </row>
    <row r="92" spans="1:12" ht="20.100000000000001" customHeight="1" x14ac:dyDescent="0.2">
      <c r="A92" s="26" t="s">
        <v>63</v>
      </c>
      <c r="B92" s="182" t="s">
        <v>175</v>
      </c>
      <c r="C92" s="182"/>
      <c r="D92" s="182"/>
      <c r="E92" s="182"/>
      <c r="F92" s="182"/>
      <c r="G92" s="182"/>
      <c r="H92" s="182"/>
      <c r="I92" s="182"/>
    </row>
    <row r="93" spans="1:12" ht="15" customHeight="1" x14ac:dyDescent="0.2">
      <c r="A93" s="174"/>
      <c r="B93" s="175"/>
      <c r="C93" s="175"/>
      <c r="D93" s="175"/>
      <c r="E93" s="175"/>
      <c r="F93" s="175"/>
      <c r="G93" s="175"/>
      <c r="H93" s="175"/>
      <c r="I93" s="175"/>
    </row>
    <row r="94" spans="1:12" ht="110.25" customHeight="1" x14ac:dyDescent="0.2">
      <c r="A94" s="190" t="s">
        <v>187</v>
      </c>
      <c r="B94" s="190"/>
      <c r="C94" s="190"/>
      <c r="D94" s="190"/>
      <c r="E94" s="190"/>
      <c r="F94" s="190"/>
      <c r="G94" s="190"/>
      <c r="H94" s="190"/>
      <c r="I94" s="190"/>
      <c r="J94" s="180" t="s">
        <v>12</v>
      </c>
    </row>
    <row r="96" spans="1:12" ht="15" x14ac:dyDescent="0.2">
      <c r="A96" s="130" t="s">
        <v>12</v>
      </c>
    </row>
  </sheetData>
  <mergeCells count="29">
    <mergeCell ref="A94:I94"/>
    <mergeCell ref="C3:P3"/>
    <mergeCell ref="A75:I75"/>
    <mergeCell ref="B80:I80"/>
    <mergeCell ref="B81:I81"/>
    <mergeCell ref="B82:I82"/>
    <mergeCell ref="I70:I74"/>
    <mergeCell ref="A44:I44"/>
    <mergeCell ref="C4:P4"/>
    <mergeCell ref="C5:P5"/>
    <mergeCell ref="C6:P6"/>
    <mergeCell ref="C7:P7"/>
    <mergeCell ref="C8:P8"/>
    <mergeCell ref="A19:P19"/>
    <mergeCell ref="A27:P27"/>
    <mergeCell ref="A41:P41"/>
    <mergeCell ref="B83:I83"/>
    <mergeCell ref="B84:I84"/>
    <mergeCell ref="A77:I77"/>
    <mergeCell ref="B78:I78"/>
    <mergeCell ref="B79:I79"/>
    <mergeCell ref="B91:I91"/>
    <mergeCell ref="B92:I92"/>
    <mergeCell ref="B90:I90"/>
    <mergeCell ref="B85:I85"/>
    <mergeCell ref="B86:I86"/>
    <mergeCell ref="B87:I87"/>
    <mergeCell ref="B88:I88"/>
    <mergeCell ref="B89:I89"/>
  </mergeCells>
  <phoneticPr fontId="4" type="noConversion"/>
  <printOptions verticalCentered="1" gridLines="1"/>
  <pageMargins left="1" right="0.5" top="0.5" bottom="0.5" header="0" footer="0"/>
  <pageSetup paperSize="17" scale="37" orientation="portrait" r:id="rId1"/>
  <headerFooter alignWithMargins="0"/>
  <rowBreaks count="1" manualBreakCount="1">
    <brk id="43" max="16383" man="1"/>
  </rowBreaks>
  <colBreaks count="1" manualBreakCount="1">
    <brk id="7" max="9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1"/>
  <sheetViews>
    <sheetView workbookViewId="0">
      <selection sqref="A1:E1"/>
    </sheetView>
  </sheetViews>
  <sheetFormatPr defaultRowHeight="12.75" x14ac:dyDescent="0.2"/>
  <cols>
    <col min="1" max="1" width="18.7109375" customWidth="1"/>
    <col min="2" max="2" width="21.7109375" customWidth="1"/>
    <col min="3" max="9" width="18.7109375" customWidth="1"/>
    <col min="10" max="10" width="27.140625" customWidth="1"/>
    <col min="11" max="13" width="12.7109375" customWidth="1"/>
  </cols>
  <sheetData>
    <row r="1" spans="1:12" ht="18" x14ac:dyDescent="0.25">
      <c r="A1" s="204" t="s">
        <v>98</v>
      </c>
      <c r="B1" s="204"/>
      <c r="C1" s="204"/>
      <c r="D1" s="204"/>
      <c r="E1" s="204"/>
      <c r="F1" s="8"/>
      <c r="G1" s="8"/>
    </row>
    <row r="2" spans="1:12" ht="20.100000000000001" customHeight="1" x14ac:dyDescent="0.2">
      <c r="A2" s="195" t="s">
        <v>57</v>
      </c>
      <c r="B2" s="195"/>
      <c r="C2" s="195"/>
      <c r="D2" s="195"/>
      <c r="E2" s="195"/>
      <c r="F2" s="8"/>
      <c r="G2" s="8"/>
    </row>
    <row r="3" spans="1:12" ht="20.100000000000001" customHeight="1" x14ac:dyDescent="0.2">
      <c r="A3" s="195" t="s">
        <v>86</v>
      </c>
      <c r="B3" s="195"/>
      <c r="C3" s="195"/>
      <c r="D3" s="195"/>
      <c r="E3" s="195"/>
      <c r="F3" s="37"/>
      <c r="G3" s="37"/>
      <c r="H3" s="37"/>
    </row>
    <row r="4" spans="1:12" ht="20.100000000000001" customHeight="1" x14ac:dyDescent="0.2">
      <c r="A4" s="195" t="s">
        <v>159</v>
      </c>
      <c r="B4" s="195"/>
      <c r="C4" s="195"/>
      <c r="D4" s="195"/>
      <c r="E4" s="76">
        <v>6.59E-2</v>
      </c>
      <c r="F4" s="37"/>
      <c r="G4" s="37"/>
      <c r="H4" s="8"/>
    </row>
    <row r="5" spans="1:12" ht="20.100000000000001" customHeight="1" x14ac:dyDescent="0.2">
      <c r="A5" s="201" t="s">
        <v>54</v>
      </c>
      <c r="B5" s="201"/>
      <c r="C5" s="201"/>
      <c r="D5" s="201"/>
      <c r="E5" s="201"/>
      <c r="F5" s="8"/>
      <c r="G5" s="8"/>
    </row>
    <row r="6" spans="1:12" ht="20.100000000000001" customHeight="1" x14ac:dyDescent="0.2">
      <c r="A6" s="201" t="s">
        <v>55</v>
      </c>
      <c r="B6" s="201"/>
      <c r="C6" s="201"/>
      <c r="D6" s="201"/>
      <c r="E6" s="201"/>
      <c r="F6" s="8"/>
      <c r="G6" s="8"/>
    </row>
    <row r="7" spans="1:12" ht="20.100000000000001" customHeight="1" x14ac:dyDescent="0.2">
      <c r="A7" s="200" t="s">
        <v>80</v>
      </c>
      <c r="B7" s="200"/>
      <c r="C7" s="200"/>
      <c r="D7" s="200"/>
      <c r="E7" s="200"/>
      <c r="F7" s="49"/>
      <c r="G7" s="8"/>
      <c r="I7" s="28" t="s">
        <v>12</v>
      </c>
    </row>
    <row r="8" spans="1:12" ht="20.100000000000001" customHeight="1" x14ac:dyDescent="0.2">
      <c r="A8" s="201" t="s">
        <v>56</v>
      </c>
      <c r="B8" s="201"/>
      <c r="C8" s="201"/>
      <c r="D8" s="201"/>
      <c r="E8" s="201"/>
      <c r="F8" s="8"/>
      <c r="G8" s="8"/>
      <c r="H8" s="30" t="s">
        <v>12</v>
      </c>
    </row>
    <row r="9" spans="1:12" ht="13.5" thickBot="1" x14ac:dyDescent="0.25">
      <c r="C9" s="63" t="s">
        <v>12</v>
      </c>
      <c r="F9" s="62" t="s">
        <v>12</v>
      </c>
    </row>
    <row r="10" spans="1:12" ht="75" customHeight="1" thickBot="1" x14ac:dyDescent="0.25">
      <c r="A10" s="77" t="s">
        <v>81</v>
      </c>
      <c r="B10" s="78" t="s">
        <v>93</v>
      </c>
      <c r="C10" s="78" t="s">
        <v>96</v>
      </c>
      <c r="D10" s="78" t="s">
        <v>97</v>
      </c>
      <c r="E10" s="78" t="s">
        <v>73</v>
      </c>
      <c r="F10" s="78" t="s">
        <v>99</v>
      </c>
      <c r="G10" s="78" t="s">
        <v>84</v>
      </c>
      <c r="H10" s="78" t="s">
        <v>85</v>
      </c>
      <c r="I10" s="78" t="s">
        <v>83</v>
      </c>
      <c r="J10" s="79" t="s">
        <v>89</v>
      </c>
      <c r="L10" s="60" t="s">
        <v>12</v>
      </c>
    </row>
    <row r="11" spans="1:12" ht="15.95" customHeight="1" x14ac:dyDescent="0.25">
      <c r="A11" s="80" t="s">
        <v>50</v>
      </c>
      <c r="B11" s="81">
        <v>133332.11979219789</v>
      </c>
      <c r="C11" s="82">
        <v>1.0073331963626233</v>
      </c>
      <c r="D11" s="83">
        <f>B11*C11</f>
        <v>134309.87040807889</v>
      </c>
      <c r="E11" s="84">
        <f>ROUND(D11/(365*(1-$E$4)),2)</f>
        <v>393.93</v>
      </c>
      <c r="F11" s="85"/>
      <c r="G11" s="85"/>
      <c r="H11" s="85"/>
      <c r="I11" s="86"/>
      <c r="J11" s="87"/>
      <c r="L11" s="60" t="s">
        <v>12</v>
      </c>
    </row>
    <row r="12" spans="1:12" ht="15.95" customHeight="1" x14ac:dyDescent="0.2">
      <c r="A12" s="88" t="s">
        <v>2</v>
      </c>
      <c r="B12" s="75" t="s">
        <v>12</v>
      </c>
      <c r="C12" s="9" t="s">
        <v>12</v>
      </c>
      <c r="D12" s="9" t="s">
        <v>12</v>
      </c>
      <c r="E12" s="7">
        <f t="shared" ref="E12:E18" si="0">$E$11</f>
        <v>393.93</v>
      </c>
      <c r="F12" s="29">
        <v>29791</v>
      </c>
      <c r="G12" s="6">
        <v>2199</v>
      </c>
      <c r="H12" s="7">
        <f>($D$11-F12-G12)/365</f>
        <v>280.32841207692849</v>
      </c>
      <c r="I12" s="7">
        <f>ROUND(H12/(1-$E$4),2)</f>
        <v>300.11</v>
      </c>
      <c r="J12" s="89"/>
      <c r="L12" s="60" t="s">
        <v>12</v>
      </c>
    </row>
    <row r="13" spans="1:12" ht="15.95" customHeight="1" x14ac:dyDescent="0.2">
      <c r="A13" s="88" t="s">
        <v>1</v>
      </c>
      <c r="B13" s="75" t="s">
        <v>12</v>
      </c>
      <c r="C13" s="9" t="s">
        <v>12</v>
      </c>
      <c r="D13" s="9" t="s">
        <v>12</v>
      </c>
      <c r="E13" s="7">
        <f t="shared" si="0"/>
        <v>393.93</v>
      </c>
      <c r="F13" s="29">
        <v>45179</v>
      </c>
      <c r="G13" s="6">
        <v>2199</v>
      </c>
      <c r="H13" s="7">
        <f t="shared" ref="H13:H17" si="1">($D$11-F13-G13)/365</f>
        <v>238.16950796733943</v>
      </c>
      <c r="I13" s="7">
        <f t="shared" ref="I13:I16" si="2">ROUND(H13/(1-$E$4),2)</f>
        <v>254.97</v>
      </c>
      <c r="J13" s="90" t="s">
        <v>43</v>
      </c>
      <c r="L13" t="s">
        <v>12</v>
      </c>
    </row>
    <row r="14" spans="1:12" ht="15.95" customHeight="1" x14ac:dyDescent="0.2">
      <c r="A14" s="88" t="s">
        <v>5</v>
      </c>
      <c r="B14" s="75" t="s">
        <v>12</v>
      </c>
      <c r="C14" s="9" t="s">
        <v>12</v>
      </c>
      <c r="D14" s="9" t="s">
        <v>12</v>
      </c>
      <c r="E14" s="7">
        <f t="shared" si="0"/>
        <v>393.93</v>
      </c>
      <c r="F14" s="29">
        <v>42785</v>
      </c>
      <c r="G14" s="6">
        <v>2199</v>
      </c>
      <c r="H14" s="7">
        <f t="shared" si="1"/>
        <v>244.72841207692846</v>
      </c>
      <c r="I14" s="7">
        <f t="shared" si="2"/>
        <v>261.99</v>
      </c>
      <c r="J14" s="89"/>
      <c r="L14" t="s">
        <v>12</v>
      </c>
    </row>
    <row r="15" spans="1:12" ht="15.95" customHeight="1" x14ac:dyDescent="0.2">
      <c r="A15" s="88" t="s">
        <v>82</v>
      </c>
      <c r="B15" s="75" t="s">
        <v>12</v>
      </c>
      <c r="C15" s="9" t="s">
        <v>12</v>
      </c>
      <c r="D15" s="9" t="s">
        <v>12</v>
      </c>
      <c r="E15" s="7">
        <f t="shared" si="0"/>
        <v>393.93</v>
      </c>
      <c r="F15" s="29">
        <v>39239</v>
      </c>
      <c r="G15" s="6">
        <v>2199</v>
      </c>
      <c r="H15" s="7">
        <f t="shared" si="1"/>
        <v>254.44348057007915</v>
      </c>
      <c r="I15" s="7">
        <f t="shared" si="2"/>
        <v>272.39</v>
      </c>
      <c r="J15" s="89"/>
      <c r="L15" t="s">
        <v>12</v>
      </c>
    </row>
    <row r="16" spans="1:12" ht="15.95" customHeight="1" x14ac:dyDescent="0.2">
      <c r="A16" s="88" t="s">
        <v>65</v>
      </c>
      <c r="B16" s="75" t="s">
        <v>12</v>
      </c>
      <c r="C16" s="9" t="s">
        <v>12</v>
      </c>
      <c r="D16" s="9" t="s">
        <v>12</v>
      </c>
      <c r="E16" s="7">
        <f t="shared" si="0"/>
        <v>393.93</v>
      </c>
      <c r="F16" s="29">
        <v>27469</v>
      </c>
      <c r="G16" s="6">
        <v>2199</v>
      </c>
      <c r="H16" s="7">
        <f t="shared" si="1"/>
        <v>286.69005591254489</v>
      </c>
      <c r="I16" s="7">
        <f t="shared" si="2"/>
        <v>306.92</v>
      </c>
      <c r="J16" s="91" t="s">
        <v>90</v>
      </c>
      <c r="L16" t="s">
        <v>12</v>
      </c>
    </row>
    <row r="17" spans="1:12" ht="15.95" customHeight="1" x14ac:dyDescent="0.2">
      <c r="A17" s="88" t="s">
        <v>40</v>
      </c>
      <c r="B17" s="75" t="s">
        <v>12</v>
      </c>
      <c r="C17" s="9" t="s">
        <v>12</v>
      </c>
      <c r="D17" s="9" t="s">
        <v>12</v>
      </c>
      <c r="E17" s="7">
        <f t="shared" si="0"/>
        <v>393.93</v>
      </c>
      <c r="F17" s="29">
        <v>29070</v>
      </c>
      <c r="G17" s="6">
        <v>2199</v>
      </c>
      <c r="H17" s="7">
        <f t="shared" si="1"/>
        <v>282.30375454268187</v>
      </c>
      <c r="I17" s="7">
        <f>ROUND(H17/(1-$E$4),2)</f>
        <v>302.22000000000003</v>
      </c>
      <c r="J17" s="89"/>
      <c r="L17" t="s">
        <v>12</v>
      </c>
    </row>
    <row r="18" spans="1:12" ht="15.95" customHeight="1" thickBot="1" x14ac:dyDescent="0.25">
      <c r="A18" s="92" t="s">
        <v>16</v>
      </c>
      <c r="B18" s="93" t="s">
        <v>12</v>
      </c>
      <c r="C18" s="94" t="s">
        <v>12</v>
      </c>
      <c r="D18" s="94" t="s">
        <v>12</v>
      </c>
      <c r="E18" s="95">
        <f t="shared" si="0"/>
        <v>393.93</v>
      </c>
      <c r="F18" s="96" t="s">
        <v>12</v>
      </c>
      <c r="G18" s="97" t="s">
        <v>12</v>
      </c>
      <c r="H18" s="95">
        <f>ROUND(I18*(1-$E$4),2)</f>
        <v>264.44</v>
      </c>
      <c r="I18" s="95">
        <f>ROUND(AVERAGE(I12:I17),2)</f>
        <v>283.10000000000002</v>
      </c>
      <c r="J18" s="98" t="s">
        <v>16</v>
      </c>
      <c r="L18" t="s">
        <v>12</v>
      </c>
    </row>
    <row r="19" spans="1:12" ht="15.95" customHeight="1" x14ac:dyDescent="0.25">
      <c r="A19" s="80" t="s">
        <v>51</v>
      </c>
      <c r="B19" s="81">
        <v>134299.08849295776</v>
      </c>
      <c r="C19" s="82">
        <v>1.0181235625894709</v>
      </c>
      <c r="D19" s="83">
        <f>B19*C19</f>
        <v>136733.06642896877</v>
      </c>
      <c r="E19" s="84">
        <f>ROUND(D19/(365*(1-$E$4)),2)</f>
        <v>401.04</v>
      </c>
      <c r="F19" s="99"/>
      <c r="G19" s="100"/>
      <c r="H19" s="84"/>
      <c r="I19" s="101" t="s">
        <v>12</v>
      </c>
      <c r="J19" s="87"/>
      <c r="L19" s="60" t="s">
        <v>12</v>
      </c>
    </row>
    <row r="20" spans="1:12" ht="15.95" customHeight="1" x14ac:dyDescent="0.2">
      <c r="A20" s="88" t="s">
        <v>3</v>
      </c>
      <c r="B20" s="75" t="s">
        <v>12</v>
      </c>
      <c r="C20" s="9" t="s">
        <v>12</v>
      </c>
      <c r="D20" s="9" t="s">
        <v>12</v>
      </c>
      <c r="E20" s="7">
        <f>$E$19</f>
        <v>401.04</v>
      </c>
      <c r="F20" s="29">
        <v>73732</v>
      </c>
      <c r="G20" s="6">
        <v>2199</v>
      </c>
      <c r="H20" s="7">
        <f>($D$19-F20-G20)/365</f>
        <v>166.58100391498294</v>
      </c>
      <c r="I20" s="7">
        <f>ROUND(H20/(1-$E$4),2)</f>
        <v>178.33</v>
      </c>
      <c r="J20" s="91" t="s">
        <v>3</v>
      </c>
      <c r="L20" t="s">
        <v>12</v>
      </c>
    </row>
    <row r="21" spans="1:12" ht="15.95" customHeight="1" x14ac:dyDescent="0.2">
      <c r="A21" s="88" t="s">
        <v>7</v>
      </c>
      <c r="B21" s="75"/>
      <c r="C21" s="9"/>
      <c r="D21" s="9"/>
      <c r="E21" s="7">
        <f>$E$19</f>
        <v>401.04</v>
      </c>
      <c r="F21" s="29">
        <v>57299</v>
      </c>
      <c r="G21" s="6">
        <v>2199</v>
      </c>
      <c r="H21" s="7">
        <f>($D$19-F21-G21)/365</f>
        <v>211.60292172320212</v>
      </c>
      <c r="I21" s="7">
        <f>ROUND(H21/(1-$E$4),2)</f>
        <v>226.53</v>
      </c>
      <c r="J21" s="91" t="s">
        <v>7</v>
      </c>
    </row>
    <row r="22" spans="1:12" ht="15.95" customHeight="1" thickBot="1" x14ac:dyDescent="0.25">
      <c r="A22" s="92" t="s">
        <v>14</v>
      </c>
      <c r="B22" s="93"/>
      <c r="C22" s="94"/>
      <c r="D22" s="94"/>
      <c r="E22" s="95">
        <f>$E$19</f>
        <v>401.04</v>
      </c>
      <c r="F22" s="96"/>
      <c r="G22" s="97" t="s">
        <v>12</v>
      </c>
      <c r="H22" s="95">
        <f>ROUND(I22*(1-$E$4),2)</f>
        <v>189.09</v>
      </c>
      <c r="I22" s="95">
        <f>ROUND(AVERAGE(I20:I21),2)</f>
        <v>202.43</v>
      </c>
      <c r="J22" s="98" t="s">
        <v>14</v>
      </c>
    </row>
    <row r="23" spans="1:12" ht="15.95" customHeight="1" x14ac:dyDescent="0.25">
      <c r="A23" s="80" t="s">
        <v>53</v>
      </c>
      <c r="B23" s="81">
        <v>134310.93793014713</v>
      </c>
      <c r="C23" s="82">
        <v>0.99369914444451979</v>
      </c>
      <c r="D23" s="83">
        <f>B23*C23</f>
        <v>133464.66411072822</v>
      </c>
      <c r="E23" s="84">
        <f>ROUND(D23/(365*(1-$E$4)),2)</f>
        <v>391.45</v>
      </c>
      <c r="F23" s="99"/>
      <c r="G23" s="100" t="s">
        <v>12</v>
      </c>
      <c r="H23" s="84"/>
      <c r="I23" s="101"/>
      <c r="J23" s="87"/>
      <c r="L23" s="60" t="s">
        <v>12</v>
      </c>
    </row>
    <row r="24" spans="1:12" ht="15.95" customHeight="1" x14ac:dyDescent="0.2">
      <c r="A24" s="88" t="s">
        <v>21</v>
      </c>
      <c r="B24" s="75" t="s">
        <v>12</v>
      </c>
      <c r="C24" s="9" t="s">
        <v>12</v>
      </c>
      <c r="D24" s="9" t="s">
        <v>12</v>
      </c>
      <c r="E24" s="7">
        <f>$E$23</f>
        <v>391.45</v>
      </c>
      <c r="F24" s="29">
        <v>40581</v>
      </c>
      <c r="G24" s="6">
        <v>2199</v>
      </c>
      <c r="H24" s="7">
        <f>($D$23-F24-G24)/365</f>
        <v>248.45113454994032</v>
      </c>
      <c r="I24" s="7">
        <f>ROUND(H24/(1-$E$4),2)</f>
        <v>265.98</v>
      </c>
      <c r="J24" s="89"/>
      <c r="L24" t="s">
        <v>12</v>
      </c>
    </row>
    <row r="25" spans="1:12" ht="15.95" customHeight="1" x14ac:dyDescent="0.2">
      <c r="A25" s="88" t="s">
        <v>66</v>
      </c>
      <c r="B25" s="75"/>
      <c r="C25" s="9"/>
      <c r="D25" s="9"/>
      <c r="E25" s="7">
        <f>$E$23</f>
        <v>391.45</v>
      </c>
      <c r="F25" s="29">
        <v>83670</v>
      </c>
      <c r="G25" s="6">
        <v>2199</v>
      </c>
      <c r="H25" s="7">
        <f t="shared" ref="H25:H26" si="3">($D$23-F25-G25)/365</f>
        <v>130.39907975541979</v>
      </c>
      <c r="I25" s="7">
        <f>ROUND(H25/(1-$E$4),2)</f>
        <v>139.6</v>
      </c>
      <c r="J25" s="89"/>
    </row>
    <row r="26" spans="1:12" ht="15.95" customHeight="1" x14ac:dyDescent="0.2">
      <c r="A26" s="88" t="s">
        <v>64</v>
      </c>
      <c r="B26" s="75"/>
      <c r="C26" s="9"/>
      <c r="D26" s="9"/>
      <c r="E26" s="7">
        <f>$E$23</f>
        <v>391.45</v>
      </c>
      <c r="F26" s="29">
        <v>40121</v>
      </c>
      <c r="G26" s="6">
        <v>2199</v>
      </c>
      <c r="H26" s="7">
        <f t="shared" si="3"/>
        <v>249.71140852254305</v>
      </c>
      <c r="I26" s="7">
        <f t="shared" ref="I26" si="4">ROUND(H26/(1-$E$4),2)</f>
        <v>267.33</v>
      </c>
      <c r="J26" s="91" t="s">
        <v>64</v>
      </c>
    </row>
    <row r="27" spans="1:12" ht="15.95" customHeight="1" thickBot="1" x14ac:dyDescent="0.25">
      <c r="A27" s="92" t="s">
        <v>17</v>
      </c>
      <c r="B27" s="93" t="s">
        <v>12</v>
      </c>
      <c r="C27" s="94" t="s">
        <v>12</v>
      </c>
      <c r="D27" s="94" t="s">
        <v>12</v>
      </c>
      <c r="E27" s="95">
        <f>ROUND(AVERAGE(E12,E13,E14,E15,E16,E17,E20,E21,E24,E25,E26),2)</f>
        <v>394.55</v>
      </c>
      <c r="F27" s="96"/>
      <c r="G27" s="97" t="s">
        <v>12</v>
      </c>
      <c r="H27" s="95">
        <f>ROUND(I27*(1-$E$4),2)</f>
        <v>235.77</v>
      </c>
      <c r="I27" s="95">
        <f>ROUND(AVERAGE(I12,I13,I14,I15,I16,I17,I20,I21,I24,I25,I26),2)</f>
        <v>252.4</v>
      </c>
      <c r="J27" s="98" t="s">
        <v>17</v>
      </c>
      <c r="K27" s="59" t="s">
        <v>12</v>
      </c>
      <c r="L27" t="s">
        <v>12</v>
      </c>
    </row>
    <row r="28" spans="1:12" ht="15.95" customHeight="1" x14ac:dyDescent="0.25">
      <c r="A28" s="80" t="s">
        <v>52</v>
      </c>
      <c r="B28" s="81">
        <v>132664.77234182137</v>
      </c>
      <c r="C28" s="82">
        <v>1.0056422189566405</v>
      </c>
      <c r="D28" s="83">
        <f>B28*C28</f>
        <v>133413.29603520679</v>
      </c>
      <c r="E28" s="84">
        <f>ROUND(D28/(365*(1-$E$4)),2)</f>
        <v>391.3</v>
      </c>
      <c r="F28" s="99"/>
      <c r="G28" s="100" t="s">
        <v>12</v>
      </c>
      <c r="H28" s="84"/>
      <c r="I28" s="101"/>
      <c r="J28" s="87"/>
      <c r="L28" s="60" t="s">
        <v>12</v>
      </c>
    </row>
    <row r="29" spans="1:12" ht="15.95" customHeight="1" x14ac:dyDescent="0.2">
      <c r="A29" s="102" t="s">
        <v>62</v>
      </c>
      <c r="B29" s="9"/>
      <c r="C29" s="9"/>
      <c r="D29" s="9"/>
      <c r="E29" s="7">
        <f>$E$28</f>
        <v>391.3</v>
      </c>
      <c r="F29" s="29">
        <v>35572</v>
      </c>
      <c r="G29" s="6">
        <v>2199</v>
      </c>
      <c r="H29" s="7">
        <f>($D$28-F29-G29)/365</f>
        <v>262.03368776768986</v>
      </c>
      <c r="I29" s="7">
        <f t="shared" ref="I29:I34" si="5">ROUND(H29/(1-$E$4),2)</f>
        <v>280.52</v>
      </c>
      <c r="J29" s="89"/>
    </row>
    <row r="30" spans="1:12" ht="15.95" customHeight="1" x14ac:dyDescent="0.2">
      <c r="A30" s="102" t="s">
        <v>0</v>
      </c>
      <c r="B30" s="9"/>
      <c r="C30" s="9"/>
      <c r="D30" s="9"/>
      <c r="E30" s="7">
        <f t="shared" ref="E30:E37" si="6">$E$28</f>
        <v>391.3</v>
      </c>
      <c r="F30" s="29">
        <v>47208</v>
      </c>
      <c r="G30" s="6">
        <v>2199</v>
      </c>
      <c r="H30" s="7">
        <f t="shared" ref="H30:H37" si="7">($D$28-F30-G30)/365</f>
        <v>230.15423571289531</v>
      </c>
      <c r="I30" s="7">
        <f t="shared" si="5"/>
        <v>246.39</v>
      </c>
      <c r="J30" s="89"/>
    </row>
    <row r="31" spans="1:12" ht="15.95" customHeight="1" x14ac:dyDescent="0.2">
      <c r="A31" s="88" t="s">
        <v>49</v>
      </c>
      <c r="B31" s="9" t="s">
        <v>12</v>
      </c>
      <c r="C31" s="9" t="s">
        <v>12</v>
      </c>
      <c r="D31" s="9" t="s">
        <v>12</v>
      </c>
      <c r="E31" s="7">
        <f t="shared" si="6"/>
        <v>391.3</v>
      </c>
      <c r="F31" s="29">
        <v>42168</v>
      </c>
      <c r="G31" s="6">
        <v>2199</v>
      </c>
      <c r="H31" s="7">
        <f t="shared" si="7"/>
        <v>243.96245489097751</v>
      </c>
      <c r="I31" s="7">
        <f t="shared" si="5"/>
        <v>261.17</v>
      </c>
      <c r="J31" s="91" t="s">
        <v>91</v>
      </c>
    </row>
    <row r="32" spans="1:12" ht="15.95" customHeight="1" x14ac:dyDescent="0.2">
      <c r="A32" s="88" t="s">
        <v>18</v>
      </c>
      <c r="B32" s="9"/>
      <c r="C32" s="9"/>
      <c r="D32" s="9"/>
      <c r="E32" s="7">
        <f t="shared" si="6"/>
        <v>391.3</v>
      </c>
      <c r="F32" s="29">
        <v>18768</v>
      </c>
      <c r="G32" s="6">
        <v>2199</v>
      </c>
      <c r="H32" s="7">
        <f t="shared" si="7"/>
        <v>308.07204393207337</v>
      </c>
      <c r="I32" s="7">
        <f t="shared" si="5"/>
        <v>329.81</v>
      </c>
      <c r="J32" s="91" t="s">
        <v>18</v>
      </c>
    </row>
    <row r="33" spans="1:11" ht="15.95" customHeight="1" x14ac:dyDescent="0.2">
      <c r="A33" s="88" t="s">
        <v>19</v>
      </c>
      <c r="B33" s="9"/>
      <c r="C33" s="9"/>
      <c r="D33" s="9"/>
      <c r="E33" s="7">
        <f t="shared" si="6"/>
        <v>391.3</v>
      </c>
      <c r="F33" s="29">
        <v>38088</v>
      </c>
      <c r="G33" s="6">
        <v>2199</v>
      </c>
      <c r="H33" s="7">
        <f t="shared" si="7"/>
        <v>255.14053708275833</v>
      </c>
      <c r="I33" s="7">
        <f t="shared" si="5"/>
        <v>273.14</v>
      </c>
      <c r="J33" s="90" t="s">
        <v>19</v>
      </c>
    </row>
    <row r="34" spans="1:11" ht="15.95" customHeight="1" x14ac:dyDescent="0.2">
      <c r="A34" s="88" t="s">
        <v>63</v>
      </c>
      <c r="B34" s="9"/>
      <c r="C34" s="9"/>
      <c r="D34" s="9"/>
      <c r="E34" s="7">
        <f t="shared" si="6"/>
        <v>391.3</v>
      </c>
      <c r="F34" s="29">
        <v>34910</v>
      </c>
      <c r="G34" s="6">
        <v>2199</v>
      </c>
      <c r="H34" s="7">
        <f t="shared" si="7"/>
        <v>263.84738639782682</v>
      </c>
      <c r="I34" s="7">
        <f t="shared" si="5"/>
        <v>282.45999999999998</v>
      </c>
      <c r="J34" s="90" t="s">
        <v>63</v>
      </c>
      <c r="K34" s="167" t="s">
        <v>12</v>
      </c>
    </row>
    <row r="35" spans="1:11" ht="15.95" customHeight="1" x14ac:dyDescent="0.2">
      <c r="A35" s="88" t="s">
        <v>4</v>
      </c>
      <c r="B35" s="9"/>
      <c r="C35" s="9"/>
      <c r="D35" s="9"/>
      <c r="E35" s="7">
        <f t="shared" si="6"/>
        <v>391.3</v>
      </c>
      <c r="F35" s="29">
        <v>33774</v>
      </c>
      <c r="G35" s="6">
        <v>2199</v>
      </c>
      <c r="H35" s="7">
        <f t="shared" si="7"/>
        <v>266.95971516495013</v>
      </c>
      <c r="I35" s="7">
        <f t="shared" ref="I35:I37" si="8">ROUND(H35/(1-$E$4),2)</f>
        <v>285.79000000000002</v>
      </c>
      <c r="J35" s="89"/>
    </row>
    <row r="36" spans="1:11" ht="15.95" customHeight="1" x14ac:dyDescent="0.2">
      <c r="A36" s="88" t="s">
        <v>20</v>
      </c>
      <c r="B36" s="9"/>
      <c r="C36" s="9"/>
      <c r="D36" s="9"/>
      <c r="E36" s="7">
        <f t="shared" si="6"/>
        <v>391.3</v>
      </c>
      <c r="F36" s="29">
        <v>30025</v>
      </c>
      <c r="G36" s="6">
        <v>2199</v>
      </c>
      <c r="H36" s="7">
        <f t="shared" si="7"/>
        <v>277.23094804166243</v>
      </c>
      <c r="I36" s="7">
        <f t="shared" si="8"/>
        <v>296.79000000000002</v>
      </c>
      <c r="J36" s="89"/>
    </row>
    <row r="37" spans="1:11" ht="15.95" customHeight="1" thickBot="1" x14ac:dyDescent="0.25">
      <c r="A37" s="103" t="s">
        <v>70</v>
      </c>
      <c r="B37" s="94"/>
      <c r="C37" s="94"/>
      <c r="D37" s="94"/>
      <c r="E37" s="95">
        <f t="shared" si="6"/>
        <v>391.3</v>
      </c>
      <c r="F37" s="96">
        <v>30296</v>
      </c>
      <c r="G37" s="97">
        <v>2199</v>
      </c>
      <c r="H37" s="95">
        <f t="shared" si="7"/>
        <v>276.48848228823778</v>
      </c>
      <c r="I37" s="95">
        <f t="shared" si="8"/>
        <v>295.99</v>
      </c>
      <c r="J37" s="104"/>
    </row>
    <row r="38" spans="1:11" ht="15.95" customHeight="1" thickBot="1" x14ac:dyDescent="0.25">
      <c r="A38" s="105" t="s">
        <v>13</v>
      </c>
      <c r="B38" s="106">
        <f>AVERAGE(B11,B19,B23,B28)</f>
        <v>133651.72963928102</v>
      </c>
      <c r="C38" s="106" t="s">
        <v>12</v>
      </c>
      <c r="D38" s="106">
        <f>AVERAGE(D11,D19,D23,D28)</f>
        <v>134480.22424574566</v>
      </c>
      <c r="E38" s="107">
        <f>ROUND(D38/(365*(1-$E$4)),2)</f>
        <v>394.43</v>
      </c>
      <c r="F38" s="108">
        <v>32402</v>
      </c>
      <c r="G38" s="109">
        <f>G31</f>
        <v>2199</v>
      </c>
      <c r="H38" s="107">
        <f>($D$38-F38-G38)/365</f>
        <v>273.64171026231685</v>
      </c>
      <c r="I38" s="107">
        <f>ROUND(H38/(1-$E$4),2)</f>
        <v>292.95</v>
      </c>
      <c r="J38" s="110" t="s">
        <v>13</v>
      </c>
    </row>
    <row r="39" spans="1:11" ht="20.100000000000001" customHeight="1" x14ac:dyDescent="0.2">
      <c r="A39" s="202" t="s">
        <v>12</v>
      </c>
      <c r="B39" s="203"/>
      <c r="C39" s="203"/>
      <c r="D39" s="203"/>
      <c r="E39" s="203"/>
      <c r="F39" s="203"/>
      <c r="G39" s="203"/>
      <c r="H39" s="203"/>
    </row>
    <row r="43" spans="1:11" x14ac:dyDescent="0.2">
      <c r="E43" s="57"/>
      <c r="F43" s="57"/>
      <c r="I43" s="57"/>
    </row>
    <row r="44" spans="1:11" x14ac:dyDescent="0.2">
      <c r="B44" s="57"/>
      <c r="C44" s="57"/>
      <c r="E44" s="57"/>
      <c r="F44" s="57"/>
      <c r="I44" s="57"/>
    </row>
    <row r="45" spans="1:11" x14ac:dyDescent="0.2">
      <c r="B45" s="57"/>
      <c r="C45" s="57"/>
      <c r="E45" s="57"/>
      <c r="F45" s="57"/>
      <c r="I45" s="57"/>
    </row>
    <row r="46" spans="1:11" x14ac:dyDescent="0.2">
      <c r="B46" s="57"/>
      <c r="C46" s="57"/>
      <c r="E46" s="57"/>
      <c r="F46" s="57"/>
      <c r="I46" s="57"/>
    </row>
    <row r="47" spans="1:11" x14ac:dyDescent="0.2">
      <c r="B47" s="57"/>
      <c r="C47" s="57"/>
      <c r="E47" s="57"/>
      <c r="F47" s="57"/>
      <c r="I47" s="57"/>
    </row>
    <row r="48" spans="1:11" x14ac:dyDescent="0.2">
      <c r="B48" s="57"/>
      <c r="C48" s="57"/>
      <c r="E48" s="57"/>
      <c r="F48" s="57"/>
      <c r="I48" s="57"/>
    </row>
    <row r="49" spans="2:9" x14ac:dyDescent="0.2">
      <c r="B49" s="57"/>
      <c r="C49" s="57"/>
      <c r="E49" s="57"/>
      <c r="F49" s="57"/>
      <c r="I49" s="57"/>
    </row>
    <row r="50" spans="2:9" x14ac:dyDescent="0.2">
      <c r="B50" s="57"/>
      <c r="C50" s="57"/>
      <c r="E50" s="57"/>
      <c r="F50" s="57"/>
      <c r="I50" s="57"/>
    </row>
    <row r="51" spans="2:9" x14ac:dyDescent="0.2">
      <c r="B51" s="57"/>
      <c r="C51" s="57"/>
      <c r="E51" s="57"/>
      <c r="F51" s="57"/>
      <c r="I51" s="57"/>
    </row>
    <row r="52" spans="2:9" x14ac:dyDescent="0.2">
      <c r="B52" s="57"/>
      <c r="C52" s="57"/>
      <c r="E52" s="57"/>
      <c r="F52" s="57"/>
      <c r="I52" s="57"/>
    </row>
    <row r="53" spans="2:9" x14ac:dyDescent="0.2">
      <c r="B53" s="57"/>
      <c r="C53" s="57"/>
      <c r="E53" s="57"/>
      <c r="F53" s="57"/>
      <c r="I53" s="57"/>
    </row>
    <row r="54" spans="2:9" x14ac:dyDescent="0.2">
      <c r="B54" s="57"/>
      <c r="C54" s="57"/>
      <c r="E54" s="57"/>
      <c r="F54" s="57"/>
      <c r="I54" s="57"/>
    </row>
    <row r="55" spans="2:9" x14ac:dyDescent="0.2">
      <c r="B55" s="57"/>
      <c r="C55" s="57"/>
      <c r="E55" s="57"/>
      <c r="F55" s="57"/>
      <c r="I55" s="57"/>
    </row>
    <row r="56" spans="2:9" x14ac:dyDescent="0.2">
      <c r="B56" s="57"/>
      <c r="C56" s="57"/>
      <c r="E56" s="57"/>
      <c r="F56" s="57"/>
      <c r="I56" s="57"/>
    </row>
    <row r="57" spans="2:9" x14ac:dyDescent="0.2">
      <c r="B57" s="57"/>
      <c r="C57" s="57"/>
      <c r="E57" s="57"/>
      <c r="F57" s="57"/>
      <c r="I57" s="57"/>
    </row>
    <row r="58" spans="2:9" x14ac:dyDescent="0.2">
      <c r="B58" s="57"/>
      <c r="C58" s="57"/>
      <c r="E58" s="57"/>
      <c r="F58" s="57"/>
      <c r="I58" s="57"/>
    </row>
    <row r="59" spans="2:9" x14ac:dyDescent="0.2">
      <c r="B59" s="57"/>
      <c r="C59" s="57"/>
      <c r="E59" s="57"/>
      <c r="F59" s="57"/>
      <c r="I59" s="57"/>
    </row>
    <row r="60" spans="2:9" x14ac:dyDescent="0.2">
      <c r="B60" s="57"/>
      <c r="C60" s="57"/>
      <c r="E60" s="57"/>
      <c r="F60" s="57"/>
      <c r="I60" s="57"/>
    </row>
    <row r="61" spans="2:9" x14ac:dyDescent="0.2">
      <c r="B61" s="57"/>
      <c r="C61" s="57"/>
      <c r="E61" s="57"/>
      <c r="F61" s="57"/>
      <c r="I61" s="57"/>
    </row>
    <row r="62" spans="2:9" x14ac:dyDescent="0.2">
      <c r="B62" s="57"/>
      <c r="C62" s="57"/>
      <c r="E62" s="57"/>
      <c r="F62" s="57"/>
      <c r="I62" s="57"/>
    </row>
    <row r="63" spans="2:9" x14ac:dyDescent="0.2">
      <c r="B63" s="57"/>
      <c r="C63" s="57"/>
      <c r="E63" s="57"/>
      <c r="F63" s="57"/>
      <c r="I63" s="57"/>
    </row>
    <row r="64" spans="2:9" x14ac:dyDescent="0.2">
      <c r="B64" s="57"/>
      <c r="C64" s="57"/>
      <c r="E64" s="57"/>
      <c r="F64" s="57"/>
      <c r="I64" s="57"/>
    </row>
    <row r="65" spans="2:9" x14ac:dyDescent="0.2">
      <c r="B65" s="57"/>
      <c r="C65" s="57"/>
      <c r="E65" s="57"/>
      <c r="F65" s="57"/>
      <c r="I65" s="57"/>
    </row>
    <row r="66" spans="2:9" x14ac:dyDescent="0.2">
      <c r="B66" s="57"/>
      <c r="C66" s="57"/>
      <c r="E66" s="57"/>
      <c r="F66" s="57"/>
      <c r="I66" s="57"/>
    </row>
    <row r="67" spans="2:9" x14ac:dyDescent="0.2">
      <c r="B67" s="57"/>
      <c r="C67" s="57"/>
      <c r="E67" s="57"/>
      <c r="F67" s="57"/>
    </row>
    <row r="68" spans="2:9" x14ac:dyDescent="0.2">
      <c r="B68" s="57"/>
      <c r="C68" s="57"/>
      <c r="E68" s="57"/>
      <c r="F68" s="57"/>
    </row>
    <row r="69" spans="2:9" x14ac:dyDescent="0.2">
      <c r="B69" s="57"/>
      <c r="C69" s="57"/>
      <c r="E69" s="57"/>
      <c r="F69" s="57"/>
    </row>
    <row r="70" spans="2:9" x14ac:dyDescent="0.2">
      <c r="B70" s="57"/>
      <c r="C70" s="57"/>
      <c r="E70" s="57"/>
      <c r="F70" s="57"/>
    </row>
    <row r="71" spans="2:9" x14ac:dyDescent="0.2">
      <c r="B71" s="57"/>
      <c r="C71" s="57"/>
      <c r="E71" s="57"/>
      <c r="F71" s="57"/>
    </row>
  </sheetData>
  <mergeCells count="9">
    <mergeCell ref="A7:E7"/>
    <mergeCell ref="A8:E8"/>
    <mergeCell ref="A39:H39"/>
    <mergeCell ref="A1:E1"/>
    <mergeCell ref="A3:E3"/>
    <mergeCell ref="A4:D4"/>
    <mergeCell ref="A5:E5"/>
    <mergeCell ref="A6:E6"/>
    <mergeCell ref="A2:E2"/>
  </mergeCells>
  <pageMargins left="0.5" right="0.5" top="0.5" bottom="0.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zoomScale="120" zoomScaleNormal="120" workbookViewId="0">
      <selection sqref="A1:C1"/>
    </sheetView>
  </sheetViews>
  <sheetFormatPr defaultRowHeight="12.75" x14ac:dyDescent="0.2"/>
  <cols>
    <col min="1" max="1" width="12.7109375" customWidth="1"/>
    <col min="2" max="2" width="100.7109375" customWidth="1"/>
    <col min="3" max="3" width="15.7109375" customWidth="1"/>
  </cols>
  <sheetData>
    <row r="1" spans="1:3" ht="20.100000000000001" customHeight="1" thickBot="1" x14ac:dyDescent="0.25">
      <c r="A1" s="208" t="s">
        <v>100</v>
      </c>
      <c r="B1" s="209"/>
      <c r="C1" s="210"/>
    </row>
    <row r="2" spans="1:3" ht="30" customHeight="1" thickBot="1" x14ac:dyDescent="0.25">
      <c r="A2" s="66" t="s">
        <v>58</v>
      </c>
      <c r="B2" s="67" t="s">
        <v>59</v>
      </c>
      <c r="C2" s="68" t="s">
        <v>60</v>
      </c>
    </row>
    <row r="3" spans="1:3" ht="20.100000000000001" customHeight="1" x14ac:dyDescent="0.2">
      <c r="A3" s="170" t="s">
        <v>107</v>
      </c>
      <c r="B3" s="171" t="s">
        <v>108</v>
      </c>
      <c r="C3" s="172" t="s">
        <v>62</v>
      </c>
    </row>
    <row r="4" spans="1:3" ht="39.950000000000003" customHeight="1" x14ac:dyDescent="0.2">
      <c r="A4" s="170" t="s">
        <v>109</v>
      </c>
      <c r="B4" s="171" t="s">
        <v>110</v>
      </c>
      <c r="C4" s="172" t="s">
        <v>111</v>
      </c>
    </row>
    <row r="5" spans="1:3" ht="20.100000000000001" customHeight="1" x14ac:dyDescent="0.2">
      <c r="A5" s="170" t="s">
        <v>112</v>
      </c>
      <c r="B5" s="171" t="s">
        <v>113</v>
      </c>
      <c r="C5" s="172" t="s">
        <v>114</v>
      </c>
    </row>
    <row r="6" spans="1:3" ht="20.100000000000001" customHeight="1" x14ac:dyDescent="0.2">
      <c r="A6" s="170" t="s">
        <v>115</v>
      </c>
      <c r="B6" s="171" t="s">
        <v>116</v>
      </c>
      <c r="C6" s="172" t="s">
        <v>114</v>
      </c>
    </row>
    <row r="7" spans="1:3" ht="30" customHeight="1" x14ac:dyDescent="0.2">
      <c r="A7" s="170" t="s">
        <v>117</v>
      </c>
      <c r="B7" s="171" t="s">
        <v>118</v>
      </c>
      <c r="C7" s="172" t="s">
        <v>119</v>
      </c>
    </row>
    <row r="8" spans="1:3" ht="20.100000000000001" customHeight="1" x14ac:dyDescent="0.2">
      <c r="A8" s="170" t="s">
        <v>120</v>
      </c>
      <c r="B8" s="171" t="s">
        <v>121</v>
      </c>
      <c r="C8" s="172" t="s">
        <v>66</v>
      </c>
    </row>
    <row r="9" spans="1:3" ht="20.100000000000001" customHeight="1" x14ac:dyDescent="0.2">
      <c r="A9" s="170" t="s">
        <v>122</v>
      </c>
      <c r="B9" s="171" t="s">
        <v>123</v>
      </c>
      <c r="C9" s="172" t="s">
        <v>119</v>
      </c>
    </row>
    <row r="10" spans="1:3" ht="20.100000000000001" customHeight="1" x14ac:dyDescent="0.2">
      <c r="A10" s="170" t="s">
        <v>124</v>
      </c>
      <c r="B10" s="171" t="s">
        <v>125</v>
      </c>
      <c r="C10" s="172" t="s">
        <v>111</v>
      </c>
    </row>
    <row r="11" spans="1:3" ht="20.100000000000001" customHeight="1" x14ac:dyDescent="0.2">
      <c r="A11" s="170" t="s">
        <v>126</v>
      </c>
      <c r="B11" s="171" t="s">
        <v>127</v>
      </c>
      <c r="C11" s="172" t="s">
        <v>111</v>
      </c>
    </row>
    <row r="12" spans="1:3" ht="30" customHeight="1" x14ac:dyDescent="0.2">
      <c r="A12" s="170" t="s">
        <v>128</v>
      </c>
      <c r="B12" s="171" t="s">
        <v>129</v>
      </c>
      <c r="C12" s="172" t="s">
        <v>119</v>
      </c>
    </row>
    <row r="13" spans="1:3" ht="20.100000000000001" customHeight="1" x14ac:dyDescent="0.2">
      <c r="A13" s="170" t="s">
        <v>130</v>
      </c>
      <c r="B13" s="171" t="s">
        <v>131</v>
      </c>
      <c r="C13" s="172" t="s">
        <v>6</v>
      </c>
    </row>
    <row r="14" spans="1:3" ht="20.100000000000001" customHeight="1" x14ac:dyDescent="0.2">
      <c r="A14" s="170" t="s">
        <v>132</v>
      </c>
      <c r="B14" s="171" t="s">
        <v>133</v>
      </c>
      <c r="C14" s="172" t="s">
        <v>119</v>
      </c>
    </row>
    <row r="15" spans="1:3" ht="20.100000000000001" customHeight="1" x14ac:dyDescent="0.2">
      <c r="A15" s="170" t="s">
        <v>134</v>
      </c>
      <c r="B15" s="171" t="s">
        <v>135</v>
      </c>
      <c r="C15" s="172" t="s">
        <v>3</v>
      </c>
    </row>
    <row r="16" spans="1:3" ht="39.950000000000003" customHeight="1" x14ac:dyDescent="0.2">
      <c r="A16" s="170" t="s">
        <v>140</v>
      </c>
      <c r="B16" s="171" t="s">
        <v>141</v>
      </c>
      <c r="C16" s="172" t="s">
        <v>3</v>
      </c>
    </row>
    <row r="17" spans="1:6" ht="30" customHeight="1" x14ac:dyDescent="0.2">
      <c r="A17" s="170" t="s">
        <v>136</v>
      </c>
      <c r="B17" s="171" t="s">
        <v>137</v>
      </c>
      <c r="C17" s="172" t="s">
        <v>64</v>
      </c>
    </row>
    <row r="18" spans="1:6" ht="20.100000000000001" customHeight="1" x14ac:dyDescent="0.2">
      <c r="A18" s="170" t="s">
        <v>138</v>
      </c>
      <c r="B18" s="171" t="s">
        <v>139</v>
      </c>
      <c r="C18" s="172" t="s">
        <v>64</v>
      </c>
    </row>
    <row r="19" spans="1:6" ht="20.100000000000001" customHeight="1" x14ac:dyDescent="0.2">
      <c r="A19" s="170" t="s">
        <v>142</v>
      </c>
      <c r="B19" s="171" t="s">
        <v>143</v>
      </c>
      <c r="C19" s="172" t="s">
        <v>62</v>
      </c>
    </row>
    <row r="20" spans="1:6" ht="20.100000000000001" customHeight="1" x14ac:dyDescent="0.2">
      <c r="A20" s="170" t="s">
        <v>144</v>
      </c>
      <c r="B20" s="171" t="s">
        <v>145</v>
      </c>
      <c r="C20" s="172" t="s">
        <v>64</v>
      </c>
    </row>
    <row r="21" spans="1:6" ht="30" customHeight="1" thickBot="1" x14ac:dyDescent="0.25">
      <c r="A21" s="177" t="s">
        <v>176</v>
      </c>
      <c r="B21" s="178" t="s">
        <v>177</v>
      </c>
      <c r="C21" s="179" t="s">
        <v>64</v>
      </c>
    </row>
    <row r="22" spans="1:6" ht="15" customHeight="1" thickBot="1" x14ac:dyDescent="0.25">
      <c r="A22" s="120"/>
      <c r="B22" s="120"/>
      <c r="C22" s="120"/>
    </row>
    <row r="23" spans="1:6" ht="20.100000000000001" customHeight="1" thickBot="1" x14ac:dyDescent="0.25">
      <c r="A23" s="205" t="s">
        <v>101</v>
      </c>
      <c r="B23" s="206"/>
      <c r="C23" s="207"/>
    </row>
    <row r="24" spans="1:6" ht="30.95" customHeight="1" thickBot="1" x14ac:dyDescent="0.25">
      <c r="A24" s="66" t="s">
        <v>58</v>
      </c>
      <c r="B24" s="67" t="s">
        <v>59</v>
      </c>
      <c r="C24" s="68" t="s">
        <v>60</v>
      </c>
    </row>
    <row r="25" spans="1:6" ht="20.100000000000001" customHeight="1" thickBot="1" x14ac:dyDescent="0.25">
      <c r="A25" s="69" t="s">
        <v>78</v>
      </c>
      <c r="B25" s="70"/>
      <c r="C25" s="71"/>
    </row>
    <row r="26" spans="1:6" ht="15" customHeight="1" x14ac:dyDescent="0.2"/>
    <row r="27" spans="1:6" ht="15" customHeight="1" x14ac:dyDescent="0.2"/>
    <row r="28" spans="1:6" ht="15" customHeight="1" x14ac:dyDescent="0.2">
      <c r="F28" s="57"/>
    </row>
    <row r="29" spans="1:6" ht="30" customHeight="1" x14ac:dyDescent="0.2">
      <c r="B29" s="57"/>
      <c r="C29" s="57"/>
      <c r="F29" s="57"/>
    </row>
    <row r="30" spans="1:6" ht="15" customHeight="1" x14ac:dyDescent="0.2">
      <c r="B30" s="57"/>
      <c r="C30" s="57"/>
      <c r="F30" s="57"/>
    </row>
    <row r="31" spans="1:6" ht="15" customHeight="1" x14ac:dyDescent="0.2">
      <c r="B31" s="57"/>
      <c r="C31" s="57"/>
      <c r="F31" s="57"/>
    </row>
    <row r="32" spans="1:6" ht="15" customHeight="1" x14ac:dyDescent="0.2">
      <c r="B32" s="57"/>
      <c r="C32" s="57"/>
      <c r="F32" s="57"/>
    </row>
    <row r="33" spans="2:6" ht="15" customHeight="1" x14ac:dyDescent="0.2">
      <c r="B33" s="57"/>
      <c r="C33" s="57"/>
      <c r="F33" s="57"/>
    </row>
    <row r="34" spans="2:6" ht="15" customHeight="1" x14ac:dyDescent="0.2">
      <c r="B34" s="57"/>
      <c r="C34" s="57"/>
      <c r="F34" s="57"/>
    </row>
    <row r="35" spans="2:6" ht="15" customHeight="1" x14ac:dyDescent="0.2">
      <c r="B35" s="57"/>
      <c r="C35" s="57"/>
      <c r="F35" s="57"/>
    </row>
    <row r="36" spans="2:6" ht="15" customHeight="1" x14ac:dyDescent="0.2">
      <c r="B36" s="57"/>
      <c r="C36" s="57"/>
      <c r="F36" s="57"/>
    </row>
    <row r="37" spans="2:6" ht="15" customHeight="1" x14ac:dyDescent="0.2">
      <c r="B37" s="57"/>
      <c r="C37" s="57"/>
      <c r="F37" s="57"/>
    </row>
    <row r="38" spans="2:6" ht="15" customHeight="1" x14ac:dyDescent="0.2">
      <c r="B38" s="57"/>
      <c r="C38" s="57"/>
      <c r="F38" s="57"/>
    </row>
    <row r="39" spans="2:6" ht="15" customHeight="1" x14ac:dyDescent="0.2">
      <c r="B39" s="57"/>
      <c r="C39" s="57"/>
      <c r="F39" s="57"/>
    </row>
    <row r="40" spans="2:6" ht="15" customHeight="1" x14ac:dyDescent="0.2">
      <c r="B40" s="57"/>
      <c r="C40" s="57"/>
      <c r="F40" s="57"/>
    </row>
    <row r="41" spans="2:6" ht="15" customHeight="1" x14ac:dyDescent="0.2">
      <c r="B41" s="57"/>
      <c r="C41" s="57"/>
      <c r="F41" s="57"/>
    </row>
    <row r="42" spans="2:6" ht="15" customHeight="1" x14ac:dyDescent="0.2">
      <c r="B42" s="57"/>
      <c r="C42" s="57"/>
      <c r="F42" s="57"/>
    </row>
    <row r="43" spans="2:6" ht="15" customHeight="1" x14ac:dyDescent="0.2">
      <c r="B43" s="57"/>
      <c r="C43" s="57"/>
      <c r="F43" s="57"/>
    </row>
    <row r="44" spans="2:6" ht="15" customHeight="1" x14ac:dyDescent="0.2">
      <c r="B44" s="57"/>
      <c r="C44" s="57"/>
      <c r="F44" s="57"/>
    </row>
    <row r="45" spans="2:6" ht="15" customHeight="1" x14ac:dyDescent="0.2">
      <c r="B45" s="57"/>
      <c r="C45" s="57"/>
      <c r="F45" s="57"/>
    </row>
    <row r="46" spans="2:6" ht="15" customHeight="1" x14ac:dyDescent="0.2">
      <c r="B46" s="57"/>
      <c r="C46" s="57"/>
      <c r="F46" s="57"/>
    </row>
    <row r="47" spans="2:6" ht="15" customHeight="1" x14ac:dyDescent="0.2">
      <c r="B47" s="57"/>
      <c r="C47" s="57"/>
      <c r="F47" s="57"/>
    </row>
    <row r="48" spans="2:6" ht="15" customHeight="1" x14ac:dyDescent="0.2">
      <c r="B48" s="57"/>
      <c r="C48" s="57"/>
      <c r="F48" s="57"/>
    </row>
    <row r="49" spans="2:6" ht="15" customHeight="1" x14ac:dyDescent="0.2">
      <c r="B49" s="57"/>
      <c r="C49" s="57"/>
      <c r="F49" s="57"/>
    </row>
    <row r="50" spans="2:6" ht="30" customHeight="1" x14ac:dyDescent="0.2">
      <c r="B50" s="57"/>
      <c r="C50" s="57"/>
      <c r="F50" s="57"/>
    </row>
    <row r="51" spans="2:6" ht="15" customHeight="1" x14ac:dyDescent="0.2">
      <c r="B51" s="57"/>
      <c r="C51" s="57"/>
      <c r="F51" s="57"/>
    </row>
    <row r="52" spans="2:6" ht="15" customHeight="1" x14ac:dyDescent="0.2">
      <c r="B52" s="57"/>
      <c r="C52" s="57"/>
    </row>
    <row r="53" spans="2:6" ht="15" customHeight="1" x14ac:dyDescent="0.2">
      <c r="B53" s="57"/>
      <c r="C53" s="57"/>
    </row>
    <row r="54" spans="2:6" ht="15" customHeight="1" x14ac:dyDescent="0.2">
      <c r="B54" s="57"/>
      <c r="C54" s="57"/>
    </row>
    <row r="55" spans="2:6" ht="15" customHeight="1" x14ac:dyDescent="0.2">
      <c r="B55" s="57"/>
      <c r="C55" s="57"/>
    </row>
    <row r="56" spans="2:6" ht="15" customHeight="1" x14ac:dyDescent="0.2">
      <c r="B56" s="57"/>
      <c r="C56" s="57"/>
    </row>
    <row r="57" spans="2:6" ht="15" customHeight="1" x14ac:dyDescent="0.2"/>
    <row r="58" spans="2:6" ht="15" customHeight="1" x14ac:dyDescent="0.2"/>
  </sheetData>
  <mergeCells count="2">
    <mergeCell ref="A23:C23"/>
    <mergeCell ref="A1:C1"/>
  </mergeCells>
  <printOptions horizontalCentered="1" verticalCentered="1"/>
  <pageMargins left="0.7" right="0.7" top="0.75" bottom="0.7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2020-2021 Parameters</vt:lpstr>
      <vt:lpstr>Net CONE</vt:lpstr>
      <vt:lpstr>Key Transmission Upgrades</vt:lpstr>
      <vt:lpstr>'2020-2021 Parameters'!Print_Area</vt:lpstr>
      <vt:lpstr>'Key Transmission Upgrades'!Print_Area</vt:lpstr>
      <vt:lpstr>'Net CONE'!Print_Area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PJM User</dc:creator>
  <cp:lastModifiedBy>Theresa Esterly</cp:lastModifiedBy>
  <cp:lastPrinted>2017-05-08T20:42:22Z</cp:lastPrinted>
  <dcterms:created xsi:type="dcterms:W3CDTF">2007-01-26T13:56:48Z</dcterms:created>
  <dcterms:modified xsi:type="dcterms:W3CDTF">2017-05-23T17:57:34Z</dcterms:modified>
</cp:coreProperties>
</file>