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runoj\Desktop\"/>
    </mc:Choice>
  </mc:AlternateContent>
  <bookViews>
    <workbookView xWindow="90" yWindow="-45" windowWidth="14940" windowHeight="9150"/>
  </bookViews>
  <sheets>
    <sheet name="PJM Buy Bids-Sell Offers" sheetId="18" r:id="rId1"/>
    <sheet name="2nd IA Configuration" sheetId="17" r:id="rId2"/>
    <sheet name="2nd IA Parameters" sheetId="21" r:id="rId3"/>
    <sheet name="1st IA Parameters" sheetId="16" r:id="rId4"/>
    <sheet name="BRA Parameters" sheetId="1" r:id="rId5"/>
  </sheets>
  <definedNames>
    <definedName name="_xlnm.Print_Area" localSheetId="3">'1st IA Parameters'!$A$1:$P$42</definedName>
    <definedName name="_xlnm.Print_Area" localSheetId="1">'2nd IA Configuration'!$A$1:$P$20</definedName>
    <definedName name="_xlnm.Print_Area" localSheetId="2">'2nd IA Parameters'!$A$1:$P$42</definedName>
    <definedName name="_xlnm.Print_Area" localSheetId="4">'BRA Parameters'!$A$1:$P$42</definedName>
    <definedName name="_xlnm.Print_Area" localSheetId="0">'PJM Buy Bids-Sell Offers'!$A$1:$H$24</definedName>
  </definedNames>
  <calcPr calcId="162913"/>
</workbook>
</file>

<file path=xl/calcChain.xml><?xml version="1.0" encoding="utf-8"?>
<calcChain xmlns="http://schemas.openxmlformats.org/spreadsheetml/2006/main">
  <c r="P39" i="21" l="1"/>
  <c r="O39" i="21"/>
  <c r="N39" i="21"/>
  <c r="M39" i="21"/>
  <c r="L39" i="21"/>
  <c r="K39" i="21"/>
  <c r="J39" i="21"/>
  <c r="I39" i="21"/>
  <c r="H39" i="21"/>
  <c r="G39" i="21"/>
  <c r="F39" i="21"/>
  <c r="E39" i="21"/>
  <c r="D39" i="21"/>
  <c r="C39" i="21"/>
  <c r="B39" i="21"/>
  <c r="M14" i="17" l="1"/>
  <c r="M15" i="17" s="1"/>
  <c r="F10" i="17" l="1"/>
  <c r="D10" i="17" s="1"/>
  <c r="C10" i="17" s="1"/>
  <c r="B10" i="17" s="1"/>
  <c r="P14" i="21" l="1"/>
  <c r="P42" i="21"/>
  <c r="P14" i="16"/>
  <c r="B17" i="21" l="1"/>
  <c r="B14" i="21"/>
  <c r="I14" i="17" l="1"/>
  <c r="I15" i="17" s="1"/>
  <c r="G15" i="17"/>
  <c r="B11" i="18" l="1"/>
  <c r="B13" i="18"/>
  <c r="P8" i="17"/>
  <c r="O8" i="17"/>
  <c r="N8" i="17"/>
  <c r="M8" i="17"/>
  <c r="L8" i="17"/>
  <c r="K8" i="17"/>
  <c r="J8" i="17"/>
  <c r="I8" i="17"/>
  <c r="H8" i="17"/>
  <c r="G8" i="17"/>
  <c r="F8" i="17"/>
  <c r="E8" i="17"/>
  <c r="D8" i="17"/>
  <c r="C8" i="17"/>
  <c r="B38" i="21"/>
  <c r="B21" i="21"/>
  <c r="P17" i="21"/>
  <c r="O17" i="21"/>
  <c r="N17" i="21"/>
  <c r="M17" i="21"/>
  <c r="L17" i="21"/>
  <c r="K17" i="21"/>
  <c r="J17" i="21"/>
  <c r="I17" i="21"/>
  <c r="H17" i="21"/>
  <c r="G17" i="21"/>
  <c r="F17" i="21"/>
  <c r="E17" i="21"/>
  <c r="D17" i="21"/>
  <c r="C17" i="21"/>
  <c r="P16" i="21"/>
  <c r="O16" i="21"/>
  <c r="N16" i="21"/>
  <c r="M16" i="21"/>
  <c r="L16" i="21"/>
  <c r="K16" i="21"/>
  <c r="J16" i="21"/>
  <c r="I16" i="21"/>
  <c r="H16" i="21"/>
  <c r="G16" i="21"/>
  <c r="F16" i="21"/>
  <c r="E16" i="21"/>
  <c r="D16" i="21"/>
  <c r="C16" i="21"/>
  <c r="B16" i="21"/>
  <c r="B20" i="21" s="1"/>
  <c r="M42" i="21"/>
  <c r="L42" i="21"/>
  <c r="F42" i="21"/>
  <c r="E42" i="21"/>
  <c r="D42" i="21"/>
  <c r="C42" i="21"/>
  <c r="P15" i="21"/>
  <c r="P5" i="17" s="1"/>
  <c r="B12" i="21"/>
  <c r="B15" i="21" s="1"/>
  <c r="B24" i="21" l="1"/>
  <c r="B23" i="21"/>
  <c r="B5" i="17"/>
  <c r="B25" i="21"/>
  <c r="O38" i="21"/>
  <c r="K38" i="21"/>
  <c r="P32" i="21"/>
  <c r="O32" i="21"/>
  <c r="N32" i="21"/>
  <c r="M32" i="21"/>
  <c r="L32" i="21"/>
  <c r="K32" i="21"/>
  <c r="J32" i="21"/>
  <c r="I32" i="21"/>
  <c r="H32" i="21"/>
  <c r="G32" i="21"/>
  <c r="F32" i="21"/>
  <c r="E32" i="21"/>
  <c r="D32" i="21"/>
  <c r="C32" i="21"/>
  <c r="B32" i="21"/>
  <c r="E26" i="21"/>
  <c r="D26" i="21"/>
  <c r="M21" i="21"/>
  <c r="M29" i="21" s="1"/>
  <c r="I21" i="21"/>
  <c r="I29" i="21" s="1"/>
  <c r="E21" i="21"/>
  <c r="E29" i="21" s="1"/>
  <c r="P20" i="21"/>
  <c r="P28" i="21" s="1"/>
  <c r="L20" i="21"/>
  <c r="L28" i="21" s="1"/>
  <c r="H20" i="21"/>
  <c r="H28" i="21" s="1"/>
  <c r="D20" i="21"/>
  <c r="D28" i="21" s="1"/>
  <c r="N38" i="21"/>
  <c r="M38" i="21"/>
  <c r="I38" i="21"/>
  <c r="E38" i="21"/>
  <c r="M20" i="21"/>
  <c r="M28" i="21" s="1"/>
  <c r="I20" i="21"/>
  <c r="I28" i="21" s="1"/>
  <c r="E20" i="21"/>
  <c r="E28" i="21" s="1"/>
  <c r="O14" i="21"/>
  <c r="O15" i="21" s="1"/>
  <c r="O5" i="17" s="1"/>
  <c r="N14" i="21"/>
  <c r="N15" i="21" s="1"/>
  <c r="N5" i="17" s="1"/>
  <c r="M14" i="21"/>
  <c r="M15" i="21" s="1"/>
  <c r="M5" i="17" s="1"/>
  <c r="L14" i="21"/>
  <c r="L15" i="21" s="1"/>
  <c r="L5" i="17" s="1"/>
  <c r="K14" i="21"/>
  <c r="K15" i="21" s="1"/>
  <c r="K5" i="17" s="1"/>
  <c r="J14" i="21"/>
  <c r="J15" i="21" s="1"/>
  <c r="J5" i="17" s="1"/>
  <c r="I14" i="21"/>
  <c r="I15" i="21" s="1"/>
  <c r="I5" i="17" s="1"/>
  <c r="H14" i="21"/>
  <c r="H15" i="21" s="1"/>
  <c r="H5" i="17" s="1"/>
  <c r="G14" i="21"/>
  <c r="G15" i="21" s="1"/>
  <c r="F14" i="21"/>
  <c r="F15" i="21" s="1"/>
  <c r="E14" i="21"/>
  <c r="E15" i="21" s="1"/>
  <c r="E5" i="17" s="1"/>
  <c r="D14" i="21"/>
  <c r="D15" i="21" s="1"/>
  <c r="D5" i="17" s="1"/>
  <c r="C14" i="21"/>
  <c r="C15" i="21" s="1"/>
  <c r="F23" i="21" l="1"/>
  <c r="F33" i="21" s="1"/>
  <c r="F5" i="17"/>
  <c r="C5" i="17"/>
  <c r="C25" i="21"/>
  <c r="G24" i="21"/>
  <c r="G34" i="21" s="1"/>
  <c r="G5" i="17"/>
  <c r="H23" i="21"/>
  <c r="H33" i="21" s="1"/>
  <c r="H24" i="21"/>
  <c r="H34" i="21" s="1"/>
  <c r="H25" i="21"/>
  <c r="H37" i="21" s="1"/>
  <c r="L23" i="21"/>
  <c r="L33" i="21" s="1"/>
  <c r="L24" i="21"/>
  <c r="L34" i="21" s="1"/>
  <c r="L25" i="21"/>
  <c r="L37" i="21" s="1"/>
  <c r="M23" i="21"/>
  <c r="M33" i="21" s="1"/>
  <c r="M24" i="21"/>
  <c r="M34" i="21" s="1"/>
  <c r="M25" i="21"/>
  <c r="M37" i="21" s="1"/>
  <c r="D23" i="21"/>
  <c r="D33" i="21" s="1"/>
  <c r="D24" i="21"/>
  <c r="D34" i="21" s="1"/>
  <c r="N24" i="21"/>
  <c r="N34" i="21" s="1"/>
  <c r="N25" i="21"/>
  <c r="N37" i="21" s="1"/>
  <c r="C23" i="21"/>
  <c r="G25" i="21"/>
  <c r="G37" i="21" s="1"/>
  <c r="G23" i="21"/>
  <c r="G33" i="21" s="1"/>
  <c r="K25" i="21"/>
  <c r="K37" i="21" s="1"/>
  <c r="K23" i="21"/>
  <c r="K33" i="21" s="1"/>
  <c r="O25" i="21"/>
  <c r="O37" i="21" s="1"/>
  <c r="O23" i="21"/>
  <c r="O33" i="21" s="1"/>
  <c r="E23" i="21"/>
  <c r="E33" i="21" s="1"/>
  <c r="E24" i="21"/>
  <c r="E34" i="21" s="1"/>
  <c r="E25" i="21"/>
  <c r="E37" i="21" s="1"/>
  <c r="J24" i="21"/>
  <c r="J34" i="21" s="1"/>
  <c r="J25" i="21"/>
  <c r="J37" i="21" s="1"/>
  <c r="P23" i="21"/>
  <c r="P33" i="21" s="1"/>
  <c r="P24" i="21"/>
  <c r="P34" i="21" s="1"/>
  <c r="B28" i="21"/>
  <c r="F38" i="21"/>
  <c r="F20" i="21"/>
  <c r="F28" i="21" s="1"/>
  <c r="F21" i="21"/>
  <c r="F29" i="21" s="1"/>
  <c r="J38" i="21"/>
  <c r="J20" i="21"/>
  <c r="J28" i="21" s="1"/>
  <c r="J21" i="21"/>
  <c r="J29" i="21" s="1"/>
  <c r="J23" i="21"/>
  <c r="J33" i="21" s="1"/>
  <c r="K24" i="21"/>
  <c r="K34" i="21" s="1"/>
  <c r="F24" i="21"/>
  <c r="F34" i="21" s="1"/>
  <c r="F25" i="21"/>
  <c r="F37" i="21" s="1"/>
  <c r="C20" i="21"/>
  <c r="C28" i="21" s="1"/>
  <c r="C21" i="21"/>
  <c r="C29" i="21" s="1"/>
  <c r="G20" i="21"/>
  <c r="G28" i="21" s="1"/>
  <c r="G21" i="21"/>
  <c r="G29" i="21" s="1"/>
  <c r="K20" i="21"/>
  <c r="K28" i="21" s="1"/>
  <c r="K21" i="21"/>
  <c r="K29" i="21" s="1"/>
  <c r="O20" i="21"/>
  <c r="O28" i="21" s="1"/>
  <c r="O21" i="21"/>
  <c r="O29" i="21" s="1"/>
  <c r="N23" i="21"/>
  <c r="N33" i="21" s="1"/>
  <c r="O24" i="21"/>
  <c r="O34" i="21" s="1"/>
  <c r="P25" i="21"/>
  <c r="P37" i="21" s="1"/>
  <c r="C38" i="21"/>
  <c r="D21" i="21"/>
  <c r="D29" i="21" s="1"/>
  <c r="D38" i="21"/>
  <c r="H21" i="21"/>
  <c r="H29" i="21" s="1"/>
  <c r="H38" i="21"/>
  <c r="L21" i="21"/>
  <c r="L29" i="21" s="1"/>
  <c r="L38" i="21"/>
  <c r="P21" i="21"/>
  <c r="P29" i="21" s="1"/>
  <c r="P38" i="21"/>
  <c r="B29" i="21"/>
  <c r="C24" i="21"/>
  <c r="D25" i="21"/>
  <c r="D37" i="21" s="1"/>
  <c r="C26" i="21"/>
  <c r="B26" i="21" s="1"/>
  <c r="B37" i="21" s="1"/>
  <c r="G38" i="21"/>
  <c r="I23" i="21"/>
  <c r="I33" i="21" s="1"/>
  <c r="I24" i="21"/>
  <c r="I34" i="21" s="1"/>
  <c r="I25" i="21"/>
  <c r="I37" i="21" s="1"/>
  <c r="N21" i="21"/>
  <c r="N29" i="21" s="1"/>
  <c r="N20" i="21"/>
  <c r="N28" i="21" s="1"/>
  <c r="C33" i="21" l="1"/>
  <c r="C37" i="21"/>
  <c r="C34" i="21"/>
  <c r="B33" i="21"/>
  <c r="B34" i="21"/>
  <c r="C14" i="16"/>
  <c r="B32" i="16" l="1"/>
  <c r="E32" i="16" l="1"/>
  <c r="P32" i="16"/>
  <c r="O32" i="16"/>
  <c r="N32" i="16"/>
  <c r="M32" i="16"/>
  <c r="L32" i="16"/>
  <c r="K32" i="16"/>
  <c r="J32" i="16"/>
  <c r="I32" i="16"/>
  <c r="H32" i="16"/>
  <c r="G32" i="16"/>
  <c r="F32" i="16"/>
  <c r="D32" i="16"/>
  <c r="C32" i="16"/>
  <c r="C42" i="16" l="1"/>
  <c r="D42" i="16"/>
  <c r="E42" i="16"/>
  <c r="F42" i="16"/>
  <c r="L42" i="16"/>
  <c r="M42" i="16"/>
  <c r="P42" i="16"/>
  <c r="P15" i="16" s="1"/>
  <c r="P6" i="17" s="1"/>
  <c r="B16" i="16"/>
  <c r="B12" i="16"/>
  <c r="P7" i="17" l="1"/>
  <c r="P12" i="17" s="1"/>
  <c r="P13" i="17" l="1"/>
  <c r="P14" i="17" s="1"/>
  <c r="P15" i="17" s="1"/>
  <c r="P17" i="16"/>
  <c r="O17" i="16"/>
  <c r="N17" i="16"/>
  <c r="M17" i="16"/>
  <c r="L17" i="16"/>
  <c r="K17" i="16"/>
  <c r="J17" i="16"/>
  <c r="I17" i="16"/>
  <c r="H17" i="16"/>
  <c r="G17" i="16"/>
  <c r="F17" i="16"/>
  <c r="E17" i="16"/>
  <c r="D17" i="16"/>
  <c r="C17" i="16"/>
  <c r="P16" i="16"/>
  <c r="O16" i="16"/>
  <c r="N16" i="16"/>
  <c r="M16" i="16"/>
  <c r="L16" i="16"/>
  <c r="K16" i="16"/>
  <c r="J16" i="16"/>
  <c r="I16" i="16"/>
  <c r="H16" i="16"/>
  <c r="G16" i="16"/>
  <c r="F16" i="16"/>
  <c r="E16" i="16"/>
  <c r="D16" i="16"/>
  <c r="C16" i="16"/>
  <c r="B17" i="16"/>
  <c r="B14" i="16"/>
  <c r="B15" i="16" s="1"/>
  <c r="B6" i="17" l="1"/>
  <c r="B25" i="16"/>
  <c r="B23" i="16"/>
  <c r="B24" i="16"/>
  <c r="B21" i="16"/>
  <c r="B29" i="16" s="1"/>
  <c r="B38" i="16"/>
  <c r="B20" i="16"/>
  <c r="B28" i="16" s="1"/>
  <c r="B7" i="17"/>
  <c r="B12" i="17" s="1"/>
  <c r="B13" i="17" s="1"/>
  <c r="E20" i="16"/>
  <c r="E28" i="16" s="1"/>
  <c r="E26" i="16" l="1"/>
  <c r="D26" i="16"/>
  <c r="C26" i="16" s="1"/>
  <c r="B26" i="16" s="1"/>
  <c r="B34" i="16" s="1"/>
  <c r="N21" i="16"/>
  <c r="N29" i="16" s="1"/>
  <c r="J21" i="16"/>
  <c r="J29" i="16" s="1"/>
  <c r="F21" i="16"/>
  <c r="F29" i="16" s="1"/>
  <c r="M20" i="16"/>
  <c r="M28" i="16" s="1"/>
  <c r="I20" i="16"/>
  <c r="I28" i="16" s="1"/>
  <c r="P20" i="16"/>
  <c r="P28" i="16" s="1"/>
  <c r="O38" i="16"/>
  <c r="N20" i="16"/>
  <c r="N28" i="16" s="1"/>
  <c r="M38" i="16"/>
  <c r="L20" i="16"/>
  <c r="L28" i="16" s="1"/>
  <c r="K38" i="16"/>
  <c r="J20" i="16"/>
  <c r="J28" i="16" s="1"/>
  <c r="I38" i="16"/>
  <c r="H20" i="16"/>
  <c r="H28" i="16" s="1"/>
  <c r="G38" i="16"/>
  <c r="F20" i="16"/>
  <c r="F28" i="16" s="1"/>
  <c r="E38" i="16"/>
  <c r="D20" i="16"/>
  <c r="D28" i="16" s="1"/>
  <c r="C38" i="16"/>
  <c r="O20" i="16"/>
  <c r="O28" i="16" s="1"/>
  <c r="K20" i="16"/>
  <c r="K28" i="16" s="1"/>
  <c r="G20" i="16"/>
  <c r="G28" i="16" s="1"/>
  <c r="C20" i="16"/>
  <c r="C28" i="16" s="1"/>
  <c r="O14" i="16"/>
  <c r="O15" i="16" s="1"/>
  <c r="G14" i="16"/>
  <c r="G15" i="16" s="1"/>
  <c r="N14" i="16"/>
  <c r="N15" i="16" s="1"/>
  <c r="M14" i="16"/>
  <c r="M15" i="16" s="1"/>
  <c r="L14" i="16"/>
  <c r="L15" i="16" s="1"/>
  <c r="K14" i="16"/>
  <c r="K15" i="16" s="1"/>
  <c r="J14" i="16"/>
  <c r="J15" i="16" s="1"/>
  <c r="I14" i="16"/>
  <c r="I15" i="16" s="1"/>
  <c r="H14" i="16"/>
  <c r="H15" i="16" s="1"/>
  <c r="F14" i="16"/>
  <c r="F15" i="16" s="1"/>
  <c r="E14" i="16"/>
  <c r="E15" i="16" s="1"/>
  <c r="D14" i="16"/>
  <c r="D15" i="16" s="1"/>
  <c r="C15" i="16"/>
  <c r="C6" i="17" s="1"/>
  <c r="E7" i="17" l="1"/>
  <c r="E12" i="17" s="1"/>
  <c r="E13" i="17" s="1"/>
  <c r="E6" i="17"/>
  <c r="H7" i="17"/>
  <c r="H12" i="17" s="1"/>
  <c r="H6" i="17"/>
  <c r="J7" i="17"/>
  <c r="J12" i="17" s="1"/>
  <c r="J13" i="17" s="1"/>
  <c r="J14" i="17" s="1"/>
  <c r="J6" i="17"/>
  <c r="N7" i="17"/>
  <c r="N12" i="17" s="1"/>
  <c r="N13" i="17" s="1"/>
  <c r="N6" i="17"/>
  <c r="O7" i="17"/>
  <c r="O12" i="17" s="1"/>
  <c r="O13" i="17" s="1"/>
  <c r="O14" i="17" s="1"/>
  <c r="O6" i="17"/>
  <c r="D7" i="17"/>
  <c r="D12" i="17" s="1"/>
  <c r="D13" i="17" s="1"/>
  <c r="D6" i="17"/>
  <c r="F7" i="17"/>
  <c r="F12" i="17" s="1"/>
  <c r="F13" i="17" s="1"/>
  <c r="F6" i="17"/>
  <c r="I7" i="17"/>
  <c r="I12" i="17" s="1"/>
  <c r="I6" i="17"/>
  <c r="K7" i="17"/>
  <c r="K12" i="17" s="1"/>
  <c r="K13" i="17" s="1"/>
  <c r="K14" i="17" s="1"/>
  <c r="K15" i="17" s="1"/>
  <c r="B15" i="18" s="1"/>
  <c r="K6" i="17"/>
  <c r="M7" i="17"/>
  <c r="M12" i="17" s="1"/>
  <c r="M13" i="17" s="1"/>
  <c r="M6" i="17"/>
  <c r="G7" i="17"/>
  <c r="G6" i="17"/>
  <c r="B37" i="16"/>
  <c r="L6" i="17"/>
  <c r="L7" i="17" s="1"/>
  <c r="L12" i="17" s="1"/>
  <c r="L13" i="17" s="1"/>
  <c r="L14" i="17" s="1"/>
  <c r="L15" i="17" s="1"/>
  <c r="B16" i="18" s="1"/>
  <c r="B33" i="16"/>
  <c r="J15" i="17"/>
  <c r="B14" i="18"/>
  <c r="O15" i="17"/>
  <c r="B19" i="18" s="1"/>
  <c r="G12" i="17"/>
  <c r="C7" i="17"/>
  <c r="C23" i="16"/>
  <c r="C33" i="16" s="1"/>
  <c r="C24" i="16"/>
  <c r="C34" i="16" s="1"/>
  <c r="C25" i="16"/>
  <c r="C37" i="16" s="1"/>
  <c r="G23" i="16"/>
  <c r="G33" i="16" s="1"/>
  <c r="G24" i="16"/>
  <c r="G34" i="16" s="1"/>
  <c r="G25" i="16"/>
  <c r="G37" i="16" s="1"/>
  <c r="O23" i="16"/>
  <c r="O33" i="16" s="1"/>
  <c r="O24" i="16"/>
  <c r="O34" i="16" s="1"/>
  <c r="O25" i="16"/>
  <c r="O37" i="16" s="1"/>
  <c r="D23" i="16"/>
  <c r="D33" i="16" s="1"/>
  <c r="D24" i="16"/>
  <c r="D34" i="16" s="1"/>
  <c r="D25" i="16"/>
  <c r="D37" i="16" s="1"/>
  <c r="H23" i="16"/>
  <c r="H33" i="16" s="1"/>
  <c r="H24" i="16"/>
  <c r="H34" i="16" s="1"/>
  <c r="H25" i="16"/>
  <c r="H37" i="16" s="1"/>
  <c r="L23" i="16"/>
  <c r="L33" i="16" s="1"/>
  <c r="L24" i="16"/>
  <c r="L34" i="16" s="1"/>
  <c r="L25" i="16"/>
  <c r="L37" i="16" s="1"/>
  <c r="I24" i="16"/>
  <c r="I34" i="16" s="1"/>
  <c r="I25" i="16"/>
  <c r="I37" i="16" s="1"/>
  <c r="I23" i="16"/>
  <c r="I33" i="16" s="1"/>
  <c r="K23" i="16"/>
  <c r="K33" i="16" s="1"/>
  <c r="K24" i="16"/>
  <c r="K34" i="16" s="1"/>
  <c r="K25" i="16"/>
  <c r="K37" i="16" s="1"/>
  <c r="F25" i="16"/>
  <c r="F37" i="16" s="1"/>
  <c r="F23" i="16"/>
  <c r="F33" i="16" s="1"/>
  <c r="F24" i="16"/>
  <c r="F34" i="16" s="1"/>
  <c r="J25" i="16"/>
  <c r="J37" i="16" s="1"/>
  <c r="J23" i="16"/>
  <c r="J33" i="16" s="1"/>
  <c r="J24" i="16"/>
  <c r="J34" i="16" s="1"/>
  <c r="N25" i="16"/>
  <c r="N37" i="16" s="1"/>
  <c r="N23" i="16"/>
  <c r="N33" i="16" s="1"/>
  <c r="N24" i="16"/>
  <c r="N34" i="16" s="1"/>
  <c r="E24" i="16"/>
  <c r="E34" i="16" s="1"/>
  <c r="E25" i="16"/>
  <c r="E37" i="16" s="1"/>
  <c r="E23" i="16"/>
  <c r="E33" i="16" s="1"/>
  <c r="M24" i="16"/>
  <c r="M34" i="16" s="1"/>
  <c r="M25" i="16"/>
  <c r="M37" i="16" s="1"/>
  <c r="M23" i="16"/>
  <c r="M33" i="16" s="1"/>
  <c r="D21" i="16"/>
  <c r="D29" i="16" s="1"/>
  <c r="H21" i="16"/>
  <c r="H29" i="16" s="1"/>
  <c r="L21" i="16"/>
  <c r="L29" i="16" s="1"/>
  <c r="P21" i="16"/>
  <c r="P29" i="16" s="1"/>
  <c r="D38" i="16"/>
  <c r="H38" i="16"/>
  <c r="L38" i="16"/>
  <c r="P38" i="16"/>
  <c r="E21" i="16"/>
  <c r="E29" i="16" s="1"/>
  <c r="I21" i="16"/>
  <c r="I29" i="16" s="1"/>
  <c r="M21" i="16"/>
  <c r="M29" i="16" s="1"/>
  <c r="F38" i="16"/>
  <c r="J38" i="16"/>
  <c r="N38" i="16"/>
  <c r="C21" i="16"/>
  <c r="C29" i="16" s="1"/>
  <c r="G21" i="16"/>
  <c r="G29" i="16" s="1"/>
  <c r="K21" i="16"/>
  <c r="K29" i="16" s="1"/>
  <c r="O21" i="16"/>
  <c r="O29" i="16" s="1"/>
  <c r="D55" i="1"/>
  <c r="D54" i="1"/>
  <c r="B14" i="17" l="1"/>
  <c r="G13" i="17"/>
  <c r="H13" i="17"/>
  <c r="H14" i="17" s="1"/>
  <c r="H15" i="17" s="1"/>
  <c r="B12" i="18" s="1"/>
  <c r="F14" i="17"/>
  <c r="F15" i="17" s="1"/>
  <c r="B20" i="18"/>
  <c r="C12" i="17"/>
  <c r="C13" i="17" s="1"/>
  <c r="P23" i="16"/>
  <c r="P33" i="16" s="1"/>
  <c r="P24" i="16"/>
  <c r="P34" i="16" s="1"/>
  <c r="P25" i="16"/>
  <c r="P37" i="16" s="1"/>
  <c r="B12" i="1"/>
  <c r="B10" i="18" l="1"/>
  <c r="C14" i="17"/>
  <c r="C15" i="17" s="1"/>
  <c r="D26" i="1"/>
  <c r="E26" i="1"/>
  <c r="B15" i="17" l="1"/>
  <c r="N15" i="17"/>
  <c r="M32" i="1"/>
  <c r="I32" i="1"/>
  <c r="H32" i="1"/>
  <c r="E32" i="1"/>
  <c r="D32" i="1"/>
  <c r="C32" i="1"/>
  <c r="B32" i="1"/>
  <c r="B18" i="18" l="1"/>
  <c r="B7" i="18"/>
  <c r="D15" i="17"/>
  <c r="B17" i="18"/>
  <c r="B6" i="18"/>
  <c r="D52" i="1"/>
  <c r="P13" i="1"/>
  <c r="P14" i="1" s="1"/>
  <c r="P15" i="1" s="1"/>
  <c r="O13" i="1"/>
  <c r="O14" i="1" s="1"/>
  <c r="O15" i="1" s="1"/>
  <c r="O24" i="1" s="1"/>
  <c r="N13" i="1"/>
  <c r="P11" i="1"/>
  <c r="P42" i="1" s="1"/>
  <c r="O11" i="1"/>
  <c r="P10" i="1"/>
  <c r="O10" i="1"/>
  <c r="E15" i="17" l="1"/>
  <c r="B8" i="18"/>
  <c r="P25" i="1"/>
  <c r="O21" i="1"/>
  <c r="O38" i="1"/>
  <c r="P21" i="1"/>
  <c r="P38" i="1"/>
  <c r="O25" i="1"/>
  <c r="O23" i="1"/>
  <c r="O20" i="1"/>
  <c r="P20" i="1"/>
  <c r="B9" i="18" l="1"/>
  <c r="P23" i="1"/>
  <c r="P24" i="1"/>
  <c r="C26" i="1"/>
  <c r="B26" i="1" s="1"/>
  <c r="B21" i="18" l="1"/>
  <c r="G60" i="1"/>
  <c r="F66" i="1"/>
  <c r="E66" i="1"/>
  <c r="M13" i="1" l="1"/>
  <c r="L13" i="1"/>
  <c r="K13" i="1"/>
  <c r="J13" i="1"/>
  <c r="I13" i="1"/>
  <c r="H13" i="1"/>
  <c r="G13" i="1"/>
  <c r="F13" i="1"/>
  <c r="H74" i="1"/>
  <c r="H46" i="1" l="1"/>
  <c r="B13" i="1" s="1"/>
  <c r="B14" i="1" s="1"/>
  <c r="B15" i="1" s="1"/>
  <c r="B23" i="1" s="1"/>
  <c r="B33" i="1" s="1"/>
  <c r="F74" i="1" l="1"/>
  <c r="E46" i="1"/>
  <c r="L38" i="1" l="1"/>
  <c r="N38" i="1"/>
  <c r="H38" i="1"/>
  <c r="K38" i="1"/>
  <c r="J38" i="1"/>
  <c r="G38" i="1"/>
  <c r="F38" i="1"/>
  <c r="I38" i="1"/>
  <c r="M38" i="1"/>
  <c r="N21" i="1" l="1"/>
  <c r="G20" i="1"/>
  <c r="I20" i="1"/>
  <c r="I28" i="1" s="1"/>
  <c r="K20" i="1"/>
  <c r="L20" i="1"/>
  <c r="F20" i="1"/>
  <c r="M20" i="1"/>
  <c r="M28" i="1" s="1"/>
  <c r="J20" i="1"/>
  <c r="N20" i="1"/>
  <c r="H21" i="1"/>
  <c r="H20" i="1"/>
  <c r="H28" i="1" s="1"/>
  <c r="L21" i="1"/>
  <c r="B38" i="1"/>
  <c r="I21" i="1"/>
  <c r="E38" i="1"/>
  <c r="D38" i="1"/>
  <c r="K21" i="1"/>
  <c r="G21" i="1"/>
  <c r="J21" i="1"/>
  <c r="M21" i="1"/>
  <c r="F21" i="1"/>
  <c r="C38" i="1"/>
  <c r="B20" i="1" l="1"/>
  <c r="B28" i="1" s="1"/>
  <c r="I29" i="1"/>
  <c r="H29" i="1"/>
  <c r="M29" i="1"/>
  <c r="D20" i="1"/>
  <c r="D28" i="1" s="1"/>
  <c r="C20" i="1"/>
  <c r="C28" i="1" s="1"/>
  <c r="B21" i="1"/>
  <c r="E20" i="1"/>
  <c r="E28" i="1" s="1"/>
  <c r="E21" i="1"/>
  <c r="D21" i="1"/>
  <c r="C21" i="1"/>
  <c r="F71" i="1"/>
  <c r="F70" i="1"/>
  <c r="N11" i="1"/>
  <c r="N10" i="1"/>
  <c r="N14" i="1"/>
  <c r="I59" i="1"/>
  <c r="D53" i="1"/>
  <c r="D50" i="1"/>
  <c r="M11" i="1"/>
  <c r="M42" i="1" s="1"/>
  <c r="L11" i="1"/>
  <c r="L42" i="1" s="1"/>
  <c r="M10" i="1"/>
  <c r="L10" i="1"/>
  <c r="M14" i="1"/>
  <c r="L14" i="1"/>
  <c r="G66" i="1"/>
  <c r="G55" i="1"/>
  <c r="K14" i="1"/>
  <c r="K11" i="1"/>
  <c r="D51" i="1"/>
  <c r="K10" i="1"/>
  <c r="I60" i="1"/>
  <c r="I48" i="1"/>
  <c r="D71" i="1"/>
  <c r="J14" i="1"/>
  <c r="D59" i="1"/>
  <c r="J11" i="1"/>
  <c r="J10" i="1"/>
  <c r="H72" i="1"/>
  <c r="H71" i="1"/>
  <c r="E13" i="1" s="1"/>
  <c r="H70" i="1"/>
  <c r="D13" i="1" s="1"/>
  <c r="I47" i="1"/>
  <c r="G69" i="1"/>
  <c r="G67" i="1"/>
  <c r="G65" i="1"/>
  <c r="G64" i="1"/>
  <c r="G63" i="1"/>
  <c r="G62" i="1"/>
  <c r="G61" i="1"/>
  <c r="G58" i="1"/>
  <c r="G57" i="1"/>
  <c r="G56" i="1"/>
  <c r="G54" i="1"/>
  <c r="G53" i="1"/>
  <c r="G52" i="1"/>
  <c r="G50" i="1"/>
  <c r="G49" i="1"/>
  <c r="G48" i="1"/>
  <c r="G47" i="1"/>
  <c r="G14" i="1"/>
  <c r="I69" i="1"/>
  <c r="I67" i="1"/>
  <c r="I65" i="1"/>
  <c r="I64" i="1"/>
  <c r="I63" i="1"/>
  <c r="I62" i="1"/>
  <c r="I61" i="1"/>
  <c r="I58" i="1"/>
  <c r="I57" i="1"/>
  <c r="I56" i="1"/>
  <c r="I54" i="1"/>
  <c r="I53" i="1"/>
  <c r="I52" i="1"/>
  <c r="I50" i="1"/>
  <c r="I49" i="1"/>
  <c r="D70" i="1"/>
  <c r="D68" i="1"/>
  <c r="D67" i="1"/>
  <c r="D65" i="1"/>
  <c r="I11" i="1"/>
  <c r="H11" i="1"/>
  <c r="G10" i="1"/>
  <c r="H10" i="1"/>
  <c r="I10" i="1"/>
  <c r="G11" i="1"/>
  <c r="F11" i="1"/>
  <c r="F42" i="1" s="1"/>
  <c r="F10" i="1"/>
  <c r="E11" i="1"/>
  <c r="E42" i="1" s="1"/>
  <c r="E10" i="1"/>
  <c r="D11" i="1"/>
  <c r="D10" i="1"/>
  <c r="C10" i="1"/>
  <c r="C11" i="1"/>
  <c r="I55" i="1"/>
  <c r="F46" i="1"/>
  <c r="I68" i="1"/>
  <c r="I66" i="1"/>
  <c r="I51" i="1"/>
  <c r="F72" i="1"/>
  <c r="D42" i="1" l="1"/>
  <c r="C29" i="1"/>
  <c r="E29" i="1"/>
  <c r="B29" i="1"/>
  <c r="D29" i="1"/>
  <c r="B24" i="1"/>
  <c r="B34" i="1" s="1"/>
  <c r="B25" i="1"/>
  <c r="K15" i="1"/>
  <c r="M15" i="1"/>
  <c r="J15" i="1"/>
  <c r="G15" i="1"/>
  <c r="N15" i="1"/>
  <c r="L15" i="1"/>
  <c r="I14" i="1"/>
  <c r="D14" i="1"/>
  <c r="H73" i="1"/>
  <c r="C13" i="1" s="1"/>
  <c r="F14" i="1"/>
  <c r="H14" i="1"/>
  <c r="I46" i="1"/>
  <c r="F73" i="1"/>
  <c r="C42" i="1" s="1"/>
  <c r="B36" i="1" l="1"/>
  <c r="B35" i="1" s="1"/>
  <c r="B37" i="1"/>
  <c r="G25" i="1"/>
  <c r="G24" i="1"/>
  <c r="G23" i="1"/>
  <c r="J25" i="1"/>
  <c r="J24" i="1"/>
  <c r="J23" i="1"/>
  <c r="L25" i="1"/>
  <c r="L24" i="1"/>
  <c r="L23" i="1"/>
  <c r="M25" i="1"/>
  <c r="M24" i="1"/>
  <c r="M34" i="1" s="1"/>
  <c r="M23" i="1"/>
  <c r="M33" i="1" s="1"/>
  <c r="N25" i="1"/>
  <c r="N24" i="1"/>
  <c r="N23" i="1"/>
  <c r="K25" i="1"/>
  <c r="K24" i="1"/>
  <c r="K23" i="1"/>
  <c r="F15" i="1"/>
  <c r="D15" i="1"/>
  <c r="I15" i="1"/>
  <c r="H15" i="1"/>
  <c r="E14" i="1"/>
  <c r="M37" i="1" l="1"/>
  <c r="M36" i="1"/>
  <c r="M35" i="1" s="1"/>
  <c r="F25" i="1"/>
  <c r="F24" i="1"/>
  <c r="F23" i="1"/>
  <c r="I25" i="1"/>
  <c r="I24" i="1"/>
  <c r="I34" i="1" s="1"/>
  <c r="I23" i="1"/>
  <c r="I33" i="1" s="1"/>
  <c r="D25" i="1"/>
  <c r="D24" i="1"/>
  <c r="D34" i="1" s="1"/>
  <c r="D23" i="1"/>
  <c r="D33" i="1" s="1"/>
  <c r="H25" i="1"/>
  <c r="H24" i="1"/>
  <c r="H34" i="1" s="1"/>
  <c r="H23" i="1"/>
  <c r="H33" i="1" s="1"/>
  <c r="E15" i="1"/>
  <c r="C14" i="1"/>
  <c r="H37" i="1" l="1"/>
  <c r="H36" i="1"/>
  <c r="H35" i="1" s="1"/>
  <c r="I37" i="1"/>
  <c r="I36" i="1"/>
  <c r="I35" i="1" s="1"/>
  <c r="D37" i="1"/>
  <c r="D36" i="1"/>
  <c r="D35" i="1" s="1"/>
  <c r="E25" i="1"/>
  <c r="E24" i="1"/>
  <c r="E34" i="1" s="1"/>
  <c r="E23" i="1"/>
  <c r="E33" i="1" s="1"/>
  <c r="C15" i="1"/>
  <c r="E37" i="1" l="1"/>
  <c r="E36" i="1"/>
  <c r="E35" i="1" s="1"/>
  <c r="C25" i="1"/>
  <c r="C24" i="1"/>
  <c r="C34" i="1" s="1"/>
  <c r="C23" i="1"/>
  <c r="C33" i="1" s="1"/>
  <c r="C37" i="1" l="1"/>
  <c r="C36" i="1"/>
  <c r="C35" i="1" s="1"/>
</calcChain>
</file>

<file path=xl/sharedStrings.xml><?xml version="1.0" encoding="utf-8"?>
<sst xmlns="http://schemas.openxmlformats.org/spreadsheetml/2006/main" count="778" uniqueCount="168">
  <si>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</si>
  <si>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</si>
  <si>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</si>
  <si>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</si>
  <si>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</si>
  <si>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</si>
  <si>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</si>
  <si>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</si>
  <si>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</si>
  <si>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</si>
  <si>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</si>
  <si>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</si>
  <si>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</si>
  <si>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</si>
  <si>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</si>
  <si>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</si>
  <si>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</si>
  <si>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</si>
  <si>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</si>
  <si>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</si>
  <si>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</si>
  <si>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</si>
  <si>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</si>
  <si>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</si>
  <si>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</si>
  <si>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</si>
  <si>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</si>
  <si>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</si>
  <si>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</si>
  <si>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</si>
  <si>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</si>
  <si>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</si>
  <si>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</si>
  <si>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</si>
  <si>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</si>
  <si>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</si>
  <si>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</si>
  <si>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</si>
  <si>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</si>
  <si>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</si>
  <si>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</si>
  <si>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</si>
  <si>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</si>
  <si>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</si>
  <si>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</si>
  <si>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Net CONE, $/MW-Day (UCAP Price)</t>
  </si>
  <si>
    <t>Variable Resource Requirement Curve:</t>
  </si>
  <si>
    <t>&gt; 115%</t>
  </si>
  <si>
    <t>Participant-Funded ICTRs Awarded</t>
  </si>
  <si>
    <t>ATSI</t>
  </si>
  <si>
    <t xml:space="preserve">FRR Portion of the Preliminary Peak Load Forecast       </t>
  </si>
  <si>
    <t>AEP</t>
  </si>
  <si>
    <t>DEOK</t>
  </si>
  <si>
    <t>Limiting conditions at the CETL for modeled LDAs:</t>
  </si>
  <si>
    <t>PSNORTH</t>
  </si>
  <si>
    <t>ATSI-CLEVELAND</t>
  </si>
  <si>
    <t>EKPC</t>
  </si>
  <si>
    <t>ATSI-Cleveland</t>
  </si>
  <si>
    <t>*</t>
  </si>
  <si>
    <t>CETL to CETO Ratio %</t>
  </si>
  <si>
    <t>PL</t>
  </si>
  <si>
    <t>FRR Load Requirement (% Obligation):</t>
  </si>
  <si>
    <t xml:space="preserve">LDA      </t>
  </si>
  <si>
    <t>* LDA has adequate internal resources to meet the reliability criterion.</t>
  </si>
  <si>
    <t>LDA CETO/CETL Data; Zonal Peak Loads, Base Zonal FRR Scaling Factors, and FRR load.</t>
  </si>
  <si>
    <t>Preliminary Zonal Peak Load Forecast less FRR load</t>
  </si>
  <si>
    <t>Locational Deliverability Area</t>
  </si>
  <si>
    <t xml:space="preserve">   </t>
  </si>
  <si>
    <t>2020-2021 RPM Base Residual Auction Planning Parameters</t>
  </si>
  <si>
    <t>2016 IRM Study</t>
  </si>
  <si>
    <t>Load data: from 2017 Load Report with adjustments due to load served outside PJM.</t>
  </si>
  <si>
    <t>Gross CONE, $/MW-Day (UCAP Price)</t>
  </si>
  <si>
    <t>2016 Zonal W/N Coincident Peak Loads</t>
  </si>
  <si>
    <t>Nominated PRD Value, MW</t>
  </si>
  <si>
    <t xml:space="preserve"> Thermal/Sandy Spring "2334" - High Ridge 230 kV for loss of Sandy Spring "2314" - Burtonsville 230 kV</t>
  </si>
  <si>
    <t xml:space="preserve"> Thermal/Graceton - Bagley 230 kV CKT #1 and #2 for the loss of the one or the other</t>
  </si>
  <si>
    <t xml:space="preserve"> Thermal/Red Lion - Cedar Creek 230 kV for the loss of Cartanza - Milford 230 kV </t>
  </si>
  <si>
    <t xml:space="preserve">  Violation/Limiting Facility</t>
  </si>
  <si>
    <t>&gt;1311</t>
  </si>
  <si>
    <t>&gt;2323</t>
  </si>
  <si>
    <t>&gt;1760</t>
  </si>
  <si>
    <t>&gt;1047</t>
  </si>
  <si>
    <t>&gt;644</t>
  </si>
  <si>
    <t>&gt;3945</t>
  </si>
  <si>
    <t>&gt;886</t>
  </si>
  <si>
    <t>&gt;3094</t>
  </si>
  <si>
    <t>&gt;2703</t>
  </si>
  <si>
    <t>Point (b1) UCAP Level, MW</t>
  </si>
  <si>
    <t>Point (b1) UCAP Price, $/MW-Day</t>
  </si>
  <si>
    <t>Point (a1) UCAP Price, $/MW-Day</t>
  </si>
  <si>
    <t>Point (a1) UCAP Level, MW</t>
  </si>
  <si>
    <t>Point (prd1) UCAP Price, $/MW-Day</t>
  </si>
  <si>
    <t>Point (prd2) UCAP Price, $/MW-Day</t>
  </si>
  <si>
    <t>Point (prd1) UCAP Level, MW</t>
  </si>
  <si>
    <t>Point (prd2) UCAP Level, MW</t>
  </si>
  <si>
    <t>VRR Curve adjusted for PRD:</t>
  </si>
  <si>
    <t>Pre-Auction Credit Rate, $/MW</t>
  </si>
  <si>
    <t xml:space="preserve"> Thermal/South Canton - Harmon 345kV line for the loss of the Hanna - Canton Central 345kV line</t>
  </si>
  <si>
    <t xml:space="preserve"> Voltage/Low Voltage at Hayes for the loss of the Hayes - Davis Besse 345kV line</t>
  </si>
  <si>
    <t xml:space="preserve"> Thermal/Eugene - Dequin 345kV line for the loss of the Greentown - Jefferson 765kV line</t>
  </si>
  <si>
    <t>Minimum Internal Resource Requirement</t>
  </si>
  <si>
    <t xml:space="preserve"> Thermal/Tanner - Miami Fort 345 kV line for the loss of the Terminal - South Bend 345 kV line</t>
  </si>
  <si>
    <t xml:space="preserve"> Voltage/Voltage drop at High Ridge 230 kV station for the loss of Burches Hill - Possum Point 500 kV line</t>
  </si>
  <si>
    <t xml:space="preserve"> Thermal/Wescosville 500/138 kV transformer pre-contingency (Basecase)</t>
  </si>
  <si>
    <t>Total Peak Load of FRR Entities</t>
  </si>
  <si>
    <t xml:space="preserve"> Thermal/Pumphrey - Howard 230 kV line pre-contingency (Basecase)</t>
  </si>
  <si>
    <t>Reliability Requirement adjusted for FRR</t>
  </si>
  <si>
    <t xml:space="preserve"> Voltage/Low Voltage at Cochranville 230 kV for loss of Keeney - Rock Springs 500 kV; low voltage at Hopatcong &amp; Roseland        500 kV for loss of Branchburg - Hopatcong 500 kV</t>
  </si>
  <si>
    <t xml:space="preserve"> Thermal/Sugar Creek - OHH 138 kV line for loss of OHH - College Corner 138 kV</t>
  </si>
  <si>
    <t xml:space="preserve"> Thermal/Voltage/Roseland - Cedar Grove 230 kV for loss of Roseland - Williams Pipeline 230 kV/ Low voltage at Hopatcong &amp; Roseland 500 kV for loss of Branchburg - Hopatcong 500 kV</t>
  </si>
  <si>
    <t>EE Addback (UCAP)</t>
  </si>
  <si>
    <t>Planning Parameters initially posted on 2/1/2017. 
Updated on 2/13/2017: Limiting facilities updated for BGE, PL, DAYTON, and DEOK; PL CETL revised from 8285 MW to 7,226 MW; Added s1106 to the Key Transmission Upgrades.
Updated on 4/13/2017: Added FRR load adjustments; updated CETL values for all LDAs except PEPCO and ATSI-Cleveland (and updated Limiting Facilitites for LDAs where applicable); updated CETO and Reliability Requirement for DAYTON LDA.                                                                                                                                                                             Updated 5/9/2017: VRR Curve updated to reflect adjustments for total quantity of EE Resources for which PJM accepted an EE M&amp;V Plan submitted for the auction.
Updated 5/23/2017:  Updated EE Add-backs to reflect cleared EE MW quantity of first-pass BRA solution times the threshold in accordance with Section 2.4.5 of Manual 18.  Updated DEOK Reliability Requirement to adjust for FRR Minimum Internal Resource Requirement. Added Post-Auction Credit Rates for cleared resources.</t>
  </si>
  <si>
    <t>Post-Auction Credit Rate, $/MW</t>
  </si>
  <si>
    <t>2020-2021 1st IA Planning Parameters</t>
  </si>
  <si>
    <t>ATSI-C</t>
  </si>
  <si>
    <t>1st IA Reliability Requirement</t>
  </si>
  <si>
    <t>Net of (1), (2), and (3)</t>
  </si>
  <si>
    <t>Rest of LDA PJM Buy Bid Quantity</t>
  </si>
  <si>
    <t xml:space="preserve">   * As per Section 5.4.(c) of the PJM OATT, the reliability requirement for the RTO and each LDA will be updated since the change in reliability requirement for the RTO and each LDA or parent of the LDA exceeds the lesser of the 500 MW or 1% threshold.</t>
  </si>
  <si>
    <t>** Additional Buy Bids to account for election of Non-Viable MWs related to Prior CIL Exception External Resources which were deemed  not Operationally Deliverable for the Delivery Year to be requested for 3rd Incremental Auction.</t>
  </si>
  <si>
    <t>PJM Buy Bids &amp; Sell Offers</t>
  </si>
  <si>
    <t>Price Points for PJM Buy Bids and PJM Sell Offers **</t>
  </si>
  <si>
    <t>Location</t>
  </si>
  <si>
    <t>Rest of LDA PJM Buy Bid (MW) *</t>
  </si>
  <si>
    <t>Point 1 x-axis (MW)</t>
  </si>
  <si>
    <t>Point 1 y-axis ($/MW-Day)</t>
  </si>
  <si>
    <t>Point 2 x-axis (MW)</t>
  </si>
  <si>
    <t>Point 2 y-axis ($/MW-Day)</t>
  </si>
  <si>
    <t>Point 3 x-axis (MW)</t>
  </si>
  <si>
    <t>Point 3 y-axis ($/MW-Day)</t>
  </si>
  <si>
    <t>RTO (Rest of)</t>
  </si>
  <si>
    <t xml:space="preserve"> --</t>
  </si>
  <si>
    <t>MAAC (Rest of)</t>
  </si>
  <si>
    <t>EMAAC (Rest of)</t>
  </si>
  <si>
    <t>SWMAAC (Rest of)</t>
  </si>
  <si>
    <t>PS (Rest of)</t>
  </si>
  <si>
    <t>ATSI (Rest of)</t>
  </si>
  <si>
    <t>TOTAL</t>
  </si>
  <si>
    <t xml:space="preserve">   * A PJM Sell Offer is indicated by a negative PJM Buy Bid.</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</si>
  <si>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</si>
  <si>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2017 IRM Study</t>
  </si>
  <si>
    <t>Load data: from 2018 Load Report with adjustments due to load served outside PJM.</t>
  </si>
  <si>
    <t>Variable Resource Requirement Curve without PRD:</t>
  </si>
  <si>
    <t>Nominated PRD Value Committed in BRA, MW</t>
  </si>
  <si>
    <t>VRR Curve adjusted for PRD Committed:</t>
  </si>
  <si>
    <t>Point (c1) UCAP Price, $/MW-Day</t>
  </si>
  <si>
    <t>Point (c1) UCAP Level, MW</t>
  </si>
  <si>
    <t>Additional Buy Bids ** (3)</t>
  </si>
  <si>
    <t>Change in Reliability Requirement * (1)</t>
  </si>
  <si>
    <t>Total PJM Buy Bid Quantity ***</t>
  </si>
  <si>
    <t>2020-2021 2nd IA Planning Parameters</t>
  </si>
  <si>
    <t>2018 IRM Study</t>
  </si>
  <si>
    <t>Load data: from 2019 Load Report with adjustments due to load served outside PJM.</t>
  </si>
  <si>
    <t>2020-2021 2nd Incremental Auction Configuration</t>
  </si>
  <si>
    <t>2nd IA Reliability Requirement</t>
  </si>
  <si>
    <t>Change in CETL from 1st IA to 2nd IA</t>
  </si>
  <si>
    <t>Capacity Import Limit Margin remaining after 1st IA</t>
  </si>
  <si>
    <t>Uncleared PJM Buy Bids from Previous IA (2)</t>
  </si>
  <si>
    <t xml:space="preserve">Configuration of 2nd Incremental Auction for 2020/2021 Delivery Year </t>
  </si>
  <si>
    <t>Adjusted Buy Bid Quantity ****</t>
  </si>
  <si>
    <t>CERA#86581913</t>
  </si>
  <si>
    <t>Uodated FRR Obligation</t>
  </si>
  <si>
    <t>*** PEPCO Buy Bid of 28 MW is netted with BGE Sell Offer.</t>
  </si>
  <si>
    <t>**** In determining the PJM sell offer quantity by location, the quantity determined in the row above has been adjusted in some cases for LDAs wholly located within a larger LDA to take into account impacts on the larger LDA.</t>
  </si>
  <si>
    <t>Revision (7/12/2019) - Updated PJM Buy Bids to reflect revised IRM, Pool-Wide Average EFORd, and FPR.</t>
  </si>
  <si>
    <t>Revision (7/12/2019) - Revised IRM, Pool-Wide Average EFORd, and FPR.</t>
  </si>
  <si>
    <t>Revision (8/13/2019) - Updated with Post-Auction Credit Rates.</t>
  </si>
  <si>
    <t>Revision (8/13/2019) - Updated with Post-Auction Credit Rates included in "2nd IA Parameters".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</si>
</sst>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1" formatCode="_(* #,##0.0_);_(* \(#,##0.0\);_(*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2"/>
      <name val="Arial"/>
      <family val="2"/>
    </font>
    <font>
      <sz val="10"/>
      <name val="Arial"/>
      <family val="2"/>
    </font>
    <font>
      <sz val="10"/>
      <name val="Arial"/>
      <family val="2"/>
    </font>
    <font>
      <sz val="11"/>
      <color theme="1"/>
      <name val="Calibri"/>
      <family val="2"/>
      <scheme val="minor"/>
    </font>
    <font>
      <b/>
      <sz val="12"/>
      <color rgb="FFFF0000"/>
      <name val="Arial"/>
      <family val="2"/>
    </font>
    <font>
      <sz val="10"/>
      <color theme="1"/>
      <name val="Arial"/>
      <family val="2"/>
    </font>
    <font>
      <b/>
      <sz val="10"/>
      <color rgb="FFFF0000"/>
      <name val="Arial"/>
      <family val="2"/>
    </font>
    <font>
      <b/>
      <sz val="14"/>
      <name val="Calibri"/>
      <family val="2"/>
      <scheme val="minor"/>
    </font>
    <font>
      <b/>
      <sz val="12"/>
      <name val="Calibri"/>
      <family val="2"/>
      <scheme val="minor"/>
    </font>
    <font>
      <sz val="12"/>
      <name val="Calibri"/>
      <family val="2"/>
      <scheme val="minor"/>
    </font>
    <font>
      <b/>
      <sz val="12"/>
      <color rgb="FFFF0000"/>
      <name val="Calibri"/>
      <family val="2"/>
      <scheme val="minor"/>
    </font>
    <font>
      <sz val="10"/>
      <name val="Calibri"/>
      <family val="2"/>
      <scheme val="minor"/>
    </font>
    <font>
      <b/>
      <sz val="14"/>
      <color rgb="FFFF0000"/>
      <name val="Calibri"/>
      <family val="2"/>
      <scheme val="minor"/>
    </font>
    <font>
      <b/>
      <sz val="10"/>
      <name val="Calibri"/>
      <family val="2"/>
      <scheme val="minor"/>
    </font>
    <font>
      <sz val="12"/>
      <color theme="1"/>
      <name val="Calibri"/>
      <family val="2"/>
      <scheme val="minor"/>
    </font>
    <font>
      <sz val="10"/>
      <color rgb="FFFF0000"/>
      <name val="Calibri"/>
      <family val="2"/>
      <scheme val="minor"/>
    </font>
    <font>
      <sz val="11"/>
      <color rgb="FF1F497D"/>
      <name val="Calibri"/>
      <family val="2"/>
      <scheme val="minor"/>
    </font>
    <font>
      <sz val="12"/>
      <color rgb="FFFF0000"/>
      <name val="Calibri"/>
      <family val="2"/>
      <scheme val="minor"/>
    </font>
    <font>
      <sz val="1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1">
    <xf numFmtId="0" fontId="0" fillId="0" borderId="0"/>
    <xf numFmtId="43" fontId="3" fillId="0" borderId="0" applyFont="0" applyFill="0" applyBorder="0" applyAlignment="0" applyProtection="0"/>
    <xf numFmtId="43" fontId="9" fillId="0" borderId="0" applyFont="0" applyFill="0" applyBorder="0" applyAlignment="0" applyProtection="0"/>
    <xf numFmtId="0" fontId="8" fillId="0" borderId="0"/>
    <xf numFmtId="0" fontId="7" fillId="0" borderId="0">
      <alignment wrapText="1"/>
    </xf>
    <xf numFmtId="0" fontId="7" fillId="0" borderId="0"/>
    <xf numFmtId="0" fontId="9" fillId="0" borderId="0"/>
    <xf numFmtId="9" fontId="3"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4" fontId="7" fillId="0" borderId="0" applyFont="0" applyFill="0" applyBorder="0" applyAlignment="0" applyProtection="0"/>
    <xf numFmtId="0" fontId="7" fillId="0" borderId="0"/>
    <xf numFmtId="0" fontId="2" fillId="0" borderId="0"/>
    <xf numFmtId="9" fontId="7" fillId="0" borderId="0" applyFont="0" applyFill="0" applyBorder="0" applyAlignment="0" applyProtection="0"/>
    <xf numFmtId="0" fontId="11" fillId="0" borderId="0"/>
    <xf numFmtId="0" fontId="3" fillId="0" borderId="0"/>
    <xf numFmtId="0" fontId="11" fillId="0" borderId="0"/>
    <xf numFmtId="0" fontId="1" fillId="0" borderId="0"/>
    <xf numFmtId="0" fontId="3" fillId="0" borderId="0"/>
    <xf numFmtId="0" fontId="3" fillId="0" borderId="0">
      <alignment wrapText="1"/>
    </xf>
    <xf numFmtId="0" fontId="3" fillId="0" borderId="0"/>
  </cellStyleXfs>
  <cellXfs count="226">
    <xf numFmtId="0" fontId="0" fillId="0" borderId="0" xfId="0"/>
    <xf numFmtId="0" fontId="0" fillId="0" borderId="0" xfId="0" applyAlignment="1">
      <alignment horizontal="center"/>
    </xf>
    <xf numFmtId="0" fontId="6" fillId="0" borderId="0" xfId="0" applyFont="1" applyBorder="1"/>
    <xf numFmtId="0" fontId="5" fillId="0" borderId="0" xfId="0" applyFont="1" applyAlignment="1">
      <alignment wrapText="1"/>
    </xf>
    <xf numFmtId="0" fontId="3" fillId="0" borderId="0" xfId="0" applyFont="1"/>
    <xf numFmtId="0" fontId="0" fillId="0" borderId="0" xfId="0" applyBorder="1"/>
    <xf numFmtId="0" fontId="6" fillId="0" borderId="0" xfId="0" applyFont="1" applyBorder="1" applyAlignment="1">
      <alignment horizontal="left" vertical="center"/>
    </xf>
    <xf numFmtId="0" fontId="3" fillId="0" borderId="0" xfId="0" applyFont="1" applyFill="1"/>
    <xf numFmtId="168" fontId="6" fillId="0" borderId="0" xfId="0" applyNumberFormat="1" applyFont="1" applyFill="1" applyBorder="1" applyAlignment="1">
      <alignment horizontal="right" vertical="center" wrapText="1"/>
    </xf>
    <xf numFmtId="0" fontId="10" fillId="0" borderId="15" xfId="0" applyFont="1" applyFill="1" applyBorder="1" applyAlignment="1">
      <alignment horizontal="center" vertical="center"/>
    </xf>
    <xf numFmtId="166" fontId="6" fillId="0" borderId="11" xfId="0" applyNumberFormat="1" applyFont="1" applyFill="1" applyBorder="1" applyAlignment="1">
      <alignment horizontal="left" vertical="center"/>
    </xf>
    <xf numFmtId="0" fontId="13" fillId="0" borderId="0" xfId="5" applyFont="1" applyBorder="1" applyAlignment="1">
      <alignment horizontal="left" vertical="center"/>
    </xf>
    <xf numFmtId="0" fontId="14" fillId="0" borderId="0" xfId="5" applyFont="1" applyBorder="1" applyAlignment="1">
      <alignment horizontal="left"/>
    </xf>
    <xf numFmtId="14" fontId="14" fillId="0" borderId="0" xfId="5" applyNumberFormat="1" applyFont="1" applyBorder="1" applyAlignment="1">
      <alignment horizontal="left"/>
    </xf>
    <xf numFmtId="0" fontId="15" fillId="0" borderId="0" xfId="5" applyFont="1" applyBorder="1"/>
    <xf numFmtId="0" fontId="14" fillId="0" borderId="0" xfId="5" applyFont="1" applyBorder="1" applyAlignment="1">
      <alignment horizontal="center"/>
    </xf>
    <xf numFmtId="0" fontId="15" fillId="0" borderId="0" xfId="5" applyFont="1" applyFill="1" applyBorder="1" applyAlignment="1">
      <alignment horizontal="left"/>
    </xf>
    <xf numFmtId="170" fontId="16" fillId="0" borderId="0" xfId="5" applyNumberFormat="1" applyFont="1" applyFill="1" applyBorder="1" applyAlignment="1">
      <alignment horizontal="center"/>
    </xf>
    <xf numFmtId="0" fontId="14" fillId="0" borderId="1" xfId="5" applyFont="1" applyBorder="1" applyAlignment="1">
      <alignment horizontal="center" vertical="center" wrapText="1"/>
    </xf>
    <xf numFmtId="0" fontId="14" fillId="0" borderId="1" xfId="5" applyFont="1" applyBorder="1" applyAlignment="1">
      <alignment horizontal="center" vertical="center"/>
    </xf>
    <xf numFmtId="0" fontId="14" fillId="0" borderId="1" xfId="0" applyFont="1" applyFill="1" applyBorder="1" applyAlignment="1">
      <alignment horizontal="center" vertical="center"/>
    </xf>
    <xf numFmtId="0" fontId="15" fillId="0" borderId="1" xfId="5" applyFont="1" applyBorder="1" applyAlignment="1">
      <alignment horizontal="left" vertical="center" wrapText="1"/>
    </xf>
    <xf numFmtId="1" fontId="15" fillId="0" borderId="1" xfId="5" applyNumberFormat="1" applyFont="1" applyBorder="1" applyAlignment="1">
      <alignment horizontal="left" vertical="center" wrapText="1"/>
    </xf>
    <xf numFmtId="168" fontId="15" fillId="0" borderId="1" xfId="5" applyNumberFormat="1" applyFont="1" applyBorder="1" applyAlignment="1">
      <alignment horizontal="center" vertical="center" wrapText="1"/>
    </xf>
    <xf numFmtId="165" fontId="15" fillId="0" borderId="1" xfId="5" applyNumberFormat="1" applyFont="1" applyBorder="1" applyAlignment="1">
      <alignment horizontal="center" vertical="center" wrapText="1"/>
    </xf>
    <xf numFmtId="168" fontId="15" fillId="0" borderId="1" xfId="5" applyNumberFormat="1" applyFont="1" applyBorder="1" applyAlignment="1">
      <alignment horizontal="center" vertical="center"/>
    </xf>
    <xf numFmtId="168" fontId="15" fillId="0" borderId="1" xfId="5" applyNumberFormat="1" applyFont="1" applyFill="1" applyBorder="1" applyAlignment="1">
      <alignment horizontal="center" vertical="center"/>
    </xf>
    <xf numFmtId="1" fontId="15" fillId="0" borderId="1" xfId="20" applyNumberFormat="1" applyFont="1" applyBorder="1" applyAlignment="1">
      <alignment horizontal="left" vertical="center"/>
    </xf>
    <xf numFmtId="166" fontId="15" fillId="0" borderId="1" xfId="5" applyNumberFormat="1" applyFont="1" applyBorder="1" applyAlignment="1">
      <alignment horizontal="center" vertical="center" wrapText="1"/>
    </xf>
    <xf numFmtId="1" fontId="15" fillId="4" borderId="1" xfId="20" applyNumberFormat="1" applyFont="1" applyFill="1" applyBorder="1" applyAlignment="1">
      <alignment horizontal="left" vertical="center"/>
    </xf>
    <xf numFmtId="0" fontId="15" fillId="0" borderId="0" xfId="5" applyFont="1" applyBorder="1" applyAlignment="1"/>
    <xf numFmtId="0" fontId="15" fillId="0" borderId="0" xfId="5" applyFont="1" applyAlignment="1">
      <alignment horizontal="center"/>
    </xf>
    <xf numFmtId="168" fontId="15" fillId="0" borderId="0" xfId="5" applyNumberFormat="1" applyFont="1" applyAlignment="1">
      <alignment horizontal="center"/>
    </xf>
    <xf numFmtId="0" fontId="15" fillId="0" borderId="0" xfId="5" applyFont="1" applyFill="1" applyBorder="1" applyAlignment="1">
      <alignment vertical="center"/>
    </xf>
    <xf numFmtId="0" fontId="13" fillId="0" borderId="0" xfId="20" applyFont="1" applyFill="1" applyBorder="1" applyAlignment="1">
      <alignment horizontal="left" vertical="center"/>
    </xf>
    <xf numFmtId="14" fontId="13" fillId="0" borderId="0" xfId="0" applyNumberFormat="1" applyFont="1" applyBorder="1" applyAlignment="1">
      <alignment horizontal="center" vertical="center"/>
    </xf>
    <xf numFmtId="0" fontId="16" fillId="0" borderId="0" xfId="20" applyFont="1" applyAlignment="1">
      <alignment horizontal="center" vertical="center"/>
    </xf>
    <xf numFmtId="14" fontId="16" fillId="0" borderId="0" xfId="20" applyNumberFormat="1" applyFont="1" applyAlignment="1">
      <alignment horizontal="left"/>
    </xf>
    <xf numFmtId="0" fontId="17" fillId="0" borderId="0" xfId="20" applyFont="1" applyAlignment="1">
      <alignment horizontal="center"/>
    </xf>
    <xf numFmtId="0" fontId="17" fillId="0" borderId="0" xfId="20" applyFont="1"/>
    <xf numFmtId="1" fontId="14" fillId="0" borderId="0" xfId="20" quotePrefix="1" applyNumberFormat="1" applyFont="1" applyBorder="1" applyAlignment="1">
      <alignment horizontal="left"/>
    </xf>
    <xf numFmtId="168" fontId="17" fillId="0" borderId="0" xfId="20" applyNumberFormat="1" applyFont="1" applyAlignment="1">
      <alignment horizontal="center"/>
    </xf>
    <xf numFmtId="0" fontId="18" fillId="0" borderId="0" xfId="20" applyFont="1" applyAlignment="1">
      <alignment horizontal="left"/>
    </xf>
    <xf numFmtId="0" fontId="17" fillId="0" borderId="0" xfId="20" applyFont="1" applyBorder="1"/>
    <xf numFmtId="0" fontId="13" fillId="0" borderId="21" xfId="20" applyFont="1" applyBorder="1" applyAlignment="1">
      <alignment horizontal="center"/>
    </xf>
    <xf numFmtId="0" fontId="14" fillId="0" borderId="18" xfId="20" applyFont="1" applyBorder="1" applyAlignment="1">
      <alignment horizontal="right" wrapText="1"/>
    </xf>
    <xf numFmtId="0" fontId="14" fillId="0" borderId="18" xfId="20" applyFont="1" applyBorder="1" applyAlignment="1">
      <alignment horizontal="center" vertical="center" wrapText="1"/>
    </xf>
    <xf numFmtId="0" fontId="14" fillId="0" borderId="25" xfId="20" applyFont="1" applyBorder="1" applyAlignment="1">
      <alignment horizontal="center" vertical="center" wrapText="1"/>
    </xf>
    <xf numFmtId="0" fontId="14" fillId="0" borderId="26" xfId="20" applyFont="1" applyBorder="1" applyAlignment="1">
      <alignment horizontal="center" vertical="center" wrapText="1"/>
    </xf>
    <xf numFmtId="4" fontId="15" fillId="0" borderId="27" xfId="20" applyNumberFormat="1" applyFont="1" applyBorder="1" applyAlignment="1">
      <alignment horizontal="right" vertical="center"/>
    </xf>
    <xf numFmtId="168" fontId="14" fillId="0" borderId="27" xfId="20" applyNumberFormat="1" applyFont="1" applyFill="1" applyBorder="1" applyAlignment="1">
      <alignment horizontal="center" vertical="center"/>
    </xf>
    <xf numFmtId="4" fontId="15" fillId="0" borderId="30" xfId="20" applyNumberFormat="1" applyFont="1" applyBorder="1" applyAlignment="1">
      <alignment horizontal="right" vertical="center"/>
    </xf>
    <xf numFmtId="168" fontId="14" fillId="0" borderId="31" xfId="20" applyNumberFormat="1" applyFont="1" applyFill="1" applyBorder="1" applyAlignment="1">
      <alignment horizontal="center" vertical="center"/>
    </xf>
    <xf numFmtId="4" fontId="15" fillId="0" borderId="31" xfId="20" applyNumberFormat="1" applyFont="1" applyBorder="1" applyAlignment="1">
      <alignment horizontal="right" vertical="center"/>
    </xf>
    <xf numFmtId="4" fontId="15" fillId="0" borderId="34" xfId="20" applyNumberFormat="1" applyFont="1" applyBorder="1" applyAlignment="1">
      <alignment horizontal="right" vertical="center"/>
    </xf>
    <xf numFmtId="4" fontId="15" fillId="0" borderId="37" xfId="20" applyNumberFormat="1" applyFont="1" applyBorder="1" applyAlignment="1">
      <alignment horizontal="right" vertical="center"/>
    </xf>
    <xf numFmtId="168" fontId="14" fillId="0" borderId="37" xfId="20" applyNumberFormat="1" applyFont="1" applyFill="1" applyBorder="1" applyAlignment="1">
      <alignment horizontal="center" vertical="center"/>
    </xf>
    <xf numFmtId="4" fontId="14" fillId="0" borderId="22" xfId="20" applyNumberFormat="1" applyFont="1" applyBorder="1" applyAlignment="1">
      <alignment horizontal="right"/>
    </xf>
    <xf numFmtId="168" fontId="14" fillId="0" borderId="18" xfId="13" applyNumberFormat="1" applyFont="1" applyBorder="1" applyAlignment="1">
      <alignment horizont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14" fontId="13" fillId="0" borderId="0" xfId="0" applyNumberFormat="1" applyFont="1" applyFill="1" applyBorder="1" applyAlignment="1">
      <alignment horizontal="center" vertical="center"/>
    </xf>
    <xf numFmtId="0" fontId="14" fillId="0" borderId="0" xfId="0" applyFont="1" applyBorder="1" applyAlignment="1">
      <alignment horizontal="left"/>
    </xf>
    <xf numFmtId="0" fontId="16" fillId="0" borderId="0" xfId="0" applyFont="1" applyBorder="1" applyAlignment="1">
      <alignment horizontal="left" vertical="center"/>
    </xf>
    <xf numFmtId="0" fontId="17" fillId="0" borderId="0" xfId="0" applyFont="1"/>
    <xf numFmtId="0" fontId="15" fillId="0" borderId="0" xfId="0" applyFont="1" applyBorder="1" applyAlignment="1">
      <alignment horizontal="left" vertical="center"/>
    </xf>
    <xf numFmtId="0" fontId="15" fillId="0" borderId="1" xfId="0" applyFont="1" applyBorder="1" applyAlignment="1">
      <alignment horizontal="left" vertical="center"/>
    </xf>
    <xf numFmtId="0" fontId="13" fillId="0" borderId="7" xfId="0" applyFont="1" applyBorder="1" applyAlignment="1">
      <alignment horizontal="center"/>
    </xf>
    <xf numFmtId="165" fontId="15" fillId="0" borderId="7" xfId="0" applyNumberFormat="1" applyFont="1" applyBorder="1" applyAlignment="1">
      <alignment horizontal="center" vertical="center"/>
    </xf>
    <xf numFmtId="10" fontId="15" fillId="0" borderId="7" xfId="0" applyNumberFormat="1" applyFont="1" applyBorder="1" applyAlignment="1">
      <alignment horizontal="center" vertical="center"/>
    </xf>
    <xf numFmtId="164" fontId="15" fillId="0" borderId="7" xfId="0" applyNumberFormat="1" applyFont="1" applyBorder="1" applyAlignment="1">
      <alignment horizontal="center" vertical="center"/>
    </xf>
    <xf numFmtId="168" fontId="15" fillId="0" borderId="7" xfId="0" applyNumberFormat="1" applyFont="1" applyBorder="1" applyAlignment="1">
      <alignment horizontal="center" vertical="center"/>
    </xf>
    <xf numFmtId="167" fontId="15" fillId="0" borderId="1" xfId="0" applyNumberFormat="1" applyFont="1" applyBorder="1" applyAlignment="1">
      <alignment horizontal="center" vertical="center"/>
    </xf>
    <xf numFmtId="0" fontId="19" fillId="0" borderId="4" xfId="0" applyFont="1" applyBorder="1" applyAlignment="1">
      <alignment horizontal="center" vertical="center" wrapText="1"/>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3" xfId="0" applyFont="1" applyBorder="1" applyAlignment="1">
      <alignment horizontal="left" vertical="center" wrapText="1"/>
    </xf>
    <xf numFmtId="168" fontId="15" fillId="0" borderId="1" xfId="0" applyNumberFormat="1" applyFont="1" applyBorder="1" applyAlignment="1">
      <alignment horizontal="right" vertical="center" wrapText="1"/>
    </xf>
    <xf numFmtId="168" fontId="15" fillId="0" borderId="1" xfId="0" applyNumberFormat="1" applyFont="1" applyBorder="1" applyAlignment="1">
      <alignment horizontal="right" vertical="center"/>
    </xf>
    <xf numFmtId="1" fontId="15" fillId="0" borderId="3" xfId="0" applyNumberFormat="1" applyFont="1" applyBorder="1" applyAlignment="1">
      <alignment horizontal="left" vertical="center" wrapText="1"/>
    </xf>
    <xf numFmtId="168" fontId="15" fillId="0" borderId="1" xfId="7" applyNumberFormat="1" applyFont="1" applyBorder="1" applyAlignment="1">
      <alignment horizontal="right" vertical="center"/>
    </xf>
    <xf numFmtId="3" fontId="15" fillId="0" borderId="1" xfId="0" applyNumberFormat="1" applyFont="1" applyBorder="1" applyAlignment="1">
      <alignment horizontal="right" vertical="center"/>
    </xf>
    <xf numFmtId="1" fontId="15" fillId="0" borderId="3" xfId="0" applyNumberFormat="1" applyFont="1" applyBorder="1" applyAlignment="1">
      <alignment horizontal="left" vertical="center"/>
    </xf>
    <xf numFmtId="168" fontId="14"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7" fontId="15"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167" fontId="14" fillId="0" borderId="1" xfId="0" applyNumberFormat="1" applyFont="1" applyBorder="1" applyAlignment="1">
      <alignment horizontal="right" vertical="center" wrapText="1"/>
    </xf>
    <xf numFmtId="1" fontId="15" fillId="0" borderId="14" xfId="0" applyNumberFormat="1" applyFont="1" applyBorder="1" applyAlignment="1">
      <alignment horizontal="left" vertical="center"/>
    </xf>
    <xf numFmtId="166" fontId="15" fillId="0" borderId="1" xfId="0" applyNumberFormat="1" applyFont="1" applyBorder="1" applyAlignment="1">
      <alignment horizontal="right" vertical="center"/>
    </xf>
    <xf numFmtId="166" fontId="15" fillId="0" borderId="1" xfId="0" applyNumberFormat="1" applyFont="1" applyBorder="1" applyAlignment="1">
      <alignment horizontal="right" vertical="center" wrapText="1"/>
    </xf>
    <xf numFmtId="0" fontId="15" fillId="4" borderId="19" xfId="0" applyFont="1" applyFill="1" applyBorder="1" applyAlignment="1">
      <alignment horizontal="left" vertical="center" wrapText="1"/>
    </xf>
    <xf numFmtId="167" fontId="15" fillId="4" borderId="16" xfId="0" applyNumberFormat="1" applyFont="1" applyFill="1" applyBorder="1" applyAlignment="1">
      <alignment horizontal="right" vertical="center" wrapText="1"/>
    </xf>
    <xf numFmtId="167" fontId="15" fillId="4" borderId="17" xfId="0" applyNumberFormat="1" applyFont="1" applyFill="1" applyBorder="1" applyAlignment="1">
      <alignment horizontal="right" vertical="center" wrapText="1"/>
    </xf>
    <xf numFmtId="0" fontId="15" fillId="4" borderId="3" xfId="0" applyFont="1" applyFill="1" applyBorder="1" applyAlignment="1">
      <alignment horizontal="left" vertical="center" wrapText="1"/>
    </xf>
    <xf numFmtId="167" fontId="15" fillId="4" borderId="1" xfId="0" applyNumberFormat="1" applyFont="1" applyFill="1" applyBorder="1" applyAlignment="1">
      <alignment horizontal="right" vertical="center" wrapText="1"/>
    </xf>
    <xf numFmtId="167" fontId="15" fillId="4" borderId="12" xfId="0" applyNumberFormat="1" applyFont="1" applyFill="1" applyBorder="1" applyAlignment="1">
      <alignment horizontal="right" vertical="center" wrapText="1"/>
    </xf>
    <xf numFmtId="168" fontId="15" fillId="4" borderId="1" xfId="0" applyNumberFormat="1" applyFont="1" applyFill="1" applyBorder="1" applyAlignment="1">
      <alignment horizontal="right" vertical="center" wrapText="1"/>
    </xf>
    <xf numFmtId="168" fontId="15" fillId="4" borderId="12" xfId="0" applyNumberFormat="1" applyFont="1" applyFill="1" applyBorder="1" applyAlignment="1">
      <alignment horizontal="right" vertical="center" wrapText="1"/>
    </xf>
    <xf numFmtId="0" fontId="15" fillId="4" borderId="9" xfId="0" applyFont="1" applyFill="1" applyBorder="1" applyAlignment="1">
      <alignment horizontal="left" vertical="center" wrapText="1"/>
    </xf>
    <xf numFmtId="168" fontId="15" fillId="4" borderId="10" xfId="0" applyNumberFormat="1" applyFont="1" applyFill="1" applyBorder="1" applyAlignment="1">
      <alignment horizontal="right" vertical="center" wrapText="1"/>
    </xf>
    <xf numFmtId="168" fontId="15" fillId="4" borderId="13" xfId="0" applyNumberFormat="1" applyFont="1" applyFill="1" applyBorder="1" applyAlignment="1">
      <alignment horizontal="right" vertical="center" wrapText="1"/>
    </xf>
    <xf numFmtId="0" fontId="14" fillId="0" borderId="4" xfId="0" applyFont="1" applyFill="1" applyBorder="1" applyAlignment="1">
      <alignment horizontal="left" vertical="center" wrapText="1"/>
    </xf>
    <xf numFmtId="168" fontId="15" fillId="0" borderId="2" xfId="0" applyNumberFormat="1" applyFont="1" applyFill="1" applyBorder="1" applyAlignment="1">
      <alignment horizontal="right" vertical="center" wrapText="1"/>
    </xf>
    <xf numFmtId="0" fontId="15" fillId="3" borderId="19" xfId="0" applyFont="1" applyFill="1" applyBorder="1" applyAlignment="1">
      <alignment horizontal="left" vertical="center" wrapText="1"/>
    </xf>
    <xf numFmtId="167" fontId="15" fillId="3" borderId="16" xfId="0" applyNumberFormat="1" applyFont="1" applyFill="1" applyBorder="1" applyAlignment="1">
      <alignment horizontal="right" vertical="center" wrapText="1"/>
    </xf>
    <xf numFmtId="167" fontId="15" fillId="3" borderId="17" xfId="0" applyNumberFormat="1" applyFont="1" applyFill="1" applyBorder="1" applyAlignment="1">
      <alignment horizontal="right" vertical="center" wrapText="1"/>
    </xf>
    <xf numFmtId="0" fontId="15" fillId="3" borderId="3" xfId="0" applyFont="1" applyFill="1" applyBorder="1" applyAlignment="1">
      <alignment horizontal="left" vertical="center" wrapText="1"/>
    </xf>
    <xf numFmtId="167" fontId="15" fillId="3" borderId="1" xfId="0" applyNumberFormat="1" applyFont="1" applyFill="1" applyBorder="1" applyAlignment="1">
      <alignment horizontal="right" vertical="center" wrapText="1"/>
    </xf>
    <xf numFmtId="167" fontId="15" fillId="3" borderId="12" xfId="0" applyNumberFormat="1" applyFont="1" applyFill="1" applyBorder="1" applyAlignment="1">
      <alignment horizontal="right" vertical="center" wrapText="1"/>
    </xf>
    <xf numFmtId="0" fontId="15" fillId="3" borderId="9" xfId="0" applyFont="1" applyFill="1" applyBorder="1" applyAlignment="1">
      <alignment horizontal="left" vertical="center" wrapText="1"/>
    </xf>
    <xf numFmtId="167" fontId="15" fillId="3" borderId="10" xfId="0" applyNumberFormat="1" applyFont="1" applyFill="1" applyBorder="1" applyAlignment="1">
      <alignment horizontal="right" vertical="center" wrapText="1"/>
    </xf>
    <xf numFmtId="167" fontId="15" fillId="3" borderId="13" xfId="0" applyNumberFormat="1" applyFont="1" applyFill="1" applyBorder="1" applyAlignment="1">
      <alignment horizontal="right" vertical="center" wrapText="1"/>
    </xf>
    <xf numFmtId="0" fontId="15" fillId="2" borderId="19" xfId="0" applyFont="1" applyFill="1" applyBorder="1" applyAlignment="1">
      <alignment horizontal="left" vertical="center" wrapText="1"/>
    </xf>
    <xf numFmtId="168" fontId="15" fillId="2" borderId="16" xfId="0" applyNumberFormat="1" applyFont="1" applyFill="1" applyBorder="1" applyAlignment="1">
      <alignment horizontal="right" vertical="center" wrapText="1"/>
    </xf>
    <xf numFmtId="0" fontId="15" fillId="2" borderId="3" xfId="0" applyFont="1" applyFill="1" applyBorder="1" applyAlignment="1">
      <alignment horizontal="left" vertical="center" wrapText="1"/>
    </xf>
    <xf numFmtId="168" fontId="15" fillId="2" borderId="1" xfId="0" applyNumberFormat="1" applyFont="1" applyFill="1" applyBorder="1" applyAlignment="1">
      <alignment horizontal="right" vertical="center" wrapText="1"/>
    </xf>
    <xf numFmtId="0" fontId="15" fillId="2" borderId="9" xfId="0" applyFont="1" applyFill="1" applyBorder="1" applyAlignment="1">
      <alignment horizontal="left" vertical="center" wrapText="1"/>
    </xf>
    <xf numFmtId="168" fontId="15" fillId="2" borderId="10" xfId="0" applyNumberFormat="1" applyFont="1" applyFill="1" applyBorder="1" applyAlignment="1">
      <alignment horizontal="right" vertical="center" wrapText="1"/>
    </xf>
    <xf numFmtId="167" fontId="20" fillId="0" borderId="2" xfId="0" applyNumberFormat="1" applyFont="1" applyFill="1" applyBorder="1" applyAlignment="1">
      <alignment horizontal="right" vertical="center"/>
    </xf>
    <xf numFmtId="165" fontId="15" fillId="0" borderId="1" xfId="0" applyNumberFormat="1" applyFont="1" applyBorder="1" applyAlignment="1">
      <alignment horizontal="right" vertical="center" wrapText="1"/>
    </xf>
    <xf numFmtId="165" fontId="15" fillId="0" borderId="1" xfId="7" applyNumberFormat="1" applyFont="1" applyBorder="1" applyAlignment="1">
      <alignment horizontal="right" vertical="center"/>
    </xf>
    <xf numFmtId="0" fontId="15" fillId="0" borderId="5" xfId="0" applyFont="1" applyFill="1" applyBorder="1" applyAlignment="1">
      <alignment horizontal="left" vertical="center"/>
    </xf>
    <xf numFmtId="0" fontId="14" fillId="0" borderId="6" xfId="0" applyFont="1" applyFill="1" applyBorder="1" applyAlignment="1">
      <alignment horizontal="left" vertical="center"/>
    </xf>
    <xf numFmtId="0" fontId="14" fillId="0" borderId="6" xfId="0" applyFont="1" applyBorder="1" applyAlignment="1">
      <alignment horizontal="left" vertical="center"/>
    </xf>
    <xf numFmtId="0" fontId="17" fillId="0" borderId="0" xfId="0" applyFont="1" applyBorder="1" applyAlignment="1">
      <alignment horizontal="left"/>
    </xf>
    <xf numFmtId="0" fontId="17" fillId="0" borderId="0" xfId="0" applyFont="1" applyFill="1" applyBorder="1"/>
    <xf numFmtId="0" fontId="14"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9" fillId="0" borderId="0" xfId="0" applyFont="1" applyFill="1" applyAlignment="1">
      <alignment horizontal="right" wrapText="1"/>
    </xf>
    <xf numFmtId="0" fontId="21" fillId="0" borderId="0" xfId="0" applyFont="1" applyFill="1" applyAlignment="1">
      <alignment vertical="top" wrapText="1"/>
    </xf>
    <xf numFmtId="0" fontId="19" fillId="0" borderId="0" xfId="0" applyFont="1" applyAlignment="1">
      <alignment wrapText="1"/>
    </xf>
    <xf numFmtId="0" fontId="19" fillId="0" borderId="0" xfId="0" applyFont="1" applyFill="1" applyBorder="1" applyAlignment="1">
      <alignment horizontal="right" wrapText="1"/>
    </xf>
    <xf numFmtId="0" fontId="15" fillId="0" borderId="1" xfId="0" applyFont="1" applyBorder="1" applyAlignment="1">
      <alignment horizontal="right" vertical="center" wrapText="1"/>
    </xf>
    <xf numFmtId="168" fontId="15" fillId="0" borderId="1" xfId="0" applyNumberFormat="1" applyFont="1" applyBorder="1" applyAlignment="1">
      <alignment horizontal="center" vertical="center" wrapText="1"/>
    </xf>
    <xf numFmtId="0" fontId="22" fillId="0" borderId="0" xfId="0" applyFont="1" applyFill="1" applyAlignment="1">
      <alignment vertical="center"/>
    </xf>
    <xf numFmtId="0" fontId="22" fillId="0" borderId="0" xfId="0" applyFont="1" applyFill="1" applyBorder="1" applyAlignment="1">
      <alignment vertical="center"/>
    </xf>
    <xf numFmtId="0" fontId="15" fillId="0" borderId="1" xfId="0" applyFont="1" applyBorder="1" applyAlignment="1">
      <alignment horizontal="right" vertical="center"/>
    </xf>
    <xf numFmtId="168" fontId="15" fillId="0" borderId="1" xfId="0" applyNumberFormat="1" applyFont="1" applyFill="1" applyBorder="1" applyAlignment="1">
      <alignment horizontal="right" vertical="center"/>
    </xf>
    <xf numFmtId="168" fontId="15" fillId="0" borderId="1" xfId="7" applyNumberFormat="1" applyFont="1" applyFill="1" applyBorder="1" applyAlignment="1">
      <alignment horizontal="right" vertical="center"/>
    </xf>
    <xf numFmtId="169" fontId="15" fillId="0" borderId="1" xfId="7" applyNumberFormat="1" applyFont="1" applyBorder="1" applyAlignment="1">
      <alignment horizontal="right" vertical="center"/>
    </xf>
    <xf numFmtId="0" fontId="17" fillId="0" borderId="0" xfId="0" applyFont="1" applyFill="1" applyBorder="1" applyAlignment="1">
      <alignment vertical="center"/>
    </xf>
    <xf numFmtId="0" fontId="17" fillId="0" borderId="0" xfId="0" applyFont="1" applyBorder="1" applyAlignment="1">
      <alignment horizontal="center" vertical="center"/>
    </xf>
    <xf numFmtId="0" fontId="15" fillId="0" borderId="0" xfId="0" applyFont="1" applyBorder="1"/>
    <xf numFmtId="0" fontId="15" fillId="0" borderId="1" xfId="0" applyFont="1" applyFill="1" applyBorder="1" applyAlignment="1">
      <alignment horizontal="right" vertical="center"/>
    </xf>
    <xf numFmtId="0" fontId="17" fillId="0" borderId="0" xfId="0" applyFont="1" applyFill="1" applyBorder="1" applyAlignment="1">
      <alignment horizontal="left" vertical="center"/>
    </xf>
    <xf numFmtId="0" fontId="15" fillId="0" borderId="0" xfId="0" applyFont="1" applyFill="1" applyBorder="1"/>
    <xf numFmtId="168" fontId="14" fillId="0" borderId="1" xfId="1" applyNumberFormat="1" applyFont="1" applyFill="1" applyBorder="1" applyAlignment="1">
      <alignment horizontal="right" vertical="center"/>
    </xf>
    <xf numFmtId="9" fontId="15" fillId="0" borderId="1" xfId="7" applyFont="1" applyFill="1" applyBorder="1" applyAlignment="1">
      <alignment horizontal="right" vertical="center"/>
    </xf>
    <xf numFmtId="168" fontId="14" fillId="0" borderId="1" xfId="0" applyNumberFormat="1" applyFont="1" applyFill="1" applyBorder="1" applyAlignment="1">
      <alignment horizontal="right" vertical="center"/>
    </xf>
    <xf numFmtId="0" fontId="23" fillId="0" borderId="0" xfId="0" applyFont="1" applyBorder="1"/>
    <xf numFmtId="9" fontId="15" fillId="0" borderId="1" xfId="7" applyNumberFormat="1" applyFont="1" applyFill="1" applyBorder="1" applyAlignment="1">
      <alignment horizontal="right" vertical="center"/>
    </xf>
    <xf numFmtId="166" fontId="15" fillId="0" borderId="1" xfId="7" applyNumberFormat="1" applyFont="1" applyBorder="1" applyAlignment="1">
      <alignment horizontal="right" vertical="center"/>
    </xf>
    <xf numFmtId="165" fontId="15" fillId="0" borderId="0" xfId="7" applyNumberFormat="1" applyFont="1" applyBorder="1"/>
    <xf numFmtId="0" fontId="14" fillId="0" borderId="5" xfId="0" applyFont="1" applyBorder="1" applyAlignment="1">
      <alignment horizontal="left" vertical="center"/>
    </xf>
    <xf numFmtId="0" fontId="21" fillId="0" borderId="6" xfId="0" applyFont="1" applyBorder="1" applyAlignment="1">
      <alignment horizontal="left"/>
    </xf>
    <xf numFmtId="0" fontId="14" fillId="0" borderId="0" xfId="0" applyFont="1" applyBorder="1" applyAlignment="1">
      <alignment horizontal="center" vertical="center"/>
    </xf>
    <xf numFmtId="0" fontId="21" fillId="0" borderId="0" xfId="0" applyFont="1" applyBorder="1" applyAlignment="1">
      <alignment vertical="center"/>
    </xf>
    <xf numFmtId="0" fontId="16" fillId="0" borderId="0" xfId="0" applyFont="1" applyFill="1" applyBorder="1" applyAlignment="1">
      <alignment vertical="center"/>
    </xf>
    <xf numFmtId="0" fontId="17" fillId="0" borderId="0" xfId="0" applyFont="1" applyBorder="1" applyAlignment="1">
      <alignment vertical="center"/>
    </xf>
    <xf numFmtId="0" fontId="17" fillId="0" borderId="0" xfId="0" applyFont="1" applyBorder="1"/>
    <xf numFmtId="0" fontId="15" fillId="0" borderId="0" xfId="0" applyFont="1" applyFill="1" applyBorder="1" applyAlignment="1">
      <alignment vertical="center"/>
    </xf>
    <xf numFmtId="0" fontId="21" fillId="0" borderId="0" xfId="0" applyFont="1" applyFill="1" applyAlignment="1">
      <alignment vertical="center"/>
    </xf>
    <xf numFmtId="0" fontId="15" fillId="0" borderId="0" xfId="0" applyFont="1" applyFill="1" applyBorder="1" applyAlignment="1">
      <alignment horizontal="right" vertical="center"/>
    </xf>
    <xf numFmtId="168" fontId="15" fillId="0" borderId="0" xfId="0" applyNumberFormat="1" applyFont="1" applyFill="1" applyBorder="1" applyAlignment="1">
      <alignment horizontal="left" vertical="center"/>
    </xf>
    <xf numFmtId="166" fontId="15" fillId="0" borderId="0" xfId="0" applyNumberFormat="1" applyFont="1" applyBorder="1" applyAlignment="1">
      <alignment horizontal="right" vertical="center"/>
    </xf>
    <xf numFmtId="167" fontId="20" fillId="0" borderId="11" xfId="0" applyNumberFormat="1" applyFont="1" applyFill="1" applyBorder="1" applyAlignment="1">
      <alignment horizontal="right" vertical="center"/>
    </xf>
    <xf numFmtId="0" fontId="16" fillId="0" borderId="0" xfId="20" applyFont="1" applyAlignment="1">
      <alignment horizontal="left" vertical="center"/>
    </xf>
    <xf numFmtId="0" fontId="15" fillId="0" borderId="1" xfId="5" applyFont="1" applyFill="1" applyBorder="1" applyAlignment="1">
      <alignment horizontal="left" vertical="center"/>
    </xf>
    <xf numFmtId="166" fontId="14" fillId="0" borderId="28" xfId="20" applyNumberFormat="1" applyFont="1" applyFill="1" applyBorder="1" applyAlignment="1">
      <alignment horizontal="center" vertical="center"/>
    </xf>
    <xf numFmtId="167" fontId="14" fillId="0" borderId="29" xfId="20" applyNumberFormat="1" applyFont="1" applyFill="1" applyBorder="1" applyAlignment="1">
      <alignment horizontal="center" vertical="center"/>
    </xf>
    <xf numFmtId="166" fontId="14" fillId="0" borderId="32" xfId="20" applyNumberFormat="1" applyFont="1" applyFill="1" applyBorder="1" applyAlignment="1">
      <alignment horizontal="center" vertical="center"/>
    </xf>
    <xf numFmtId="167" fontId="14" fillId="0" borderId="33" xfId="20" applyNumberFormat="1" applyFont="1" applyFill="1" applyBorder="1" applyAlignment="1">
      <alignment horizontal="center" vertical="center"/>
    </xf>
    <xf numFmtId="166" fontId="14" fillId="0" borderId="35" xfId="20" applyNumberFormat="1" applyFont="1" applyFill="1" applyBorder="1" applyAlignment="1">
      <alignment horizontal="center" vertical="center"/>
    </xf>
    <xf numFmtId="167" fontId="14" fillId="0" borderId="36" xfId="20" applyNumberFormat="1" applyFont="1" applyFill="1" applyBorder="1" applyAlignment="1">
      <alignment horizontal="center" vertical="center"/>
    </xf>
    <xf numFmtId="166" fontId="14" fillId="0" borderId="38" xfId="20" applyNumberFormat="1" applyFont="1" applyFill="1" applyBorder="1" applyAlignment="1">
      <alignment horizontal="center" vertical="center"/>
    </xf>
    <xf numFmtId="167" fontId="14" fillId="0" borderId="39" xfId="20" applyNumberFormat="1" applyFont="1" applyFill="1" applyBorder="1" applyAlignment="1">
      <alignment horizontal="center" vertical="center"/>
    </xf>
    <xf numFmtId="168" fontId="12" fillId="0" borderId="0" xfId="0" applyNumberFormat="1" applyFont="1" applyAlignment="1">
      <alignment horizontal="center" vertical="center"/>
    </xf>
    <xf numFmtId="0" fontId="15" fillId="0" borderId="3" xfId="0" applyFont="1" applyFill="1" applyBorder="1" applyAlignment="1">
      <alignment horizontal="left" vertical="center" wrapText="1"/>
    </xf>
    <xf numFmtId="168" fontId="15" fillId="0" borderId="1" xfId="1" applyNumberFormat="1" applyFont="1" applyFill="1" applyBorder="1" applyAlignment="1">
      <alignment horizontal="center" vertical="center"/>
    </xf>
    <xf numFmtId="168" fontId="15" fillId="0" borderId="1" xfId="5" applyNumberFormat="1" applyFont="1" applyFill="1" applyBorder="1" applyAlignment="1">
      <alignment horizontal="center" vertical="center" wrapText="1"/>
    </xf>
    <xf numFmtId="168" fontId="15" fillId="2" borderId="17" xfId="0" applyNumberFormat="1" applyFont="1" applyFill="1" applyBorder="1" applyAlignment="1">
      <alignment horizontal="right" vertical="center" wrapText="1"/>
    </xf>
    <xf numFmtId="168" fontId="15" fillId="2" borderId="12" xfId="0" applyNumberFormat="1" applyFont="1" applyFill="1" applyBorder="1" applyAlignment="1">
      <alignment horizontal="right" vertical="center" wrapText="1"/>
    </xf>
    <xf numFmtId="168" fontId="15" fillId="2" borderId="13" xfId="0" applyNumberFormat="1" applyFont="1" applyFill="1" applyBorder="1" applyAlignment="1">
      <alignment horizontal="right" vertical="center" wrapText="1"/>
    </xf>
    <xf numFmtId="0" fontId="14" fillId="0" borderId="1" xfId="0" applyFont="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Fill="1" applyBorder="1" applyAlignment="1">
      <alignment horizontal="left" vertical="center" wrapText="1"/>
    </xf>
    <xf numFmtId="0" fontId="14" fillId="0" borderId="1" xfId="0" applyFont="1" applyBorder="1" applyAlignment="1">
      <alignment horizontal="left" vertical="center" wrapText="1"/>
    </xf>
    <xf numFmtId="165" fontId="15" fillId="0" borderId="7" xfId="0" applyNumberFormat="1" applyFont="1" applyFill="1" applyBorder="1" applyAlignment="1">
      <alignment horizontal="center" vertical="center"/>
    </xf>
    <xf numFmtId="10" fontId="15" fillId="0" borderId="7" xfId="0" applyNumberFormat="1" applyFont="1" applyFill="1" applyBorder="1" applyAlignment="1">
      <alignment horizontal="center" vertical="center"/>
    </xf>
    <xf numFmtId="164" fontId="15" fillId="0" borderId="7" xfId="0" applyNumberFormat="1" applyFont="1" applyFill="1" applyBorder="1" applyAlignment="1">
      <alignment horizontal="center" vertical="center"/>
    </xf>
    <xf numFmtId="0" fontId="15" fillId="0" borderId="4" xfId="0" applyFont="1" applyFill="1" applyBorder="1" applyAlignment="1">
      <alignment horizontal="left" vertical="center" wrapText="1"/>
    </xf>
    <xf numFmtId="171" fontId="15" fillId="0" borderId="1" xfId="1" applyNumberFormat="1" applyFont="1" applyBorder="1" applyAlignment="1">
      <alignment vertical="center"/>
    </xf>
    <xf numFmtId="168" fontId="0" fillId="0" borderId="0" xfId="0" applyNumberFormat="1"/>
    <xf numFmtId="1" fontId="15" fillId="5" borderId="1" xfId="20" applyNumberFormat="1" applyFont="1" applyFill="1" applyBorder="1" applyAlignment="1">
      <alignment horizontal="left" vertical="center"/>
    </xf>
    <xf numFmtId="168" fontId="3" fillId="0" borderId="0" xfId="0" applyNumberFormat="1" applyFont="1"/>
    <xf numFmtId="0" fontId="17" fillId="0" borderId="0" xfId="0" applyFont="1" applyAlignment="1">
      <alignment horizontal="left"/>
    </xf>
    <xf numFmtId="0" fontId="13" fillId="0" borderId="22" xfId="20" applyFont="1" applyBorder="1" applyAlignment="1">
      <alignment horizontal="center"/>
    </xf>
    <xf numFmtId="0" fontId="13" fillId="0" borderId="23" xfId="20" applyFont="1" applyBorder="1" applyAlignment="1">
      <alignment horizontal="center"/>
    </xf>
    <xf numFmtId="0" fontId="13" fillId="0" borderId="24" xfId="20" applyFont="1" applyBorder="1" applyAlignment="1">
      <alignment horizontal="center"/>
    </xf>
    <xf numFmtId="4" fontId="15" fillId="0" borderId="1" xfId="20" applyNumberFormat="1" applyFont="1" applyFill="1" applyBorder="1" applyAlignment="1">
      <alignment horizontal="left" vertical="top" wrapText="1"/>
    </xf>
    <xf numFmtId="0" fontId="15" fillId="0" borderId="1" xfId="20" applyFont="1" applyBorder="1" applyAlignment="1">
      <alignment vertical="top" wrapText="1"/>
    </xf>
    <xf numFmtId="0" fontId="14" fillId="0" borderId="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4" xfId="0" applyFont="1" applyBorder="1" applyAlignment="1">
      <alignment horizontal="center" vertical="center" wrapText="1"/>
    </xf>
    <xf numFmtId="4" fontId="15" fillId="0" borderId="0" xfId="0" applyNumberFormat="1" applyFont="1" applyFill="1" applyBorder="1" applyAlignment="1">
      <alignment horizontal="left" vertical="center" wrapText="1"/>
    </xf>
    <xf numFmtId="0" fontId="15" fillId="0" borderId="0" xfId="0" applyFont="1" applyAlignment="1">
      <alignment horizontal="left" vertical="center"/>
    </xf>
    <xf numFmtId="0" fontId="15" fillId="0" borderId="0" xfId="5"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vertical="center"/>
    </xf>
    <xf numFmtId="0" fontId="15" fillId="0" borderId="1" xfId="0" applyFont="1" applyBorder="1" applyAlignment="1">
      <alignment vertical="center"/>
    </xf>
    <xf numFmtId="0" fontId="14" fillId="0" borderId="8" xfId="0" applyFont="1" applyBorder="1" applyAlignment="1">
      <alignment horizontal="left" vertical="center" wrapText="1"/>
    </xf>
    <xf numFmtId="0" fontId="14" fillId="0" borderId="8" xfId="0" applyFont="1" applyFill="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lignment horizontal="left" vertical="center"/>
    </xf>
    <xf numFmtId="168" fontId="15" fillId="0" borderId="7" xfId="0" applyNumberFormat="1" applyFont="1" applyFill="1" applyBorder="1" applyAlignment="1">
      <alignment horizontal="left" vertical="center" wrapText="1"/>
    </xf>
    <xf numFmtId="168" fontId="15" fillId="0" borderId="20" xfId="0" applyNumberFormat="1" applyFont="1" applyFill="1" applyBorder="1" applyAlignment="1">
      <alignment horizontal="left" vertical="center" wrapText="1"/>
    </xf>
    <xf numFmtId="168" fontId="15" fillId="0" borderId="14" xfId="0" applyNumberFormat="1" applyFont="1" applyFill="1" applyBorder="1" applyAlignment="1">
      <alignment horizontal="left" vertical="center" wrapText="1"/>
    </xf>
    <xf numFmtId="168" fontId="15" fillId="0" borderId="1" xfId="0" applyNumberFormat="1" applyFont="1" applyFill="1" applyBorder="1" applyAlignment="1">
      <alignment horizontal="left" vertical="center"/>
    </xf>
    <xf numFmtId="168" fontId="24" fillId="0" borderId="8" xfId="7" applyNumberFormat="1" applyFont="1" applyBorder="1" applyAlignment="1">
      <alignment horizontal="center" vertical="center" wrapText="1"/>
    </xf>
    <xf numFmtId="168" fontId="24" fillId="0" borderId="11" xfId="0" applyNumberFormat="1" applyFont="1" applyBorder="1" applyAlignment="1">
      <alignment horizontal="center" vertical="center" wrapText="1"/>
    </xf>
    <xf numFmtId="168" fontId="24" fillId="0" borderId="2" xfId="0" applyNumberFormat="1" applyFont="1" applyBorder="1" applyAlignment="1">
      <alignment horizontal="center" vertical="center" wrapText="1"/>
    </xf>
    <xf numFmtId="168" fontId="15" fillId="0" borderId="7" xfId="0" applyNumberFormat="1" applyFont="1" applyFill="1" applyBorder="1" applyAlignment="1">
      <alignment horizontal="left" vertical="center"/>
    </xf>
    <xf numFmtId="168" fontId="15" fillId="0" borderId="20" xfId="0" applyNumberFormat="1" applyFont="1" applyFill="1" applyBorder="1" applyAlignment="1">
      <alignment horizontal="left" vertical="center"/>
    </xf>
    <xf numFmtId="168" fontId="15" fillId="0" borderId="14" xfId="0" applyNumberFormat="1" applyFont="1" applyFill="1" applyBorder="1" applyAlignment="1">
      <alignment horizontal="left" vertical="center"/>
    </xf>
  </cellXfs>
  <cellStyles count="21">
    <cellStyle name="Comma" xfId="1" builtinId="3"/>
    <cellStyle name="Comma 2" xfId="2"/>
    <cellStyle name="Comma 2 2" xfId="9"/>
    <cellStyle name="Comma 3" xfId="8"/>
    <cellStyle name="Currency 2" xfId="10"/>
    <cellStyle name="Normal" xfId="0" builtinId="0"/>
    <cellStyle name="Normal 10 2" xfId="18"/>
    <cellStyle name="Normal 2" xfId="3"/>
    <cellStyle name="Normal 2 2" xfId="4"/>
    <cellStyle name="Normal 2 2 2" xfId="19"/>
    <cellStyle name="Normal 2 3" xfId="11"/>
    <cellStyle name="Normal 3" xfId="14"/>
    <cellStyle name="Normal 3 7" xfId="16"/>
    <cellStyle name="Normal 4" xfId="15"/>
    <cellStyle name="Normal 4 3" xfId="5"/>
    <cellStyle name="Normal 4 3 2" xfId="20"/>
    <cellStyle name="Normal 6" xfId="6"/>
    <cellStyle name="Normal 6 2" xfId="12"/>
    <cellStyle name="Normal 6 7" xfId="17"/>
    <cellStyle name="Percent" xfId="7" builtinId="5"/>
    <cellStyle name="Percent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7"/>
  <sheetViews>
    <sheetView tabSelected="1" workbookViewId="0"/>
  </sheetViews>
  <sheetFormatPr defaultRowHeight="12.75" x14ac:dyDescent="0.2"/>
  <cols>
    <col min="1" max="1" width="25.7109375" customWidth="1"/>
    <col min="2" max="8" width="15.7109375" customWidth="1"/>
    <col min="9" max="16" width="10.7109375" customWidth="1"/>
    <col min="17" max="17" width="8.7109375" customWidth="1"/>
  </cols>
  <sheetData>
    <row r="1" spans="1:8" ht="18.75" x14ac:dyDescent="0.2">
      <c r="A1" s="34" t="s">
        <v>158</v>
      </c>
      <c r="B1" s="34"/>
      <c r="C1" s="34"/>
      <c r="D1" s="34"/>
      <c r="E1" s="34"/>
      <c r="F1" s="35">
        <v>43691</v>
      </c>
      <c r="G1" s="36" t="s">
        <v>12</v>
      </c>
      <c r="H1" s="167" t="s">
        <v>12</v>
      </c>
    </row>
    <row r="2" spans="1:8" ht="18.75" x14ac:dyDescent="0.25">
      <c r="A2" s="34" t="s">
        <v>120</v>
      </c>
      <c r="B2" s="34"/>
      <c r="C2" s="34"/>
      <c r="D2" s="34"/>
      <c r="E2" s="34"/>
      <c r="F2" s="37"/>
      <c r="G2" s="38"/>
      <c r="H2" s="39"/>
    </row>
    <row r="3" spans="1:8" ht="19.5" thickBot="1" x14ac:dyDescent="0.35">
      <c r="A3" s="40" t="s">
        <v>160</v>
      </c>
      <c r="B3" s="41" t="s">
        <v>12</v>
      </c>
      <c r="C3" s="42" t="s">
        <v>12</v>
      </c>
      <c r="D3" s="38"/>
      <c r="E3" s="38"/>
      <c r="F3" s="38"/>
      <c r="G3" s="38"/>
      <c r="H3" s="39"/>
    </row>
    <row r="4" spans="1:8" ht="19.5" thickBot="1" x14ac:dyDescent="0.35">
      <c r="A4" s="43"/>
      <c r="B4" s="44"/>
      <c r="C4" s="197" t="s">
        <v>121</v>
      </c>
      <c r="D4" s="198"/>
      <c r="E4" s="198"/>
      <c r="F4" s="198"/>
      <c r="G4" s="198"/>
      <c r="H4" s="199"/>
    </row>
    <row r="5" spans="1:8" ht="48" thickBot="1" x14ac:dyDescent="0.3">
      <c r="A5" s="45" t="s">
        <v>122</v>
      </c>
      <c r="B5" s="46" t="s">
        <v>123</v>
      </c>
      <c r="C5" s="47" t="s">
        <v>124</v>
      </c>
      <c r="D5" s="48" t="s">
        <v>125</v>
      </c>
      <c r="E5" s="47" t="s">
        <v>126</v>
      </c>
      <c r="F5" s="48" t="s">
        <v>127</v>
      </c>
      <c r="G5" s="47" t="s">
        <v>128</v>
      </c>
      <c r="H5" s="48" t="s">
        <v>129</v>
      </c>
    </row>
    <row r="6" spans="1:8" ht="15.75" x14ac:dyDescent="0.2">
      <c r="A6" s="49" t="s">
        <v>130</v>
      </c>
      <c r="B6" s="50">
        <f>'2nd IA Configuration'!B15</f>
        <v>-194.50000000000017</v>
      </c>
      <c r="C6" s="171">
        <v>0</v>
      </c>
      <c r="D6" s="172">
        <v>8.26</v>
      </c>
      <c r="E6" s="171">
        <v>194.50000000000017</v>
      </c>
      <c r="F6" s="172">
        <v>13.77</v>
      </c>
      <c r="G6" s="169" t="s">
        <v>131</v>
      </c>
      <c r="H6" s="170" t="s">
        <v>131</v>
      </c>
    </row>
    <row r="7" spans="1:8" ht="15.75" x14ac:dyDescent="0.2">
      <c r="A7" s="51" t="s">
        <v>132</v>
      </c>
      <c r="B7" s="52">
        <f>'2nd IA Configuration'!C15</f>
        <v>0</v>
      </c>
      <c r="C7" s="171" t="s">
        <v>131</v>
      </c>
      <c r="D7" s="172" t="s">
        <v>131</v>
      </c>
      <c r="E7" s="171" t="s">
        <v>131</v>
      </c>
      <c r="F7" s="172" t="s">
        <v>131</v>
      </c>
      <c r="G7" s="171" t="s">
        <v>131</v>
      </c>
      <c r="H7" s="172" t="s">
        <v>131</v>
      </c>
    </row>
    <row r="8" spans="1:8" ht="15.75" x14ac:dyDescent="0.2">
      <c r="A8" s="51" t="s">
        <v>133</v>
      </c>
      <c r="B8" s="52">
        <f>'2nd IA Configuration'!D15</f>
        <v>-162.20000000000002</v>
      </c>
      <c r="C8" s="171">
        <v>0</v>
      </c>
      <c r="D8" s="172">
        <v>125.99</v>
      </c>
      <c r="E8" s="171">
        <v>162.20000000000002</v>
      </c>
      <c r="F8" s="172">
        <v>144.55000000000001</v>
      </c>
      <c r="G8" s="171" t="s">
        <v>131</v>
      </c>
      <c r="H8" s="172" t="s">
        <v>131</v>
      </c>
    </row>
    <row r="9" spans="1:8" ht="15.75" x14ac:dyDescent="0.2">
      <c r="A9" s="51" t="s">
        <v>134</v>
      </c>
      <c r="B9" s="52">
        <f>'2nd IA Configuration'!E15</f>
        <v>0</v>
      </c>
      <c r="C9" s="171" t="s">
        <v>131</v>
      </c>
      <c r="D9" s="172" t="s">
        <v>131</v>
      </c>
      <c r="E9" s="171" t="s">
        <v>131</v>
      </c>
      <c r="F9" s="172" t="s">
        <v>131</v>
      </c>
      <c r="G9" s="171" t="s">
        <v>131</v>
      </c>
      <c r="H9" s="172" t="s">
        <v>131</v>
      </c>
    </row>
    <row r="10" spans="1:8" ht="15.75" x14ac:dyDescent="0.2">
      <c r="A10" s="51" t="s">
        <v>135</v>
      </c>
      <c r="B10" s="52">
        <f>'2nd IA Configuration'!F15</f>
        <v>-180.4</v>
      </c>
      <c r="C10" s="171">
        <v>0</v>
      </c>
      <c r="D10" s="172">
        <v>110.96</v>
      </c>
      <c r="E10" s="171">
        <v>180.4</v>
      </c>
      <c r="F10" s="172">
        <v>181.01</v>
      </c>
      <c r="G10" s="171" t="s">
        <v>131</v>
      </c>
      <c r="H10" s="172" t="s">
        <v>131</v>
      </c>
    </row>
    <row r="11" spans="1:8" ht="15.75" x14ac:dyDescent="0.2">
      <c r="A11" s="51" t="s">
        <v>42</v>
      </c>
      <c r="B11" s="52">
        <f>'2nd IA Configuration'!G15</f>
        <v>0</v>
      </c>
      <c r="C11" s="171" t="s">
        <v>131</v>
      </c>
      <c r="D11" s="172" t="s">
        <v>131</v>
      </c>
      <c r="E11" s="171" t="s">
        <v>131</v>
      </c>
      <c r="F11" s="172" t="s">
        <v>131</v>
      </c>
      <c r="G11" s="171" t="s">
        <v>131</v>
      </c>
      <c r="H11" s="172" t="s">
        <v>131</v>
      </c>
    </row>
    <row r="12" spans="1:8" ht="15.75" x14ac:dyDescent="0.2">
      <c r="A12" s="53" t="s">
        <v>43</v>
      </c>
      <c r="B12" s="52">
        <f>'2nd IA Configuration'!H15</f>
        <v>-80</v>
      </c>
      <c r="C12" s="171">
        <v>0</v>
      </c>
      <c r="D12" s="172">
        <v>79.319999999999993</v>
      </c>
      <c r="E12" s="171">
        <v>80</v>
      </c>
      <c r="F12" s="172">
        <v>181.67</v>
      </c>
      <c r="G12" s="171" t="s">
        <v>131</v>
      </c>
      <c r="H12" s="172" t="s">
        <v>131</v>
      </c>
    </row>
    <row r="13" spans="1:8" ht="15.75" x14ac:dyDescent="0.2">
      <c r="A13" s="54" t="s">
        <v>7</v>
      </c>
      <c r="B13" s="52">
        <f>'2nd IA Configuration'!I15</f>
        <v>0</v>
      </c>
      <c r="C13" s="171" t="s">
        <v>131</v>
      </c>
      <c r="D13" s="172" t="s">
        <v>131</v>
      </c>
      <c r="E13" s="171" t="s">
        <v>131</v>
      </c>
      <c r="F13" s="172" t="s">
        <v>131</v>
      </c>
      <c r="G13" s="171" t="s">
        <v>131</v>
      </c>
      <c r="H13" s="172" t="s">
        <v>131</v>
      </c>
    </row>
    <row r="14" spans="1:8" ht="15.75" x14ac:dyDescent="0.2">
      <c r="A14" s="54" t="s">
        <v>136</v>
      </c>
      <c r="B14" s="52">
        <f>'2nd IA Configuration'!J15</f>
        <v>-230</v>
      </c>
      <c r="C14" s="171">
        <v>0</v>
      </c>
      <c r="D14" s="172">
        <v>18.440000000000001</v>
      </c>
      <c r="E14" s="171">
        <v>230</v>
      </c>
      <c r="F14" s="172">
        <v>75.989999999999995</v>
      </c>
      <c r="G14" s="171" t="s">
        <v>131</v>
      </c>
      <c r="H14" s="172" t="s">
        <v>131</v>
      </c>
    </row>
    <row r="15" spans="1:8" ht="15.75" x14ac:dyDescent="0.2">
      <c r="A15" s="54" t="s">
        <v>55</v>
      </c>
      <c r="B15" s="52">
        <f>'2nd IA Configuration'!K15</f>
        <v>-127</v>
      </c>
      <c r="C15" s="171">
        <v>0</v>
      </c>
      <c r="D15" s="172">
        <v>13.57</v>
      </c>
      <c r="E15" s="171">
        <v>127</v>
      </c>
      <c r="F15" s="172">
        <v>98.47</v>
      </c>
      <c r="G15" s="171" t="s">
        <v>131</v>
      </c>
      <c r="H15" s="172" t="s">
        <v>131</v>
      </c>
    </row>
    <row r="16" spans="1:8" ht="15.75" x14ac:dyDescent="0.2">
      <c r="A16" s="54" t="s">
        <v>18</v>
      </c>
      <c r="B16" s="52">
        <f>'2nd IA Configuration'!L15</f>
        <v>-664</v>
      </c>
      <c r="C16" s="173">
        <v>0</v>
      </c>
      <c r="D16" s="174">
        <v>37.61</v>
      </c>
      <c r="E16" s="173">
        <v>664</v>
      </c>
      <c r="F16" s="174">
        <v>163.11000000000001</v>
      </c>
      <c r="G16" s="171" t="s">
        <v>131</v>
      </c>
      <c r="H16" s="172" t="s">
        <v>131</v>
      </c>
    </row>
    <row r="17" spans="1:8" ht="15.75" x14ac:dyDescent="0.2">
      <c r="A17" s="54" t="s">
        <v>3</v>
      </c>
      <c r="B17" s="52">
        <f>'2nd IA Configuration'!M15</f>
        <v>-31</v>
      </c>
      <c r="C17" s="173">
        <v>0</v>
      </c>
      <c r="D17" s="174">
        <v>63.18</v>
      </c>
      <c r="E17" s="173">
        <v>31</v>
      </c>
      <c r="F17" s="174">
        <v>73.45</v>
      </c>
      <c r="G17" s="171" t="s">
        <v>131</v>
      </c>
      <c r="H17" s="172" t="s">
        <v>131</v>
      </c>
    </row>
    <row r="18" spans="1:8" ht="15.75" x14ac:dyDescent="0.2">
      <c r="A18" s="54" t="s">
        <v>60</v>
      </c>
      <c r="B18" s="52">
        <f>'2nd IA Configuration'!N15</f>
        <v>-99.8</v>
      </c>
      <c r="C18" s="171">
        <v>0</v>
      </c>
      <c r="D18" s="172">
        <v>44.95</v>
      </c>
      <c r="E18" s="171">
        <v>99.8</v>
      </c>
      <c r="F18" s="172">
        <v>84.52</v>
      </c>
      <c r="G18" s="171" t="s">
        <v>131</v>
      </c>
      <c r="H18" s="172" t="s">
        <v>131</v>
      </c>
    </row>
    <row r="19" spans="1:8" ht="15.75" x14ac:dyDescent="0.2">
      <c r="A19" s="54" t="s">
        <v>19</v>
      </c>
      <c r="B19" s="52">
        <f>'2nd IA Configuration'!O15</f>
        <v>-122.1</v>
      </c>
      <c r="C19" s="173">
        <v>0</v>
      </c>
      <c r="D19" s="174">
        <v>0</v>
      </c>
      <c r="E19" s="173">
        <v>49.6</v>
      </c>
      <c r="F19" s="174">
        <v>0</v>
      </c>
      <c r="G19" s="171">
        <v>122.1</v>
      </c>
      <c r="H19" s="172">
        <v>74.88</v>
      </c>
    </row>
    <row r="20" spans="1:8" ht="16.5" thickBot="1" x14ac:dyDescent="0.25">
      <c r="A20" s="55" t="s">
        <v>52</v>
      </c>
      <c r="B20" s="56">
        <f>'2nd IA Configuration'!P15</f>
        <v>-47.7</v>
      </c>
      <c r="C20" s="175">
        <v>0</v>
      </c>
      <c r="D20" s="176">
        <v>95.11</v>
      </c>
      <c r="E20" s="175">
        <v>47.7</v>
      </c>
      <c r="F20" s="176">
        <v>123.05</v>
      </c>
      <c r="G20" s="175" t="s">
        <v>131</v>
      </c>
      <c r="H20" s="176" t="s">
        <v>131</v>
      </c>
    </row>
    <row r="21" spans="1:8" ht="16.5" thickBot="1" x14ac:dyDescent="0.3">
      <c r="A21" s="57" t="s">
        <v>137</v>
      </c>
      <c r="B21" s="58">
        <f>SUM(B6:B20)</f>
        <v>-1938.7</v>
      </c>
      <c r="C21" s="41" t="s">
        <v>12</v>
      </c>
      <c r="D21" s="38"/>
      <c r="E21" s="38"/>
      <c r="F21" s="39"/>
      <c r="G21" s="39"/>
      <c r="H21" s="39"/>
    </row>
    <row r="23" spans="1:8" ht="15.75" x14ac:dyDescent="0.2">
      <c r="A23" s="200" t="s">
        <v>138</v>
      </c>
      <c r="B23" s="200"/>
      <c r="C23" s="200"/>
      <c r="D23" s="200"/>
      <c r="E23" s="200"/>
      <c r="F23" s="200"/>
      <c r="G23" s="200"/>
      <c r="H23" s="200"/>
    </row>
    <row r="24" spans="1:8" ht="69.95" customHeight="1" x14ac:dyDescent="0.2">
      <c r="A24" s="201" t="s">
        <v>139</v>
      </c>
      <c r="B24" s="201"/>
      <c r="C24" s="201"/>
      <c r="D24" s="201"/>
      <c r="E24" s="201"/>
      <c r="F24" s="201"/>
      <c r="G24" s="201"/>
      <c r="H24" s="201"/>
    </row>
    <row r="26" spans="1:8" x14ac:dyDescent="0.2">
      <c r="A26" s="64" t="s">
        <v>164</v>
      </c>
    </row>
    <row r="27" spans="1:8" x14ac:dyDescent="0.2">
      <c r="A27" s="196" t="s">
        <v>167</v>
      </c>
    </row>
  </sheetData>
  <mergeCells count="3">
    <mergeCell ref="C4:H4"/>
    <mergeCell ref="A23:H23"/>
    <mergeCell ref="A24:H24"/>
  </mergeCells>
  <printOptions verticalCentered="1" gridLines="1"/>
  <pageMargins left="0.45" right="0.45" top="0.5" bottom="0.5" header="0.3" footer="0.3"/>
  <pageSetup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1"/>
  <sheetViews>
    <sheetView zoomScaleNormal="100" workbookViewId="0"/>
  </sheetViews>
  <sheetFormatPr defaultRowHeight="12.75" x14ac:dyDescent="0.2"/>
  <cols>
    <col min="1" max="1" width="59.42578125" customWidth="1"/>
    <col min="2" max="16" width="15.7109375" customWidth="1"/>
    <col min="17" max="17" width="12.7109375" customWidth="1"/>
  </cols>
  <sheetData>
    <row r="1" spans="1:17" ht="18.75" x14ac:dyDescent="0.2">
      <c r="A1" s="11" t="s">
        <v>153</v>
      </c>
      <c r="B1" s="11"/>
      <c r="C1" s="11"/>
      <c r="D1" s="11"/>
      <c r="E1" s="11"/>
      <c r="F1" s="11"/>
      <c r="G1" s="11"/>
      <c r="H1" s="11"/>
      <c r="I1" s="11"/>
      <c r="J1" s="11"/>
      <c r="K1" s="11"/>
      <c r="L1" s="11"/>
      <c r="M1" s="11"/>
      <c r="N1" s="11"/>
    </row>
    <row r="2" spans="1:17" ht="15.75" x14ac:dyDescent="0.25">
      <c r="A2" s="12"/>
      <c r="B2" s="12"/>
      <c r="C2" s="12"/>
      <c r="D2" s="12"/>
      <c r="E2" s="13"/>
      <c r="F2" s="12"/>
      <c r="G2" s="15"/>
      <c r="H2" s="14"/>
      <c r="I2" s="14"/>
      <c r="J2" s="14"/>
      <c r="K2" s="14"/>
      <c r="L2" s="14"/>
      <c r="M2" s="14"/>
      <c r="N2" s="14"/>
    </row>
    <row r="3" spans="1:17" ht="20.100000000000001" customHeight="1" x14ac:dyDescent="0.25">
      <c r="A3" s="16"/>
      <c r="B3" s="17" t="s">
        <v>12</v>
      </c>
      <c r="C3" s="202" t="s">
        <v>66</v>
      </c>
      <c r="D3" s="203"/>
      <c r="E3" s="203"/>
      <c r="F3" s="203"/>
      <c r="G3" s="203"/>
      <c r="H3" s="203"/>
      <c r="I3" s="203"/>
      <c r="J3" s="203"/>
      <c r="K3" s="203"/>
      <c r="L3" s="203"/>
      <c r="M3" s="203"/>
      <c r="N3" s="203"/>
      <c r="O3" s="203"/>
      <c r="P3" s="204"/>
    </row>
    <row r="4" spans="1:17" ht="20.100000000000001" customHeight="1" x14ac:dyDescent="0.2">
      <c r="A4" s="18" t="s">
        <v>12</v>
      </c>
      <c r="B4" s="19" t="s">
        <v>13</v>
      </c>
      <c r="C4" s="19" t="s">
        <v>17</v>
      </c>
      <c r="D4" s="19" t="s">
        <v>16</v>
      </c>
      <c r="E4" s="19" t="s">
        <v>14</v>
      </c>
      <c r="F4" s="19" t="s">
        <v>8</v>
      </c>
      <c r="G4" s="19" t="s">
        <v>42</v>
      </c>
      <c r="H4" s="19" t="s">
        <v>43</v>
      </c>
      <c r="I4" s="19" t="s">
        <v>7</v>
      </c>
      <c r="J4" s="19" t="s">
        <v>49</v>
      </c>
      <c r="K4" s="19" t="s">
        <v>114</v>
      </c>
      <c r="L4" s="20" t="s">
        <v>18</v>
      </c>
      <c r="M4" s="20" t="s">
        <v>3</v>
      </c>
      <c r="N4" s="20" t="s">
        <v>60</v>
      </c>
      <c r="O4" s="20" t="s">
        <v>19</v>
      </c>
      <c r="P4" s="20" t="s">
        <v>52</v>
      </c>
    </row>
    <row r="5" spans="1:17" ht="20.100000000000001" customHeight="1" x14ac:dyDescent="0.2">
      <c r="A5" s="21" t="s">
        <v>154</v>
      </c>
      <c r="B5" s="192">
        <f>'2nd IA Parameters'!B15</f>
        <v>151615.1</v>
      </c>
      <c r="C5" s="192">
        <f>'2nd IA Parameters'!C15</f>
        <v>65055</v>
      </c>
      <c r="D5" s="192">
        <f>'2nd IA Parameters'!D15</f>
        <v>36239</v>
      </c>
      <c r="E5" s="192">
        <f>'2nd IA Parameters'!E15</f>
        <v>15277</v>
      </c>
      <c r="F5" s="192">
        <f>'2nd IA Parameters'!F15</f>
        <v>11578</v>
      </c>
      <c r="G5" s="192">
        <f>'2nd IA Parameters'!G15</f>
        <v>6142</v>
      </c>
      <c r="H5" s="192">
        <f>'2nd IA Parameters'!H15</f>
        <v>2919</v>
      </c>
      <c r="I5" s="192">
        <f>'2nd IA Parameters'!I15</f>
        <v>8114</v>
      </c>
      <c r="J5" s="192">
        <f>'2nd IA Parameters'!J15</f>
        <v>15289</v>
      </c>
      <c r="K5" s="192">
        <f>'2nd IA Parameters'!K15</f>
        <v>5722</v>
      </c>
      <c r="L5" s="192">
        <f>'2nd IA Parameters'!L15</f>
        <v>25560</v>
      </c>
      <c r="M5" s="192">
        <f>'2nd IA Parameters'!M15</f>
        <v>7887</v>
      </c>
      <c r="N5" s="192">
        <f>'2nd IA Parameters'!N15</f>
        <v>9877</v>
      </c>
      <c r="O5" s="192">
        <f>'2nd IA Parameters'!O15</f>
        <v>3874</v>
      </c>
      <c r="P5" s="192">
        <f>'2nd IA Parameters'!P15</f>
        <v>7065.5748999999996</v>
      </c>
    </row>
    <row r="6" spans="1:17" ht="20.100000000000001" customHeight="1" x14ac:dyDescent="0.2">
      <c r="A6" s="21" t="s">
        <v>115</v>
      </c>
      <c r="B6" s="192">
        <f>'1st IA Parameters'!B15</f>
        <v>152768.29999999999</v>
      </c>
      <c r="C6" s="192">
        <f>'1st IA Parameters'!C15</f>
        <v>65097</v>
      </c>
      <c r="D6" s="192">
        <f>'1st IA Parameters'!D15</f>
        <v>36164</v>
      </c>
      <c r="E6" s="192">
        <f>'1st IA Parameters'!E15</f>
        <v>15309</v>
      </c>
      <c r="F6" s="192">
        <f>'1st IA Parameters'!F15</f>
        <v>11522</v>
      </c>
      <c r="G6" s="192">
        <f>'1st IA Parameters'!G15</f>
        <v>5812</v>
      </c>
      <c r="H6" s="192">
        <f>'1st IA Parameters'!H15</f>
        <v>2917</v>
      </c>
      <c r="I6" s="192">
        <f>'1st IA Parameters'!I15</f>
        <v>8086</v>
      </c>
      <c r="J6" s="192">
        <f>'1st IA Parameters'!J15</f>
        <v>15646</v>
      </c>
      <c r="K6" s="192">
        <f>'1st IA Parameters'!K15</f>
        <v>5849</v>
      </c>
      <c r="L6" s="192">
        <f>'1st IA Parameters'!L15</f>
        <v>25967</v>
      </c>
      <c r="M6" s="192">
        <f>'1st IA Parameters'!M15</f>
        <v>7967</v>
      </c>
      <c r="N6" s="192">
        <f>'1st IA Parameters'!N15</f>
        <v>9980</v>
      </c>
      <c r="O6" s="192">
        <f>'1st IA Parameters'!O15</f>
        <v>3979</v>
      </c>
      <c r="P6" s="192">
        <f>'1st IA Parameters'!P15</f>
        <v>7113.2853999999998</v>
      </c>
    </row>
    <row r="7" spans="1:17" ht="20.100000000000001" customHeight="1" x14ac:dyDescent="0.2">
      <c r="A7" s="22" t="s">
        <v>148</v>
      </c>
      <c r="B7" s="23">
        <f>B5-B6</f>
        <v>-1153.1999999999825</v>
      </c>
      <c r="C7" s="23">
        <f>C5-C6</f>
        <v>-42</v>
      </c>
      <c r="D7" s="23">
        <f t="shared" ref="D7:N7" si="0">D5-D6</f>
        <v>75</v>
      </c>
      <c r="E7" s="23">
        <f t="shared" si="0"/>
        <v>-32</v>
      </c>
      <c r="F7" s="23">
        <f t="shared" si="0"/>
        <v>56</v>
      </c>
      <c r="G7" s="23">
        <f t="shared" si="0"/>
        <v>330</v>
      </c>
      <c r="H7" s="23">
        <f t="shared" si="0"/>
        <v>2</v>
      </c>
      <c r="I7" s="23">
        <f t="shared" si="0"/>
        <v>28</v>
      </c>
      <c r="J7" s="23">
        <f t="shared" si="0"/>
        <v>-357</v>
      </c>
      <c r="K7" s="23">
        <f t="shared" si="0"/>
        <v>-127</v>
      </c>
      <c r="L7" s="23">
        <f t="shared" si="0"/>
        <v>-407</v>
      </c>
      <c r="M7" s="23">
        <f t="shared" si="0"/>
        <v>-80</v>
      </c>
      <c r="N7" s="23">
        <f t="shared" si="0"/>
        <v>-103</v>
      </c>
      <c r="O7" s="23">
        <f t="shared" ref="O7:P7" si="1">O5-O6</f>
        <v>-105</v>
      </c>
      <c r="P7" s="23">
        <f t="shared" si="1"/>
        <v>-47.710500000000138</v>
      </c>
    </row>
    <row r="8" spans="1:17" ht="20.100000000000001" customHeight="1" x14ac:dyDescent="0.2">
      <c r="A8" s="21" t="s">
        <v>155</v>
      </c>
      <c r="B8" s="24" t="s">
        <v>24</v>
      </c>
      <c r="C8" s="25">
        <f>'2nd IA Parameters'!C11-'1st IA Parameters'!C11</f>
        <v>0</v>
      </c>
      <c r="D8" s="25">
        <f>'2nd IA Parameters'!D11-'1st IA Parameters'!D11</f>
        <v>0</v>
      </c>
      <c r="E8" s="25">
        <f>'2nd IA Parameters'!E11-'1st IA Parameters'!E11</f>
        <v>0</v>
      </c>
      <c r="F8" s="25">
        <f>'2nd IA Parameters'!F11-'1st IA Parameters'!F11</f>
        <v>0</v>
      </c>
      <c r="G8" s="25">
        <f>'2nd IA Parameters'!G11-'1st IA Parameters'!G11</f>
        <v>0</v>
      </c>
      <c r="H8" s="25">
        <f>'2nd IA Parameters'!H11-'1st IA Parameters'!H11</f>
        <v>0</v>
      </c>
      <c r="I8" s="25">
        <f>'2nd IA Parameters'!I11-'1st IA Parameters'!I11</f>
        <v>0</v>
      </c>
      <c r="J8" s="25">
        <f>'2nd IA Parameters'!J11-'1st IA Parameters'!J11</f>
        <v>0</v>
      </c>
      <c r="K8" s="25">
        <f>'2nd IA Parameters'!K11-'1st IA Parameters'!K11</f>
        <v>0</v>
      </c>
      <c r="L8" s="25">
        <f>'2nd IA Parameters'!L11-'1st IA Parameters'!L11</f>
        <v>0</v>
      </c>
      <c r="M8" s="25">
        <f>'2nd IA Parameters'!M11-'1st IA Parameters'!M11</f>
        <v>0</v>
      </c>
      <c r="N8" s="25">
        <f>'2nd IA Parameters'!N11-'1st IA Parameters'!N11</f>
        <v>0</v>
      </c>
      <c r="O8" s="25">
        <f>'2nd IA Parameters'!O11-'1st IA Parameters'!O11</f>
        <v>0</v>
      </c>
      <c r="P8" s="25">
        <f>'2nd IA Parameters'!P11-'1st IA Parameters'!P11</f>
        <v>0</v>
      </c>
    </row>
    <row r="9" spans="1:17" ht="20.100000000000001" customHeight="1" x14ac:dyDescent="0.2">
      <c r="A9" s="168" t="s">
        <v>156</v>
      </c>
      <c r="B9" s="24" t="s">
        <v>24</v>
      </c>
      <c r="C9" s="26">
        <v>398.5</v>
      </c>
      <c r="D9" s="26">
        <v>146.69999999999999</v>
      </c>
      <c r="E9" s="26">
        <v>3249.8</v>
      </c>
      <c r="F9" s="26">
        <v>727.1</v>
      </c>
      <c r="G9" s="26">
        <v>942.1</v>
      </c>
      <c r="H9" s="26">
        <v>500.2</v>
      </c>
      <c r="I9" s="26">
        <v>4605.3999999999996</v>
      </c>
      <c r="J9" s="26">
        <v>1883.8</v>
      </c>
      <c r="K9" s="26">
        <v>1544.1</v>
      </c>
      <c r="L9" s="26">
        <v>480.5</v>
      </c>
      <c r="M9" s="26">
        <v>445</v>
      </c>
      <c r="N9" s="26">
        <v>6953.6</v>
      </c>
      <c r="O9" s="26">
        <v>739</v>
      </c>
      <c r="P9" s="26">
        <v>5.4</v>
      </c>
    </row>
    <row r="10" spans="1:17" ht="20.100000000000001" customHeight="1" x14ac:dyDescent="0.2">
      <c r="A10" s="27" t="s">
        <v>157</v>
      </c>
      <c r="B10" s="28">
        <f>C10+J10+L10+O10+P10</f>
        <v>-785.5</v>
      </c>
      <c r="C10" s="28">
        <f>D10+E10+N10</f>
        <v>-511.4</v>
      </c>
      <c r="D10" s="28">
        <f>-193+F10+H10</f>
        <v>-511.4</v>
      </c>
      <c r="E10" s="28">
        <v>0</v>
      </c>
      <c r="F10" s="28">
        <f>-64+G10</f>
        <v>-236.4</v>
      </c>
      <c r="G10" s="28">
        <v>-172.4</v>
      </c>
      <c r="H10" s="28">
        <v>-82</v>
      </c>
      <c r="I10" s="28">
        <v>0</v>
      </c>
      <c r="J10" s="28">
        <v>0</v>
      </c>
      <c r="K10" s="28">
        <v>0</v>
      </c>
      <c r="L10" s="28">
        <v>-257</v>
      </c>
      <c r="M10" s="28">
        <v>0</v>
      </c>
      <c r="N10" s="28">
        <v>0</v>
      </c>
      <c r="O10" s="28">
        <v>-17.100000000000001</v>
      </c>
      <c r="P10" s="28">
        <v>0</v>
      </c>
    </row>
    <row r="11" spans="1:17" ht="20.100000000000001" customHeight="1" x14ac:dyDescent="0.2">
      <c r="A11" s="27" t="s">
        <v>147</v>
      </c>
      <c r="B11" s="28">
        <v>0</v>
      </c>
      <c r="C11" s="28">
        <v>0</v>
      </c>
      <c r="D11" s="28">
        <v>0</v>
      </c>
      <c r="E11" s="28">
        <v>0</v>
      </c>
      <c r="F11" s="28">
        <v>0</v>
      </c>
      <c r="G11" s="28">
        <v>0</v>
      </c>
      <c r="H11" s="28">
        <v>0</v>
      </c>
      <c r="I11" s="28">
        <v>0</v>
      </c>
      <c r="J11" s="28">
        <v>0</v>
      </c>
      <c r="K11" s="28">
        <v>0</v>
      </c>
      <c r="L11" s="28">
        <v>0</v>
      </c>
      <c r="M11" s="28">
        <v>0</v>
      </c>
      <c r="N11" s="28">
        <v>0</v>
      </c>
      <c r="O11" s="28">
        <v>0</v>
      </c>
      <c r="P11" s="28">
        <v>0</v>
      </c>
    </row>
    <row r="12" spans="1:17" ht="20.100000000000001" customHeight="1" x14ac:dyDescent="0.2">
      <c r="A12" s="27" t="s">
        <v>116</v>
      </c>
      <c r="B12" s="23">
        <f>B7+B10+B11</f>
        <v>-1938.6999999999825</v>
      </c>
      <c r="C12" s="23">
        <f t="shared" ref="C12:O12" si="2">C7+C10+C11</f>
        <v>-553.4</v>
      </c>
      <c r="D12" s="23">
        <f>D7+D10+D11</f>
        <v>-436.4</v>
      </c>
      <c r="E12" s="23">
        <f t="shared" si="2"/>
        <v>-32</v>
      </c>
      <c r="F12" s="23">
        <f>F7+F10+F11</f>
        <v>-180.4</v>
      </c>
      <c r="G12" s="23">
        <f>G7+G10+G11</f>
        <v>157.6</v>
      </c>
      <c r="H12" s="23">
        <f>H7+H10+H11</f>
        <v>-80</v>
      </c>
      <c r="I12" s="180">
        <f t="shared" si="2"/>
        <v>28</v>
      </c>
      <c r="J12" s="180">
        <f t="shared" si="2"/>
        <v>-357</v>
      </c>
      <c r="K12" s="23">
        <f t="shared" si="2"/>
        <v>-127</v>
      </c>
      <c r="L12" s="23">
        <f t="shared" si="2"/>
        <v>-664</v>
      </c>
      <c r="M12" s="23">
        <f t="shared" si="2"/>
        <v>-80</v>
      </c>
      <c r="N12" s="180">
        <f t="shared" si="2"/>
        <v>-103</v>
      </c>
      <c r="O12" s="23">
        <f t="shared" si="2"/>
        <v>-122.1</v>
      </c>
      <c r="P12" s="180">
        <f>P7+P10+P11</f>
        <v>-47.710500000000138</v>
      </c>
    </row>
    <row r="13" spans="1:17" ht="20.100000000000001" customHeight="1" x14ac:dyDescent="0.2">
      <c r="A13" s="29" t="s">
        <v>149</v>
      </c>
      <c r="B13" s="23">
        <f>ROUND(B12,1)</f>
        <v>-1938.7</v>
      </c>
      <c r="C13" s="23">
        <f>ROUND(C12,1)</f>
        <v>-553.4</v>
      </c>
      <c r="D13" s="23">
        <f>D12</f>
        <v>-436.4</v>
      </c>
      <c r="E13" s="23">
        <f>E12</f>
        <v>-32</v>
      </c>
      <c r="F13" s="23">
        <f>ROUND(F12,1)</f>
        <v>-180.4</v>
      </c>
      <c r="G13" s="23">
        <f>G12</f>
        <v>157.6</v>
      </c>
      <c r="H13" s="23">
        <f>ROUND(H12,1)</f>
        <v>-80</v>
      </c>
      <c r="I13" s="179">
        <v>0</v>
      </c>
      <c r="J13" s="23">
        <f t="shared" ref="J13:K13" si="3">ROUND(J12,1)</f>
        <v>-357</v>
      </c>
      <c r="K13" s="23">
        <f t="shared" si="3"/>
        <v>-127</v>
      </c>
      <c r="L13" s="23">
        <f>ROUND(L12,1)</f>
        <v>-664</v>
      </c>
      <c r="M13" s="179">
        <f>ROUND(M12+I12,1)</f>
        <v>-52</v>
      </c>
      <c r="N13" s="23">
        <f>N12</f>
        <v>-103</v>
      </c>
      <c r="O13" s="23">
        <f t="shared" ref="O13:P13" si="4">ROUND(O12,1)</f>
        <v>-122.1</v>
      </c>
      <c r="P13" s="23">
        <f t="shared" si="4"/>
        <v>-47.7</v>
      </c>
    </row>
    <row r="14" spans="1:17" ht="20.100000000000001" customHeight="1" x14ac:dyDescent="0.2">
      <c r="A14" s="29" t="s">
        <v>159</v>
      </c>
      <c r="B14" s="23">
        <f>B13</f>
        <v>-1938.7</v>
      </c>
      <c r="C14" s="23">
        <f>C13</f>
        <v>-553.4</v>
      </c>
      <c r="D14" s="23">
        <v>-422.6</v>
      </c>
      <c r="E14" s="23">
        <v>-31</v>
      </c>
      <c r="F14" s="23">
        <f t="shared" ref="F14:I15" si="5">F13</f>
        <v>-180.4</v>
      </c>
      <c r="G14" s="23">
        <v>0</v>
      </c>
      <c r="H14" s="23">
        <f t="shared" si="5"/>
        <v>-80</v>
      </c>
      <c r="I14" s="23">
        <f t="shared" si="5"/>
        <v>0</v>
      </c>
      <c r="J14" s="23">
        <f>J13</f>
        <v>-357</v>
      </c>
      <c r="K14" s="23">
        <f>K13</f>
        <v>-127</v>
      </c>
      <c r="L14" s="23">
        <f>L13</f>
        <v>-664</v>
      </c>
      <c r="M14" s="179">
        <f>E14</f>
        <v>-31</v>
      </c>
      <c r="N14" s="23">
        <v>-99.8</v>
      </c>
      <c r="O14" s="23">
        <f t="shared" ref="O14:P14" si="6">O13</f>
        <v>-122.1</v>
      </c>
      <c r="P14" s="23">
        <f t="shared" si="6"/>
        <v>-47.7</v>
      </c>
      <c r="Q14" s="195" t="s">
        <v>12</v>
      </c>
    </row>
    <row r="15" spans="1:17" ht="20.100000000000001" customHeight="1" x14ac:dyDescent="0.2">
      <c r="A15" s="194" t="s">
        <v>117</v>
      </c>
      <c r="B15" s="26">
        <f>B14-C14-J14-L14-O14-P14</f>
        <v>-194.50000000000017</v>
      </c>
      <c r="C15" s="26">
        <f>C14-D14-E14-N14</f>
        <v>0</v>
      </c>
      <c r="D15" s="26">
        <f>D14-F14-H14</f>
        <v>-162.20000000000002</v>
      </c>
      <c r="E15" s="26">
        <f>E14-I14-M14</f>
        <v>0</v>
      </c>
      <c r="F15" s="26">
        <f>F14-G14</f>
        <v>-180.4</v>
      </c>
      <c r="G15" s="26">
        <f t="shared" si="5"/>
        <v>0</v>
      </c>
      <c r="H15" s="26">
        <f t="shared" si="5"/>
        <v>-80</v>
      </c>
      <c r="I15" s="26">
        <f t="shared" si="5"/>
        <v>0</v>
      </c>
      <c r="J15" s="26">
        <f>J14-K14</f>
        <v>-230</v>
      </c>
      <c r="K15" s="26">
        <f t="shared" ref="K15:N15" si="7">K14</f>
        <v>-127</v>
      </c>
      <c r="L15" s="26">
        <f t="shared" si="7"/>
        <v>-664</v>
      </c>
      <c r="M15" s="26">
        <f>M14</f>
        <v>-31</v>
      </c>
      <c r="N15" s="26">
        <f t="shared" si="7"/>
        <v>-99.8</v>
      </c>
      <c r="O15" s="26">
        <f t="shared" ref="O15" si="8">O14</f>
        <v>-122.1</v>
      </c>
      <c r="P15" s="26">
        <f>P14</f>
        <v>-47.7</v>
      </c>
      <c r="Q15" s="177" t="s">
        <v>12</v>
      </c>
    </row>
    <row r="16" spans="1:17" ht="15.75" x14ac:dyDescent="0.25">
      <c r="A16" s="30"/>
      <c r="B16" s="31"/>
      <c r="C16" s="32"/>
      <c r="D16" s="32"/>
      <c r="E16" s="32"/>
      <c r="F16" s="32"/>
      <c r="G16" s="32"/>
      <c r="H16" s="32"/>
      <c r="I16" s="32"/>
      <c r="J16" s="32"/>
      <c r="K16" s="32"/>
      <c r="L16" s="32"/>
      <c r="M16" s="32"/>
      <c r="N16" s="32"/>
    </row>
    <row r="17" spans="1:16" ht="20.100000000000001" customHeight="1" x14ac:dyDescent="0.2">
      <c r="A17" s="207" t="s">
        <v>118</v>
      </c>
      <c r="B17" s="207"/>
      <c r="C17" s="207"/>
      <c r="D17" s="207"/>
      <c r="E17" s="207"/>
      <c r="F17" s="207"/>
      <c r="G17" s="207"/>
      <c r="H17" s="207"/>
      <c r="I17" s="207"/>
      <c r="J17" s="207"/>
      <c r="K17" s="207"/>
      <c r="L17" s="207"/>
      <c r="M17" s="207"/>
      <c r="N17" s="207"/>
      <c r="O17" s="207"/>
      <c r="P17" s="207"/>
    </row>
    <row r="18" spans="1:16" ht="20.100000000000001" customHeight="1" x14ac:dyDescent="0.2">
      <c r="A18" s="206" t="s">
        <v>119</v>
      </c>
      <c r="B18" s="206"/>
      <c r="C18" s="206"/>
      <c r="D18" s="206"/>
      <c r="E18" s="206"/>
      <c r="F18" s="206"/>
      <c r="G18" s="206"/>
      <c r="H18" s="206"/>
      <c r="I18" s="206"/>
      <c r="J18" s="206"/>
      <c r="K18" s="206"/>
      <c r="L18" s="206"/>
      <c r="M18" s="206"/>
      <c r="N18" s="206"/>
      <c r="O18" s="206"/>
      <c r="P18" s="206"/>
    </row>
    <row r="19" spans="1:16" ht="20.100000000000001" customHeight="1" x14ac:dyDescent="0.2">
      <c r="A19" s="205" t="s">
        <v>162</v>
      </c>
      <c r="B19" s="205"/>
      <c r="C19" s="205"/>
      <c r="D19" s="205"/>
      <c r="E19" s="205"/>
      <c r="F19" s="205"/>
      <c r="G19" s="205"/>
      <c r="H19" s="205"/>
      <c r="I19" s="205"/>
      <c r="J19" s="205"/>
      <c r="K19" s="205"/>
      <c r="L19" s="205"/>
      <c r="M19" s="205"/>
      <c r="N19" s="205"/>
      <c r="O19" s="205"/>
      <c r="P19" s="205"/>
    </row>
    <row r="20" spans="1:16" ht="20.100000000000001" customHeight="1" x14ac:dyDescent="0.2">
      <c r="A20" s="205" t="s">
        <v>163</v>
      </c>
      <c r="B20" s="205"/>
      <c r="C20" s="205"/>
      <c r="D20" s="205"/>
      <c r="E20" s="205"/>
      <c r="F20" s="205"/>
      <c r="G20" s="205"/>
      <c r="H20" s="205"/>
      <c r="I20" s="205"/>
      <c r="J20" s="205"/>
      <c r="K20" s="205"/>
      <c r="L20" s="205"/>
      <c r="M20" s="205"/>
      <c r="N20" s="205"/>
      <c r="O20" s="205"/>
      <c r="P20" s="205"/>
    </row>
    <row r="21" spans="1:16" x14ac:dyDescent="0.2">
      <c r="F21" s="193" t="s">
        <v>12</v>
      </c>
      <c r="G21" s="193" t="s">
        <v>12</v>
      </c>
    </row>
  </sheetData>
  <mergeCells count="5">
    <mergeCell ref="C3:P3"/>
    <mergeCell ref="A19:P19"/>
    <mergeCell ref="A20:P20"/>
    <mergeCell ref="A18:P18"/>
    <mergeCell ref="A17:P17"/>
  </mergeCells>
  <printOptions verticalCentered="1" gridLines="1"/>
  <pageMargins left="0.45" right="0.45" top="0.5" bottom="0.5" header="0.3" footer="0.3"/>
  <pageSetup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5"/>
  <sheetViews>
    <sheetView workbookViewId="0">
      <selection activeCell="M32" sqref="M32"/>
    </sheetView>
  </sheetViews>
  <sheetFormatPr defaultRowHeight="12.75" x14ac:dyDescent="0.2"/>
  <cols>
    <col min="1" max="1" width="60.7109375" customWidth="1"/>
    <col min="2" max="16" width="16.7109375" customWidth="1"/>
  </cols>
  <sheetData>
    <row r="1" spans="1:16" ht="18.75" x14ac:dyDescent="0.25">
      <c r="A1" s="59" t="s">
        <v>150</v>
      </c>
      <c r="B1" s="59"/>
      <c r="C1" s="59"/>
      <c r="D1" s="59"/>
      <c r="E1" s="60" t="s">
        <v>12</v>
      </c>
      <c r="F1" s="59"/>
      <c r="G1" s="61" t="s">
        <v>12</v>
      </c>
      <c r="H1" s="60" t="s">
        <v>12</v>
      </c>
      <c r="I1" s="62" t="s">
        <v>12</v>
      </c>
      <c r="J1" s="63" t="s">
        <v>12</v>
      </c>
      <c r="K1" s="64"/>
      <c r="L1" s="64"/>
      <c r="M1" s="64"/>
      <c r="N1" s="64"/>
      <c r="O1" s="64"/>
      <c r="P1" s="64"/>
    </row>
    <row r="2" spans="1:16" ht="15.75" x14ac:dyDescent="0.2">
      <c r="A2" s="65" t="s">
        <v>12</v>
      </c>
      <c r="B2" s="63"/>
      <c r="C2" s="63"/>
      <c r="D2" s="63"/>
      <c r="E2" s="63"/>
      <c r="F2" s="63"/>
      <c r="G2" s="63"/>
      <c r="H2" s="63"/>
      <c r="I2" s="63"/>
      <c r="J2" s="63"/>
      <c r="K2" s="63"/>
      <c r="L2" s="63"/>
      <c r="M2" s="63"/>
      <c r="N2" s="63"/>
      <c r="O2" s="64"/>
      <c r="P2" s="64"/>
    </row>
    <row r="3" spans="1:16" ht="18.75" x14ac:dyDescent="0.3">
      <c r="A3" s="66" t="s">
        <v>12</v>
      </c>
      <c r="B3" s="67" t="s">
        <v>13</v>
      </c>
      <c r="C3" s="209" t="s">
        <v>41</v>
      </c>
      <c r="D3" s="209"/>
      <c r="E3" s="209"/>
      <c r="F3" s="209"/>
      <c r="G3" s="209"/>
      <c r="H3" s="209"/>
      <c r="I3" s="209"/>
      <c r="J3" s="209"/>
      <c r="K3" s="209"/>
      <c r="L3" s="209"/>
      <c r="M3" s="209"/>
      <c r="N3" s="209"/>
      <c r="O3" s="209"/>
      <c r="P3" s="209"/>
    </row>
    <row r="4" spans="1:16" ht="15.75" x14ac:dyDescent="0.2">
      <c r="A4" s="66" t="s">
        <v>35</v>
      </c>
      <c r="B4" s="188">
        <v>0.159</v>
      </c>
      <c r="C4" s="210" t="s">
        <v>151</v>
      </c>
      <c r="D4" s="210"/>
      <c r="E4" s="210"/>
      <c r="F4" s="210"/>
      <c r="G4" s="210"/>
      <c r="H4" s="210"/>
      <c r="I4" s="210"/>
      <c r="J4" s="210"/>
      <c r="K4" s="210"/>
      <c r="L4" s="210"/>
      <c r="M4" s="210"/>
      <c r="N4" s="210"/>
      <c r="O4" s="210"/>
      <c r="P4" s="210"/>
    </row>
    <row r="5" spans="1:16" ht="15.75" x14ac:dyDescent="0.2">
      <c r="A5" s="66" t="s">
        <v>36</v>
      </c>
      <c r="B5" s="189">
        <v>6.0400000000000002E-2</v>
      </c>
      <c r="C5" s="210" t="s">
        <v>151</v>
      </c>
      <c r="D5" s="210"/>
      <c r="E5" s="210"/>
      <c r="F5" s="210"/>
      <c r="G5" s="210"/>
      <c r="H5" s="210"/>
      <c r="I5" s="210"/>
      <c r="J5" s="210"/>
      <c r="K5" s="210"/>
      <c r="L5" s="210"/>
      <c r="M5" s="210"/>
      <c r="N5" s="210"/>
      <c r="O5" s="210"/>
      <c r="P5" s="210"/>
    </row>
    <row r="6" spans="1:16" ht="15.75" x14ac:dyDescent="0.2">
      <c r="A6" s="66" t="s">
        <v>37</v>
      </c>
      <c r="B6" s="190">
        <v>1.089</v>
      </c>
      <c r="C6" s="210" t="s">
        <v>151</v>
      </c>
      <c r="D6" s="210"/>
      <c r="E6" s="210"/>
      <c r="F6" s="210"/>
      <c r="G6" s="210"/>
      <c r="H6" s="210"/>
      <c r="I6" s="210"/>
      <c r="J6" s="210"/>
      <c r="K6" s="210"/>
      <c r="L6" s="210"/>
      <c r="M6" s="210"/>
      <c r="N6" s="210"/>
      <c r="O6" s="210"/>
      <c r="P6" s="210"/>
    </row>
    <row r="7" spans="1:16" ht="15.75" x14ac:dyDescent="0.2">
      <c r="A7" s="66" t="s">
        <v>38</v>
      </c>
      <c r="B7" s="71">
        <v>151155.1</v>
      </c>
      <c r="C7" s="210" t="s">
        <v>152</v>
      </c>
      <c r="D7" s="210"/>
      <c r="E7" s="210"/>
      <c r="F7" s="210"/>
      <c r="G7" s="210"/>
      <c r="H7" s="210"/>
      <c r="I7" s="210"/>
      <c r="J7" s="210"/>
      <c r="K7" s="210"/>
      <c r="L7" s="210"/>
      <c r="M7" s="210"/>
      <c r="N7" s="210"/>
      <c r="O7" s="210"/>
      <c r="P7" s="210"/>
    </row>
    <row r="8" spans="1:16" ht="15.75" x14ac:dyDescent="0.2">
      <c r="A8" s="66" t="s">
        <v>12</v>
      </c>
      <c r="B8" s="72" t="s">
        <v>12</v>
      </c>
      <c r="C8" s="208" t="s">
        <v>66</v>
      </c>
      <c r="D8" s="208"/>
      <c r="E8" s="208"/>
      <c r="F8" s="208"/>
      <c r="G8" s="208"/>
      <c r="H8" s="208"/>
      <c r="I8" s="208"/>
      <c r="J8" s="208"/>
      <c r="K8" s="208"/>
      <c r="L8" s="208"/>
      <c r="M8" s="208"/>
      <c r="N8" s="208"/>
      <c r="O8" s="208"/>
      <c r="P8" s="208"/>
    </row>
    <row r="9" spans="1:16" ht="15.75" x14ac:dyDescent="0.2">
      <c r="A9" s="73" t="s">
        <v>12</v>
      </c>
      <c r="B9" s="74" t="s">
        <v>13</v>
      </c>
      <c r="C9" s="74" t="s">
        <v>17</v>
      </c>
      <c r="D9" s="74" t="s">
        <v>16</v>
      </c>
      <c r="E9" s="74" t="s">
        <v>14</v>
      </c>
      <c r="F9" s="74" t="s">
        <v>8</v>
      </c>
      <c r="G9" s="74" t="s">
        <v>42</v>
      </c>
      <c r="H9" s="74" t="s">
        <v>43</v>
      </c>
      <c r="I9" s="74" t="s">
        <v>7</v>
      </c>
      <c r="J9" s="75" t="s">
        <v>49</v>
      </c>
      <c r="K9" s="75" t="s">
        <v>57</v>
      </c>
      <c r="L9" s="20" t="s">
        <v>18</v>
      </c>
      <c r="M9" s="20" t="s">
        <v>3</v>
      </c>
      <c r="N9" s="20" t="s">
        <v>60</v>
      </c>
      <c r="O9" s="20" t="s">
        <v>19</v>
      </c>
      <c r="P9" s="20" t="s">
        <v>52</v>
      </c>
    </row>
    <row r="10" spans="1:16" ht="15.75" x14ac:dyDescent="0.2">
      <c r="A10" s="76" t="s">
        <v>9</v>
      </c>
      <c r="B10" s="77" t="s">
        <v>24</v>
      </c>
      <c r="C10" s="77">
        <v>-6950</v>
      </c>
      <c r="D10" s="78">
        <v>2980</v>
      </c>
      <c r="E10" s="78">
        <v>3400</v>
      </c>
      <c r="F10" s="78">
        <v>5560</v>
      </c>
      <c r="G10" s="78">
        <v>2700</v>
      </c>
      <c r="H10" s="78">
        <v>1070</v>
      </c>
      <c r="I10" s="78">
        <v>1770</v>
      </c>
      <c r="J10" s="78">
        <v>5840</v>
      </c>
      <c r="K10" s="78">
        <v>3310</v>
      </c>
      <c r="L10" s="78">
        <v>-1020</v>
      </c>
      <c r="M10" s="78">
        <v>4780</v>
      </c>
      <c r="N10" s="78">
        <v>-920</v>
      </c>
      <c r="O10" s="78">
        <v>2320</v>
      </c>
      <c r="P10" s="78">
        <v>2880</v>
      </c>
    </row>
    <row r="11" spans="1:16" ht="15.75" x14ac:dyDescent="0.2">
      <c r="A11" s="178" t="s">
        <v>11</v>
      </c>
      <c r="B11" s="77" t="s">
        <v>24</v>
      </c>
      <c r="C11" s="77">
        <v>3829</v>
      </c>
      <c r="D11" s="78">
        <v>8593</v>
      </c>
      <c r="E11" s="78">
        <v>9975</v>
      </c>
      <c r="F11" s="78">
        <v>8001</v>
      </c>
      <c r="G11" s="78">
        <v>4264</v>
      </c>
      <c r="H11" s="78">
        <v>1872</v>
      </c>
      <c r="I11" s="78">
        <v>7600</v>
      </c>
      <c r="J11" s="78">
        <v>9889</v>
      </c>
      <c r="K11" s="78">
        <v>5605</v>
      </c>
      <c r="L11" s="78">
        <v>4064</v>
      </c>
      <c r="M11" s="78">
        <v>6180</v>
      </c>
      <c r="N11" s="78">
        <v>7084</v>
      </c>
      <c r="O11" s="78">
        <v>3401</v>
      </c>
      <c r="P11" s="78">
        <v>5072</v>
      </c>
    </row>
    <row r="12" spans="1:16" ht="15.75" x14ac:dyDescent="0.2">
      <c r="A12" s="79" t="s">
        <v>10</v>
      </c>
      <c r="B12" s="77">
        <f>ROUND((B7*B6),1)</f>
        <v>164607.9</v>
      </c>
      <c r="C12" s="77">
        <v>65055</v>
      </c>
      <c r="D12" s="80">
        <v>36239</v>
      </c>
      <c r="E12" s="80">
        <v>15277</v>
      </c>
      <c r="F12" s="80">
        <v>11578</v>
      </c>
      <c r="G12" s="80">
        <v>6142</v>
      </c>
      <c r="H12" s="80">
        <v>2919</v>
      </c>
      <c r="I12" s="80">
        <v>8114</v>
      </c>
      <c r="J12" s="80">
        <v>15289</v>
      </c>
      <c r="K12" s="80">
        <v>5722</v>
      </c>
      <c r="L12" s="80">
        <v>25560</v>
      </c>
      <c r="M12" s="80">
        <v>7887</v>
      </c>
      <c r="N12" s="80">
        <v>9877</v>
      </c>
      <c r="O12" s="80">
        <v>3874</v>
      </c>
      <c r="P12" s="80">
        <v>7441</v>
      </c>
    </row>
    <row r="13" spans="1:16" ht="15.75" x14ac:dyDescent="0.2">
      <c r="A13" s="76" t="s">
        <v>104</v>
      </c>
      <c r="B13" s="78">
        <v>11930.9</v>
      </c>
      <c r="C13" s="81">
        <v>0</v>
      </c>
      <c r="D13" s="81">
        <v>0</v>
      </c>
      <c r="E13" s="81">
        <v>0</v>
      </c>
      <c r="F13" s="81">
        <v>0</v>
      </c>
      <c r="G13" s="81">
        <v>0</v>
      </c>
      <c r="H13" s="81">
        <v>0</v>
      </c>
      <c r="I13" s="81">
        <v>0</v>
      </c>
      <c r="J13" s="81">
        <v>0</v>
      </c>
      <c r="K13" s="81">
        <v>0</v>
      </c>
      <c r="L13" s="78">
        <v>0</v>
      </c>
      <c r="M13" s="81">
        <v>0</v>
      </c>
      <c r="N13" s="81">
        <v>0</v>
      </c>
      <c r="O13" s="81">
        <v>0</v>
      </c>
      <c r="P13" s="78">
        <v>826.7</v>
      </c>
    </row>
    <row r="14" spans="1:16" ht="15.75" x14ac:dyDescent="0.2">
      <c r="A14" s="76" t="s">
        <v>161</v>
      </c>
      <c r="B14" s="78">
        <f>ROUND(B13*$B$6,1)</f>
        <v>12992.8</v>
      </c>
      <c r="C14" s="81">
        <f>ROUND(C13*$B$6,1)</f>
        <v>0</v>
      </c>
      <c r="D14" s="81">
        <f t="shared" ref="D14:I14" si="0">ROUND(D13*$B$6,1)</f>
        <v>0</v>
      </c>
      <c r="E14" s="81">
        <f t="shared" si="0"/>
        <v>0</v>
      </c>
      <c r="F14" s="81">
        <f t="shared" si="0"/>
        <v>0</v>
      </c>
      <c r="G14" s="81">
        <f t="shared" si="0"/>
        <v>0</v>
      </c>
      <c r="H14" s="81">
        <f t="shared" si="0"/>
        <v>0</v>
      </c>
      <c r="I14" s="81">
        <f t="shared" si="0"/>
        <v>0</v>
      </c>
      <c r="J14" s="81">
        <f>ROUND(J13*$B$6,1)</f>
        <v>0</v>
      </c>
      <c r="K14" s="81">
        <f>ROUND(K13*$B$6,1)</f>
        <v>0</v>
      </c>
      <c r="L14" s="78">
        <f>ROUND(L13*$B$6,1)</f>
        <v>0</v>
      </c>
      <c r="M14" s="81">
        <f>ROUND(M13*$B$6,1)</f>
        <v>0</v>
      </c>
      <c r="N14" s="81">
        <f>ROUND(N13*$B$6,1)</f>
        <v>0</v>
      </c>
      <c r="O14" s="81">
        <f t="shared" ref="O14" si="1">ROUND(O13*$B$6,1)</f>
        <v>0</v>
      </c>
      <c r="P14" s="78">
        <f>ROUND(P13*$B$6,1)</f>
        <v>900.3</v>
      </c>
    </row>
    <row r="15" spans="1:16" ht="15.75" x14ac:dyDescent="0.2">
      <c r="A15" s="82" t="s">
        <v>106</v>
      </c>
      <c r="B15" s="83">
        <f>B12-B14</f>
        <v>151615.1</v>
      </c>
      <c r="C15" s="83">
        <f t="shared" ref="C15:O15" si="2">C12-C14</f>
        <v>65055</v>
      </c>
      <c r="D15" s="83">
        <f t="shared" si="2"/>
        <v>36239</v>
      </c>
      <c r="E15" s="83">
        <f t="shared" si="2"/>
        <v>15277</v>
      </c>
      <c r="F15" s="83">
        <f t="shared" si="2"/>
        <v>11578</v>
      </c>
      <c r="G15" s="83">
        <f t="shared" si="2"/>
        <v>6142</v>
      </c>
      <c r="H15" s="83">
        <f t="shared" si="2"/>
        <v>2919</v>
      </c>
      <c r="I15" s="83">
        <f t="shared" si="2"/>
        <v>8114</v>
      </c>
      <c r="J15" s="83">
        <f t="shared" si="2"/>
        <v>15289</v>
      </c>
      <c r="K15" s="83">
        <f t="shared" si="2"/>
        <v>5722</v>
      </c>
      <c r="L15" s="83">
        <f t="shared" si="2"/>
        <v>25560</v>
      </c>
      <c r="M15" s="83">
        <f t="shared" si="2"/>
        <v>7887</v>
      </c>
      <c r="N15" s="83">
        <f t="shared" si="2"/>
        <v>9877</v>
      </c>
      <c r="O15" s="83">
        <f t="shared" si="2"/>
        <v>3874</v>
      </c>
      <c r="P15" s="83">
        <f>P12-(P14*P42)</f>
        <v>7065.5748999999996</v>
      </c>
    </row>
    <row r="16" spans="1:16" ht="15.75" x14ac:dyDescent="0.2">
      <c r="A16" s="84" t="s">
        <v>71</v>
      </c>
      <c r="B16" s="85">
        <f>'BRA Parameters'!B16*(1-'BRA Parameters'!$B$5)/(1-'2nd IA Parameters'!$B$5)</f>
        <v>392.12118241805024</v>
      </c>
      <c r="C16" s="85">
        <f>'BRA Parameters'!C16*(1-'BRA Parameters'!$B$5)/(1-'2nd IA Parameters'!$B$5)</f>
        <v>392.24047999148581</v>
      </c>
      <c r="D16" s="85">
        <f>'BRA Parameters'!D16*(1-'BRA Parameters'!$B$5)/(1-'2nd IA Parameters'!$B$5)</f>
        <v>391.6241091954023</v>
      </c>
      <c r="E16" s="85">
        <f>'BRA Parameters'!E16*(1-'BRA Parameters'!$B$5)/(1-'2nd IA Parameters'!$B$5)</f>
        <v>398.69249042145594</v>
      </c>
      <c r="F16" s="85">
        <f>'BRA Parameters'!F16*(1-'BRA Parameters'!$B$5)/(1-'2nd IA Parameters'!$B$5)</f>
        <v>391.6241091954023</v>
      </c>
      <c r="G16" s="85">
        <f>'BRA Parameters'!G16*(1-'BRA Parameters'!$B$5)/(1-'2nd IA Parameters'!$B$5)</f>
        <v>391.6241091954023</v>
      </c>
      <c r="H16" s="85">
        <f>'BRA Parameters'!H16*(1-'BRA Parameters'!$B$5)/(1-'2nd IA Parameters'!$B$5)</f>
        <v>391.6241091954023</v>
      </c>
      <c r="I16" s="85">
        <f>'BRA Parameters'!I16*(1-'BRA Parameters'!$B$5)/(1-'2nd IA Parameters'!$B$5)</f>
        <v>398.69249042145594</v>
      </c>
      <c r="J16" s="85">
        <f>'BRA Parameters'!J16*(1-'BRA Parameters'!$B$5)/(1-'2nd IA Parameters'!$B$5)</f>
        <v>389.00950404427419</v>
      </c>
      <c r="K16" s="85">
        <f>'BRA Parameters'!K16*(1-'BRA Parameters'!$B$5)/(1-'2nd IA Parameters'!$B$5)</f>
        <v>389.00950404427419</v>
      </c>
      <c r="L16" s="85">
        <f>'BRA Parameters'!L16*(1-'BRA Parameters'!$B$5)/(1-'2nd IA Parameters'!$B$5)</f>
        <v>389.00950404427419</v>
      </c>
      <c r="M16" s="85">
        <f>'BRA Parameters'!M16*(1-'BRA Parameters'!$B$5)/(1-'2nd IA Parameters'!$B$5)</f>
        <v>398.69249042145594</v>
      </c>
      <c r="N16" s="85">
        <f>'BRA Parameters'!N16*(1-'BRA Parameters'!$B$5)/(1-'2nd IA Parameters'!$B$5)</f>
        <v>389.15862601106858</v>
      </c>
      <c r="O16" s="85">
        <f>'BRA Parameters'!O16*(1-'BRA Parameters'!$B$5)/(1-'2nd IA Parameters'!$B$5)</f>
        <v>389.00950404427419</v>
      </c>
      <c r="P16" s="85">
        <f>'BRA Parameters'!P16*(1-'BRA Parameters'!$B$5)/(1-'2nd IA Parameters'!$B$5)</f>
        <v>389.00950404427419</v>
      </c>
    </row>
    <row r="17" spans="1:16" ht="15.75" x14ac:dyDescent="0.2">
      <c r="A17" s="184" t="s">
        <v>45</v>
      </c>
      <c r="B17" s="87">
        <f>'BRA Parameters'!B17*(1-'BRA Parameters'!$B$5)/(1-'2nd IA Parameters'!$B$5)</f>
        <v>291.23520114942528</v>
      </c>
      <c r="C17" s="87">
        <f>'BRA Parameters'!C17*(1-'BRA Parameters'!$B$5)/(1-'2nd IA Parameters'!$B$5)</f>
        <v>250.92256279267775</v>
      </c>
      <c r="D17" s="87">
        <f>'BRA Parameters'!D17*(1-'BRA Parameters'!$B$5)/(1-'2nd IA Parameters'!$B$5)</f>
        <v>281.44285866326095</v>
      </c>
      <c r="E17" s="87">
        <f>'BRA Parameters'!E17*(1-'BRA Parameters'!$B$5)/(1-'2nd IA Parameters'!$B$5)</f>
        <v>201.24506492124308</v>
      </c>
      <c r="F17" s="87">
        <f>'BRA Parameters'!F17*(1-'BRA Parameters'!$B$5)/(1-'2nd IA Parameters'!$B$5)</f>
        <v>305.12342699020866</v>
      </c>
      <c r="G17" s="87">
        <f>'BRA Parameters'!G17*(1-'BRA Parameters'!$B$5)/(1-'2nd IA Parameters'!$B$5)</f>
        <v>305.12342699020866</v>
      </c>
      <c r="H17" s="87">
        <f>'BRA Parameters'!H17*(1-'BRA Parameters'!$B$5)/(1-'2nd IA Parameters'!$B$5)</f>
        <v>253.47751915708815</v>
      </c>
      <c r="I17" s="87">
        <f>'BRA Parameters'!I17*(1-'BRA Parameters'!$B$5)/(1-'2nd IA Parameters'!$B$5)</f>
        <v>225.20399425287357</v>
      </c>
      <c r="J17" s="87">
        <f>'BRA Parameters'!J17*(1-'BRA Parameters'!$B$5)/(1-'2nd IA Parameters'!$B$5)</f>
        <v>259.64122711792254</v>
      </c>
      <c r="K17" s="87">
        <f>'BRA Parameters'!K17*(1-'BRA Parameters'!$B$5)/(1-'2nd IA Parameters'!$B$5)</f>
        <v>259.64122711792254</v>
      </c>
      <c r="L17" s="87">
        <f>'BRA Parameters'!L17*(1-'BRA Parameters'!$B$5)/(1-'2nd IA Parameters'!$B$5)</f>
        <v>327.87943912303115</v>
      </c>
      <c r="M17" s="87">
        <f>'BRA Parameters'!M17*(1-'BRA Parameters'!$B$5)/(1-'2nd IA Parameters'!$B$5)</f>
        <v>177.28613558961263</v>
      </c>
      <c r="N17" s="87">
        <f>'BRA Parameters'!N17*(1-'BRA Parameters'!$B$5)/(1-'2nd IA Parameters'!$B$5)</f>
        <v>265.7651692209451</v>
      </c>
      <c r="O17" s="87">
        <f>'BRA Parameters'!O17*(1-'BRA Parameters'!$B$5)/(1-'2nd IA Parameters'!$B$5)</f>
        <v>271.5411600681141</v>
      </c>
      <c r="P17" s="87">
        <f>'BRA Parameters'!P17*(1-'BRA Parameters'!$B$5)/(1-'2nd IA Parameters'!$B$5)</f>
        <v>280.80660493827162</v>
      </c>
    </row>
    <row r="18" spans="1:16" ht="15.75" x14ac:dyDescent="0.2">
      <c r="A18" s="88" t="s">
        <v>110</v>
      </c>
      <c r="B18" s="89">
        <v>0</v>
      </c>
      <c r="C18" s="89">
        <v>0</v>
      </c>
      <c r="D18" s="89">
        <v>0</v>
      </c>
      <c r="E18" s="89">
        <v>0</v>
      </c>
      <c r="F18" s="89">
        <v>0</v>
      </c>
      <c r="G18" s="89">
        <v>0</v>
      </c>
      <c r="H18" s="89">
        <v>0</v>
      </c>
      <c r="I18" s="89">
        <v>0</v>
      </c>
      <c r="J18" s="89">
        <v>0</v>
      </c>
      <c r="K18" s="89">
        <v>0</v>
      </c>
      <c r="L18" s="89">
        <v>0</v>
      </c>
      <c r="M18" s="89">
        <v>0</v>
      </c>
      <c r="N18" s="89">
        <v>0</v>
      </c>
      <c r="O18" s="89">
        <v>0</v>
      </c>
      <c r="P18" s="89">
        <v>0</v>
      </c>
    </row>
    <row r="19" spans="1:16" ht="16.5" thickBot="1" x14ac:dyDescent="0.25">
      <c r="A19" s="185" t="s">
        <v>142</v>
      </c>
      <c r="B19" s="185"/>
      <c r="C19" s="185"/>
      <c r="D19" s="185"/>
      <c r="E19" s="185"/>
      <c r="F19" s="185"/>
      <c r="G19" s="185"/>
      <c r="H19" s="185"/>
      <c r="I19" s="185"/>
      <c r="J19" s="185"/>
      <c r="K19" s="185"/>
      <c r="L19" s="185"/>
      <c r="M19" s="185"/>
      <c r="N19" s="185"/>
      <c r="O19" s="185"/>
      <c r="P19" s="185"/>
    </row>
    <row r="20" spans="1:16" ht="15.75" x14ac:dyDescent="0.2">
      <c r="A20" s="91" t="s">
        <v>25</v>
      </c>
      <c r="B20" s="92">
        <f>ROUND(MAX(B16,1.5*B17),2)</f>
        <v>436.85</v>
      </c>
      <c r="C20" s="92">
        <f t="shared" ref="C20:P20" si="3">ROUND(MAX(C16,1.5*C17),2)</f>
        <v>392.24</v>
      </c>
      <c r="D20" s="92">
        <f t="shared" si="3"/>
        <v>422.16</v>
      </c>
      <c r="E20" s="92">
        <f t="shared" si="3"/>
        <v>398.69</v>
      </c>
      <c r="F20" s="92">
        <f t="shared" si="3"/>
        <v>457.69</v>
      </c>
      <c r="G20" s="92">
        <f t="shared" si="3"/>
        <v>457.69</v>
      </c>
      <c r="H20" s="92">
        <f t="shared" si="3"/>
        <v>391.62</v>
      </c>
      <c r="I20" s="92">
        <f t="shared" si="3"/>
        <v>398.69</v>
      </c>
      <c r="J20" s="92">
        <f t="shared" si="3"/>
        <v>389.46</v>
      </c>
      <c r="K20" s="92">
        <f t="shared" si="3"/>
        <v>389.46</v>
      </c>
      <c r="L20" s="92">
        <f t="shared" si="3"/>
        <v>491.82</v>
      </c>
      <c r="M20" s="92">
        <f t="shared" si="3"/>
        <v>398.69</v>
      </c>
      <c r="N20" s="92">
        <f t="shared" si="3"/>
        <v>398.65</v>
      </c>
      <c r="O20" s="92">
        <f t="shared" si="3"/>
        <v>407.31</v>
      </c>
      <c r="P20" s="93">
        <f t="shared" si="3"/>
        <v>421.21</v>
      </c>
    </row>
    <row r="21" spans="1:16" ht="15.75" x14ac:dyDescent="0.2">
      <c r="A21" s="94" t="s">
        <v>26</v>
      </c>
      <c r="B21" s="95">
        <f>ROUND(B$17*0.75,2)</f>
        <v>218.43</v>
      </c>
      <c r="C21" s="95">
        <f t="shared" ref="C21:M21" si="4">ROUND(C$17*0.75,2)</f>
        <v>188.19</v>
      </c>
      <c r="D21" s="95">
        <f t="shared" si="4"/>
        <v>211.08</v>
      </c>
      <c r="E21" s="95">
        <f t="shared" si="4"/>
        <v>150.93</v>
      </c>
      <c r="F21" s="95">
        <f t="shared" si="4"/>
        <v>228.84</v>
      </c>
      <c r="G21" s="95">
        <f t="shared" si="4"/>
        <v>228.84</v>
      </c>
      <c r="H21" s="95">
        <f t="shared" si="4"/>
        <v>190.11</v>
      </c>
      <c r="I21" s="95">
        <f t="shared" si="4"/>
        <v>168.9</v>
      </c>
      <c r="J21" s="95">
        <f t="shared" si="4"/>
        <v>194.73</v>
      </c>
      <c r="K21" s="95">
        <f t="shared" si="4"/>
        <v>194.73</v>
      </c>
      <c r="L21" s="95">
        <f t="shared" si="4"/>
        <v>245.91</v>
      </c>
      <c r="M21" s="95">
        <f t="shared" si="4"/>
        <v>132.96</v>
      </c>
      <c r="N21" s="95">
        <f>ROUND(N$17*0.75,2)</f>
        <v>199.32</v>
      </c>
      <c r="O21" s="95">
        <f>ROUND(O$17*0.75,2)</f>
        <v>203.66</v>
      </c>
      <c r="P21" s="96">
        <f>ROUND(P$17*0.75,2)</f>
        <v>210.6</v>
      </c>
    </row>
    <row r="22" spans="1:16" ht="15.75" x14ac:dyDescent="0.2">
      <c r="A22" s="94" t="s">
        <v>27</v>
      </c>
      <c r="B22" s="95">
        <v>0</v>
      </c>
      <c r="C22" s="95">
        <v>0</v>
      </c>
      <c r="D22" s="95">
        <v>0</v>
      </c>
      <c r="E22" s="95">
        <v>0</v>
      </c>
      <c r="F22" s="95">
        <v>0</v>
      </c>
      <c r="G22" s="95">
        <v>0</v>
      </c>
      <c r="H22" s="95">
        <v>0</v>
      </c>
      <c r="I22" s="95">
        <v>0</v>
      </c>
      <c r="J22" s="95">
        <v>0</v>
      </c>
      <c r="K22" s="95">
        <v>0</v>
      </c>
      <c r="L22" s="95">
        <v>0</v>
      </c>
      <c r="M22" s="95">
        <v>0</v>
      </c>
      <c r="N22" s="95">
        <v>0</v>
      </c>
      <c r="O22" s="95">
        <v>0</v>
      </c>
      <c r="P22" s="96">
        <v>0</v>
      </c>
    </row>
    <row r="23" spans="1:16" ht="15.75" x14ac:dyDescent="0.2">
      <c r="A23" s="94" t="s">
        <v>28</v>
      </c>
      <c r="B23" s="97">
        <f>ROUND(B$15*(1+$B$4-0.2%)/(1+$B$4),1)+B$18</f>
        <v>151353.5</v>
      </c>
      <c r="C23" s="97">
        <f t="shared" ref="C23:P23" si="5">ROUND(C$15*(1+$B$4-0.2%)/(1+$B$4),1)+C$18</f>
        <v>64942.7</v>
      </c>
      <c r="D23" s="97">
        <f t="shared" si="5"/>
        <v>36176.5</v>
      </c>
      <c r="E23" s="97">
        <f t="shared" si="5"/>
        <v>15250.6</v>
      </c>
      <c r="F23" s="97">
        <f t="shared" si="5"/>
        <v>11558</v>
      </c>
      <c r="G23" s="97">
        <f t="shared" si="5"/>
        <v>6131.4</v>
      </c>
      <c r="H23" s="97">
        <f t="shared" si="5"/>
        <v>2914</v>
      </c>
      <c r="I23" s="97">
        <f t="shared" si="5"/>
        <v>8100</v>
      </c>
      <c r="J23" s="97">
        <f t="shared" si="5"/>
        <v>15262.6</v>
      </c>
      <c r="K23" s="97">
        <f t="shared" si="5"/>
        <v>5712.1</v>
      </c>
      <c r="L23" s="97">
        <f t="shared" si="5"/>
        <v>25515.9</v>
      </c>
      <c r="M23" s="97">
        <f t="shared" si="5"/>
        <v>7873.4</v>
      </c>
      <c r="N23" s="97">
        <f t="shared" si="5"/>
        <v>9860</v>
      </c>
      <c r="O23" s="97">
        <f t="shared" si="5"/>
        <v>3867.3</v>
      </c>
      <c r="P23" s="98">
        <f t="shared" si="5"/>
        <v>7053.4</v>
      </c>
    </row>
    <row r="24" spans="1:16" ht="15.75" x14ac:dyDescent="0.2">
      <c r="A24" s="94" t="s">
        <v>29</v>
      </c>
      <c r="B24" s="97">
        <f>ROUND(B$15*(1+$B$4+2.9%)/(1+$B$4),1)+B$18</f>
        <v>155408.70000000001</v>
      </c>
      <c r="C24" s="97">
        <f t="shared" ref="C24:P24" si="6">ROUND(C$15*(1+$B$4+2.9%)/(1+$B$4),1)+C$18</f>
        <v>66682.8</v>
      </c>
      <c r="D24" s="97">
        <f t="shared" si="6"/>
        <v>37145.800000000003</v>
      </c>
      <c r="E24" s="97">
        <f t="shared" si="6"/>
        <v>15659.3</v>
      </c>
      <c r="F24" s="97">
        <f t="shared" si="6"/>
        <v>11867.7</v>
      </c>
      <c r="G24" s="97">
        <f t="shared" si="6"/>
        <v>6295.7</v>
      </c>
      <c r="H24" s="97">
        <f t="shared" si="6"/>
        <v>2992</v>
      </c>
      <c r="I24" s="97">
        <f t="shared" si="6"/>
        <v>8317</v>
      </c>
      <c r="J24" s="97">
        <f t="shared" si="6"/>
        <v>15671.6</v>
      </c>
      <c r="K24" s="97">
        <f t="shared" si="6"/>
        <v>5865.2</v>
      </c>
      <c r="L24" s="97">
        <f t="shared" si="6"/>
        <v>26199.599999999999</v>
      </c>
      <c r="M24" s="97">
        <f t="shared" si="6"/>
        <v>8084.3</v>
      </c>
      <c r="N24" s="97">
        <f t="shared" si="6"/>
        <v>10124.1</v>
      </c>
      <c r="O24" s="97">
        <f t="shared" si="6"/>
        <v>3970.9</v>
      </c>
      <c r="P24" s="98">
        <f t="shared" si="6"/>
        <v>7242.4</v>
      </c>
    </row>
    <row r="25" spans="1:16" ht="16.5" thickBot="1" x14ac:dyDescent="0.25">
      <c r="A25" s="99" t="s">
        <v>30</v>
      </c>
      <c r="B25" s="100">
        <f>ROUND(B$15*(1+$B$4+8.8%)/(1+$B$4),1)+B$18</f>
        <v>163126.9</v>
      </c>
      <c r="C25" s="100">
        <f>ROUND(C$15*(1+$B$4+8.8%)/(1+$B$4),1)+C$18</f>
        <v>69994.5</v>
      </c>
      <c r="D25" s="100">
        <f t="shared" ref="D25:P25" si="7">ROUND(D$15*(1+$B$4+8.8%)/(1+$B$4),1)+D$18</f>
        <v>38990.5</v>
      </c>
      <c r="E25" s="100">
        <f t="shared" si="7"/>
        <v>16436.900000000001</v>
      </c>
      <c r="F25" s="100">
        <f t="shared" si="7"/>
        <v>12457.1</v>
      </c>
      <c r="G25" s="100">
        <f t="shared" si="7"/>
        <v>6608.3</v>
      </c>
      <c r="H25" s="100">
        <f t="shared" si="7"/>
        <v>3140.6</v>
      </c>
      <c r="I25" s="100">
        <f t="shared" si="7"/>
        <v>8730.1</v>
      </c>
      <c r="J25" s="100">
        <f t="shared" si="7"/>
        <v>16449.900000000001</v>
      </c>
      <c r="K25" s="100">
        <f t="shared" si="7"/>
        <v>6156.5</v>
      </c>
      <c r="L25" s="100">
        <f t="shared" si="7"/>
        <v>27500.7</v>
      </c>
      <c r="M25" s="100">
        <f t="shared" si="7"/>
        <v>8485.7999999999993</v>
      </c>
      <c r="N25" s="100">
        <f t="shared" si="7"/>
        <v>10626.9</v>
      </c>
      <c r="O25" s="100">
        <f t="shared" si="7"/>
        <v>4168.1000000000004</v>
      </c>
      <c r="P25" s="101">
        <f t="shared" si="7"/>
        <v>7602</v>
      </c>
    </row>
    <row r="26" spans="1:16" ht="15.75" x14ac:dyDescent="0.2">
      <c r="A26" s="102" t="s">
        <v>143</v>
      </c>
      <c r="B26" s="103">
        <f>C26+J26+L26</f>
        <v>558</v>
      </c>
      <c r="C26" s="103">
        <f>D26+E26+N26</f>
        <v>558</v>
      </c>
      <c r="D26" s="103">
        <f>31+H26</f>
        <v>58</v>
      </c>
      <c r="E26" s="103">
        <f>I26+M26</f>
        <v>500</v>
      </c>
      <c r="F26" s="103">
        <v>0</v>
      </c>
      <c r="G26" s="103">
        <v>0</v>
      </c>
      <c r="H26" s="103">
        <v>27</v>
      </c>
      <c r="I26" s="103">
        <v>170</v>
      </c>
      <c r="J26" s="103">
        <v>0</v>
      </c>
      <c r="K26" s="103">
        <v>0</v>
      </c>
      <c r="L26" s="103">
        <v>0</v>
      </c>
      <c r="M26" s="103">
        <v>330</v>
      </c>
      <c r="N26" s="103">
        <v>0</v>
      </c>
      <c r="O26" s="103">
        <v>0</v>
      </c>
      <c r="P26" s="103">
        <v>0</v>
      </c>
    </row>
    <row r="27" spans="1:16" ht="16.5" thickBot="1" x14ac:dyDescent="0.25">
      <c r="A27" s="186" t="s">
        <v>144</v>
      </c>
      <c r="B27" s="186"/>
      <c r="C27" s="186"/>
      <c r="D27" s="186"/>
      <c r="E27" s="186"/>
      <c r="F27" s="186"/>
      <c r="G27" s="186"/>
      <c r="H27" s="186"/>
      <c r="I27" s="186"/>
      <c r="J27" s="186"/>
      <c r="K27" s="186"/>
      <c r="L27" s="186"/>
      <c r="M27" s="186"/>
      <c r="N27" s="186"/>
      <c r="O27" s="186"/>
      <c r="P27" s="186"/>
    </row>
    <row r="28" spans="1:16" ht="15.75" x14ac:dyDescent="0.2">
      <c r="A28" s="104" t="s">
        <v>89</v>
      </c>
      <c r="B28" s="105">
        <f>B20</f>
        <v>436.85</v>
      </c>
      <c r="C28" s="105">
        <f t="shared" ref="C28:P29" si="8">C20</f>
        <v>392.24</v>
      </c>
      <c r="D28" s="105">
        <f t="shared" si="8"/>
        <v>422.16</v>
      </c>
      <c r="E28" s="105">
        <f>E20</f>
        <v>398.69</v>
      </c>
      <c r="F28" s="105">
        <f t="shared" si="8"/>
        <v>457.69</v>
      </c>
      <c r="G28" s="105">
        <f t="shared" si="8"/>
        <v>457.69</v>
      </c>
      <c r="H28" s="105">
        <f t="shared" si="8"/>
        <v>391.62</v>
      </c>
      <c r="I28" s="105">
        <f t="shared" si="8"/>
        <v>398.69</v>
      </c>
      <c r="J28" s="105">
        <f t="shared" si="8"/>
        <v>389.46</v>
      </c>
      <c r="K28" s="105">
        <f t="shared" si="8"/>
        <v>389.46</v>
      </c>
      <c r="L28" s="105">
        <f t="shared" si="8"/>
        <v>491.82</v>
      </c>
      <c r="M28" s="105">
        <f t="shared" si="8"/>
        <v>398.69</v>
      </c>
      <c r="N28" s="105">
        <f t="shared" si="8"/>
        <v>398.65</v>
      </c>
      <c r="O28" s="105">
        <f t="shared" si="8"/>
        <v>407.31</v>
      </c>
      <c r="P28" s="105">
        <f t="shared" si="8"/>
        <v>421.21</v>
      </c>
    </row>
    <row r="29" spans="1:16" ht="15.75" x14ac:dyDescent="0.2">
      <c r="A29" s="107" t="s">
        <v>88</v>
      </c>
      <c r="B29" s="108">
        <f>B21</f>
        <v>218.43</v>
      </c>
      <c r="C29" s="108">
        <f t="shared" si="8"/>
        <v>188.19</v>
      </c>
      <c r="D29" s="108">
        <f t="shared" si="8"/>
        <v>211.08</v>
      </c>
      <c r="E29" s="108">
        <f>E21</f>
        <v>150.93</v>
      </c>
      <c r="F29" s="108">
        <f t="shared" si="8"/>
        <v>228.84</v>
      </c>
      <c r="G29" s="108">
        <f t="shared" si="8"/>
        <v>228.84</v>
      </c>
      <c r="H29" s="108">
        <f t="shared" si="8"/>
        <v>190.11</v>
      </c>
      <c r="I29" s="108">
        <f t="shared" si="8"/>
        <v>168.9</v>
      </c>
      <c r="J29" s="108">
        <f t="shared" si="8"/>
        <v>194.73</v>
      </c>
      <c r="K29" s="108">
        <f t="shared" si="8"/>
        <v>194.73</v>
      </c>
      <c r="L29" s="108">
        <f t="shared" si="8"/>
        <v>245.91</v>
      </c>
      <c r="M29" s="108">
        <f t="shared" si="8"/>
        <v>132.96</v>
      </c>
      <c r="N29" s="108">
        <f t="shared" si="8"/>
        <v>199.32</v>
      </c>
      <c r="O29" s="108">
        <f t="shared" si="8"/>
        <v>203.66</v>
      </c>
      <c r="P29" s="108">
        <f t="shared" si="8"/>
        <v>210.6</v>
      </c>
    </row>
    <row r="30" spans="1:16" ht="15.75" x14ac:dyDescent="0.2">
      <c r="A30" s="107" t="s">
        <v>12</v>
      </c>
      <c r="B30" s="108" t="s">
        <v>12</v>
      </c>
      <c r="C30" s="108" t="s">
        <v>12</v>
      </c>
      <c r="D30" s="108" t="s">
        <v>12</v>
      </c>
      <c r="E30" s="108" t="s">
        <v>12</v>
      </c>
      <c r="F30" s="108" t="s">
        <v>12</v>
      </c>
      <c r="G30" s="108" t="s">
        <v>12</v>
      </c>
      <c r="H30" s="108" t="s">
        <v>12</v>
      </c>
      <c r="I30" s="108" t="s">
        <v>12</v>
      </c>
      <c r="J30" s="108" t="s">
        <v>12</v>
      </c>
      <c r="K30" s="108" t="s">
        <v>12</v>
      </c>
      <c r="L30" s="108" t="s">
        <v>12</v>
      </c>
      <c r="M30" s="108" t="s">
        <v>12</v>
      </c>
      <c r="N30" s="108" t="s">
        <v>12</v>
      </c>
      <c r="O30" s="108" t="s">
        <v>12</v>
      </c>
      <c r="P30" s="108" t="s">
        <v>12</v>
      </c>
    </row>
    <row r="31" spans="1:16" ht="15.75" x14ac:dyDescent="0.2">
      <c r="A31" s="107" t="s">
        <v>12</v>
      </c>
      <c r="B31" s="108" t="s">
        <v>12</v>
      </c>
      <c r="C31" s="108" t="s">
        <v>12</v>
      </c>
      <c r="D31" s="108" t="s">
        <v>12</v>
      </c>
      <c r="E31" s="108" t="s">
        <v>12</v>
      </c>
      <c r="F31" s="108" t="s">
        <v>12</v>
      </c>
      <c r="G31" s="108" t="s">
        <v>12</v>
      </c>
      <c r="H31" s="108" t="s">
        <v>12</v>
      </c>
      <c r="I31" s="108" t="s">
        <v>12</v>
      </c>
      <c r="J31" s="108" t="s">
        <v>12</v>
      </c>
      <c r="K31" s="108" t="s">
        <v>12</v>
      </c>
      <c r="L31" s="108" t="s">
        <v>12</v>
      </c>
      <c r="M31" s="108" t="s">
        <v>12</v>
      </c>
      <c r="N31" s="108" t="s">
        <v>12</v>
      </c>
      <c r="O31" s="108" t="s">
        <v>12</v>
      </c>
      <c r="P31" s="108" t="s">
        <v>12</v>
      </c>
    </row>
    <row r="32" spans="1:16" ht="16.5" thickBot="1" x14ac:dyDescent="0.25">
      <c r="A32" s="110" t="s">
        <v>145</v>
      </c>
      <c r="B32" s="111">
        <f>B22</f>
        <v>0</v>
      </c>
      <c r="C32" s="111">
        <f t="shared" ref="C32:P32" si="9">C22</f>
        <v>0</v>
      </c>
      <c r="D32" s="111">
        <f t="shared" si="9"/>
        <v>0</v>
      </c>
      <c r="E32" s="111">
        <f>E22</f>
        <v>0</v>
      </c>
      <c r="F32" s="111">
        <f t="shared" si="9"/>
        <v>0</v>
      </c>
      <c r="G32" s="111">
        <f t="shared" si="9"/>
        <v>0</v>
      </c>
      <c r="H32" s="111">
        <f t="shared" si="9"/>
        <v>0</v>
      </c>
      <c r="I32" s="111">
        <f t="shared" si="9"/>
        <v>0</v>
      </c>
      <c r="J32" s="111">
        <f t="shared" si="9"/>
        <v>0</v>
      </c>
      <c r="K32" s="111">
        <f t="shared" si="9"/>
        <v>0</v>
      </c>
      <c r="L32" s="111">
        <f t="shared" si="9"/>
        <v>0</v>
      </c>
      <c r="M32" s="111">
        <f t="shared" si="9"/>
        <v>0</v>
      </c>
      <c r="N32" s="111">
        <f t="shared" si="9"/>
        <v>0</v>
      </c>
      <c r="O32" s="111">
        <f t="shared" si="9"/>
        <v>0</v>
      </c>
      <c r="P32" s="111">
        <f t="shared" si="9"/>
        <v>0</v>
      </c>
    </row>
    <row r="33" spans="1:16" ht="15.75" x14ac:dyDescent="0.2">
      <c r="A33" s="113" t="s">
        <v>90</v>
      </c>
      <c r="B33" s="114">
        <f>ROUND(B23-B$26*$B$6,1)</f>
        <v>150745.79999999999</v>
      </c>
      <c r="C33" s="114">
        <f>ROUND(C23-C$26*$B$6,1)</f>
        <v>64335</v>
      </c>
      <c r="D33" s="114">
        <f t="shared" ref="D33:P34" si="10">ROUND(D23-D$26*$B$6,1)</f>
        <v>36113.300000000003</v>
      </c>
      <c r="E33" s="114">
        <f>ROUND(E23-E$26*$B$6,1)</f>
        <v>14706.1</v>
      </c>
      <c r="F33" s="114">
        <f t="shared" si="10"/>
        <v>11558</v>
      </c>
      <c r="G33" s="114">
        <f t="shared" si="10"/>
        <v>6131.4</v>
      </c>
      <c r="H33" s="114">
        <f t="shared" si="10"/>
        <v>2884.6</v>
      </c>
      <c r="I33" s="114">
        <f>ROUND(I23-I$26*$B$6,1)</f>
        <v>7914.9</v>
      </c>
      <c r="J33" s="114">
        <f t="shared" si="10"/>
        <v>15262.6</v>
      </c>
      <c r="K33" s="114">
        <f t="shared" si="10"/>
        <v>5712.1</v>
      </c>
      <c r="L33" s="114">
        <f t="shared" si="10"/>
        <v>25515.9</v>
      </c>
      <c r="M33" s="114">
        <f>ROUND(M23-M$26*$B$6,1)</f>
        <v>7514</v>
      </c>
      <c r="N33" s="114">
        <f t="shared" si="10"/>
        <v>9860</v>
      </c>
      <c r="O33" s="114">
        <f t="shared" si="10"/>
        <v>3867.3</v>
      </c>
      <c r="P33" s="181">
        <f t="shared" si="10"/>
        <v>7053.4</v>
      </c>
    </row>
    <row r="34" spans="1:16" ht="15.75" x14ac:dyDescent="0.2">
      <c r="A34" s="115" t="s">
        <v>87</v>
      </c>
      <c r="B34" s="116">
        <f>ROUND(B24-B$26*$B$6,1)</f>
        <v>154801</v>
      </c>
      <c r="C34" s="116">
        <f>ROUND(C24-C$26*$B$6,1)</f>
        <v>66075.100000000006</v>
      </c>
      <c r="D34" s="116">
        <f t="shared" si="10"/>
        <v>37082.6</v>
      </c>
      <c r="E34" s="116">
        <f>ROUND(E24-E$26*$B$6,1)</f>
        <v>15114.8</v>
      </c>
      <c r="F34" s="116">
        <f t="shared" si="10"/>
        <v>11867.7</v>
      </c>
      <c r="G34" s="116">
        <f t="shared" si="10"/>
        <v>6295.7</v>
      </c>
      <c r="H34" s="116">
        <f t="shared" si="10"/>
        <v>2962.6</v>
      </c>
      <c r="I34" s="116">
        <f>ROUND(I24-I$26*$B$6,1)</f>
        <v>8131.9</v>
      </c>
      <c r="J34" s="116">
        <f t="shared" si="10"/>
        <v>15671.6</v>
      </c>
      <c r="K34" s="116">
        <f t="shared" si="10"/>
        <v>5865.2</v>
      </c>
      <c r="L34" s="116">
        <f t="shared" si="10"/>
        <v>26199.599999999999</v>
      </c>
      <c r="M34" s="116">
        <f>ROUND(M24-M$26*$B$6,1)</f>
        <v>7724.9</v>
      </c>
      <c r="N34" s="116">
        <f t="shared" si="10"/>
        <v>10124.1</v>
      </c>
      <c r="O34" s="116">
        <f t="shared" si="10"/>
        <v>3970.9</v>
      </c>
      <c r="P34" s="182">
        <f t="shared" si="10"/>
        <v>7242.4</v>
      </c>
    </row>
    <row r="35" spans="1:16" ht="15.75" x14ac:dyDescent="0.2">
      <c r="A35" s="115" t="s">
        <v>12</v>
      </c>
      <c r="B35" s="116" t="s">
        <v>12</v>
      </c>
      <c r="C35" s="116" t="s">
        <v>12</v>
      </c>
      <c r="D35" s="116" t="s">
        <v>12</v>
      </c>
      <c r="E35" s="116" t="s">
        <v>12</v>
      </c>
      <c r="F35" s="116" t="s">
        <v>12</v>
      </c>
      <c r="G35" s="116" t="s">
        <v>12</v>
      </c>
      <c r="H35" s="116" t="s">
        <v>12</v>
      </c>
      <c r="I35" s="116" t="s">
        <v>12</v>
      </c>
      <c r="J35" s="116" t="s">
        <v>12</v>
      </c>
      <c r="K35" s="116" t="s">
        <v>12</v>
      </c>
      <c r="L35" s="116" t="s">
        <v>12</v>
      </c>
      <c r="M35" s="116" t="s">
        <v>12</v>
      </c>
      <c r="N35" s="116" t="s">
        <v>12</v>
      </c>
      <c r="O35" s="116" t="s">
        <v>12</v>
      </c>
      <c r="P35" s="182" t="s">
        <v>12</v>
      </c>
    </row>
    <row r="36" spans="1:16" ht="15.75" x14ac:dyDescent="0.2">
      <c r="A36" s="115" t="s">
        <v>12</v>
      </c>
      <c r="B36" s="116" t="s">
        <v>12</v>
      </c>
      <c r="C36" s="116" t="s">
        <v>12</v>
      </c>
      <c r="D36" s="116" t="s">
        <v>12</v>
      </c>
      <c r="E36" s="116" t="s">
        <v>12</v>
      </c>
      <c r="F36" s="116" t="s">
        <v>12</v>
      </c>
      <c r="G36" s="116" t="s">
        <v>12</v>
      </c>
      <c r="H36" s="116" t="s">
        <v>12</v>
      </c>
      <c r="I36" s="116" t="s">
        <v>12</v>
      </c>
      <c r="J36" s="116" t="s">
        <v>12</v>
      </c>
      <c r="K36" s="116" t="s">
        <v>12</v>
      </c>
      <c r="L36" s="116" t="s">
        <v>12</v>
      </c>
      <c r="M36" s="116" t="s">
        <v>12</v>
      </c>
      <c r="N36" s="116" t="s">
        <v>12</v>
      </c>
      <c r="O36" s="116" t="s">
        <v>12</v>
      </c>
      <c r="P36" s="182" t="s">
        <v>12</v>
      </c>
    </row>
    <row r="37" spans="1:16" ht="16.5" thickBot="1" x14ac:dyDescent="0.25">
      <c r="A37" s="117" t="s">
        <v>146</v>
      </c>
      <c r="B37" s="118">
        <f>ROUND(B25-B$26*$B$6,1)</f>
        <v>162519.20000000001</v>
      </c>
      <c r="C37" s="118">
        <f>ROUND(C25-C$26*$B$6,1)</f>
        <v>69386.8</v>
      </c>
      <c r="D37" s="118">
        <f t="shared" ref="D37:O37" si="11">ROUND(D25-D$26*$B$6,1)</f>
        <v>38927.300000000003</v>
      </c>
      <c r="E37" s="118">
        <f>ROUND(E25-E$26*$B$6,1)</f>
        <v>15892.4</v>
      </c>
      <c r="F37" s="118">
        <f t="shared" si="11"/>
        <v>12457.1</v>
      </c>
      <c r="G37" s="118">
        <f t="shared" si="11"/>
        <v>6608.3</v>
      </c>
      <c r="H37" s="118">
        <f t="shared" si="11"/>
        <v>3111.2</v>
      </c>
      <c r="I37" s="118">
        <f>ROUND(I25-I$26*$B$6,1)</f>
        <v>8545</v>
      </c>
      <c r="J37" s="118">
        <f t="shared" si="11"/>
        <v>16449.900000000001</v>
      </c>
      <c r="K37" s="118">
        <f t="shared" si="11"/>
        <v>6156.5</v>
      </c>
      <c r="L37" s="118">
        <f t="shared" si="11"/>
        <v>27500.7</v>
      </c>
      <c r="M37" s="118">
        <f>ROUND(M25-M$26*$B$6,1)</f>
        <v>8126.4</v>
      </c>
      <c r="N37" s="118">
        <f t="shared" si="11"/>
        <v>10626.9</v>
      </c>
      <c r="O37" s="118">
        <f t="shared" si="11"/>
        <v>4168.1000000000004</v>
      </c>
      <c r="P37" s="183">
        <f>ROUND(P25-P$26*$B$6,1)</f>
        <v>7602</v>
      </c>
    </row>
    <row r="38" spans="1:16" ht="15.75" x14ac:dyDescent="0.2">
      <c r="A38" s="191" t="s">
        <v>96</v>
      </c>
      <c r="B38" s="119">
        <f>ROUND(MAX(B$17*0.5, 20)*365,2)</f>
        <v>53150.42</v>
      </c>
      <c r="C38" s="119">
        <f t="shared" ref="C38:M38" si="12">ROUND(MAX(C$17*0.5, 20)*365,2)</f>
        <v>45793.37</v>
      </c>
      <c r="D38" s="119">
        <f t="shared" si="12"/>
        <v>51363.32</v>
      </c>
      <c r="E38" s="119">
        <f t="shared" si="12"/>
        <v>36727.22</v>
      </c>
      <c r="F38" s="119">
        <f t="shared" si="12"/>
        <v>55685.03</v>
      </c>
      <c r="G38" s="119">
        <f t="shared" si="12"/>
        <v>55685.03</v>
      </c>
      <c r="H38" s="119">
        <f t="shared" si="12"/>
        <v>46259.65</v>
      </c>
      <c r="I38" s="119">
        <f t="shared" si="12"/>
        <v>41099.730000000003</v>
      </c>
      <c r="J38" s="119">
        <f t="shared" si="12"/>
        <v>47384.52</v>
      </c>
      <c r="K38" s="119">
        <f t="shared" si="12"/>
        <v>47384.52</v>
      </c>
      <c r="L38" s="119">
        <f t="shared" si="12"/>
        <v>59838</v>
      </c>
      <c r="M38" s="119">
        <f t="shared" si="12"/>
        <v>32354.720000000001</v>
      </c>
      <c r="N38" s="119">
        <f>ROUND(MAX(N$17*0.5, 20)*365,2)</f>
        <v>48502.14</v>
      </c>
      <c r="O38" s="119">
        <f>ROUND(MAX(O$17*0.5, 20)*365,2)</f>
        <v>49556.26</v>
      </c>
      <c r="P38" s="119">
        <f>ROUND(MAX(P$17*0.5, 20)*365,2)</f>
        <v>51247.21</v>
      </c>
    </row>
    <row r="39" spans="1:16" ht="15.75" x14ac:dyDescent="0.2">
      <c r="A39" s="102" t="s">
        <v>112</v>
      </c>
      <c r="B39" s="119">
        <f>B38</f>
        <v>53150.42</v>
      </c>
      <c r="C39" s="119">
        <f t="shared" ref="C39:P39" si="13">C38</f>
        <v>45793.37</v>
      </c>
      <c r="D39" s="119">
        <f t="shared" si="13"/>
        <v>51363.32</v>
      </c>
      <c r="E39" s="119">
        <f t="shared" si="13"/>
        <v>36727.22</v>
      </c>
      <c r="F39" s="119">
        <f t="shared" si="13"/>
        <v>55685.03</v>
      </c>
      <c r="G39" s="119">
        <f t="shared" si="13"/>
        <v>55685.03</v>
      </c>
      <c r="H39" s="119">
        <f t="shared" si="13"/>
        <v>46259.65</v>
      </c>
      <c r="I39" s="119">
        <f t="shared" si="13"/>
        <v>41099.730000000003</v>
      </c>
      <c r="J39" s="119">
        <f t="shared" si="13"/>
        <v>47384.52</v>
      </c>
      <c r="K39" s="119">
        <f t="shared" si="13"/>
        <v>47384.52</v>
      </c>
      <c r="L39" s="119">
        <f t="shared" si="13"/>
        <v>59838</v>
      </c>
      <c r="M39" s="119">
        <f t="shared" si="13"/>
        <v>32354.720000000001</v>
      </c>
      <c r="N39" s="119">
        <f t="shared" si="13"/>
        <v>48502.14</v>
      </c>
      <c r="O39" s="119">
        <f t="shared" si="13"/>
        <v>49556.26</v>
      </c>
      <c r="P39" s="119">
        <f t="shared" si="13"/>
        <v>51247.21</v>
      </c>
    </row>
    <row r="40" spans="1:16" ht="15.75" x14ac:dyDescent="0.2">
      <c r="A40" s="76" t="s">
        <v>48</v>
      </c>
      <c r="B40" s="120" t="s">
        <v>24</v>
      </c>
      <c r="C40" s="89">
        <v>1557</v>
      </c>
      <c r="D40" s="89">
        <v>40</v>
      </c>
      <c r="E40" s="89" t="s">
        <v>24</v>
      </c>
      <c r="F40" s="89">
        <v>41</v>
      </c>
      <c r="G40" s="89">
        <v>21</v>
      </c>
      <c r="H40" s="89">
        <v>72</v>
      </c>
      <c r="I40" s="89" t="s">
        <v>24</v>
      </c>
      <c r="J40" s="89" t="s">
        <v>24</v>
      </c>
      <c r="K40" s="89" t="s">
        <v>24</v>
      </c>
      <c r="L40" s="89" t="s">
        <v>24</v>
      </c>
      <c r="M40" s="89">
        <v>65.7</v>
      </c>
      <c r="N40" s="89" t="s">
        <v>24</v>
      </c>
      <c r="O40" s="89" t="s">
        <v>24</v>
      </c>
      <c r="P40" s="89">
        <v>155</v>
      </c>
    </row>
    <row r="41" spans="1:16" ht="15.75" x14ac:dyDescent="0.2">
      <c r="A41" s="187" t="s">
        <v>61</v>
      </c>
      <c r="B41" s="187"/>
      <c r="C41" s="187"/>
      <c r="D41" s="187"/>
      <c r="E41" s="187"/>
      <c r="F41" s="187"/>
      <c r="G41" s="187"/>
      <c r="H41" s="187"/>
      <c r="I41" s="187"/>
      <c r="J41" s="187"/>
      <c r="K41" s="187"/>
      <c r="L41" s="187"/>
      <c r="M41" s="187"/>
      <c r="N41" s="187"/>
      <c r="O41" s="187"/>
      <c r="P41" s="187"/>
    </row>
    <row r="42" spans="1:16" ht="15.75" x14ac:dyDescent="0.2">
      <c r="A42" s="76" t="s">
        <v>100</v>
      </c>
      <c r="B42" s="120" t="s">
        <v>24</v>
      </c>
      <c r="C42" s="121">
        <f>MIN((C12-C11)/(55123*$B$6),1)</f>
        <v>1</v>
      </c>
      <c r="D42" s="121">
        <f>ROUND((D12-D11)/(29952*$B$6),3)</f>
        <v>0.84799999999999998</v>
      </c>
      <c r="E42" s="121">
        <f>ROUND((E12-E11)/(12512*$B$6),3)</f>
        <v>0.38900000000000001</v>
      </c>
      <c r="F42" s="121">
        <f>ROUND((F12-F11)/(9452*$B$6),3)</f>
        <v>0.34799999999999998</v>
      </c>
      <c r="G42" s="120" t="s">
        <v>24</v>
      </c>
      <c r="H42" s="120" t="s">
        <v>24</v>
      </c>
      <c r="I42" s="120" t="s">
        <v>24</v>
      </c>
      <c r="J42" s="120" t="s">
        <v>24</v>
      </c>
      <c r="K42" s="120" t="s">
        <v>24</v>
      </c>
      <c r="L42" s="121">
        <f>ROUND((L12-L11)/(21009*$B$6),3)</f>
        <v>0.94</v>
      </c>
      <c r="M42" s="121">
        <f>ROUND((M12-M11)/(6365*$B$6),3)</f>
        <v>0.246</v>
      </c>
      <c r="N42" s="120" t="s">
        <v>24</v>
      </c>
      <c r="O42" s="120" t="s">
        <v>24</v>
      </c>
      <c r="P42" s="121">
        <f>ROUND((P12-P11)/(5223*$B$6),3)</f>
        <v>0.41699999999999998</v>
      </c>
    </row>
    <row r="44" spans="1:16" x14ac:dyDescent="0.2">
      <c r="A44" s="196" t="s">
        <v>165</v>
      </c>
    </row>
    <row r="45" spans="1:16" x14ac:dyDescent="0.2">
      <c r="A45" s="196" t="s">
        <v>166</v>
      </c>
      <c r="B45" s="4" t="s">
        <v>12</v>
      </c>
    </row>
  </sheetData>
  <mergeCells count="6">
    <mergeCell ref="C8:P8"/>
    <mergeCell ref="C3:P3"/>
    <mergeCell ref="C4:P4"/>
    <mergeCell ref="C5:P5"/>
    <mergeCell ref="C6:P6"/>
    <mergeCell ref="C7:P7"/>
  </mergeCells>
  <printOptions verticalCentered="1" gridLines="1"/>
  <pageMargins left="0.45" right="0.45" top="0.5" bottom="0.5" header="0.3" footer="0.3"/>
  <pageSetup scale="4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42"/>
  <sheetViews>
    <sheetView workbookViewId="0"/>
  </sheetViews>
  <sheetFormatPr defaultRowHeight="12.75" x14ac:dyDescent="0.2"/>
  <cols>
    <col min="1" max="1" width="60.7109375" customWidth="1"/>
    <col min="2" max="17" width="16.7109375" customWidth="1"/>
  </cols>
  <sheetData>
    <row r="1" spans="1:16" ht="18.75" x14ac:dyDescent="0.25">
      <c r="A1" s="59" t="s">
        <v>113</v>
      </c>
      <c r="B1" s="59"/>
      <c r="C1" s="59"/>
      <c r="D1" s="59"/>
      <c r="E1" s="60" t="s">
        <v>12</v>
      </c>
      <c r="F1" s="59"/>
      <c r="G1" s="61" t="s">
        <v>12</v>
      </c>
      <c r="H1" s="60" t="s">
        <v>12</v>
      </c>
      <c r="I1" s="62" t="s">
        <v>12</v>
      </c>
      <c r="J1" s="63" t="s">
        <v>12</v>
      </c>
      <c r="K1" s="64"/>
      <c r="L1" s="64"/>
      <c r="M1" s="64"/>
      <c r="N1" s="64"/>
      <c r="O1" s="64"/>
      <c r="P1" s="64"/>
    </row>
    <row r="2" spans="1:16" ht="15.75" x14ac:dyDescent="0.2">
      <c r="A2" s="65" t="s">
        <v>12</v>
      </c>
      <c r="B2" s="63"/>
      <c r="C2" s="63"/>
      <c r="D2" s="63"/>
      <c r="E2" s="63"/>
      <c r="F2" s="63"/>
      <c r="G2" s="63"/>
      <c r="H2" s="63"/>
      <c r="I2" s="63"/>
      <c r="J2" s="63"/>
      <c r="K2" s="63"/>
      <c r="L2" s="63"/>
      <c r="M2" s="63"/>
      <c r="N2" s="63"/>
      <c r="O2" s="64"/>
      <c r="P2" s="64"/>
    </row>
    <row r="3" spans="1:16" ht="18.75" x14ac:dyDescent="0.3">
      <c r="A3" s="66" t="s">
        <v>12</v>
      </c>
      <c r="B3" s="67" t="s">
        <v>13</v>
      </c>
      <c r="C3" s="209" t="s">
        <v>41</v>
      </c>
      <c r="D3" s="209"/>
      <c r="E3" s="209"/>
      <c r="F3" s="209"/>
      <c r="G3" s="209"/>
      <c r="H3" s="209"/>
      <c r="I3" s="209"/>
      <c r="J3" s="209"/>
      <c r="K3" s="209"/>
      <c r="L3" s="209"/>
      <c r="M3" s="209"/>
      <c r="N3" s="209"/>
      <c r="O3" s="209"/>
      <c r="P3" s="209"/>
    </row>
    <row r="4" spans="1:16" ht="15.75" x14ac:dyDescent="0.2">
      <c r="A4" s="66" t="s">
        <v>35</v>
      </c>
      <c r="B4" s="68">
        <v>0.159</v>
      </c>
      <c r="C4" s="210" t="s">
        <v>140</v>
      </c>
      <c r="D4" s="210"/>
      <c r="E4" s="210"/>
      <c r="F4" s="210"/>
      <c r="G4" s="210"/>
      <c r="H4" s="210"/>
      <c r="I4" s="210"/>
      <c r="J4" s="210"/>
      <c r="K4" s="210"/>
      <c r="L4" s="210"/>
      <c r="M4" s="210"/>
      <c r="N4" s="210"/>
      <c r="O4" s="210"/>
      <c r="P4" s="210"/>
    </row>
    <row r="5" spans="1:16" ht="15.75" x14ac:dyDescent="0.2">
      <c r="A5" s="66" t="s">
        <v>36</v>
      </c>
      <c r="B5" s="69">
        <v>5.9700000000000003E-2</v>
      </c>
      <c r="C5" s="210" t="s">
        <v>140</v>
      </c>
      <c r="D5" s="210"/>
      <c r="E5" s="210"/>
      <c r="F5" s="210"/>
      <c r="G5" s="210"/>
      <c r="H5" s="210"/>
      <c r="I5" s="210"/>
      <c r="J5" s="210"/>
      <c r="K5" s="210"/>
      <c r="L5" s="210"/>
      <c r="M5" s="210"/>
      <c r="N5" s="210"/>
      <c r="O5" s="210"/>
      <c r="P5" s="210"/>
    </row>
    <row r="6" spans="1:16" ht="15.75" x14ac:dyDescent="0.2">
      <c r="A6" s="66" t="s">
        <v>37</v>
      </c>
      <c r="B6" s="70">
        <v>1.0898000000000001</v>
      </c>
      <c r="C6" s="210" t="s">
        <v>140</v>
      </c>
      <c r="D6" s="210"/>
      <c r="E6" s="210"/>
      <c r="F6" s="210"/>
      <c r="G6" s="210"/>
      <c r="H6" s="210"/>
      <c r="I6" s="210"/>
      <c r="J6" s="210"/>
      <c r="K6" s="210"/>
      <c r="L6" s="210"/>
      <c r="M6" s="210"/>
      <c r="N6" s="210"/>
      <c r="O6" s="210"/>
      <c r="P6" s="210"/>
    </row>
    <row r="7" spans="1:16" ht="15.75" x14ac:dyDescent="0.2">
      <c r="A7" s="66" t="s">
        <v>38</v>
      </c>
      <c r="B7" s="71">
        <v>152245.4</v>
      </c>
      <c r="C7" s="210" t="s">
        <v>141</v>
      </c>
      <c r="D7" s="210"/>
      <c r="E7" s="210"/>
      <c r="F7" s="210"/>
      <c r="G7" s="210"/>
      <c r="H7" s="210"/>
      <c r="I7" s="210"/>
      <c r="J7" s="210"/>
      <c r="K7" s="210"/>
      <c r="L7" s="210"/>
      <c r="M7" s="210"/>
      <c r="N7" s="210"/>
      <c r="O7" s="210"/>
      <c r="P7" s="210"/>
    </row>
    <row r="8" spans="1:16" ht="15.75" x14ac:dyDescent="0.2">
      <c r="A8" s="66" t="s">
        <v>12</v>
      </c>
      <c r="B8" s="72" t="s">
        <v>12</v>
      </c>
      <c r="C8" s="208" t="s">
        <v>66</v>
      </c>
      <c r="D8" s="208"/>
      <c r="E8" s="208"/>
      <c r="F8" s="208"/>
      <c r="G8" s="208"/>
      <c r="H8" s="208"/>
      <c r="I8" s="208"/>
      <c r="J8" s="208"/>
      <c r="K8" s="208"/>
      <c r="L8" s="208"/>
      <c r="M8" s="208"/>
      <c r="N8" s="208"/>
      <c r="O8" s="208"/>
      <c r="P8" s="208"/>
    </row>
    <row r="9" spans="1:16" ht="15.75" x14ac:dyDescent="0.2">
      <c r="A9" s="73" t="s">
        <v>12</v>
      </c>
      <c r="B9" s="74" t="s">
        <v>13</v>
      </c>
      <c r="C9" s="74" t="s">
        <v>17</v>
      </c>
      <c r="D9" s="74" t="s">
        <v>16</v>
      </c>
      <c r="E9" s="74" t="s">
        <v>14</v>
      </c>
      <c r="F9" s="74" t="s">
        <v>8</v>
      </c>
      <c r="G9" s="74" t="s">
        <v>42</v>
      </c>
      <c r="H9" s="74" t="s">
        <v>43</v>
      </c>
      <c r="I9" s="74" t="s">
        <v>7</v>
      </c>
      <c r="J9" s="75" t="s">
        <v>49</v>
      </c>
      <c r="K9" s="75" t="s">
        <v>57</v>
      </c>
      <c r="L9" s="20" t="s">
        <v>18</v>
      </c>
      <c r="M9" s="20" t="s">
        <v>3</v>
      </c>
      <c r="N9" s="20" t="s">
        <v>60</v>
      </c>
      <c r="O9" s="20" t="s">
        <v>19</v>
      </c>
      <c r="P9" s="20" t="s">
        <v>52</v>
      </c>
    </row>
    <row r="10" spans="1:16" ht="15.75" x14ac:dyDescent="0.2">
      <c r="A10" s="76" t="s">
        <v>9</v>
      </c>
      <c r="B10" s="77" t="s">
        <v>24</v>
      </c>
      <c r="C10" s="77">
        <v>-8750</v>
      </c>
      <c r="D10" s="78">
        <v>1690</v>
      </c>
      <c r="E10" s="78">
        <v>2910</v>
      </c>
      <c r="F10" s="78">
        <v>5630</v>
      </c>
      <c r="G10" s="78">
        <v>2410</v>
      </c>
      <c r="H10" s="78">
        <v>1090</v>
      </c>
      <c r="I10" s="78">
        <v>1560</v>
      </c>
      <c r="J10" s="78">
        <v>4850</v>
      </c>
      <c r="K10" s="78">
        <v>3470</v>
      </c>
      <c r="L10" s="78">
        <v>-770</v>
      </c>
      <c r="M10" s="78">
        <v>4520</v>
      </c>
      <c r="N10" s="78">
        <v>-910</v>
      </c>
      <c r="O10" s="78">
        <v>2460</v>
      </c>
      <c r="P10" s="78">
        <v>3070</v>
      </c>
    </row>
    <row r="11" spans="1:16" ht="15.75" x14ac:dyDescent="0.2">
      <c r="A11" s="178" t="s">
        <v>11</v>
      </c>
      <c r="B11" s="77" t="s">
        <v>24</v>
      </c>
      <c r="C11" s="77">
        <v>3829</v>
      </c>
      <c r="D11" s="78">
        <v>8593</v>
      </c>
      <c r="E11" s="78">
        <v>9975</v>
      </c>
      <c r="F11" s="78">
        <v>8001</v>
      </c>
      <c r="G11" s="78">
        <v>4264</v>
      </c>
      <c r="H11" s="78">
        <v>1872</v>
      </c>
      <c r="I11" s="78">
        <v>7600</v>
      </c>
      <c r="J11" s="78">
        <v>9889</v>
      </c>
      <c r="K11" s="78">
        <v>5605</v>
      </c>
      <c r="L11" s="78">
        <v>4064</v>
      </c>
      <c r="M11" s="78">
        <v>6180</v>
      </c>
      <c r="N11" s="78">
        <v>7084</v>
      </c>
      <c r="O11" s="78">
        <v>3401</v>
      </c>
      <c r="P11" s="78">
        <v>5072</v>
      </c>
    </row>
    <row r="12" spans="1:16" ht="15.75" x14ac:dyDescent="0.2">
      <c r="A12" s="79" t="s">
        <v>10</v>
      </c>
      <c r="B12" s="77">
        <f>ROUND((B7*B6),1)</f>
        <v>165917</v>
      </c>
      <c r="C12" s="77">
        <v>65097</v>
      </c>
      <c r="D12" s="80">
        <v>36164</v>
      </c>
      <c r="E12" s="80">
        <v>15309</v>
      </c>
      <c r="F12" s="80">
        <v>11522</v>
      </c>
      <c r="G12" s="80">
        <v>5812</v>
      </c>
      <c r="H12" s="80">
        <v>2917</v>
      </c>
      <c r="I12" s="80">
        <v>8086</v>
      </c>
      <c r="J12" s="80">
        <v>15646</v>
      </c>
      <c r="K12" s="80">
        <v>5849</v>
      </c>
      <c r="L12" s="80">
        <v>25967</v>
      </c>
      <c r="M12" s="80">
        <v>7967</v>
      </c>
      <c r="N12" s="80">
        <v>9980</v>
      </c>
      <c r="O12" s="80">
        <v>3979</v>
      </c>
      <c r="P12" s="80">
        <v>7516</v>
      </c>
    </row>
    <row r="13" spans="1:16" ht="15.75" x14ac:dyDescent="0.2">
      <c r="A13" s="76" t="s">
        <v>104</v>
      </c>
      <c r="B13" s="78">
        <v>12065.2</v>
      </c>
      <c r="C13" s="81">
        <v>0</v>
      </c>
      <c r="D13" s="81">
        <v>0</v>
      </c>
      <c r="E13" s="81">
        <v>0</v>
      </c>
      <c r="F13" s="81">
        <v>0</v>
      </c>
      <c r="G13" s="81">
        <v>0</v>
      </c>
      <c r="H13" s="81">
        <v>0</v>
      </c>
      <c r="I13" s="81">
        <v>0</v>
      </c>
      <c r="J13" s="81">
        <v>0</v>
      </c>
      <c r="K13" s="81">
        <v>0</v>
      </c>
      <c r="L13" s="78">
        <v>0</v>
      </c>
      <c r="M13" s="81">
        <v>0</v>
      </c>
      <c r="N13" s="81">
        <v>0</v>
      </c>
      <c r="O13" s="81">
        <v>0</v>
      </c>
      <c r="P13" s="78">
        <v>875.7</v>
      </c>
    </row>
    <row r="14" spans="1:16" ht="15.75" x14ac:dyDescent="0.2">
      <c r="A14" s="76" t="s">
        <v>44</v>
      </c>
      <c r="B14" s="78">
        <f>ROUND(B13*$B$6,1)</f>
        <v>13148.7</v>
      </c>
      <c r="C14" s="81">
        <f>ROUND(C13*$B$6,1)</f>
        <v>0</v>
      </c>
      <c r="D14" s="81">
        <f t="shared" ref="D14:I14" si="0">ROUND(D13*$B$6,1)</f>
        <v>0</v>
      </c>
      <c r="E14" s="81">
        <f t="shared" si="0"/>
        <v>0</v>
      </c>
      <c r="F14" s="81">
        <f t="shared" si="0"/>
        <v>0</v>
      </c>
      <c r="G14" s="81">
        <f t="shared" si="0"/>
        <v>0</v>
      </c>
      <c r="H14" s="81">
        <f t="shared" si="0"/>
        <v>0</v>
      </c>
      <c r="I14" s="81">
        <f t="shared" si="0"/>
        <v>0</v>
      </c>
      <c r="J14" s="81">
        <f>ROUND(J13*$B$6,1)</f>
        <v>0</v>
      </c>
      <c r="K14" s="81">
        <f>ROUND(K13*$B$6,1)</f>
        <v>0</v>
      </c>
      <c r="L14" s="78">
        <f>ROUND(L13*$B$6,1)</f>
        <v>0</v>
      </c>
      <c r="M14" s="81">
        <f>ROUND(M13*$B$6,1)</f>
        <v>0</v>
      </c>
      <c r="N14" s="81">
        <f>ROUND(N13*$B$6,1)</f>
        <v>0</v>
      </c>
      <c r="O14" s="81">
        <f t="shared" ref="O14" si="1">ROUND(O13*$B$6,1)</f>
        <v>0</v>
      </c>
      <c r="P14" s="78">
        <f>ROUND(P13*$B$6,1)</f>
        <v>954.3</v>
      </c>
    </row>
    <row r="15" spans="1:16" ht="15.75" x14ac:dyDescent="0.2">
      <c r="A15" s="82" t="s">
        <v>106</v>
      </c>
      <c r="B15" s="83">
        <f>B12-B14</f>
        <v>152768.29999999999</v>
      </c>
      <c r="C15" s="83">
        <f t="shared" ref="C15:O15" si="2">C12-C14</f>
        <v>65097</v>
      </c>
      <c r="D15" s="83">
        <f t="shared" si="2"/>
        <v>36164</v>
      </c>
      <c r="E15" s="83">
        <f t="shared" si="2"/>
        <v>15309</v>
      </c>
      <c r="F15" s="83">
        <f t="shared" si="2"/>
        <v>11522</v>
      </c>
      <c r="G15" s="83">
        <f t="shared" si="2"/>
        <v>5812</v>
      </c>
      <c r="H15" s="83">
        <f t="shared" si="2"/>
        <v>2917</v>
      </c>
      <c r="I15" s="83">
        <f t="shared" si="2"/>
        <v>8086</v>
      </c>
      <c r="J15" s="83">
        <f t="shared" si="2"/>
        <v>15646</v>
      </c>
      <c r="K15" s="83">
        <f t="shared" si="2"/>
        <v>5849</v>
      </c>
      <c r="L15" s="83">
        <f t="shared" si="2"/>
        <v>25967</v>
      </c>
      <c r="M15" s="83">
        <f t="shared" si="2"/>
        <v>7967</v>
      </c>
      <c r="N15" s="83">
        <f t="shared" si="2"/>
        <v>9980</v>
      </c>
      <c r="O15" s="83">
        <f t="shared" si="2"/>
        <v>3979</v>
      </c>
      <c r="P15" s="83">
        <f>P12-(P14*P42)</f>
        <v>7113.2853999999998</v>
      </c>
    </row>
    <row r="16" spans="1:16" ht="15.75" x14ac:dyDescent="0.2">
      <c r="A16" s="84" t="s">
        <v>71</v>
      </c>
      <c r="B16" s="85">
        <f>'BRA Parameters'!B16*(1-'BRA Parameters'!$B$5)/(1-'1st IA Parameters'!$B$5)</f>
        <v>391.8292704456025</v>
      </c>
      <c r="C16" s="85">
        <f>'BRA Parameters'!C16*(1-'BRA Parameters'!$B$5)/(1-'1st IA Parameters'!$B$5)</f>
        <v>391.94847920876322</v>
      </c>
      <c r="D16" s="85">
        <f>'BRA Parameters'!D16*(1-'BRA Parameters'!$B$5)/(1-'1st IA Parameters'!$B$5)</f>
        <v>391.33256726576622</v>
      </c>
      <c r="E16" s="85">
        <f>'BRA Parameters'!E16*(1-'BRA Parameters'!$B$5)/(1-'1st IA Parameters'!$B$5)</f>
        <v>398.39568648303731</v>
      </c>
      <c r="F16" s="85">
        <f>'BRA Parameters'!F16*(1-'BRA Parameters'!$B$5)/(1-'1st IA Parameters'!$B$5)</f>
        <v>391.33256726576622</v>
      </c>
      <c r="G16" s="85">
        <f>'BRA Parameters'!G16*(1-'BRA Parameters'!$B$5)/(1-'1st IA Parameters'!$B$5)</f>
        <v>391.33256726576622</v>
      </c>
      <c r="H16" s="85">
        <f>'BRA Parameters'!H16*(1-'BRA Parameters'!$B$5)/(1-'1st IA Parameters'!$B$5)</f>
        <v>391.33256726576622</v>
      </c>
      <c r="I16" s="85">
        <f>'BRA Parameters'!I16*(1-'BRA Parameters'!$B$5)/(1-'1st IA Parameters'!$B$5)</f>
        <v>398.39568648303731</v>
      </c>
      <c r="J16" s="85">
        <f>'BRA Parameters'!J16*(1-'BRA Parameters'!$B$5)/(1-'1st IA Parameters'!$B$5)</f>
        <v>388.71990853982777</v>
      </c>
      <c r="K16" s="85">
        <f>'BRA Parameters'!K16*(1-'BRA Parameters'!$B$5)/(1-'1st IA Parameters'!$B$5)</f>
        <v>388.71990853982777</v>
      </c>
      <c r="L16" s="85">
        <f>'BRA Parameters'!L16*(1-'BRA Parameters'!$B$5)/(1-'1st IA Parameters'!$B$5)</f>
        <v>388.71990853982777</v>
      </c>
      <c r="M16" s="85">
        <f>'BRA Parameters'!M16*(1-'BRA Parameters'!$B$5)/(1-'1st IA Parameters'!$B$5)</f>
        <v>398.39568648303731</v>
      </c>
      <c r="N16" s="85">
        <f>'BRA Parameters'!N16*(1-'BRA Parameters'!$B$5)/(1-'1st IA Parameters'!$B$5)</f>
        <v>388.86891949377861</v>
      </c>
      <c r="O16" s="85">
        <f>'BRA Parameters'!O16*(1-'BRA Parameters'!$B$5)/(1-'1st IA Parameters'!$B$5)</f>
        <v>388.71990853982777</v>
      </c>
      <c r="P16" s="85">
        <f>'BRA Parameters'!P16*(1-'BRA Parameters'!$B$5)/(1-'1st IA Parameters'!$B$5)</f>
        <v>388.71990853982777</v>
      </c>
    </row>
    <row r="17" spans="1:17" ht="15.75" x14ac:dyDescent="0.2">
      <c r="A17" s="86" t="s">
        <v>45</v>
      </c>
      <c r="B17" s="87">
        <f>'BRA Parameters'!B17*(1-'BRA Parameters'!$B$5)/(1-'1st IA Parameters'!$B$5)</f>
        <v>291.01839306604273</v>
      </c>
      <c r="C17" s="87">
        <f>'BRA Parameters'!C17*(1-'BRA Parameters'!$B$5)/(1-'1st IA Parameters'!$B$5)</f>
        <v>250.73576518132509</v>
      </c>
      <c r="D17" s="87">
        <f>'BRA Parameters'!D17*(1-'BRA Parameters'!$B$5)/(1-'1st IA Parameters'!$B$5)</f>
        <v>281.23334042326917</v>
      </c>
      <c r="E17" s="87">
        <f>'BRA Parameters'!E17*(1-'BRA Parameters'!$B$5)/(1-'1st IA Parameters'!$B$5)</f>
        <v>201.09524938849304</v>
      </c>
      <c r="F17" s="87">
        <f>'BRA Parameters'!F17*(1-'BRA Parameters'!$B$5)/(1-'1st IA Parameters'!$B$5)</f>
        <v>304.89627991066681</v>
      </c>
      <c r="G17" s="87">
        <f>'BRA Parameters'!G17*(1-'BRA Parameters'!$B$5)/(1-'1st IA Parameters'!$B$5)</f>
        <v>304.89627991066681</v>
      </c>
      <c r="H17" s="87">
        <f>'BRA Parameters'!H17*(1-'BRA Parameters'!$B$5)/(1-'1st IA Parameters'!$B$5)</f>
        <v>253.28881952568329</v>
      </c>
      <c r="I17" s="87">
        <f>'BRA Parameters'!I17*(1-'BRA Parameters'!$B$5)/(1-'1st IA Parameters'!$B$5)</f>
        <v>225.03634265659895</v>
      </c>
      <c r="J17" s="87">
        <f>'BRA Parameters'!J17*(1-'BRA Parameters'!$B$5)/(1-'1st IA Parameters'!$B$5)</f>
        <v>259.44793895565249</v>
      </c>
      <c r="K17" s="87">
        <f>'BRA Parameters'!K17*(1-'BRA Parameters'!$B$5)/(1-'1st IA Parameters'!$B$5)</f>
        <v>259.44793895565249</v>
      </c>
      <c r="L17" s="87">
        <f>'BRA Parameters'!L17*(1-'BRA Parameters'!$B$5)/(1-'1st IA Parameters'!$B$5)</f>
        <v>327.63535148356908</v>
      </c>
      <c r="M17" s="87">
        <f>'BRA Parameters'!M17*(1-'BRA Parameters'!$B$5)/(1-'1st IA Parameters'!$B$5)</f>
        <v>177.15415612038711</v>
      </c>
      <c r="N17" s="87">
        <f>'BRA Parameters'!N17*(1-'BRA Parameters'!$B$5)/(1-'1st IA Parameters'!$B$5)</f>
        <v>265.56732213123473</v>
      </c>
      <c r="O17" s="87">
        <f>'BRA Parameters'!O17*(1-'BRA Parameters'!$B$5)/(1-'1st IA Parameters'!$B$5)</f>
        <v>271.33901308093164</v>
      </c>
      <c r="P17" s="87">
        <f>'BRA Parameters'!P17*(1-'BRA Parameters'!$B$5)/(1-'1st IA Parameters'!$B$5)</f>
        <v>280.59756035307879</v>
      </c>
    </row>
    <row r="18" spans="1:17" ht="15.75" x14ac:dyDescent="0.2">
      <c r="A18" s="88" t="s">
        <v>110</v>
      </c>
      <c r="B18" s="89">
        <v>0</v>
      </c>
      <c r="C18" s="89">
        <v>0</v>
      </c>
      <c r="D18" s="89">
        <v>0</v>
      </c>
      <c r="E18" s="89">
        <v>0</v>
      </c>
      <c r="F18" s="89">
        <v>0</v>
      </c>
      <c r="G18" s="89">
        <v>0</v>
      </c>
      <c r="H18" s="89">
        <v>0</v>
      </c>
      <c r="I18" s="89">
        <v>0</v>
      </c>
      <c r="J18" s="89">
        <v>0</v>
      </c>
      <c r="K18" s="89">
        <v>0</v>
      </c>
      <c r="L18" s="89">
        <v>0</v>
      </c>
      <c r="M18" s="89">
        <v>0</v>
      </c>
      <c r="N18" s="89">
        <v>0</v>
      </c>
      <c r="O18" s="89">
        <v>0</v>
      </c>
      <c r="P18" s="89">
        <v>0</v>
      </c>
      <c r="Q18" s="165" t="s">
        <v>12</v>
      </c>
    </row>
    <row r="19" spans="1:17" ht="16.5" thickBot="1" x14ac:dyDescent="0.25">
      <c r="A19" s="211" t="s">
        <v>142</v>
      </c>
      <c r="B19" s="211"/>
      <c r="C19" s="211"/>
      <c r="D19" s="211"/>
      <c r="E19" s="211"/>
      <c r="F19" s="211"/>
      <c r="G19" s="211"/>
      <c r="H19" s="211"/>
      <c r="I19" s="211"/>
      <c r="J19" s="211"/>
      <c r="K19" s="211"/>
      <c r="L19" s="211"/>
      <c r="M19" s="211"/>
      <c r="N19" s="211"/>
      <c r="O19" s="211"/>
      <c r="P19" s="211"/>
    </row>
    <row r="20" spans="1:17" ht="15.75" x14ac:dyDescent="0.2">
      <c r="A20" s="91" t="s">
        <v>25</v>
      </c>
      <c r="B20" s="92">
        <f t="shared" ref="B20:P20" si="3">ROUND(MAX(B16,1.5*B17),2)</f>
        <v>436.53</v>
      </c>
      <c r="C20" s="92">
        <f t="shared" si="3"/>
        <v>391.95</v>
      </c>
      <c r="D20" s="92">
        <f t="shared" si="3"/>
        <v>421.85</v>
      </c>
      <c r="E20" s="92">
        <f t="shared" si="3"/>
        <v>398.4</v>
      </c>
      <c r="F20" s="92">
        <f t="shared" si="3"/>
        <v>457.34</v>
      </c>
      <c r="G20" s="92">
        <f t="shared" si="3"/>
        <v>457.34</v>
      </c>
      <c r="H20" s="92">
        <f t="shared" si="3"/>
        <v>391.33</v>
      </c>
      <c r="I20" s="92">
        <f t="shared" si="3"/>
        <v>398.4</v>
      </c>
      <c r="J20" s="92">
        <f t="shared" si="3"/>
        <v>389.17</v>
      </c>
      <c r="K20" s="92">
        <f t="shared" si="3"/>
        <v>389.17</v>
      </c>
      <c r="L20" s="92">
        <f t="shared" si="3"/>
        <v>491.45</v>
      </c>
      <c r="M20" s="92">
        <f t="shared" si="3"/>
        <v>398.4</v>
      </c>
      <c r="N20" s="92">
        <f t="shared" si="3"/>
        <v>398.35</v>
      </c>
      <c r="O20" s="92">
        <f t="shared" si="3"/>
        <v>407.01</v>
      </c>
      <c r="P20" s="93">
        <f t="shared" si="3"/>
        <v>420.9</v>
      </c>
    </row>
    <row r="21" spans="1:17" ht="15.75" x14ac:dyDescent="0.2">
      <c r="A21" s="94" t="s">
        <v>26</v>
      </c>
      <c r="B21" s="95">
        <f>ROUND(B$17*0.75,2)</f>
        <v>218.26</v>
      </c>
      <c r="C21" s="95">
        <f t="shared" ref="C21:M21" si="4">ROUND(C$17*0.75,2)</f>
        <v>188.05</v>
      </c>
      <c r="D21" s="95">
        <f t="shared" si="4"/>
        <v>210.93</v>
      </c>
      <c r="E21" s="95">
        <f t="shared" si="4"/>
        <v>150.82</v>
      </c>
      <c r="F21" s="95">
        <f t="shared" si="4"/>
        <v>228.67</v>
      </c>
      <c r="G21" s="95">
        <f t="shared" si="4"/>
        <v>228.67</v>
      </c>
      <c r="H21" s="95">
        <f t="shared" si="4"/>
        <v>189.97</v>
      </c>
      <c r="I21" s="95">
        <f t="shared" si="4"/>
        <v>168.78</v>
      </c>
      <c r="J21" s="95">
        <f t="shared" si="4"/>
        <v>194.59</v>
      </c>
      <c r="K21" s="95">
        <f t="shared" si="4"/>
        <v>194.59</v>
      </c>
      <c r="L21" s="95">
        <f t="shared" si="4"/>
        <v>245.73</v>
      </c>
      <c r="M21" s="95">
        <f t="shared" si="4"/>
        <v>132.87</v>
      </c>
      <c r="N21" s="95">
        <f>ROUND(N$17*0.75,2)</f>
        <v>199.18</v>
      </c>
      <c r="O21" s="95">
        <f>ROUND(O$17*0.75,2)</f>
        <v>203.5</v>
      </c>
      <c r="P21" s="96">
        <f>ROUND(P$17*0.75,2)</f>
        <v>210.45</v>
      </c>
    </row>
    <row r="22" spans="1:17" ht="15.75" x14ac:dyDescent="0.2">
      <c r="A22" s="94" t="s">
        <v>27</v>
      </c>
      <c r="B22" s="95">
        <v>0</v>
      </c>
      <c r="C22" s="95">
        <v>0</v>
      </c>
      <c r="D22" s="95">
        <v>0</v>
      </c>
      <c r="E22" s="95">
        <v>0</v>
      </c>
      <c r="F22" s="95">
        <v>0</v>
      </c>
      <c r="G22" s="95">
        <v>0</v>
      </c>
      <c r="H22" s="95">
        <v>0</v>
      </c>
      <c r="I22" s="95">
        <v>0</v>
      </c>
      <c r="J22" s="95">
        <v>0</v>
      </c>
      <c r="K22" s="95">
        <v>0</v>
      </c>
      <c r="L22" s="95">
        <v>0</v>
      </c>
      <c r="M22" s="95">
        <v>0</v>
      </c>
      <c r="N22" s="95">
        <v>0</v>
      </c>
      <c r="O22" s="95">
        <v>0</v>
      </c>
      <c r="P22" s="96">
        <v>0</v>
      </c>
    </row>
    <row r="23" spans="1:17" ht="15.75" x14ac:dyDescent="0.2">
      <c r="A23" s="94" t="s">
        <v>28</v>
      </c>
      <c r="B23" s="97">
        <f t="shared" ref="B23:P23" si="5">ROUND(B$15*(1+$B$4-0.2%)/(1+$B$4),1)+B$18</f>
        <v>152504.70000000001</v>
      </c>
      <c r="C23" s="97">
        <f t="shared" si="5"/>
        <v>64984.7</v>
      </c>
      <c r="D23" s="97">
        <f t="shared" si="5"/>
        <v>36101.599999999999</v>
      </c>
      <c r="E23" s="97">
        <f t="shared" si="5"/>
        <v>15282.6</v>
      </c>
      <c r="F23" s="97">
        <f t="shared" si="5"/>
        <v>11502.1</v>
      </c>
      <c r="G23" s="97">
        <f t="shared" si="5"/>
        <v>5802</v>
      </c>
      <c r="H23" s="97">
        <f t="shared" si="5"/>
        <v>2912</v>
      </c>
      <c r="I23" s="97">
        <f t="shared" si="5"/>
        <v>8072</v>
      </c>
      <c r="J23" s="97">
        <f t="shared" si="5"/>
        <v>15619</v>
      </c>
      <c r="K23" s="97">
        <f t="shared" si="5"/>
        <v>5838.9</v>
      </c>
      <c r="L23" s="97">
        <f t="shared" si="5"/>
        <v>25922.2</v>
      </c>
      <c r="M23" s="97">
        <f t="shared" si="5"/>
        <v>7953.3</v>
      </c>
      <c r="N23" s="97">
        <f t="shared" si="5"/>
        <v>9962.7999999999993</v>
      </c>
      <c r="O23" s="97">
        <f t="shared" si="5"/>
        <v>3972.1</v>
      </c>
      <c r="P23" s="98">
        <f t="shared" si="5"/>
        <v>7101</v>
      </c>
    </row>
    <row r="24" spans="1:17" ht="15.75" x14ac:dyDescent="0.2">
      <c r="A24" s="94" t="s">
        <v>29</v>
      </c>
      <c r="B24" s="97">
        <f t="shared" ref="B24:P24" si="6">ROUND(B$15*(1+$B$4+2.9%)/(1+$B$4),1)+B$18</f>
        <v>156590.79999999999</v>
      </c>
      <c r="C24" s="97">
        <f t="shared" si="6"/>
        <v>66725.8</v>
      </c>
      <c r="D24" s="97">
        <f t="shared" si="6"/>
        <v>37068.9</v>
      </c>
      <c r="E24" s="97">
        <f t="shared" si="6"/>
        <v>15692.1</v>
      </c>
      <c r="F24" s="97">
        <f t="shared" si="6"/>
        <v>11810.3</v>
      </c>
      <c r="G24" s="97">
        <f t="shared" si="6"/>
        <v>5957.4</v>
      </c>
      <c r="H24" s="97">
        <f t="shared" si="6"/>
        <v>2990</v>
      </c>
      <c r="I24" s="97">
        <f t="shared" si="6"/>
        <v>8288.2999999999993</v>
      </c>
      <c r="J24" s="97">
        <f t="shared" si="6"/>
        <v>16037.5</v>
      </c>
      <c r="K24" s="97">
        <f t="shared" si="6"/>
        <v>5995.4</v>
      </c>
      <c r="L24" s="97">
        <f t="shared" si="6"/>
        <v>26616.7</v>
      </c>
      <c r="M24" s="97">
        <f t="shared" si="6"/>
        <v>8166.3</v>
      </c>
      <c r="N24" s="97">
        <f t="shared" si="6"/>
        <v>10229.700000000001</v>
      </c>
      <c r="O24" s="97">
        <f t="shared" si="6"/>
        <v>4078.6</v>
      </c>
      <c r="P24" s="98">
        <f t="shared" si="6"/>
        <v>7291.3</v>
      </c>
    </row>
    <row r="25" spans="1:17" ht="16.5" thickBot="1" x14ac:dyDescent="0.25">
      <c r="A25" s="99" t="s">
        <v>30</v>
      </c>
      <c r="B25" s="100">
        <f>ROUND(B$15*(1+$B$4+8.8%)/(1+$B$4),1)+B$18</f>
        <v>164367.6</v>
      </c>
      <c r="C25" s="100">
        <f t="shared" ref="C25:P25" si="7">ROUND(C$15*(1+$B$4+8.8%)/(1+$B$4),1)+C$18</f>
        <v>70039.7</v>
      </c>
      <c r="D25" s="100">
        <f t="shared" si="7"/>
        <v>38909.800000000003</v>
      </c>
      <c r="E25" s="100">
        <f t="shared" si="7"/>
        <v>16471.400000000001</v>
      </c>
      <c r="F25" s="100">
        <f t="shared" si="7"/>
        <v>12396.8</v>
      </c>
      <c r="G25" s="100">
        <f t="shared" si="7"/>
        <v>6253.3</v>
      </c>
      <c r="H25" s="100">
        <f t="shared" si="7"/>
        <v>3138.5</v>
      </c>
      <c r="I25" s="100">
        <f t="shared" si="7"/>
        <v>8699.9</v>
      </c>
      <c r="J25" s="100">
        <f t="shared" si="7"/>
        <v>16834</v>
      </c>
      <c r="K25" s="100">
        <f t="shared" si="7"/>
        <v>6293.1</v>
      </c>
      <c r="L25" s="100">
        <f t="shared" si="7"/>
        <v>27938.6</v>
      </c>
      <c r="M25" s="100">
        <f t="shared" si="7"/>
        <v>8571.9</v>
      </c>
      <c r="N25" s="100">
        <f t="shared" si="7"/>
        <v>10737.8</v>
      </c>
      <c r="O25" s="100">
        <f t="shared" si="7"/>
        <v>4281.1000000000004</v>
      </c>
      <c r="P25" s="101">
        <f t="shared" si="7"/>
        <v>7653.4</v>
      </c>
    </row>
    <row r="26" spans="1:17" ht="15.75" x14ac:dyDescent="0.2">
      <c r="A26" s="102" t="s">
        <v>143</v>
      </c>
      <c r="B26" s="103">
        <f>C26+J26+L26</f>
        <v>558</v>
      </c>
      <c r="C26" s="103">
        <f>D26+E26+N26</f>
        <v>558</v>
      </c>
      <c r="D26" s="103">
        <f>31+H26</f>
        <v>58</v>
      </c>
      <c r="E26" s="103">
        <f>I26+M26</f>
        <v>500</v>
      </c>
      <c r="F26" s="103">
        <v>0</v>
      </c>
      <c r="G26" s="103">
        <v>0</v>
      </c>
      <c r="H26" s="103">
        <v>27</v>
      </c>
      <c r="I26" s="103">
        <v>170</v>
      </c>
      <c r="J26" s="103">
        <v>0</v>
      </c>
      <c r="K26" s="103">
        <v>0</v>
      </c>
      <c r="L26" s="103">
        <v>0</v>
      </c>
      <c r="M26" s="103">
        <v>330</v>
      </c>
      <c r="N26" s="103">
        <v>0</v>
      </c>
      <c r="O26" s="103">
        <v>0</v>
      </c>
      <c r="P26" s="103">
        <v>0</v>
      </c>
    </row>
    <row r="27" spans="1:17" ht="16.5" thickBot="1" x14ac:dyDescent="0.25">
      <c r="A27" s="212" t="s">
        <v>144</v>
      </c>
      <c r="B27" s="212"/>
      <c r="C27" s="212"/>
      <c r="D27" s="212"/>
      <c r="E27" s="212"/>
      <c r="F27" s="212"/>
      <c r="G27" s="212"/>
      <c r="H27" s="212"/>
      <c r="I27" s="212"/>
      <c r="J27" s="212"/>
      <c r="K27" s="212"/>
      <c r="L27" s="212"/>
      <c r="M27" s="212"/>
      <c r="N27" s="212"/>
      <c r="O27" s="212"/>
      <c r="P27" s="212"/>
    </row>
    <row r="28" spans="1:17" ht="15.75" x14ac:dyDescent="0.2">
      <c r="A28" s="104" t="s">
        <v>89</v>
      </c>
      <c r="B28" s="105">
        <f>B20</f>
        <v>436.53</v>
      </c>
      <c r="C28" s="105">
        <f t="shared" ref="C28:P28" si="8">C20</f>
        <v>391.95</v>
      </c>
      <c r="D28" s="105">
        <f t="shared" si="8"/>
        <v>421.85</v>
      </c>
      <c r="E28" s="105">
        <f>E20</f>
        <v>398.4</v>
      </c>
      <c r="F28" s="105">
        <f t="shared" si="8"/>
        <v>457.34</v>
      </c>
      <c r="G28" s="105">
        <f t="shared" si="8"/>
        <v>457.34</v>
      </c>
      <c r="H28" s="105">
        <f t="shared" si="8"/>
        <v>391.33</v>
      </c>
      <c r="I28" s="105">
        <f t="shared" si="8"/>
        <v>398.4</v>
      </c>
      <c r="J28" s="105">
        <f t="shared" si="8"/>
        <v>389.17</v>
      </c>
      <c r="K28" s="105">
        <f t="shared" si="8"/>
        <v>389.17</v>
      </c>
      <c r="L28" s="105">
        <f t="shared" si="8"/>
        <v>491.45</v>
      </c>
      <c r="M28" s="105">
        <f t="shared" si="8"/>
        <v>398.4</v>
      </c>
      <c r="N28" s="105">
        <f t="shared" si="8"/>
        <v>398.35</v>
      </c>
      <c r="O28" s="105">
        <f t="shared" si="8"/>
        <v>407.01</v>
      </c>
      <c r="P28" s="105">
        <f t="shared" si="8"/>
        <v>420.9</v>
      </c>
    </row>
    <row r="29" spans="1:17" ht="15.75" x14ac:dyDescent="0.2">
      <c r="A29" s="107" t="s">
        <v>88</v>
      </c>
      <c r="B29" s="108">
        <f>B21</f>
        <v>218.26</v>
      </c>
      <c r="C29" s="108">
        <f t="shared" ref="C29:P29" si="9">C21</f>
        <v>188.05</v>
      </c>
      <c r="D29" s="108">
        <f t="shared" si="9"/>
        <v>210.93</v>
      </c>
      <c r="E29" s="108">
        <f>E21</f>
        <v>150.82</v>
      </c>
      <c r="F29" s="108">
        <f t="shared" si="9"/>
        <v>228.67</v>
      </c>
      <c r="G29" s="108">
        <f t="shared" si="9"/>
        <v>228.67</v>
      </c>
      <c r="H29" s="108">
        <f t="shared" si="9"/>
        <v>189.97</v>
      </c>
      <c r="I29" s="108">
        <f t="shared" si="9"/>
        <v>168.78</v>
      </c>
      <c r="J29" s="108">
        <f t="shared" si="9"/>
        <v>194.59</v>
      </c>
      <c r="K29" s="108">
        <f t="shared" si="9"/>
        <v>194.59</v>
      </c>
      <c r="L29" s="108">
        <f t="shared" si="9"/>
        <v>245.73</v>
      </c>
      <c r="M29" s="108">
        <f t="shared" si="9"/>
        <v>132.87</v>
      </c>
      <c r="N29" s="108">
        <f t="shared" si="9"/>
        <v>199.18</v>
      </c>
      <c r="O29" s="108">
        <f t="shared" si="9"/>
        <v>203.5</v>
      </c>
      <c r="P29" s="108">
        <f t="shared" si="9"/>
        <v>210.45</v>
      </c>
    </row>
    <row r="30" spans="1:17" ht="15.75" x14ac:dyDescent="0.2">
      <c r="A30" s="107" t="s">
        <v>12</v>
      </c>
      <c r="B30" s="108" t="s">
        <v>12</v>
      </c>
      <c r="C30" s="108" t="s">
        <v>12</v>
      </c>
      <c r="D30" s="108" t="s">
        <v>12</v>
      </c>
      <c r="E30" s="108" t="s">
        <v>12</v>
      </c>
      <c r="F30" s="108" t="s">
        <v>12</v>
      </c>
      <c r="G30" s="108" t="s">
        <v>12</v>
      </c>
      <c r="H30" s="108" t="s">
        <v>12</v>
      </c>
      <c r="I30" s="108" t="s">
        <v>12</v>
      </c>
      <c r="J30" s="108" t="s">
        <v>12</v>
      </c>
      <c r="K30" s="108" t="s">
        <v>12</v>
      </c>
      <c r="L30" s="108" t="s">
        <v>12</v>
      </c>
      <c r="M30" s="108" t="s">
        <v>12</v>
      </c>
      <c r="N30" s="108" t="s">
        <v>12</v>
      </c>
      <c r="O30" s="108" t="s">
        <v>12</v>
      </c>
      <c r="P30" s="108" t="s">
        <v>12</v>
      </c>
    </row>
    <row r="31" spans="1:17" ht="15.75" x14ac:dyDescent="0.2">
      <c r="A31" s="107" t="s">
        <v>12</v>
      </c>
      <c r="B31" s="108" t="s">
        <v>12</v>
      </c>
      <c r="C31" s="108" t="s">
        <v>12</v>
      </c>
      <c r="D31" s="108" t="s">
        <v>12</v>
      </c>
      <c r="E31" s="108" t="s">
        <v>12</v>
      </c>
      <c r="F31" s="108" t="s">
        <v>12</v>
      </c>
      <c r="G31" s="108" t="s">
        <v>12</v>
      </c>
      <c r="H31" s="108" t="s">
        <v>12</v>
      </c>
      <c r="I31" s="108" t="s">
        <v>12</v>
      </c>
      <c r="J31" s="108" t="s">
        <v>12</v>
      </c>
      <c r="K31" s="108" t="s">
        <v>12</v>
      </c>
      <c r="L31" s="108" t="s">
        <v>12</v>
      </c>
      <c r="M31" s="108" t="s">
        <v>12</v>
      </c>
      <c r="N31" s="108" t="s">
        <v>12</v>
      </c>
      <c r="O31" s="108" t="s">
        <v>12</v>
      </c>
      <c r="P31" s="108" t="s">
        <v>12</v>
      </c>
    </row>
    <row r="32" spans="1:17" ht="16.5" thickBot="1" x14ac:dyDescent="0.25">
      <c r="A32" s="110" t="s">
        <v>145</v>
      </c>
      <c r="B32" s="111">
        <f>B22</f>
        <v>0</v>
      </c>
      <c r="C32" s="111">
        <f t="shared" ref="C32:P32" si="10">C22</f>
        <v>0</v>
      </c>
      <c r="D32" s="111">
        <f t="shared" si="10"/>
        <v>0</v>
      </c>
      <c r="E32" s="111">
        <f>E22</f>
        <v>0</v>
      </c>
      <c r="F32" s="111">
        <f t="shared" si="10"/>
        <v>0</v>
      </c>
      <c r="G32" s="111">
        <f t="shared" si="10"/>
        <v>0</v>
      </c>
      <c r="H32" s="111">
        <f t="shared" si="10"/>
        <v>0</v>
      </c>
      <c r="I32" s="111">
        <f t="shared" si="10"/>
        <v>0</v>
      </c>
      <c r="J32" s="111">
        <f t="shared" si="10"/>
        <v>0</v>
      </c>
      <c r="K32" s="111">
        <f t="shared" si="10"/>
        <v>0</v>
      </c>
      <c r="L32" s="111">
        <f t="shared" si="10"/>
        <v>0</v>
      </c>
      <c r="M32" s="111">
        <f t="shared" si="10"/>
        <v>0</v>
      </c>
      <c r="N32" s="111">
        <f t="shared" si="10"/>
        <v>0</v>
      </c>
      <c r="O32" s="111">
        <f t="shared" si="10"/>
        <v>0</v>
      </c>
      <c r="P32" s="111">
        <f t="shared" si="10"/>
        <v>0</v>
      </c>
    </row>
    <row r="33" spans="1:17" ht="15.75" x14ac:dyDescent="0.2">
      <c r="A33" s="113" t="s">
        <v>90</v>
      </c>
      <c r="B33" s="114">
        <f>ROUND(B23-B$26*$B$6,1)</f>
        <v>151896.6</v>
      </c>
      <c r="C33" s="114">
        <f>ROUND(C23-C$26*$B$6,1)</f>
        <v>64376.6</v>
      </c>
      <c r="D33" s="114">
        <f t="shared" ref="D33:P33" si="11">ROUND(D23-D$26*$B$6,1)</f>
        <v>36038.400000000001</v>
      </c>
      <c r="E33" s="114">
        <f>ROUND(E23-E$26*$B$6,1)</f>
        <v>14737.7</v>
      </c>
      <c r="F33" s="114">
        <f t="shared" si="11"/>
        <v>11502.1</v>
      </c>
      <c r="G33" s="114">
        <f t="shared" si="11"/>
        <v>5802</v>
      </c>
      <c r="H33" s="114">
        <f t="shared" si="11"/>
        <v>2882.6</v>
      </c>
      <c r="I33" s="114">
        <f>ROUND(I23-I$26*$B$6,1)</f>
        <v>7886.7</v>
      </c>
      <c r="J33" s="114">
        <f t="shared" si="11"/>
        <v>15619</v>
      </c>
      <c r="K33" s="114">
        <f t="shared" si="11"/>
        <v>5838.9</v>
      </c>
      <c r="L33" s="114">
        <f t="shared" si="11"/>
        <v>25922.2</v>
      </c>
      <c r="M33" s="114">
        <f>ROUND(M23-M$26*$B$6,1)</f>
        <v>7593.7</v>
      </c>
      <c r="N33" s="114">
        <f t="shared" si="11"/>
        <v>9962.7999999999993</v>
      </c>
      <c r="O33" s="114">
        <f t="shared" si="11"/>
        <v>3972.1</v>
      </c>
      <c r="P33" s="181">
        <f t="shared" si="11"/>
        <v>7101</v>
      </c>
    </row>
    <row r="34" spans="1:17" ht="15.75" x14ac:dyDescent="0.2">
      <c r="A34" s="115" t="s">
        <v>87</v>
      </c>
      <c r="B34" s="116">
        <f>ROUND(B24-B$26*$B$6,1)</f>
        <v>155982.70000000001</v>
      </c>
      <c r="C34" s="116">
        <f>ROUND(C24-C$26*$B$6,1)</f>
        <v>66117.7</v>
      </c>
      <c r="D34" s="116">
        <f t="shared" ref="D34:P34" si="12">ROUND(D24-D$26*$B$6,1)</f>
        <v>37005.699999999997</v>
      </c>
      <c r="E34" s="116">
        <f>ROUND(E24-E$26*$B$6,1)</f>
        <v>15147.2</v>
      </c>
      <c r="F34" s="116">
        <f t="shared" si="12"/>
        <v>11810.3</v>
      </c>
      <c r="G34" s="116">
        <f t="shared" si="12"/>
        <v>5957.4</v>
      </c>
      <c r="H34" s="116">
        <f t="shared" si="12"/>
        <v>2960.6</v>
      </c>
      <c r="I34" s="116">
        <f>ROUND(I24-I$26*$B$6,1)</f>
        <v>8103</v>
      </c>
      <c r="J34" s="116">
        <f t="shared" si="12"/>
        <v>16037.5</v>
      </c>
      <c r="K34" s="116">
        <f t="shared" si="12"/>
        <v>5995.4</v>
      </c>
      <c r="L34" s="116">
        <f t="shared" si="12"/>
        <v>26616.7</v>
      </c>
      <c r="M34" s="116">
        <f>ROUND(M24-M$26*$B$6,1)</f>
        <v>7806.7</v>
      </c>
      <c r="N34" s="116">
        <f t="shared" si="12"/>
        <v>10229.700000000001</v>
      </c>
      <c r="O34" s="116">
        <f t="shared" si="12"/>
        <v>4078.6</v>
      </c>
      <c r="P34" s="182">
        <f t="shared" si="12"/>
        <v>7291.3</v>
      </c>
    </row>
    <row r="35" spans="1:17" ht="15.75" x14ac:dyDescent="0.2">
      <c r="A35" s="115" t="s">
        <v>12</v>
      </c>
      <c r="B35" s="116" t="s">
        <v>12</v>
      </c>
      <c r="C35" s="116" t="s">
        <v>12</v>
      </c>
      <c r="D35" s="116" t="s">
        <v>12</v>
      </c>
      <c r="E35" s="116" t="s">
        <v>12</v>
      </c>
      <c r="F35" s="116" t="s">
        <v>12</v>
      </c>
      <c r="G35" s="116" t="s">
        <v>12</v>
      </c>
      <c r="H35" s="116" t="s">
        <v>12</v>
      </c>
      <c r="I35" s="116" t="s">
        <v>12</v>
      </c>
      <c r="J35" s="116" t="s">
        <v>12</v>
      </c>
      <c r="K35" s="116" t="s">
        <v>12</v>
      </c>
      <c r="L35" s="116" t="s">
        <v>12</v>
      </c>
      <c r="M35" s="116" t="s">
        <v>12</v>
      </c>
      <c r="N35" s="116" t="s">
        <v>12</v>
      </c>
      <c r="O35" s="116" t="s">
        <v>12</v>
      </c>
      <c r="P35" s="182" t="s">
        <v>12</v>
      </c>
    </row>
    <row r="36" spans="1:17" ht="15.75" x14ac:dyDescent="0.2">
      <c r="A36" s="115" t="s">
        <v>12</v>
      </c>
      <c r="B36" s="116" t="s">
        <v>12</v>
      </c>
      <c r="C36" s="116" t="s">
        <v>12</v>
      </c>
      <c r="D36" s="116" t="s">
        <v>12</v>
      </c>
      <c r="E36" s="116" t="s">
        <v>12</v>
      </c>
      <c r="F36" s="116" t="s">
        <v>12</v>
      </c>
      <c r="G36" s="116" t="s">
        <v>12</v>
      </c>
      <c r="H36" s="116" t="s">
        <v>12</v>
      </c>
      <c r="I36" s="116" t="s">
        <v>12</v>
      </c>
      <c r="J36" s="116" t="s">
        <v>12</v>
      </c>
      <c r="K36" s="116" t="s">
        <v>12</v>
      </c>
      <c r="L36" s="116" t="s">
        <v>12</v>
      </c>
      <c r="M36" s="116" t="s">
        <v>12</v>
      </c>
      <c r="N36" s="116" t="s">
        <v>12</v>
      </c>
      <c r="O36" s="116" t="s">
        <v>12</v>
      </c>
      <c r="P36" s="182" t="s">
        <v>12</v>
      </c>
    </row>
    <row r="37" spans="1:17" ht="16.5" thickBot="1" x14ac:dyDescent="0.25">
      <c r="A37" s="117" t="s">
        <v>146</v>
      </c>
      <c r="B37" s="118">
        <f>ROUND(B25-B$26*$B$6,1)</f>
        <v>163759.5</v>
      </c>
      <c r="C37" s="118">
        <f>ROUND(C25-C$26*$B$6,1)</f>
        <v>69431.600000000006</v>
      </c>
      <c r="D37" s="118">
        <f t="shared" ref="D37:P37" si="13">ROUND(D25-D$26*$B$6,1)</f>
        <v>38846.6</v>
      </c>
      <c r="E37" s="118">
        <f>ROUND(E25-E$26*$B$6,1)</f>
        <v>15926.5</v>
      </c>
      <c r="F37" s="118">
        <f t="shared" si="13"/>
        <v>12396.8</v>
      </c>
      <c r="G37" s="118">
        <f t="shared" si="13"/>
        <v>6253.3</v>
      </c>
      <c r="H37" s="118">
        <f t="shared" si="13"/>
        <v>3109.1</v>
      </c>
      <c r="I37" s="118">
        <f>ROUND(I25-I$26*$B$6,1)</f>
        <v>8514.6</v>
      </c>
      <c r="J37" s="118">
        <f t="shared" si="13"/>
        <v>16834</v>
      </c>
      <c r="K37" s="118">
        <f t="shared" si="13"/>
        <v>6293.1</v>
      </c>
      <c r="L37" s="118">
        <f t="shared" si="13"/>
        <v>27938.6</v>
      </c>
      <c r="M37" s="118">
        <f>ROUND(M25-M$26*$B$6,1)</f>
        <v>8212.2999999999993</v>
      </c>
      <c r="N37" s="118">
        <f t="shared" si="13"/>
        <v>10737.8</v>
      </c>
      <c r="O37" s="118">
        <f t="shared" si="13"/>
        <v>4281.1000000000004</v>
      </c>
      <c r="P37" s="183">
        <f t="shared" si="13"/>
        <v>7653.4</v>
      </c>
    </row>
    <row r="38" spans="1:17" ht="15.75" x14ac:dyDescent="0.2">
      <c r="A38" s="102" t="s">
        <v>96</v>
      </c>
      <c r="B38" s="119">
        <f>ROUND(MAX(B$17*0.5, 20)*365,2)</f>
        <v>53110.86</v>
      </c>
      <c r="C38" s="119">
        <f t="shared" ref="C38:M38" si="14">ROUND(MAX(C$17*0.5, 20)*365,2)</f>
        <v>45759.28</v>
      </c>
      <c r="D38" s="119">
        <f t="shared" si="14"/>
        <v>51325.08</v>
      </c>
      <c r="E38" s="119">
        <f t="shared" si="14"/>
        <v>36699.879999999997</v>
      </c>
      <c r="F38" s="119">
        <f t="shared" si="14"/>
        <v>55643.57</v>
      </c>
      <c r="G38" s="119">
        <f t="shared" si="14"/>
        <v>55643.57</v>
      </c>
      <c r="H38" s="119">
        <f t="shared" si="14"/>
        <v>46225.21</v>
      </c>
      <c r="I38" s="119">
        <f t="shared" si="14"/>
        <v>41069.129999999997</v>
      </c>
      <c r="J38" s="119">
        <f t="shared" si="14"/>
        <v>47349.25</v>
      </c>
      <c r="K38" s="119">
        <f t="shared" si="14"/>
        <v>47349.25</v>
      </c>
      <c r="L38" s="119">
        <f t="shared" si="14"/>
        <v>59793.45</v>
      </c>
      <c r="M38" s="119">
        <f t="shared" si="14"/>
        <v>32330.63</v>
      </c>
      <c r="N38" s="119">
        <f>ROUND(MAX(N$17*0.5, 20)*365,2)</f>
        <v>48466.04</v>
      </c>
      <c r="O38" s="119">
        <f>ROUND(MAX(O$17*0.5, 20)*365,2)</f>
        <v>49519.37</v>
      </c>
      <c r="P38" s="119">
        <f>ROUND(MAX(P$17*0.5, 20)*365,2)</f>
        <v>51209.05</v>
      </c>
    </row>
    <row r="39" spans="1:17" ht="15.75" x14ac:dyDescent="0.2">
      <c r="A39" s="102" t="s">
        <v>112</v>
      </c>
      <c r="B39" s="119">
        <v>53110.86</v>
      </c>
      <c r="C39" s="119">
        <v>45759.28</v>
      </c>
      <c r="D39" s="119">
        <v>51325.08</v>
      </c>
      <c r="E39" s="119">
        <v>36699.879999999997</v>
      </c>
      <c r="F39" s="119">
        <v>55643.57</v>
      </c>
      <c r="G39" s="119">
        <v>55643.57</v>
      </c>
      <c r="H39" s="119">
        <v>46225.21</v>
      </c>
      <c r="I39" s="119">
        <v>41069.129999999997</v>
      </c>
      <c r="J39" s="119">
        <v>47349.25</v>
      </c>
      <c r="K39" s="119">
        <v>47349.25</v>
      </c>
      <c r="L39" s="119">
        <v>59793.45</v>
      </c>
      <c r="M39" s="119">
        <v>32330.63</v>
      </c>
      <c r="N39" s="119">
        <v>48466.04</v>
      </c>
      <c r="O39" s="119">
        <v>49519.37</v>
      </c>
      <c r="P39" s="119">
        <v>51209.05</v>
      </c>
      <c r="Q39" s="166" t="s">
        <v>12</v>
      </c>
    </row>
    <row r="40" spans="1:17" ht="15.75" x14ac:dyDescent="0.2">
      <c r="A40" s="76" t="s">
        <v>48</v>
      </c>
      <c r="B40" s="120" t="s">
        <v>24</v>
      </c>
      <c r="C40" s="89">
        <v>1557</v>
      </c>
      <c r="D40" s="89">
        <v>40</v>
      </c>
      <c r="E40" s="89" t="s">
        <v>24</v>
      </c>
      <c r="F40" s="89">
        <v>41</v>
      </c>
      <c r="G40" s="89">
        <v>21</v>
      </c>
      <c r="H40" s="89">
        <v>72</v>
      </c>
      <c r="I40" s="89" t="s">
        <v>24</v>
      </c>
      <c r="J40" s="89" t="s">
        <v>24</v>
      </c>
      <c r="K40" s="89" t="s">
        <v>24</v>
      </c>
      <c r="L40" s="89" t="s">
        <v>24</v>
      </c>
      <c r="M40" s="89">
        <v>65.7</v>
      </c>
      <c r="N40" s="89" t="s">
        <v>24</v>
      </c>
      <c r="O40" s="89" t="s">
        <v>24</v>
      </c>
      <c r="P40" s="89">
        <v>155</v>
      </c>
    </row>
    <row r="41" spans="1:17" ht="15.75" x14ac:dyDescent="0.2">
      <c r="A41" s="213" t="s">
        <v>61</v>
      </c>
      <c r="B41" s="213"/>
      <c r="C41" s="213"/>
      <c r="D41" s="213"/>
      <c r="E41" s="213"/>
      <c r="F41" s="213"/>
      <c r="G41" s="213"/>
      <c r="H41" s="213"/>
      <c r="I41" s="213"/>
      <c r="J41" s="213"/>
      <c r="K41" s="213"/>
      <c r="L41" s="213"/>
      <c r="M41" s="213"/>
      <c r="N41" s="213"/>
      <c r="O41" s="213"/>
      <c r="P41" s="213"/>
    </row>
    <row r="42" spans="1:17" ht="15.75" x14ac:dyDescent="0.2">
      <c r="A42" s="76" t="s">
        <v>100</v>
      </c>
      <c r="B42" s="120" t="s">
        <v>24</v>
      </c>
      <c r="C42" s="121">
        <f>MIN((C12-C11)/(55047*$B$6),1)</f>
        <v>1</v>
      </c>
      <c r="D42" s="121">
        <f>ROUND((D12-D11)/(29817*$B$6),3)</f>
        <v>0.84799999999999998</v>
      </c>
      <c r="E42" s="121">
        <f>ROUND((E12-E11)/(12591*$B$6),3)</f>
        <v>0.38900000000000001</v>
      </c>
      <c r="F42" s="121">
        <f>ROUND((F12-F11)/(9396*$B$6),3)</f>
        <v>0.34399999999999997</v>
      </c>
      <c r="G42" s="120" t="s">
        <v>24</v>
      </c>
      <c r="H42" s="120" t="s">
        <v>24</v>
      </c>
      <c r="I42" s="120" t="s">
        <v>24</v>
      </c>
      <c r="J42" s="120" t="s">
        <v>24</v>
      </c>
      <c r="K42" s="120" t="s">
        <v>24</v>
      </c>
      <c r="L42" s="121">
        <f>ROUND((L12-L11)/(21363*$B$6),3)</f>
        <v>0.94099999999999995</v>
      </c>
      <c r="M42" s="121">
        <f>ROUND((M12-M11)/(6456*$B$6),3)</f>
        <v>0.254</v>
      </c>
      <c r="N42" s="120" t="s">
        <v>24</v>
      </c>
      <c r="O42" s="120" t="s">
        <v>24</v>
      </c>
      <c r="P42" s="121">
        <f>ROUND((P12-P11)/(5319*$B$6),3)</f>
        <v>0.42199999999999999</v>
      </c>
    </row>
  </sheetData>
  <mergeCells count="9">
    <mergeCell ref="A19:P19"/>
    <mergeCell ref="A27:P27"/>
    <mergeCell ref="A41:P41"/>
    <mergeCell ref="C3:P3"/>
    <mergeCell ref="C4:P4"/>
    <mergeCell ref="C5:P5"/>
    <mergeCell ref="C6:P6"/>
    <mergeCell ref="C7:P7"/>
    <mergeCell ref="C8:P8"/>
  </mergeCells>
  <printOptions verticalCentered="1" gridLines="1"/>
  <pageMargins left="0.45" right="0.45" top="0.5" bottom="0.5" header="0.3" footer="0.3"/>
  <pageSetup scale="4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96"/>
  <sheetViews>
    <sheetView zoomScaleNormal="100" zoomScaleSheetLayoutView="75" workbookViewId="0">
      <selection activeCell="G1" sqref="G1"/>
    </sheetView>
  </sheetViews>
  <sheetFormatPr defaultColWidth="30.7109375" defaultRowHeight="12.75" x14ac:dyDescent="0.2"/>
  <cols>
    <col min="1" max="1" width="60" customWidth="1"/>
    <col min="2" max="7" width="16.7109375" style="1" customWidth="1"/>
    <col min="8" max="8" width="16.7109375" customWidth="1"/>
    <col min="9" max="9" width="17.7109375" customWidth="1"/>
    <col min="10" max="16" width="18.7109375" customWidth="1"/>
  </cols>
  <sheetData>
    <row r="1" spans="1:18" ht="18.75" x14ac:dyDescent="0.25">
      <c r="A1" s="59" t="s">
        <v>68</v>
      </c>
      <c r="B1" s="59"/>
      <c r="C1" s="59"/>
      <c r="D1" s="59"/>
      <c r="E1" s="60" t="s">
        <v>12</v>
      </c>
      <c r="F1" s="59"/>
      <c r="G1" s="61">
        <v>42878</v>
      </c>
      <c r="H1" s="60" t="s">
        <v>12</v>
      </c>
      <c r="I1" s="62" t="s">
        <v>12</v>
      </c>
      <c r="J1" s="63" t="s">
        <v>12</v>
      </c>
      <c r="K1" s="64"/>
      <c r="L1" s="64"/>
      <c r="M1" s="64"/>
      <c r="N1" s="64"/>
      <c r="O1" s="64"/>
      <c r="P1" s="64"/>
    </row>
    <row r="2" spans="1:18" ht="15.75" x14ac:dyDescent="0.2">
      <c r="A2" s="65" t="s">
        <v>12</v>
      </c>
      <c r="B2" s="63"/>
      <c r="C2" s="63"/>
      <c r="D2" s="63"/>
      <c r="E2" s="63"/>
      <c r="F2" s="63"/>
      <c r="G2" s="63"/>
      <c r="H2" s="63"/>
      <c r="I2" s="63"/>
      <c r="J2" s="63"/>
      <c r="K2" s="63"/>
      <c r="L2" s="63"/>
      <c r="M2" s="63"/>
      <c r="N2" s="63"/>
      <c r="O2" s="64"/>
      <c r="P2" s="64"/>
    </row>
    <row r="3" spans="1:18" ht="18.75" x14ac:dyDescent="0.3">
      <c r="A3" s="66" t="s">
        <v>12</v>
      </c>
      <c r="B3" s="67" t="s">
        <v>13</v>
      </c>
      <c r="C3" s="209" t="s">
        <v>41</v>
      </c>
      <c r="D3" s="209"/>
      <c r="E3" s="209"/>
      <c r="F3" s="209"/>
      <c r="G3" s="209"/>
      <c r="H3" s="209"/>
      <c r="I3" s="209"/>
      <c r="J3" s="209"/>
      <c r="K3" s="209"/>
      <c r="L3" s="209"/>
      <c r="M3" s="209"/>
      <c r="N3" s="209"/>
      <c r="O3" s="209"/>
      <c r="P3" s="209"/>
    </row>
    <row r="4" spans="1:18" ht="15.75" x14ac:dyDescent="0.2">
      <c r="A4" s="66" t="s">
        <v>35</v>
      </c>
      <c r="B4" s="68">
        <v>0.16600000000000001</v>
      </c>
      <c r="C4" s="210" t="s">
        <v>69</v>
      </c>
      <c r="D4" s="210"/>
      <c r="E4" s="210"/>
      <c r="F4" s="210"/>
      <c r="G4" s="210"/>
      <c r="H4" s="210"/>
      <c r="I4" s="210"/>
      <c r="J4" s="210"/>
      <c r="K4" s="210"/>
      <c r="L4" s="210"/>
      <c r="M4" s="210"/>
      <c r="N4" s="210"/>
      <c r="O4" s="210"/>
      <c r="P4" s="210"/>
    </row>
    <row r="5" spans="1:18" ht="15.75" x14ac:dyDescent="0.2">
      <c r="A5" s="66" t="s">
        <v>36</v>
      </c>
      <c r="B5" s="69">
        <v>6.59E-2</v>
      </c>
      <c r="C5" s="210" t="s">
        <v>69</v>
      </c>
      <c r="D5" s="210"/>
      <c r="E5" s="210"/>
      <c r="F5" s="210"/>
      <c r="G5" s="210"/>
      <c r="H5" s="210"/>
      <c r="I5" s="210"/>
      <c r="J5" s="210"/>
      <c r="K5" s="210"/>
      <c r="L5" s="210"/>
      <c r="M5" s="210"/>
      <c r="N5" s="210"/>
      <c r="O5" s="210"/>
      <c r="P5" s="210"/>
    </row>
    <row r="6" spans="1:18" ht="15.75" x14ac:dyDescent="0.2">
      <c r="A6" s="66" t="s">
        <v>37</v>
      </c>
      <c r="B6" s="70">
        <v>1.0891999999999999</v>
      </c>
      <c r="C6" s="210" t="s">
        <v>69</v>
      </c>
      <c r="D6" s="210"/>
      <c r="E6" s="210"/>
      <c r="F6" s="210"/>
      <c r="G6" s="210"/>
      <c r="H6" s="210"/>
      <c r="I6" s="210"/>
      <c r="J6" s="210"/>
      <c r="K6" s="210"/>
      <c r="L6" s="210"/>
      <c r="M6" s="210"/>
      <c r="N6" s="210"/>
      <c r="O6" s="210"/>
      <c r="P6" s="210"/>
    </row>
    <row r="7" spans="1:18" ht="15.75" x14ac:dyDescent="0.2">
      <c r="A7" s="66" t="s">
        <v>38</v>
      </c>
      <c r="B7" s="71">
        <v>153915</v>
      </c>
      <c r="C7" s="210" t="s">
        <v>70</v>
      </c>
      <c r="D7" s="210"/>
      <c r="E7" s="210"/>
      <c r="F7" s="210"/>
      <c r="G7" s="210"/>
      <c r="H7" s="210"/>
      <c r="I7" s="210"/>
      <c r="J7" s="210"/>
      <c r="K7" s="210"/>
      <c r="L7" s="210"/>
      <c r="M7" s="210"/>
      <c r="N7" s="210"/>
      <c r="O7" s="210"/>
      <c r="P7" s="210"/>
    </row>
    <row r="8" spans="1:18" ht="15.75" x14ac:dyDescent="0.2">
      <c r="A8" s="66" t="s">
        <v>12</v>
      </c>
      <c r="B8" s="72" t="s">
        <v>12</v>
      </c>
      <c r="C8" s="208" t="s">
        <v>66</v>
      </c>
      <c r="D8" s="208"/>
      <c r="E8" s="208"/>
      <c r="F8" s="208"/>
      <c r="G8" s="208"/>
      <c r="H8" s="208"/>
      <c r="I8" s="208"/>
      <c r="J8" s="208"/>
      <c r="K8" s="208"/>
      <c r="L8" s="208"/>
      <c r="M8" s="208"/>
      <c r="N8" s="208"/>
      <c r="O8" s="208"/>
      <c r="P8" s="208"/>
    </row>
    <row r="9" spans="1:18" ht="15.75" x14ac:dyDescent="0.2">
      <c r="A9" s="73" t="s">
        <v>12</v>
      </c>
      <c r="B9" s="74" t="s">
        <v>13</v>
      </c>
      <c r="C9" s="74" t="s">
        <v>17</v>
      </c>
      <c r="D9" s="74" t="s">
        <v>16</v>
      </c>
      <c r="E9" s="74" t="s">
        <v>14</v>
      </c>
      <c r="F9" s="74" t="s">
        <v>8</v>
      </c>
      <c r="G9" s="74" t="s">
        <v>42</v>
      </c>
      <c r="H9" s="74" t="s">
        <v>43</v>
      </c>
      <c r="I9" s="74" t="s">
        <v>7</v>
      </c>
      <c r="J9" s="75" t="s">
        <v>49</v>
      </c>
      <c r="K9" s="75" t="s">
        <v>57</v>
      </c>
      <c r="L9" s="20" t="s">
        <v>18</v>
      </c>
      <c r="M9" s="20" t="s">
        <v>3</v>
      </c>
      <c r="N9" s="20" t="s">
        <v>60</v>
      </c>
      <c r="O9" s="20" t="s">
        <v>19</v>
      </c>
      <c r="P9" s="20" t="s">
        <v>52</v>
      </c>
      <c r="Q9" s="9" t="s">
        <v>12</v>
      </c>
      <c r="R9" s="5"/>
    </row>
    <row r="10" spans="1:18" ht="15.75" x14ac:dyDescent="0.2">
      <c r="A10" s="76" t="s">
        <v>9</v>
      </c>
      <c r="B10" s="77" t="s">
        <v>24</v>
      </c>
      <c r="C10" s="77">
        <f>B73</f>
        <v>-7000</v>
      </c>
      <c r="D10" s="78">
        <f>B70</f>
        <v>3650</v>
      </c>
      <c r="E10" s="78">
        <f>B71</f>
        <v>2900</v>
      </c>
      <c r="F10" s="78">
        <f>B67</f>
        <v>5900</v>
      </c>
      <c r="G10" s="78">
        <f>B68</f>
        <v>2620</v>
      </c>
      <c r="H10" s="78">
        <f>B59</f>
        <v>1230</v>
      </c>
      <c r="I10" s="78">
        <f>B65</f>
        <v>1540</v>
      </c>
      <c r="J10" s="78">
        <f>B50</f>
        <v>4660</v>
      </c>
      <c r="K10" s="78">
        <f>B51</f>
        <v>3540</v>
      </c>
      <c r="L10" s="78">
        <f>B53</f>
        <v>640</v>
      </c>
      <c r="M10" s="78">
        <f>B52</f>
        <v>4410</v>
      </c>
      <c r="N10" s="78">
        <f>B66</f>
        <v>-1010</v>
      </c>
      <c r="O10" s="78">
        <f>B54</f>
        <v>2550</v>
      </c>
      <c r="P10" s="78">
        <f>B55</f>
        <v>3650</v>
      </c>
    </row>
    <row r="11" spans="1:18" ht="15.75" x14ac:dyDescent="0.2">
      <c r="A11" s="76" t="s">
        <v>11</v>
      </c>
      <c r="B11" s="77" t="s">
        <v>24</v>
      </c>
      <c r="C11" s="77">
        <f>C73</f>
        <v>4218</v>
      </c>
      <c r="D11" s="78">
        <f>C70</f>
        <v>8800</v>
      </c>
      <c r="E11" s="78">
        <f>C71</f>
        <v>9802</v>
      </c>
      <c r="F11" s="78">
        <f>C67</f>
        <v>8001</v>
      </c>
      <c r="G11" s="78">
        <f>C68</f>
        <v>4264</v>
      </c>
      <c r="H11" s="78">
        <f>C59</f>
        <v>1872</v>
      </c>
      <c r="I11" s="78">
        <f>C65</f>
        <v>7625</v>
      </c>
      <c r="J11" s="78">
        <f>C50</f>
        <v>9889</v>
      </c>
      <c r="K11" s="78">
        <f>C51</f>
        <v>5605</v>
      </c>
      <c r="L11" s="78">
        <f>C53</f>
        <v>4064</v>
      </c>
      <c r="M11" s="78">
        <f>C52</f>
        <v>6244</v>
      </c>
      <c r="N11" s="78">
        <f>C66</f>
        <v>7084</v>
      </c>
      <c r="O11" s="78">
        <f>C54</f>
        <v>3401</v>
      </c>
      <c r="P11" s="78">
        <f>C55</f>
        <v>5072</v>
      </c>
    </row>
    <row r="12" spans="1:18" ht="15.75" x14ac:dyDescent="0.2">
      <c r="A12" s="79" t="s">
        <v>10</v>
      </c>
      <c r="B12" s="77">
        <f>ROUND((B7*B6),1)</f>
        <v>167644.20000000001</v>
      </c>
      <c r="C12" s="77">
        <v>66385</v>
      </c>
      <c r="D12" s="80">
        <v>36921</v>
      </c>
      <c r="E12" s="80">
        <v>15486</v>
      </c>
      <c r="F12" s="80">
        <v>11797</v>
      </c>
      <c r="G12" s="80">
        <v>6023</v>
      </c>
      <c r="H12" s="80">
        <v>2999</v>
      </c>
      <c r="I12" s="80">
        <v>7978</v>
      </c>
      <c r="J12" s="80">
        <v>15610</v>
      </c>
      <c r="K12" s="80">
        <v>5865</v>
      </c>
      <c r="L12" s="80">
        <v>26224</v>
      </c>
      <c r="M12" s="80">
        <v>8132</v>
      </c>
      <c r="N12" s="80">
        <v>9829</v>
      </c>
      <c r="O12" s="80">
        <v>4027</v>
      </c>
      <c r="P12" s="80">
        <v>7500</v>
      </c>
    </row>
    <row r="13" spans="1:18" ht="15.75" x14ac:dyDescent="0.2">
      <c r="A13" s="76" t="s">
        <v>104</v>
      </c>
      <c r="B13" s="78">
        <f>H46</f>
        <v>12200.6</v>
      </c>
      <c r="C13" s="81">
        <f>H73</f>
        <v>0</v>
      </c>
      <c r="D13" s="81">
        <f>H70</f>
        <v>0</v>
      </c>
      <c r="E13" s="81">
        <f>H71</f>
        <v>0</v>
      </c>
      <c r="F13" s="81">
        <f>H67</f>
        <v>0</v>
      </c>
      <c r="G13" s="81">
        <f>H68</f>
        <v>0</v>
      </c>
      <c r="H13" s="81">
        <f>H59</f>
        <v>0</v>
      </c>
      <c r="I13" s="81">
        <f>H65</f>
        <v>0</v>
      </c>
      <c r="J13" s="81">
        <f>H50</f>
        <v>0</v>
      </c>
      <c r="K13" s="81">
        <f>H51</f>
        <v>0</v>
      </c>
      <c r="L13" s="78">
        <f>H53</f>
        <v>0</v>
      </c>
      <c r="M13" s="81">
        <f>H52</f>
        <v>0</v>
      </c>
      <c r="N13" s="81">
        <f>H66</f>
        <v>0</v>
      </c>
      <c r="O13" s="81">
        <f>H54</f>
        <v>0</v>
      </c>
      <c r="P13" s="78">
        <f>H55</f>
        <v>875.5</v>
      </c>
    </row>
    <row r="14" spans="1:18" ht="15.75" x14ac:dyDescent="0.2">
      <c r="A14" s="76" t="s">
        <v>44</v>
      </c>
      <c r="B14" s="78">
        <f>ROUND(B13*$B$6,1)</f>
        <v>13288.9</v>
      </c>
      <c r="C14" s="81">
        <f t="shared" ref="C14:I14" si="0">ROUND(C13*$B$6,1)</f>
        <v>0</v>
      </c>
      <c r="D14" s="81">
        <f t="shared" si="0"/>
        <v>0</v>
      </c>
      <c r="E14" s="81">
        <f t="shared" si="0"/>
        <v>0</v>
      </c>
      <c r="F14" s="81">
        <f t="shared" si="0"/>
        <v>0</v>
      </c>
      <c r="G14" s="81">
        <f t="shared" si="0"/>
        <v>0</v>
      </c>
      <c r="H14" s="81">
        <f t="shared" si="0"/>
        <v>0</v>
      </c>
      <c r="I14" s="81">
        <f t="shared" si="0"/>
        <v>0</v>
      </c>
      <c r="J14" s="81">
        <f>ROUND(J13*$B$6,1)</f>
        <v>0</v>
      </c>
      <c r="K14" s="81">
        <f>ROUND(K13*$B$6,1)</f>
        <v>0</v>
      </c>
      <c r="L14" s="78">
        <f>ROUND(L13*$B$6,1)</f>
        <v>0</v>
      </c>
      <c r="M14" s="81">
        <f>ROUND(M13*$B$6,1)</f>
        <v>0</v>
      </c>
      <c r="N14" s="81">
        <f>ROUND(N13*$B$6,1)</f>
        <v>0</v>
      </c>
      <c r="O14" s="81">
        <f t="shared" ref="O14" si="1">ROUND(O13*$B$6,1)</f>
        <v>0</v>
      </c>
      <c r="P14" s="78">
        <f>ROUND(P13*$B$6,1)</f>
        <v>953.6</v>
      </c>
    </row>
    <row r="15" spans="1:18" ht="15.75" x14ac:dyDescent="0.2">
      <c r="A15" s="82" t="s">
        <v>106</v>
      </c>
      <c r="B15" s="83">
        <f>B12-B14</f>
        <v>154355.30000000002</v>
      </c>
      <c r="C15" s="83">
        <f t="shared" ref="C15:N15" si="2">C12-C14</f>
        <v>66385</v>
      </c>
      <c r="D15" s="83">
        <f t="shared" si="2"/>
        <v>36921</v>
      </c>
      <c r="E15" s="83">
        <f t="shared" si="2"/>
        <v>15486</v>
      </c>
      <c r="F15" s="83">
        <f t="shared" si="2"/>
        <v>11797</v>
      </c>
      <c r="G15" s="83">
        <f t="shared" si="2"/>
        <v>6023</v>
      </c>
      <c r="H15" s="83">
        <f t="shared" si="2"/>
        <v>2999</v>
      </c>
      <c r="I15" s="83">
        <f t="shared" si="2"/>
        <v>7978</v>
      </c>
      <c r="J15" s="83">
        <f t="shared" si="2"/>
        <v>15610</v>
      </c>
      <c r="K15" s="83">
        <f t="shared" si="2"/>
        <v>5865</v>
      </c>
      <c r="L15" s="83">
        <f t="shared" si="2"/>
        <v>26224</v>
      </c>
      <c r="M15" s="83">
        <f t="shared" si="2"/>
        <v>8132</v>
      </c>
      <c r="N15" s="83">
        <f t="shared" si="2"/>
        <v>9829</v>
      </c>
      <c r="O15" s="83">
        <f t="shared" ref="O15" si="3">O12-O14</f>
        <v>4027</v>
      </c>
      <c r="P15" s="83">
        <f>P12-(P14*P42)</f>
        <v>7102.3487999999998</v>
      </c>
    </row>
    <row r="16" spans="1:18" ht="15.75" x14ac:dyDescent="0.2">
      <c r="A16" s="84" t="s">
        <v>71</v>
      </c>
      <c r="B16" s="85">
        <v>394.43</v>
      </c>
      <c r="C16" s="85">
        <v>394.55</v>
      </c>
      <c r="D16" s="85">
        <v>393.93</v>
      </c>
      <c r="E16" s="85">
        <v>401.04</v>
      </c>
      <c r="F16" s="85">
        <v>393.93</v>
      </c>
      <c r="G16" s="85">
        <v>393.93</v>
      </c>
      <c r="H16" s="85">
        <v>393.93</v>
      </c>
      <c r="I16" s="85">
        <v>401.04</v>
      </c>
      <c r="J16" s="85">
        <v>391.3</v>
      </c>
      <c r="K16" s="85">
        <v>391.3</v>
      </c>
      <c r="L16" s="85">
        <v>391.3</v>
      </c>
      <c r="M16" s="85">
        <v>401.04</v>
      </c>
      <c r="N16" s="85">
        <v>391.45</v>
      </c>
      <c r="O16" s="85">
        <v>391.3</v>
      </c>
      <c r="P16" s="85">
        <v>391.3</v>
      </c>
    </row>
    <row r="17" spans="1:18" ht="15.75" x14ac:dyDescent="0.2">
      <c r="A17" s="86" t="s">
        <v>45</v>
      </c>
      <c r="B17" s="87">
        <v>292.95</v>
      </c>
      <c r="C17" s="87">
        <v>252.4</v>
      </c>
      <c r="D17" s="87">
        <v>283.10000000000002</v>
      </c>
      <c r="E17" s="87">
        <v>202.43</v>
      </c>
      <c r="F17" s="87">
        <v>306.92</v>
      </c>
      <c r="G17" s="87">
        <v>306.92</v>
      </c>
      <c r="H17" s="87">
        <v>254.97</v>
      </c>
      <c r="I17" s="87">
        <v>226.53</v>
      </c>
      <c r="J17" s="87">
        <v>261.17</v>
      </c>
      <c r="K17" s="87">
        <v>261.17</v>
      </c>
      <c r="L17" s="87">
        <v>329.81</v>
      </c>
      <c r="M17" s="87">
        <v>178.33</v>
      </c>
      <c r="N17" s="87">
        <v>267.33</v>
      </c>
      <c r="O17" s="87">
        <v>273.14</v>
      </c>
      <c r="P17" s="87">
        <v>282.45999999999998</v>
      </c>
    </row>
    <row r="18" spans="1:18" ht="15.75" x14ac:dyDescent="0.2">
      <c r="A18" s="88" t="s">
        <v>110</v>
      </c>
      <c r="B18" s="89">
        <v>2432.8000000000002</v>
      </c>
      <c r="C18" s="89">
        <v>775.3</v>
      </c>
      <c r="D18" s="89">
        <v>416.9</v>
      </c>
      <c r="E18" s="89">
        <v>273</v>
      </c>
      <c r="F18" s="89">
        <v>127.9</v>
      </c>
      <c r="G18" s="89">
        <v>25.5</v>
      </c>
      <c r="H18" s="89">
        <v>11</v>
      </c>
      <c r="I18" s="89">
        <v>95</v>
      </c>
      <c r="J18" s="89">
        <v>47.2</v>
      </c>
      <c r="K18" s="89">
        <v>0.6</v>
      </c>
      <c r="L18" s="89">
        <v>830.3</v>
      </c>
      <c r="M18" s="89">
        <v>178</v>
      </c>
      <c r="N18" s="89">
        <v>49.1</v>
      </c>
      <c r="O18" s="89">
        <v>47.1</v>
      </c>
      <c r="P18" s="90">
        <v>84.4</v>
      </c>
    </row>
    <row r="19" spans="1:18" ht="16.5" thickBot="1" x14ac:dyDescent="0.25">
      <c r="A19" s="211" t="s">
        <v>46</v>
      </c>
      <c r="B19" s="211"/>
      <c r="C19" s="211"/>
      <c r="D19" s="211"/>
      <c r="E19" s="211"/>
      <c r="F19" s="211"/>
      <c r="G19" s="211"/>
      <c r="H19" s="211"/>
      <c r="I19" s="211"/>
      <c r="J19" s="211"/>
      <c r="K19" s="211"/>
      <c r="L19" s="211"/>
      <c r="M19" s="211"/>
      <c r="N19" s="211"/>
      <c r="O19" s="211"/>
      <c r="P19" s="211"/>
    </row>
    <row r="20" spans="1:18" ht="15.75" x14ac:dyDescent="0.2">
      <c r="A20" s="91" t="s">
        <v>25</v>
      </c>
      <c r="B20" s="92">
        <f>ROUND(MAX(B16,1.5*B17),2)</f>
        <v>439.43</v>
      </c>
      <c r="C20" s="92">
        <f t="shared" ref="C20:N20" si="4">ROUND(MAX(C16,1.5*C17),2)</f>
        <v>394.55</v>
      </c>
      <c r="D20" s="92">
        <f t="shared" si="4"/>
        <v>424.65</v>
      </c>
      <c r="E20" s="92">
        <f t="shared" si="4"/>
        <v>401.04</v>
      </c>
      <c r="F20" s="92">
        <f t="shared" si="4"/>
        <v>460.38</v>
      </c>
      <c r="G20" s="92">
        <f t="shared" si="4"/>
        <v>460.38</v>
      </c>
      <c r="H20" s="92">
        <f t="shared" si="4"/>
        <v>393.93</v>
      </c>
      <c r="I20" s="92">
        <f t="shared" si="4"/>
        <v>401.04</v>
      </c>
      <c r="J20" s="92">
        <f t="shared" si="4"/>
        <v>391.76</v>
      </c>
      <c r="K20" s="92">
        <f t="shared" si="4"/>
        <v>391.76</v>
      </c>
      <c r="L20" s="92">
        <f t="shared" si="4"/>
        <v>494.72</v>
      </c>
      <c r="M20" s="92">
        <f t="shared" si="4"/>
        <v>401.04</v>
      </c>
      <c r="N20" s="92">
        <f t="shared" si="4"/>
        <v>401</v>
      </c>
      <c r="O20" s="92">
        <f>ROUND(MAX(O16,1.5*O17),2)</f>
        <v>409.71</v>
      </c>
      <c r="P20" s="93">
        <f>ROUND(MAX(P16,1.5*P17),2)</f>
        <v>423.69</v>
      </c>
    </row>
    <row r="21" spans="1:18" ht="15.75" x14ac:dyDescent="0.2">
      <c r="A21" s="94" t="s">
        <v>26</v>
      </c>
      <c r="B21" s="95">
        <f>ROUND(B$17*0.75,2)</f>
        <v>219.71</v>
      </c>
      <c r="C21" s="95">
        <f t="shared" ref="C21:M21" si="5">ROUND(C$17*0.75,2)</f>
        <v>189.3</v>
      </c>
      <c r="D21" s="95">
        <f t="shared" si="5"/>
        <v>212.33</v>
      </c>
      <c r="E21" s="95">
        <f t="shared" si="5"/>
        <v>151.82</v>
      </c>
      <c r="F21" s="95">
        <f t="shared" si="5"/>
        <v>230.19</v>
      </c>
      <c r="G21" s="95">
        <f t="shared" si="5"/>
        <v>230.19</v>
      </c>
      <c r="H21" s="95">
        <f t="shared" si="5"/>
        <v>191.23</v>
      </c>
      <c r="I21" s="95">
        <f t="shared" si="5"/>
        <v>169.9</v>
      </c>
      <c r="J21" s="95">
        <f t="shared" si="5"/>
        <v>195.88</v>
      </c>
      <c r="K21" s="95">
        <f t="shared" si="5"/>
        <v>195.88</v>
      </c>
      <c r="L21" s="95">
        <f t="shared" si="5"/>
        <v>247.36</v>
      </c>
      <c r="M21" s="95">
        <f t="shared" si="5"/>
        <v>133.75</v>
      </c>
      <c r="N21" s="95">
        <f>ROUND(N$17*0.75,2)</f>
        <v>200.5</v>
      </c>
      <c r="O21" s="95">
        <f>ROUND(O$17*0.75,2)</f>
        <v>204.86</v>
      </c>
      <c r="P21" s="96">
        <f>ROUND(P$17*0.75,2)</f>
        <v>211.85</v>
      </c>
    </row>
    <row r="22" spans="1:18" ht="15.75" x14ac:dyDescent="0.2">
      <c r="A22" s="94" t="s">
        <v>27</v>
      </c>
      <c r="B22" s="95">
        <v>0</v>
      </c>
      <c r="C22" s="95">
        <v>0</v>
      </c>
      <c r="D22" s="95">
        <v>0</v>
      </c>
      <c r="E22" s="95">
        <v>0</v>
      </c>
      <c r="F22" s="95">
        <v>0</v>
      </c>
      <c r="G22" s="95">
        <v>0</v>
      </c>
      <c r="H22" s="95">
        <v>0</v>
      </c>
      <c r="I22" s="95">
        <v>0</v>
      </c>
      <c r="J22" s="95">
        <v>0</v>
      </c>
      <c r="K22" s="95">
        <v>0</v>
      </c>
      <c r="L22" s="95">
        <v>0</v>
      </c>
      <c r="M22" s="95">
        <v>0</v>
      </c>
      <c r="N22" s="95">
        <v>0</v>
      </c>
      <c r="O22" s="95">
        <v>0</v>
      </c>
      <c r="P22" s="96">
        <v>0</v>
      </c>
    </row>
    <row r="23" spans="1:18" ht="15.75" x14ac:dyDescent="0.2">
      <c r="A23" s="94" t="s">
        <v>28</v>
      </c>
      <c r="B23" s="97">
        <f>ROUND(B$15*(1+$B$4-0.2%)/(1+$B$4),1)+B$18</f>
        <v>156523.29999999999</v>
      </c>
      <c r="C23" s="97">
        <f t="shared" ref="C23:N23" si="6">ROUND(C$15*(1+$B$4-0.2%)/(1+$B$4),1)+C$18</f>
        <v>67046.400000000009</v>
      </c>
      <c r="D23" s="97">
        <f t="shared" si="6"/>
        <v>37274.6</v>
      </c>
      <c r="E23" s="97">
        <f t="shared" si="6"/>
        <v>15732.4</v>
      </c>
      <c r="F23" s="97">
        <f t="shared" si="6"/>
        <v>11904.699999999999</v>
      </c>
      <c r="G23" s="97">
        <f t="shared" si="6"/>
        <v>6038.2</v>
      </c>
      <c r="H23" s="97">
        <f t="shared" si="6"/>
        <v>3004.9</v>
      </c>
      <c r="I23" s="97">
        <f t="shared" si="6"/>
        <v>8059.3</v>
      </c>
      <c r="J23" s="97">
        <f t="shared" si="6"/>
        <v>15630.400000000001</v>
      </c>
      <c r="K23" s="97">
        <f t="shared" si="6"/>
        <v>5855.5</v>
      </c>
      <c r="L23" s="97">
        <f t="shared" si="6"/>
        <v>27009.3</v>
      </c>
      <c r="M23" s="97">
        <f t="shared" si="6"/>
        <v>8296.1</v>
      </c>
      <c r="N23" s="97">
        <f t="shared" si="6"/>
        <v>9861.2000000000007</v>
      </c>
      <c r="O23" s="97">
        <f>ROUND(O$15*(1+$B$4-0.2%)/(1+$B$4),1)+O$18</f>
        <v>4067.2</v>
      </c>
      <c r="P23" s="98">
        <f>ROUND(P$15*(1+$B$4-0.2%)/(1+$B$4),1)+P$18</f>
        <v>7174.5999999999995</v>
      </c>
      <c r="Q23" s="8" t="s">
        <v>12</v>
      </c>
      <c r="R23" s="5"/>
    </row>
    <row r="24" spans="1:18" ht="15.75" x14ac:dyDescent="0.2">
      <c r="A24" s="94" t="s">
        <v>29</v>
      </c>
      <c r="B24" s="97">
        <f t="shared" ref="B24:N24" si="7">ROUND(B$15*(1+$B$4+2.9%)/(1+$B$4),1)+B$18</f>
        <v>160627.09999999998</v>
      </c>
      <c r="C24" s="97">
        <f t="shared" si="7"/>
        <v>68811.400000000009</v>
      </c>
      <c r="D24" s="97">
        <f t="shared" si="7"/>
        <v>38256.200000000004</v>
      </c>
      <c r="E24" s="97">
        <f t="shared" si="7"/>
        <v>16144.2</v>
      </c>
      <c r="F24" s="97">
        <f t="shared" si="7"/>
        <v>12218.3</v>
      </c>
      <c r="G24" s="97">
        <f t="shared" si="7"/>
        <v>6198.3</v>
      </c>
      <c r="H24" s="97">
        <f t="shared" si="7"/>
        <v>3084.6</v>
      </c>
      <c r="I24" s="97">
        <f t="shared" si="7"/>
        <v>8271.4</v>
      </c>
      <c r="J24" s="97">
        <f t="shared" si="7"/>
        <v>16045.400000000001</v>
      </c>
      <c r="K24" s="97">
        <f t="shared" si="7"/>
        <v>6011.5</v>
      </c>
      <c r="L24" s="97">
        <f t="shared" si="7"/>
        <v>27706.5</v>
      </c>
      <c r="M24" s="97">
        <f t="shared" si="7"/>
        <v>8512.2999999999993</v>
      </c>
      <c r="N24" s="97">
        <f t="shared" si="7"/>
        <v>10122.6</v>
      </c>
      <c r="O24" s="97">
        <f>ROUND(O$15*(1+$B$4+2.9%)/(1+$B$4),1)+O$18</f>
        <v>4174.3</v>
      </c>
      <c r="P24" s="98">
        <f>ROUND(P$15*(1+$B$4+2.9%)/(1+$B$4),1)+P$18</f>
        <v>7363.4</v>
      </c>
      <c r="Q24" s="8" t="s">
        <v>12</v>
      </c>
      <c r="R24" s="5"/>
    </row>
    <row r="25" spans="1:18" ht="16.5" thickBot="1" x14ac:dyDescent="0.25">
      <c r="A25" s="99" t="s">
        <v>30</v>
      </c>
      <c r="B25" s="100">
        <f t="shared" ref="B25:N25" si="8">ROUND(B$15*(1+$B$4+8.8%)/(1+$B$4),1)+B$18</f>
        <v>168437.59999999998</v>
      </c>
      <c r="C25" s="100">
        <f t="shared" si="8"/>
        <v>72170.5</v>
      </c>
      <c r="D25" s="100">
        <f t="shared" si="8"/>
        <v>40124.400000000001</v>
      </c>
      <c r="E25" s="100">
        <f t="shared" si="8"/>
        <v>16927.8</v>
      </c>
      <c r="F25" s="100">
        <f t="shared" si="8"/>
        <v>12815.199999999999</v>
      </c>
      <c r="G25" s="100">
        <f t="shared" si="8"/>
        <v>6503.1</v>
      </c>
      <c r="H25" s="100">
        <f t="shared" si="8"/>
        <v>3236.3</v>
      </c>
      <c r="I25" s="100">
        <f t="shared" si="8"/>
        <v>8675.1</v>
      </c>
      <c r="J25" s="100">
        <f t="shared" si="8"/>
        <v>16835.3</v>
      </c>
      <c r="K25" s="100">
        <f t="shared" si="8"/>
        <v>6308.2000000000007</v>
      </c>
      <c r="L25" s="100">
        <f t="shared" si="8"/>
        <v>29033.5</v>
      </c>
      <c r="M25" s="100">
        <f t="shared" si="8"/>
        <v>8923.7000000000007</v>
      </c>
      <c r="N25" s="100">
        <f t="shared" si="8"/>
        <v>10619.9</v>
      </c>
      <c r="O25" s="100">
        <f>ROUND(O$15*(1+$B$4+8.8%)/(1+$B$4),1)+O$18</f>
        <v>4378</v>
      </c>
      <c r="P25" s="101">
        <f>ROUND(P$15*(1+$B$4+8.8%)/(1+$B$4),1)+P$18</f>
        <v>7722.7999999999993</v>
      </c>
      <c r="Q25" s="8" t="s">
        <v>12</v>
      </c>
      <c r="R25" s="5"/>
    </row>
    <row r="26" spans="1:18" ht="15.75" x14ac:dyDescent="0.2">
      <c r="A26" s="102" t="s">
        <v>73</v>
      </c>
      <c r="B26" s="103">
        <f>C26+J26+L26</f>
        <v>558</v>
      </c>
      <c r="C26" s="103">
        <f>D26+E26+N26</f>
        <v>558</v>
      </c>
      <c r="D26" s="103">
        <f>31+H26</f>
        <v>58</v>
      </c>
      <c r="E26" s="103">
        <f>I26+M26</f>
        <v>500</v>
      </c>
      <c r="F26" s="103">
        <v>0</v>
      </c>
      <c r="G26" s="103">
        <v>0</v>
      </c>
      <c r="H26" s="103">
        <v>27</v>
      </c>
      <c r="I26" s="103">
        <v>170</v>
      </c>
      <c r="J26" s="103">
        <v>0</v>
      </c>
      <c r="K26" s="103">
        <v>0</v>
      </c>
      <c r="L26" s="103">
        <v>0</v>
      </c>
      <c r="M26" s="103">
        <v>330</v>
      </c>
      <c r="N26" s="103">
        <v>0</v>
      </c>
      <c r="O26" s="103">
        <v>0</v>
      </c>
      <c r="P26" s="103">
        <v>0</v>
      </c>
    </row>
    <row r="27" spans="1:18" ht="16.5" thickBot="1" x14ac:dyDescent="0.25">
      <c r="A27" s="212" t="s">
        <v>95</v>
      </c>
      <c r="B27" s="212"/>
      <c r="C27" s="212"/>
      <c r="D27" s="212"/>
      <c r="E27" s="212"/>
      <c r="F27" s="212"/>
      <c r="G27" s="212"/>
      <c r="H27" s="212"/>
      <c r="I27" s="212"/>
      <c r="J27" s="212"/>
      <c r="K27" s="212"/>
      <c r="L27" s="212"/>
      <c r="M27" s="212"/>
      <c r="N27" s="212"/>
      <c r="O27" s="212"/>
      <c r="P27" s="212"/>
    </row>
    <row r="28" spans="1:18" ht="15.75" x14ac:dyDescent="0.2">
      <c r="A28" s="104" t="s">
        <v>89</v>
      </c>
      <c r="B28" s="105">
        <f>B20</f>
        <v>439.43</v>
      </c>
      <c r="C28" s="105">
        <f t="shared" ref="C28:M28" si="9">C20</f>
        <v>394.55</v>
      </c>
      <c r="D28" s="105">
        <f t="shared" si="9"/>
        <v>424.65</v>
      </c>
      <c r="E28" s="105">
        <f t="shared" si="9"/>
        <v>401.04</v>
      </c>
      <c r="F28" s="105" t="s">
        <v>12</v>
      </c>
      <c r="G28" s="105" t="s">
        <v>12</v>
      </c>
      <c r="H28" s="105">
        <f t="shared" si="9"/>
        <v>393.93</v>
      </c>
      <c r="I28" s="105">
        <f t="shared" si="9"/>
        <v>401.04</v>
      </c>
      <c r="J28" s="105" t="s">
        <v>12</v>
      </c>
      <c r="K28" s="105" t="s">
        <v>12</v>
      </c>
      <c r="L28" s="105" t="s">
        <v>12</v>
      </c>
      <c r="M28" s="105">
        <f t="shared" si="9"/>
        <v>401.04</v>
      </c>
      <c r="N28" s="105" t="s">
        <v>12</v>
      </c>
      <c r="O28" s="105" t="s">
        <v>12</v>
      </c>
      <c r="P28" s="106" t="s">
        <v>12</v>
      </c>
    </row>
    <row r="29" spans="1:18" ht="15.75" x14ac:dyDescent="0.2">
      <c r="A29" s="107" t="s">
        <v>88</v>
      </c>
      <c r="B29" s="108">
        <f>B21</f>
        <v>219.71</v>
      </c>
      <c r="C29" s="108">
        <f t="shared" ref="C29:M29" si="10">C21</f>
        <v>189.3</v>
      </c>
      <c r="D29" s="108">
        <f t="shared" si="10"/>
        <v>212.33</v>
      </c>
      <c r="E29" s="108">
        <f t="shared" si="10"/>
        <v>151.82</v>
      </c>
      <c r="F29" s="108" t="s">
        <v>12</v>
      </c>
      <c r="G29" s="108" t="s">
        <v>12</v>
      </c>
      <c r="H29" s="108">
        <f t="shared" si="10"/>
        <v>191.23</v>
      </c>
      <c r="I29" s="108">
        <f t="shared" si="10"/>
        <v>169.9</v>
      </c>
      <c r="J29" s="108" t="s">
        <v>12</v>
      </c>
      <c r="K29" s="108" t="s">
        <v>12</v>
      </c>
      <c r="L29" s="108" t="s">
        <v>12</v>
      </c>
      <c r="M29" s="108">
        <f t="shared" si="10"/>
        <v>133.75</v>
      </c>
      <c r="N29" s="108" t="s">
        <v>12</v>
      </c>
      <c r="O29" s="108" t="s">
        <v>12</v>
      </c>
      <c r="P29" s="109" t="s">
        <v>12</v>
      </c>
    </row>
    <row r="30" spans="1:18" ht="15.75" x14ac:dyDescent="0.2">
      <c r="A30" s="107" t="s">
        <v>91</v>
      </c>
      <c r="B30" s="108">
        <v>0.01</v>
      </c>
      <c r="C30" s="108">
        <v>0.01</v>
      </c>
      <c r="D30" s="108">
        <v>0.01</v>
      </c>
      <c r="E30" s="108">
        <v>0.01</v>
      </c>
      <c r="F30" s="108" t="s">
        <v>12</v>
      </c>
      <c r="G30" s="108" t="s">
        <v>12</v>
      </c>
      <c r="H30" s="108">
        <v>0.01</v>
      </c>
      <c r="I30" s="108">
        <v>0.01</v>
      </c>
      <c r="J30" s="108" t="s">
        <v>12</v>
      </c>
      <c r="K30" s="108" t="s">
        <v>12</v>
      </c>
      <c r="L30" s="108" t="s">
        <v>12</v>
      </c>
      <c r="M30" s="108">
        <v>0.01</v>
      </c>
      <c r="N30" s="108" t="s">
        <v>12</v>
      </c>
      <c r="O30" s="108" t="s">
        <v>12</v>
      </c>
      <c r="P30" s="109" t="s">
        <v>12</v>
      </c>
    </row>
    <row r="31" spans="1:18" ht="15.75" x14ac:dyDescent="0.2">
      <c r="A31" s="107" t="s">
        <v>92</v>
      </c>
      <c r="B31" s="108">
        <v>0.01</v>
      </c>
      <c r="C31" s="108">
        <v>0.01</v>
      </c>
      <c r="D31" s="108">
        <v>0.01</v>
      </c>
      <c r="E31" s="108">
        <v>0.01</v>
      </c>
      <c r="F31" s="108" t="s">
        <v>12</v>
      </c>
      <c r="G31" s="108" t="s">
        <v>12</v>
      </c>
      <c r="H31" s="108">
        <v>0.01</v>
      </c>
      <c r="I31" s="108">
        <v>0.01</v>
      </c>
      <c r="J31" s="108" t="s">
        <v>12</v>
      </c>
      <c r="K31" s="108" t="s">
        <v>12</v>
      </c>
      <c r="L31" s="108" t="s">
        <v>12</v>
      </c>
      <c r="M31" s="108">
        <v>0.01</v>
      </c>
      <c r="N31" s="108" t="s">
        <v>12</v>
      </c>
      <c r="O31" s="108" t="s">
        <v>12</v>
      </c>
      <c r="P31" s="109" t="s">
        <v>12</v>
      </c>
    </row>
    <row r="32" spans="1:18" ht="16.5" thickBot="1" x14ac:dyDescent="0.25">
      <c r="A32" s="110" t="s">
        <v>27</v>
      </c>
      <c r="B32" s="111">
        <f>B22</f>
        <v>0</v>
      </c>
      <c r="C32" s="111">
        <f t="shared" ref="C32:M32" si="11">C22</f>
        <v>0</v>
      </c>
      <c r="D32" s="111">
        <f t="shared" si="11"/>
        <v>0</v>
      </c>
      <c r="E32" s="111">
        <f t="shared" si="11"/>
        <v>0</v>
      </c>
      <c r="F32" s="111" t="s">
        <v>12</v>
      </c>
      <c r="G32" s="111" t="s">
        <v>12</v>
      </c>
      <c r="H32" s="111">
        <f t="shared" si="11"/>
        <v>0</v>
      </c>
      <c r="I32" s="111">
        <f t="shared" si="11"/>
        <v>0</v>
      </c>
      <c r="J32" s="111" t="s">
        <v>12</v>
      </c>
      <c r="K32" s="111" t="s">
        <v>12</v>
      </c>
      <c r="L32" s="111" t="s">
        <v>12</v>
      </c>
      <c r="M32" s="111">
        <f t="shared" si="11"/>
        <v>0</v>
      </c>
      <c r="N32" s="111" t="s">
        <v>12</v>
      </c>
      <c r="O32" s="111" t="s">
        <v>12</v>
      </c>
      <c r="P32" s="112" t="s">
        <v>12</v>
      </c>
    </row>
    <row r="33" spans="1:17" ht="15.75" x14ac:dyDescent="0.2">
      <c r="A33" s="113" t="s">
        <v>90</v>
      </c>
      <c r="B33" s="114">
        <f>ROUND(B23-B$26*$B$6,1)</f>
        <v>155915.5</v>
      </c>
      <c r="C33" s="114">
        <f t="shared" ref="C33:M33" si="12">ROUND(C23-C$26*$B$6,1)</f>
        <v>66438.600000000006</v>
      </c>
      <c r="D33" s="114">
        <f t="shared" si="12"/>
        <v>37211.4</v>
      </c>
      <c r="E33" s="114">
        <f t="shared" si="12"/>
        <v>15187.8</v>
      </c>
      <c r="F33" s="114" t="s">
        <v>12</v>
      </c>
      <c r="G33" s="114" t="s">
        <v>12</v>
      </c>
      <c r="H33" s="114">
        <f t="shared" si="12"/>
        <v>2975.5</v>
      </c>
      <c r="I33" s="114">
        <f t="shared" si="12"/>
        <v>7874.1</v>
      </c>
      <c r="J33" s="114" t="s">
        <v>12</v>
      </c>
      <c r="K33" s="114" t="s">
        <v>12</v>
      </c>
      <c r="L33" s="114" t="s">
        <v>12</v>
      </c>
      <c r="M33" s="114">
        <f t="shared" si="12"/>
        <v>7936.7</v>
      </c>
      <c r="N33" s="114" t="s">
        <v>12</v>
      </c>
      <c r="O33" s="114" t="s">
        <v>12</v>
      </c>
      <c r="P33" s="114" t="s">
        <v>12</v>
      </c>
    </row>
    <row r="34" spans="1:17" ht="15.75" x14ac:dyDescent="0.2">
      <c r="A34" s="115" t="s">
        <v>87</v>
      </c>
      <c r="B34" s="116">
        <f>ROUND(B24-B$26*$B$6,1)</f>
        <v>160019.29999999999</v>
      </c>
      <c r="C34" s="116">
        <f t="shared" ref="C34:M34" si="13">ROUND(C24-C$26*$B$6,1)</f>
        <v>68203.600000000006</v>
      </c>
      <c r="D34" s="116">
        <f t="shared" si="13"/>
        <v>38193</v>
      </c>
      <c r="E34" s="116">
        <f t="shared" si="13"/>
        <v>15599.6</v>
      </c>
      <c r="F34" s="116" t="s">
        <v>12</v>
      </c>
      <c r="G34" s="116" t="s">
        <v>12</v>
      </c>
      <c r="H34" s="116">
        <f t="shared" si="13"/>
        <v>3055.2</v>
      </c>
      <c r="I34" s="116">
        <f t="shared" si="13"/>
        <v>8086.2</v>
      </c>
      <c r="J34" s="116" t="s">
        <v>12</v>
      </c>
      <c r="K34" s="116" t="s">
        <v>12</v>
      </c>
      <c r="L34" s="116" t="s">
        <v>12</v>
      </c>
      <c r="M34" s="116">
        <f t="shared" si="13"/>
        <v>8152.9</v>
      </c>
      <c r="N34" s="116" t="s">
        <v>12</v>
      </c>
      <c r="O34" s="116" t="s">
        <v>12</v>
      </c>
      <c r="P34" s="116" t="s">
        <v>12</v>
      </c>
    </row>
    <row r="35" spans="1:17" ht="15.75" x14ac:dyDescent="0.2">
      <c r="A35" s="115" t="s">
        <v>93</v>
      </c>
      <c r="B35" s="116">
        <f>ROUND(B36-B$26*$B$6,1)</f>
        <v>167829.4</v>
      </c>
      <c r="C35" s="116">
        <f t="shared" ref="C35:M35" si="14">ROUND(C36-C$26*$B$6,1)</f>
        <v>71562.5</v>
      </c>
      <c r="D35" s="116">
        <f t="shared" si="14"/>
        <v>40061.1</v>
      </c>
      <c r="E35" s="116">
        <f t="shared" si="14"/>
        <v>16383.1</v>
      </c>
      <c r="F35" s="116" t="s">
        <v>12</v>
      </c>
      <c r="G35" s="116" t="s">
        <v>12</v>
      </c>
      <c r="H35" s="116">
        <f t="shared" si="14"/>
        <v>3206.9</v>
      </c>
      <c r="I35" s="116">
        <f t="shared" si="14"/>
        <v>8489.9</v>
      </c>
      <c r="J35" s="116" t="s">
        <v>12</v>
      </c>
      <c r="K35" s="116" t="s">
        <v>12</v>
      </c>
      <c r="L35" s="116" t="s">
        <v>12</v>
      </c>
      <c r="M35" s="116">
        <f t="shared" si="14"/>
        <v>8564.2999999999993</v>
      </c>
      <c r="N35" s="116" t="s">
        <v>12</v>
      </c>
      <c r="O35" s="116" t="s">
        <v>12</v>
      </c>
      <c r="P35" s="116" t="s">
        <v>12</v>
      </c>
    </row>
    <row r="36" spans="1:17" ht="15.75" x14ac:dyDescent="0.2">
      <c r="A36" s="115" t="s">
        <v>94</v>
      </c>
      <c r="B36" s="116">
        <f>ROUND(B25-B31*(B25-B24)/B21,1)</f>
        <v>168437.2</v>
      </c>
      <c r="C36" s="116">
        <f t="shared" ref="C36:M36" si="15">ROUND(C25-C31*(C25-C24)/C21,1)</f>
        <v>72170.3</v>
      </c>
      <c r="D36" s="116">
        <f t="shared" si="15"/>
        <v>40124.300000000003</v>
      </c>
      <c r="E36" s="116">
        <f t="shared" si="15"/>
        <v>16927.7</v>
      </c>
      <c r="F36" s="116" t="s">
        <v>12</v>
      </c>
      <c r="G36" s="116" t="s">
        <v>12</v>
      </c>
      <c r="H36" s="116">
        <f t="shared" si="15"/>
        <v>3236.3</v>
      </c>
      <c r="I36" s="116">
        <f t="shared" si="15"/>
        <v>8675.1</v>
      </c>
      <c r="J36" s="116" t="s">
        <v>12</v>
      </c>
      <c r="K36" s="116" t="s">
        <v>12</v>
      </c>
      <c r="L36" s="116" t="s">
        <v>12</v>
      </c>
      <c r="M36" s="116">
        <f t="shared" si="15"/>
        <v>8923.7000000000007</v>
      </c>
      <c r="N36" s="116" t="s">
        <v>12</v>
      </c>
      <c r="O36" s="116" t="s">
        <v>12</v>
      </c>
      <c r="P36" s="116" t="s">
        <v>12</v>
      </c>
    </row>
    <row r="37" spans="1:17" ht="16.5" thickBot="1" x14ac:dyDescent="0.25">
      <c r="A37" s="117" t="s">
        <v>30</v>
      </c>
      <c r="B37" s="118">
        <f>B25</f>
        <v>168437.59999999998</v>
      </c>
      <c r="C37" s="118">
        <f t="shared" ref="C37:M37" si="16">C25</f>
        <v>72170.5</v>
      </c>
      <c r="D37" s="118">
        <f t="shared" si="16"/>
        <v>40124.400000000001</v>
      </c>
      <c r="E37" s="118">
        <f t="shared" si="16"/>
        <v>16927.8</v>
      </c>
      <c r="F37" s="118" t="s">
        <v>12</v>
      </c>
      <c r="G37" s="118" t="s">
        <v>12</v>
      </c>
      <c r="H37" s="118">
        <f t="shared" si="16"/>
        <v>3236.3</v>
      </c>
      <c r="I37" s="118">
        <f t="shared" si="16"/>
        <v>8675.1</v>
      </c>
      <c r="J37" s="118" t="s">
        <v>12</v>
      </c>
      <c r="K37" s="118" t="s">
        <v>12</v>
      </c>
      <c r="L37" s="118" t="s">
        <v>12</v>
      </c>
      <c r="M37" s="118">
        <f t="shared" si="16"/>
        <v>8923.7000000000007</v>
      </c>
      <c r="N37" s="118" t="s">
        <v>12</v>
      </c>
      <c r="O37" s="118" t="s">
        <v>12</v>
      </c>
      <c r="P37" s="118" t="s">
        <v>12</v>
      </c>
    </row>
    <row r="38" spans="1:17" ht="15.75" x14ac:dyDescent="0.2">
      <c r="A38" s="102" t="s">
        <v>96</v>
      </c>
      <c r="B38" s="119">
        <f>ROUND(MAX(B$17*0.5, 20)*365,2)</f>
        <v>53463.38</v>
      </c>
      <c r="C38" s="119">
        <f t="shared" ref="C38:M38" si="17">ROUND(MAX(C$17*0.5, 20)*365,2)</f>
        <v>46063</v>
      </c>
      <c r="D38" s="119">
        <f t="shared" si="17"/>
        <v>51665.75</v>
      </c>
      <c r="E38" s="119">
        <f t="shared" si="17"/>
        <v>36943.480000000003</v>
      </c>
      <c r="F38" s="119">
        <f t="shared" si="17"/>
        <v>56012.9</v>
      </c>
      <c r="G38" s="119">
        <f t="shared" si="17"/>
        <v>56012.9</v>
      </c>
      <c r="H38" s="119">
        <f t="shared" si="17"/>
        <v>46532.03</v>
      </c>
      <c r="I38" s="119">
        <f t="shared" si="17"/>
        <v>41341.730000000003</v>
      </c>
      <c r="J38" s="119">
        <f t="shared" si="17"/>
        <v>47663.53</v>
      </c>
      <c r="K38" s="119">
        <f t="shared" si="17"/>
        <v>47663.53</v>
      </c>
      <c r="L38" s="119">
        <f t="shared" si="17"/>
        <v>60190.33</v>
      </c>
      <c r="M38" s="119">
        <f t="shared" si="17"/>
        <v>32545.23</v>
      </c>
      <c r="N38" s="119">
        <f>ROUND(MAX(N$17*0.5, 20)*365,2)</f>
        <v>48787.73</v>
      </c>
      <c r="O38" s="119">
        <f>ROUND(MAX(O$17*0.5, 20)*365,2)</f>
        <v>49848.05</v>
      </c>
      <c r="P38" s="119">
        <f>ROUND(MAX(P$17*0.5, 20)*365,2)</f>
        <v>51548.95</v>
      </c>
    </row>
    <row r="39" spans="1:17" ht="15.75" x14ac:dyDescent="0.2">
      <c r="A39" s="102" t="s">
        <v>112</v>
      </c>
      <c r="B39" s="119">
        <v>53463.375</v>
      </c>
      <c r="C39" s="119">
        <v>46063</v>
      </c>
      <c r="D39" s="119">
        <v>51665.750000000007</v>
      </c>
      <c r="E39" s="119">
        <v>36943.474999999999</v>
      </c>
      <c r="F39" s="119">
        <v>56012.9</v>
      </c>
      <c r="G39" s="119">
        <v>56012.9</v>
      </c>
      <c r="H39" s="119">
        <v>46532.025000000001</v>
      </c>
      <c r="I39" s="119">
        <v>41341.724999999999</v>
      </c>
      <c r="J39" s="119">
        <v>47663.525000000001</v>
      </c>
      <c r="K39" s="119">
        <v>47663.525000000001</v>
      </c>
      <c r="L39" s="119">
        <v>60190.324999999997</v>
      </c>
      <c r="M39" s="119">
        <v>32545.225000000002</v>
      </c>
      <c r="N39" s="119">
        <v>48787.724999999999</v>
      </c>
      <c r="O39" s="119">
        <v>49848.049999999996</v>
      </c>
      <c r="P39" s="119">
        <v>51548.95</v>
      </c>
    </row>
    <row r="40" spans="1:17" ht="15.75" x14ac:dyDescent="0.2">
      <c r="A40" s="76" t="s">
        <v>48</v>
      </c>
      <c r="B40" s="120" t="s">
        <v>24</v>
      </c>
      <c r="C40" s="89">
        <v>1557</v>
      </c>
      <c r="D40" s="89">
        <v>40</v>
      </c>
      <c r="E40" s="89" t="s">
        <v>24</v>
      </c>
      <c r="F40" s="89">
        <v>41</v>
      </c>
      <c r="G40" s="89">
        <v>21</v>
      </c>
      <c r="H40" s="89">
        <v>72</v>
      </c>
      <c r="I40" s="89" t="s">
        <v>24</v>
      </c>
      <c r="J40" s="89" t="s">
        <v>24</v>
      </c>
      <c r="K40" s="89" t="s">
        <v>24</v>
      </c>
      <c r="L40" s="89" t="s">
        <v>24</v>
      </c>
      <c r="M40" s="89">
        <v>65.7</v>
      </c>
      <c r="N40" s="89" t="s">
        <v>24</v>
      </c>
      <c r="O40" s="89" t="s">
        <v>24</v>
      </c>
      <c r="P40" s="89">
        <v>155</v>
      </c>
      <c r="Q40" s="10" t="s">
        <v>12</v>
      </c>
    </row>
    <row r="41" spans="1:17" ht="15.75" x14ac:dyDescent="0.2">
      <c r="A41" s="213" t="s">
        <v>61</v>
      </c>
      <c r="B41" s="213"/>
      <c r="C41" s="213"/>
      <c r="D41" s="213"/>
      <c r="E41" s="213"/>
      <c r="F41" s="213"/>
      <c r="G41" s="213"/>
      <c r="H41" s="213"/>
      <c r="I41" s="213"/>
      <c r="J41" s="213"/>
      <c r="K41" s="213"/>
      <c r="L41" s="213"/>
      <c r="M41" s="213"/>
      <c r="N41" s="213"/>
      <c r="O41" s="213"/>
      <c r="P41" s="213"/>
    </row>
    <row r="42" spans="1:17" ht="15.75" x14ac:dyDescent="0.2">
      <c r="A42" s="76" t="s">
        <v>100</v>
      </c>
      <c r="B42" s="120" t="s">
        <v>24</v>
      </c>
      <c r="C42" s="121">
        <f>MIN((C12-C11)/(F73*$B$6),1)</f>
        <v>1</v>
      </c>
      <c r="D42" s="121">
        <f>ROUND((D12-D11)/(F70*$B$6),3)</f>
        <v>0.85</v>
      </c>
      <c r="E42" s="121">
        <f>ROUND((E12-E11)/(F71*$B$6),3)</f>
        <v>0.40600000000000003</v>
      </c>
      <c r="F42" s="121">
        <f>ROUND((F12-F11)/(F67*$B$6),3)</f>
        <v>0.36099999999999999</v>
      </c>
      <c r="G42" s="120" t="s">
        <v>24</v>
      </c>
      <c r="H42" s="120" t="s">
        <v>24</v>
      </c>
      <c r="I42" s="120" t="s">
        <v>24</v>
      </c>
      <c r="J42" s="120" t="s">
        <v>24</v>
      </c>
      <c r="K42" s="120" t="s">
        <v>24</v>
      </c>
      <c r="L42" s="121">
        <f>ROUND((L12-L11)/(F53*$B$6),3)</f>
        <v>0.94199999999999995</v>
      </c>
      <c r="M42" s="121">
        <f>ROUND((M12-M11)/(F52*$B$6),3)</f>
        <v>0.26400000000000001</v>
      </c>
      <c r="N42" s="120" t="s">
        <v>24</v>
      </c>
      <c r="O42" s="120" t="s">
        <v>24</v>
      </c>
      <c r="P42" s="121">
        <f>ROUND((P12-P11)/(F55*$B$6),3)</f>
        <v>0.41699999999999998</v>
      </c>
    </row>
    <row r="43" spans="1:17" ht="15.75" x14ac:dyDescent="0.2">
      <c r="A43" s="122" t="s">
        <v>12</v>
      </c>
      <c r="B43" s="123"/>
      <c r="C43" s="123"/>
      <c r="D43" s="123"/>
      <c r="E43" s="123"/>
      <c r="F43" s="123"/>
      <c r="G43" s="124"/>
      <c r="H43" s="124"/>
      <c r="I43" s="124"/>
      <c r="J43" s="124"/>
      <c r="K43" s="124"/>
      <c r="L43" s="124"/>
      <c r="M43" s="124"/>
      <c r="N43" s="124"/>
      <c r="O43" s="64"/>
      <c r="P43" s="64"/>
    </row>
    <row r="44" spans="1:17" ht="15.75" x14ac:dyDescent="0.2">
      <c r="A44" s="215" t="s">
        <v>64</v>
      </c>
      <c r="B44" s="215"/>
      <c r="C44" s="215"/>
      <c r="D44" s="215"/>
      <c r="E44" s="215"/>
      <c r="F44" s="215"/>
      <c r="G44" s="215"/>
      <c r="H44" s="215"/>
      <c r="I44" s="215"/>
      <c r="J44" s="125"/>
      <c r="K44" s="64" t="s">
        <v>12</v>
      </c>
      <c r="L44" s="64"/>
      <c r="M44" s="126" t="s">
        <v>12</v>
      </c>
      <c r="N44" s="64"/>
      <c r="O44" s="64"/>
      <c r="P44" s="64"/>
      <c r="Q44" s="7" t="s">
        <v>12</v>
      </c>
    </row>
    <row r="45" spans="1:17" s="3" customFormat="1" ht="63" x14ac:dyDescent="0.2">
      <c r="A45" s="127" t="s">
        <v>39</v>
      </c>
      <c r="B45" s="128" t="s">
        <v>9</v>
      </c>
      <c r="C45" s="128" t="s">
        <v>11</v>
      </c>
      <c r="D45" s="128" t="s">
        <v>59</v>
      </c>
      <c r="E45" s="128" t="s">
        <v>72</v>
      </c>
      <c r="F45" s="128" t="s">
        <v>31</v>
      </c>
      <c r="G45" s="128" t="s">
        <v>32</v>
      </c>
      <c r="H45" s="128" t="s">
        <v>50</v>
      </c>
      <c r="I45" s="128" t="s">
        <v>65</v>
      </c>
      <c r="J45" s="129"/>
      <c r="K45" s="130" t="s">
        <v>12</v>
      </c>
      <c r="L45" s="131"/>
      <c r="M45" s="132" t="s">
        <v>12</v>
      </c>
      <c r="N45" s="131"/>
      <c r="O45" s="131"/>
      <c r="P45" s="131"/>
    </row>
    <row r="46" spans="1:17" s="3" customFormat="1" ht="15.75" x14ac:dyDescent="0.2">
      <c r="A46" s="133" t="s">
        <v>13</v>
      </c>
      <c r="B46" s="133" t="s">
        <v>24</v>
      </c>
      <c r="C46" s="77" t="s">
        <v>24</v>
      </c>
      <c r="D46" s="134" t="s">
        <v>24</v>
      </c>
      <c r="E46" s="83">
        <f>E47+E48+E49+E50+E52+E53+E54+E55+E56+E57+E58+E60+E61+E62+E63+E64+E65+E66+E67+E69</f>
        <v>150313.4</v>
      </c>
      <c r="F46" s="83">
        <f>F47+F48+F49+F50+F52+F53+F54+F55+F56+F57+F58+F60+F61+F62+F63+F64+F65+F66+F67+F69</f>
        <v>153915</v>
      </c>
      <c r="G46" s="90" t="s">
        <v>24</v>
      </c>
      <c r="H46" s="83">
        <f>H47+H48+H49+H50+H52+H53+H54+H55+H56+H57+H58+H60+H61+H62+H63+H64+H65+H66+H67+H69</f>
        <v>12200.6</v>
      </c>
      <c r="I46" s="83">
        <f>I47+I48+I49+I50+I52+I53+I54+I55+I56+I57+I58+I60+I61+I62+I63+I64+I65+I66+I67+I69</f>
        <v>141714.40000000002</v>
      </c>
      <c r="J46" s="135"/>
      <c r="K46" s="131"/>
      <c r="L46" s="131"/>
      <c r="M46" s="136" t="s">
        <v>12</v>
      </c>
      <c r="N46" s="131"/>
      <c r="O46" s="131"/>
      <c r="P46" s="131"/>
    </row>
    <row r="47" spans="1:17" s="2" customFormat="1" ht="15.75" x14ac:dyDescent="0.25">
      <c r="A47" s="137" t="s">
        <v>2</v>
      </c>
      <c r="B47" s="138">
        <v>1140</v>
      </c>
      <c r="C47" s="138" t="s">
        <v>78</v>
      </c>
      <c r="D47" s="139" t="s">
        <v>47</v>
      </c>
      <c r="E47" s="80">
        <v>2460</v>
      </c>
      <c r="F47" s="80">
        <v>2368</v>
      </c>
      <c r="G47" s="140">
        <f>F47/E47</f>
        <v>0.9626016260162602</v>
      </c>
      <c r="H47" s="77">
        <v>0</v>
      </c>
      <c r="I47" s="80">
        <f t="shared" ref="I47:I69" si="18">F47-H47</f>
        <v>2368</v>
      </c>
      <c r="J47" s="141"/>
      <c r="K47" s="142" t="s">
        <v>12</v>
      </c>
      <c r="L47" s="143"/>
      <c r="M47" s="141" t="s">
        <v>12</v>
      </c>
      <c r="N47" s="143"/>
      <c r="O47" s="143"/>
      <c r="P47" s="143"/>
    </row>
    <row r="48" spans="1:17" s="2" customFormat="1" ht="15.75" x14ac:dyDescent="0.25">
      <c r="A48" s="144" t="s">
        <v>51</v>
      </c>
      <c r="B48" s="138">
        <v>-170</v>
      </c>
      <c r="C48" s="138" t="s">
        <v>58</v>
      </c>
      <c r="D48" s="139" t="s">
        <v>58</v>
      </c>
      <c r="E48" s="139">
        <v>22320</v>
      </c>
      <c r="F48" s="139">
        <v>22313</v>
      </c>
      <c r="G48" s="140">
        <f t="shared" ref="G48:G58" si="19">F48/E48</f>
        <v>0.99968637992831544</v>
      </c>
      <c r="H48" s="77">
        <v>11305.7</v>
      </c>
      <c r="I48" s="80">
        <f t="shared" si="18"/>
        <v>11007.3</v>
      </c>
      <c r="J48" s="141"/>
      <c r="K48" s="142" t="s">
        <v>12</v>
      </c>
      <c r="L48" s="143"/>
      <c r="M48" s="141" t="s">
        <v>12</v>
      </c>
      <c r="N48" s="143"/>
      <c r="O48" s="143"/>
      <c r="P48" s="143"/>
    </row>
    <row r="49" spans="1:16" s="2" customFormat="1" ht="15.75" x14ac:dyDescent="0.25">
      <c r="A49" s="144" t="s">
        <v>0</v>
      </c>
      <c r="B49" s="138">
        <v>2020</v>
      </c>
      <c r="C49" s="138" t="s">
        <v>79</v>
      </c>
      <c r="D49" s="139" t="s">
        <v>47</v>
      </c>
      <c r="E49" s="139">
        <v>8440</v>
      </c>
      <c r="F49" s="139">
        <v>8617</v>
      </c>
      <c r="G49" s="140">
        <f t="shared" si="19"/>
        <v>1.0209715639810426</v>
      </c>
      <c r="H49" s="77">
        <v>0</v>
      </c>
      <c r="I49" s="80">
        <f t="shared" si="18"/>
        <v>8617</v>
      </c>
      <c r="J49" s="141"/>
      <c r="K49" s="145" t="s">
        <v>12</v>
      </c>
      <c r="L49" s="146"/>
      <c r="M49" s="141" t="s">
        <v>12</v>
      </c>
      <c r="N49" s="143"/>
      <c r="O49" s="143"/>
      <c r="P49" s="143"/>
    </row>
    <row r="50" spans="1:16" s="2" customFormat="1" ht="15.75" x14ac:dyDescent="0.25">
      <c r="A50" s="144" t="s">
        <v>49</v>
      </c>
      <c r="B50" s="138">
        <v>4660</v>
      </c>
      <c r="C50" s="147">
        <v>9889</v>
      </c>
      <c r="D50" s="148">
        <f t="shared" ref="D50:D55" si="20">C50/B50</f>
        <v>2.1221030042918456</v>
      </c>
      <c r="E50" s="139">
        <v>12660</v>
      </c>
      <c r="F50" s="139">
        <v>12508</v>
      </c>
      <c r="G50" s="140">
        <f t="shared" si="19"/>
        <v>0.9879936808846761</v>
      </c>
      <c r="H50" s="77">
        <v>0</v>
      </c>
      <c r="I50" s="80">
        <f t="shared" si="18"/>
        <v>12508</v>
      </c>
      <c r="J50" s="141"/>
      <c r="K50" s="142" t="s">
        <v>12</v>
      </c>
      <c r="L50" s="143"/>
      <c r="M50" s="141" t="s">
        <v>12</v>
      </c>
      <c r="N50" s="143"/>
      <c r="O50" s="143"/>
      <c r="P50" s="143"/>
    </row>
    <row r="51" spans="1:16" s="2" customFormat="1" ht="15.75" x14ac:dyDescent="0.25">
      <c r="A51" s="144" t="s">
        <v>55</v>
      </c>
      <c r="B51" s="138">
        <v>3540</v>
      </c>
      <c r="C51" s="147">
        <v>5605</v>
      </c>
      <c r="D51" s="148">
        <f t="shared" si="20"/>
        <v>1.5833333333333333</v>
      </c>
      <c r="E51" s="139" t="s">
        <v>24</v>
      </c>
      <c r="F51" s="139">
        <v>4185.2</v>
      </c>
      <c r="G51" s="140" t="s">
        <v>24</v>
      </c>
      <c r="H51" s="77">
        <v>0</v>
      </c>
      <c r="I51" s="80">
        <f t="shared" si="18"/>
        <v>4185.2</v>
      </c>
      <c r="J51" s="141"/>
      <c r="K51" s="142" t="s">
        <v>12</v>
      </c>
      <c r="L51" s="143"/>
      <c r="M51" s="141" t="s">
        <v>12</v>
      </c>
      <c r="N51" s="143"/>
      <c r="O51" s="143"/>
      <c r="P51" s="143"/>
    </row>
    <row r="52" spans="1:16" s="2" customFormat="1" ht="15.75" x14ac:dyDescent="0.25">
      <c r="A52" s="137" t="s">
        <v>3</v>
      </c>
      <c r="B52" s="138">
        <v>4410</v>
      </c>
      <c r="C52" s="147">
        <v>6244</v>
      </c>
      <c r="D52" s="148">
        <f t="shared" si="20"/>
        <v>1.4158730158730159</v>
      </c>
      <c r="E52" s="80">
        <v>6330</v>
      </c>
      <c r="F52" s="80">
        <v>6566</v>
      </c>
      <c r="G52" s="140">
        <f t="shared" si="19"/>
        <v>1.0372827804107425</v>
      </c>
      <c r="H52" s="77">
        <v>0</v>
      </c>
      <c r="I52" s="80">
        <f t="shared" si="18"/>
        <v>6566</v>
      </c>
      <c r="J52" s="141"/>
      <c r="K52" s="142" t="s">
        <v>12</v>
      </c>
      <c r="L52" s="143"/>
      <c r="M52" s="141" t="s">
        <v>12</v>
      </c>
      <c r="N52" s="143"/>
      <c r="O52" s="143"/>
      <c r="P52" s="143"/>
    </row>
    <row r="53" spans="1:16" s="2" customFormat="1" ht="15.75" x14ac:dyDescent="0.25">
      <c r="A53" s="137" t="s">
        <v>18</v>
      </c>
      <c r="B53" s="138">
        <v>640</v>
      </c>
      <c r="C53" s="147">
        <v>4064</v>
      </c>
      <c r="D53" s="148">
        <f t="shared" si="20"/>
        <v>6.35</v>
      </c>
      <c r="E53" s="80">
        <v>20560</v>
      </c>
      <c r="F53" s="80">
        <v>21589</v>
      </c>
      <c r="G53" s="140">
        <f t="shared" si="19"/>
        <v>1.0500486381322958</v>
      </c>
      <c r="H53" s="77">
        <v>0</v>
      </c>
      <c r="I53" s="80">
        <f t="shared" si="18"/>
        <v>21589</v>
      </c>
      <c r="J53" s="141"/>
      <c r="K53" s="142" t="s">
        <v>67</v>
      </c>
      <c r="L53" s="143"/>
      <c r="M53" s="141" t="s">
        <v>12</v>
      </c>
      <c r="N53" s="143"/>
      <c r="O53" s="143"/>
      <c r="P53" s="143"/>
    </row>
    <row r="54" spans="1:16" s="2" customFormat="1" ht="15.75" x14ac:dyDescent="0.25">
      <c r="A54" s="137" t="s">
        <v>19</v>
      </c>
      <c r="B54" s="138">
        <v>2550</v>
      </c>
      <c r="C54" s="149">
        <v>3401</v>
      </c>
      <c r="D54" s="148">
        <f t="shared" si="20"/>
        <v>1.3337254901960784</v>
      </c>
      <c r="E54" s="80">
        <v>3270</v>
      </c>
      <c r="F54" s="80">
        <v>3305</v>
      </c>
      <c r="G54" s="140">
        <f t="shared" si="19"/>
        <v>1.010703363914373</v>
      </c>
      <c r="H54" s="77">
        <v>0</v>
      </c>
      <c r="I54" s="80">
        <f t="shared" si="18"/>
        <v>3305</v>
      </c>
      <c r="J54" s="141"/>
      <c r="K54" s="142" t="s">
        <v>12</v>
      </c>
      <c r="L54" s="143"/>
      <c r="M54" s="141" t="s">
        <v>12</v>
      </c>
      <c r="N54" s="143"/>
      <c r="O54" s="143"/>
      <c r="P54" s="143"/>
    </row>
    <row r="55" spans="1:16" s="2" customFormat="1" ht="15.75" x14ac:dyDescent="0.25">
      <c r="A55" s="137" t="s">
        <v>52</v>
      </c>
      <c r="B55" s="138">
        <v>3650</v>
      </c>
      <c r="C55" s="149">
        <v>5072</v>
      </c>
      <c r="D55" s="148">
        <f t="shared" si="20"/>
        <v>1.3895890410958904</v>
      </c>
      <c r="E55" s="80">
        <v>5020</v>
      </c>
      <c r="F55" s="80">
        <v>5343</v>
      </c>
      <c r="G55" s="140">
        <f>F55/E55</f>
        <v>1.0643426294820717</v>
      </c>
      <c r="H55" s="77">
        <v>875.5</v>
      </c>
      <c r="I55" s="80">
        <f t="shared" si="18"/>
        <v>4467.5</v>
      </c>
      <c r="J55" s="141"/>
      <c r="K55" s="142" t="s">
        <v>12</v>
      </c>
      <c r="L55" s="143"/>
      <c r="M55" s="141" t="s">
        <v>12</v>
      </c>
      <c r="N55" s="143"/>
      <c r="O55" s="143"/>
      <c r="P55" s="143"/>
    </row>
    <row r="56" spans="1:16" s="2" customFormat="1" ht="15.75" x14ac:dyDescent="0.25">
      <c r="A56" s="137" t="s">
        <v>4</v>
      </c>
      <c r="B56" s="138">
        <v>1530</v>
      </c>
      <c r="C56" s="138" t="s">
        <v>80</v>
      </c>
      <c r="D56" s="139" t="s">
        <v>47</v>
      </c>
      <c r="E56" s="80">
        <v>2750</v>
      </c>
      <c r="F56" s="80">
        <v>2771</v>
      </c>
      <c r="G56" s="140">
        <f t="shared" si="19"/>
        <v>1.0076363636363637</v>
      </c>
      <c r="H56" s="77">
        <v>0</v>
      </c>
      <c r="I56" s="80">
        <f t="shared" si="18"/>
        <v>2771</v>
      </c>
      <c r="J56" s="141"/>
      <c r="K56" s="142" t="s">
        <v>12</v>
      </c>
      <c r="L56" s="143"/>
      <c r="M56" s="141" t="s">
        <v>12</v>
      </c>
      <c r="N56" s="143"/>
      <c r="O56" s="143"/>
      <c r="P56" s="143"/>
    </row>
    <row r="57" spans="1:16" s="2" customFormat="1" ht="15.75" x14ac:dyDescent="0.25">
      <c r="A57" s="137" t="s">
        <v>20</v>
      </c>
      <c r="B57" s="138">
        <v>-3010</v>
      </c>
      <c r="C57" s="138" t="s">
        <v>58</v>
      </c>
      <c r="D57" s="139" t="s">
        <v>58</v>
      </c>
      <c r="E57" s="80">
        <v>18450</v>
      </c>
      <c r="F57" s="80">
        <v>19428</v>
      </c>
      <c r="G57" s="140">
        <f t="shared" si="19"/>
        <v>1.0530081300813008</v>
      </c>
      <c r="H57" s="77">
        <v>0</v>
      </c>
      <c r="I57" s="80">
        <f t="shared" si="18"/>
        <v>19428</v>
      </c>
      <c r="J57" s="141"/>
      <c r="K57" s="142" t="s">
        <v>12</v>
      </c>
      <c r="L57" s="143"/>
      <c r="M57" s="141" t="s">
        <v>12</v>
      </c>
      <c r="N57" s="143"/>
      <c r="O57" s="143"/>
      <c r="P57" s="143"/>
    </row>
    <row r="58" spans="1:16" s="2" customFormat="1" ht="15.75" x14ac:dyDescent="0.25">
      <c r="A58" s="137" t="s">
        <v>1</v>
      </c>
      <c r="B58" s="138">
        <v>910</v>
      </c>
      <c r="C58" s="138" t="s">
        <v>81</v>
      </c>
      <c r="D58" s="139" t="s">
        <v>47</v>
      </c>
      <c r="E58" s="80">
        <v>3740</v>
      </c>
      <c r="F58" s="80">
        <v>3844</v>
      </c>
      <c r="G58" s="140">
        <f t="shared" si="19"/>
        <v>1.0278074866310161</v>
      </c>
      <c r="H58" s="77">
        <v>0</v>
      </c>
      <c r="I58" s="80">
        <f t="shared" si="18"/>
        <v>3844</v>
      </c>
      <c r="J58" s="141"/>
      <c r="K58" s="142" t="s">
        <v>12</v>
      </c>
      <c r="L58" s="143"/>
      <c r="M58" s="141" t="s">
        <v>12</v>
      </c>
      <c r="N58" s="143"/>
      <c r="O58" s="143"/>
      <c r="P58" s="143"/>
    </row>
    <row r="59" spans="1:16" s="2" customFormat="1" ht="15.75" x14ac:dyDescent="0.25">
      <c r="A59" s="137" t="s">
        <v>43</v>
      </c>
      <c r="B59" s="138">
        <v>1230</v>
      </c>
      <c r="C59" s="149">
        <v>1872</v>
      </c>
      <c r="D59" s="148">
        <f>C59/B59</f>
        <v>1.5219512195121951</v>
      </c>
      <c r="E59" s="80" t="s">
        <v>24</v>
      </c>
      <c r="F59" s="139">
        <v>2237.6</v>
      </c>
      <c r="G59" s="140" t="s">
        <v>24</v>
      </c>
      <c r="H59" s="77">
        <v>0</v>
      </c>
      <c r="I59" s="80">
        <f t="shared" si="18"/>
        <v>2237.6</v>
      </c>
      <c r="J59" s="141"/>
      <c r="K59" s="142" t="s">
        <v>12</v>
      </c>
      <c r="L59" s="143"/>
      <c r="M59" s="141" t="s">
        <v>12</v>
      </c>
      <c r="N59" s="143"/>
      <c r="O59" s="143"/>
      <c r="P59" s="143"/>
    </row>
    <row r="60" spans="1:16" s="2" customFormat="1" ht="15.75" x14ac:dyDescent="0.25">
      <c r="A60" s="137" t="s">
        <v>56</v>
      </c>
      <c r="B60" s="138">
        <v>560</v>
      </c>
      <c r="C60" s="138" t="s">
        <v>82</v>
      </c>
      <c r="D60" s="139" t="s">
        <v>47</v>
      </c>
      <c r="E60" s="80">
        <v>2108.4</v>
      </c>
      <c r="F60" s="139">
        <v>2132</v>
      </c>
      <c r="G60" s="140">
        <f>F60/E60</f>
        <v>1.011193321950294</v>
      </c>
      <c r="H60" s="77">
        <v>19.399999999999999</v>
      </c>
      <c r="I60" s="80">
        <f t="shared" si="18"/>
        <v>2112.6</v>
      </c>
      <c r="J60" s="141"/>
      <c r="K60" s="143" t="s">
        <v>12</v>
      </c>
      <c r="L60" s="143"/>
      <c r="M60" s="141" t="s">
        <v>12</v>
      </c>
      <c r="N60" s="143"/>
      <c r="O60" s="143"/>
      <c r="P60" s="143"/>
    </row>
    <row r="61" spans="1:16" s="2" customFormat="1" ht="15.75" x14ac:dyDescent="0.25">
      <c r="A61" s="137" t="s">
        <v>5</v>
      </c>
      <c r="B61" s="138">
        <v>3430</v>
      </c>
      <c r="C61" s="138" t="s">
        <v>83</v>
      </c>
      <c r="D61" s="139" t="s">
        <v>47</v>
      </c>
      <c r="E61" s="80">
        <v>5650</v>
      </c>
      <c r="F61" s="80">
        <v>5815</v>
      </c>
      <c r="G61" s="140">
        <f t="shared" ref="G61:G67" si="21">F61/E61</f>
        <v>1.0292035398230088</v>
      </c>
      <c r="H61" s="77">
        <v>0</v>
      </c>
      <c r="I61" s="80">
        <f t="shared" si="18"/>
        <v>5815</v>
      </c>
      <c r="J61" s="141"/>
      <c r="K61" s="150"/>
      <c r="L61" s="143"/>
      <c r="M61" s="141" t="s">
        <v>12</v>
      </c>
      <c r="N61" s="143"/>
      <c r="O61" s="143"/>
      <c r="P61" s="143"/>
    </row>
    <row r="62" spans="1:16" s="2" customFormat="1" ht="15.75" x14ac:dyDescent="0.25">
      <c r="A62" s="137" t="s">
        <v>21</v>
      </c>
      <c r="B62" s="138">
        <v>770</v>
      </c>
      <c r="C62" s="138" t="s">
        <v>84</v>
      </c>
      <c r="D62" s="139" t="s">
        <v>47</v>
      </c>
      <c r="E62" s="80">
        <v>2850</v>
      </c>
      <c r="F62" s="80">
        <v>2865</v>
      </c>
      <c r="G62" s="140">
        <f t="shared" si="21"/>
        <v>1.0052631578947369</v>
      </c>
      <c r="H62" s="77">
        <v>0</v>
      </c>
      <c r="I62" s="80">
        <f t="shared" si="18"/>
        <v>2865</v>
      </c>
      <c r="J62" s="141"/>
      <c r="K62" s="150" t="s">
        <v>12</v>
      </c>
      <c r="L62" s="143"/>
      <c r="M62" s="141" t="s">
        <v>12</v>
      </c>
      <c r="N62" s="143"/>
      <c r="O62" s="143"/>
      <c r="P62" s="143"/>
    </row>
    <row r="63" spans="1:16" s="2" customFormat="1" ht="15.75" x14ac:dyDescent="0.25">
      <c r="A63" s="137" t="s">
        <v>6</v>
      </c>
      <c r="B63" s="138">
        <v>2690</v>
      </c>
      <c r="C63" s="138" t="s">
        <v>85</v>
      </c>
      <c r="D63" s="139" t="s">
        <v>47</v>
      </c>
      <c r="E63" s="80">
        <v>8120</v>
      </c>
      <c r="F63" s="80">
        <v>8305</v>
      </c>
      <c r="G63" s="140">
        <f t="shared" si="21"/>
        <v>1.0227832512315271</v>
      </c>
      <c r="H63" s="77">
        <v>0</v>
      </c>
      <c r="I63" s="80">
        <f t="shared" si="18"/>
        <v>8305</v>
      </c>
      <c r="J63" s="141"/>
      <c r="K63" s="143"/>
      <c r="L63" s="143"/>
      <c r="M63" s="141" t="s">
        <v>12</v>
      </c>
      <c r="N63" s="143"/>
      <c r="O63" s="143"/>
      <c r="P63" s="143"/>
    </row>
    <row r="64" spans="1:16" s="2" customFormat="1" ht="15.75" x14ac:dyDescent="0.25">
      <c r="A64" s="137" t="s">
        <v>22</v>
      </c>
      <c r="B64" s="138">
        <v>-210</v>
      </c>
      <c r="C64" s="138" t="s">
        <v>58</v>
      </c>
      <c r="D64" s="139" t="s">
        <v>58</v>
      </c>
      <c r="E64" s="80">
        <v>2770</v>
      </c>
      <c r="F64" s="80">
        <v>2771</v>
      </c>
      <c r="G64" s="140">
        <f t="shared" si="21"/>
        <v>1.0003610108303249</v>
      </c>
      <c r="H64" s="77">
        <v>0</v>
      </c>
      <c r="I64" s="80">
        <f t="shared" si="18"/>
        <v>2771</v>
      </c>
      <c r="J64" s="141"/>
      <c r="K64" s="143"/>
      <c r="L64" s="143"/>
      <c r="M64" s="141" t="s">
        <v>12</v>
      </c>
      <c r="N64" s="143"/>
      <c r="O64" s="143"/>
      <c r="P64" s="143"/>
    </row>
    <row r="65" spans="1:16" s="2" customFormat="1" ht="15.75" x14ac:dyDescent="0.25">
      <c r="A65" s="137" t="s">
        <v>7</v>
      </c>
      <c r="B65" s="138">
        <v>1540</v>
      </c>
      <c r="C65" s="147">
        <v>7625</v>
      </c>
      <c r="D65" s="148">
        <f>C65/B65</f>
        <v>4.9512987012987013</v>
      </c>
      <c r="E65" s="80">
        <v>6030</v>
      </c>
      <c r="F65" s="80">
        <v>6278</v>
      </c>
      <c r="G65" s="140">
        <f t="shared" si="21"/>
        <v>1.0411276948590382</v>
      </c>
      <c r="H65" s="77">
        <v>0</v>
      </c>
      <c r="I65" s="80">
        <f t="shared" si="18"/>
        <v>6278</v>
      </c>
      <c r="J65" s="141"/>
      <c r="K65" s="143"/>
      <c r="L65" s="143"/>
      <c r="M65" s="141" t="s">
        <v>12</v>
      </c>
      <c r="N65" s="143"/>
      <c r="O65" s="143"/>
      <c r="P65" s="143"/>
    </row>
    <row r="66" spans="1:16" s="2" customFormat="1" ht="15.75" x14ac:dyDescent="0.25">
      <c r="A66" s="137" t="s">
        <v>33</v>
      </c>
      <c r="B66" s="138">
        <v>-1010</v>
      </c>
      <c r="C66" s="149">
        <v>7084</v>
      </c>
      <c r="D66" s="148" t="s">
        <v>58</v>
      </c>
      <c r="E66" s="80">
        <f>6680+190</f>
        <v>6870</v>
      </c>
      <c r="F66" s="80">
        <f>6889+182</f>
        <v>7071</v>
      </c>
      <c r="G66" s="140">
        <f t="shared" si="21"/>
        <v>1.0292576419213975</v>
      </c>
      <c r="H66" s="77">
        <v>0</v>
      </c>
      <c r="I66" s="80">
        <f t="shared" si="18"/>
        <v>7071</v>
      </c>
      <c r="J66" s="141"/>
      <c r="K66" s="143"/>
      <c r="L66" s="143"/>
      <c r="M66" s="141" t="s">
        <v>12</v>
      </c>
      <c r="N66" s="143"/>
      <c r="O66" s="143"/>
      <c r="P66" s="143"/>
    </row>
    <row r="67" spans="1:16" s="2" customFormat="1" ht="15.75" x14ac:dyDescent="0.25">
      <c r="A67" s="137" t="s">
        <v>8</v>
      </c>
      <c r="B67" s="138">
        <v>5900</v>
      </c>
      <c r="C67" s="147">
        <v>8001</v>
      </c>
      <c r="D67" s="151">
        <f>C67/B67</f>
        <v>1.3561016949152542</v>
      </c>
      <c r="E67" s="80">
        <v>9530</v>
      </c>
      <c r="F67" s="80">
        <v>9641</v>
      </c>
      <c r="G67" s="140">
        <f t="shared" si="21"/>
        <v>1.0116474291710389</v>
      </c>
      <c r="H67" s="77">
        <v>0</v>
      </c>
      <c r="I67" s="80">
        <f t="shared" si="18"/>
        <v>9641</v>
      </c>
      <c r="J67" s="141"/>
      <c r="K67" s="143"/>
      <c r="L67" s="143"/>
      <c r="M67" s="141" t="s">
        <v>12</v>
      </c>
      <c r="N67" s="143"/>
      <c r="O67" s="143"/>
      <c r="P67" s="143"/>
    </row>
    <row r="68" spans="1:16" s="2" customFormat="1" ht="15.75" x14ac:dyDescent="0.25">
      <c r="A68" s="137" t="s">
        <v>42</v>
      </c>
      <c r="B68" s="138">
        <v>2620</v>
      </c>
      <c r="C68" s="147">
        <v>4264</v>
      </c>
      <c r="D68" s="151">
        <f>C68/B68</f>
        <v>1.6274809160305344</v>
      </c>
      <c r="E68" s="80" t="s">
        <v>24</v>
      </c>
      <c r="F68" s="139">
        <v>4808</v>
      </c>
      <c r="G68" s="140" t="s">
        <v>24</v>
      </c>
      <c r="H68" s="77">
        <v>0</v>
      </c>
      <c r="I68" s="80">
        <f t="shared" si="18"/>
        <v>4808</v>
      </c>
      <c r="J68" s="141"/>
      <c r="K68" s="143"/>
      <c r="L68" s="143"/>
      <c r="M68" s="141" t="s">
        <v>12</v>
      </c>
      <c r="N68" s="143"/>
      <c r="O68" s="143"/>
      <c r="P68" s="143"/>
    </row>
    <row r="69" spans="1:16" s="2" customFormat="1" ht="15.75" x14ac:dyDescent="0.25">
      <c r="A69" s="137" t="s">
        <v>40</v>
      </c>
      <c r="B69" s="138" t="s">
        <v>24</v>
      </c>
      <c r="C69" s="138" t="s">
        <v>24</v>
      </c>
      <c r="D69" s="139" t="s">
        <v>24</v>
      </c>
      <c r="E69" s="80">
        <v>385</v>
      </c>
      <c r="F69" s="80">
        <v>385</v>
      </c>
      <c r="G69" s="140">
        <f>F69/E69</f>
        <v>1</v>
      </c>
      <c r="H69" s="77">
        <v>0</v>
      </c>
      <c r="I69" s="80">
        <f t="shared" si="18"/>
        <v>385</v>
      </c>
      <c r="J69" s="141"/>
      <c r="K69" s="143"/>
      <c r="L69" s="143"/>
      <c r="M69" s="141" t="s">
        <v>12</v>
      </c>
      <c r="N69" s="143"/>
      <c r="O69" s="143"/>
      <c r="P69" s="143"/>
    </row>
    <row r="70" spans="1:16" s="2" customFormat="1" ht="15.75" x14ac:dyDescent="0.25">
      <c r="A70" s="137" t="s">
        <v>16</v>
      </c>
      <c r="B70" s="138">
        <v>3650</v>
      </c>
      <c r="C70" s="147">
        <v>8800</v>
      </c>
      <c r="D70" s="151">
        <f>C70/B70</f>
        <v>2.4109589041095889</v>
      </c>
      <c r="E70" s="80" t="s">
        <v>24</v>
      </c>
      <c r="F70" s="80">
        <f>F47+F58+F61+F63+F67+F69</f>
        <v>30358</v>
      </c>
      <c r="G70" s="152" t="s">
        <v>24</v>
      </c>
      <c r="H70" s="80">
        <f>H47+H58+H61+H63+H67+H69</f>
        <v>0</v>
      </c>
      <c r="I70" s="220" t="s">
        <v>12</v>
      </c>
      <c r="J70" s="141"/>
      <c r="K70" s="143"/>
      <c r="L70" s="143"/>
      <c r="M70" s="141" t="s">
        <v>12</v>
      </c>
      <c r="N70" s="143"/>
      <c r="O70" s="143"/>
      <c r="P70" s="143"/>
    </row>
    <row r="71" spans="1:16" s="2" customFormat="1" ht="15.75" x14ac:dyDescent="0.25">
      <c r="A71" s="137" t="s">
        <v>14</v>
      </c>
      <c r="B71" s="138">
        <v>2900</v>
      </c>
      <c r="C71" s="147">
        <v>9802</v>
      </c>
      <c r="D71" s="151">
        <f>C71/B71</f>
        <v>3.38</v>
      </c>
      <c r="E71" s="80" t="s">
        <v>24</v>
      </c>
      <c r="F71" s="80">
        <f>F52+F65</f>
        <v>12844</v>
      </c>
      <c r="G71" s="152" t="s">
        <v>24</v>
      </c>
      <c r="H71" s="80">
        <f>H52+H65</f>
        <v>0</v>
      </c>
      <c r="I71" s="221"/>
      <c r="J71" s="141"/>
      <c r="K71" s="143"/>
      <c r="L71" s="143"/>
      <c r="M71" s="141" t="s">
        <v>12</v>
      </c>
      <c r="N71" s="143"/>
      <c r="O71" s="143"/>
      <c r="P71" s="143"/>
    </row>
    <row r="72" spans="1:16" s="2" customFormat="1" ht="15.75" x14ac:dyDescent="0.25">
      <c r="A72" s="144" t="s">
        <v>15</v>
      </c>
      <c r="B72" s="138">
        <v>-10140</v>
      </c>
      <c r="C72" s="138" t="s">
        <v>58</v>
      </c>
      <c r="D72" s="139" t="s">
        <v>58</v>
      </c>
      <c r="E72" s="80" t="s">
        <v>24</v>
      </c>
      <c r="F72" s="80">
        <f>F62+F64+F66</f>
        <v>12707</v>
      </c>
      <c r="G72" s="152" t="s">
        <v>24</v>
      </c>
      <c r="H72" s="80">
        <f>H62+H64+H66</f>
        <v>0</v>
      </c>
      <c r="I72" s="221"/>
      <c r="J72" s="141"/>
      <c r="K72" s="143"/>
      <c r="L72" s="143"/>
      <c r="M72" s="141" t="s">
        <v>12</v>
      </c>
      <c r="N72" s="143"/>
      <c r="O72" s="143"/>
      <c r="P72" s="143"/>
    </row>
    <row r="73" spans="1:16" s="2" customFormat="1" ht="15.75" x14ac:dyDescent="0.25">
      <c r="A73" s="137" t="s">
        <v>17</v>
      </c>
      <c r="B73" s="138">
        <v>-7000</v>
      </c>
      <c r="C73" s="147">
        <v>4218</v>
      </c>
      <c r="D73" s="151" t="s">
        <v>58</v>
      </c>
      <c r="E73" s="80" t="s">
        <v>24</v>
      </c>
      <c r="F73" s="80">
        <f>F70+F71+F72</f>
        <v>55909</v>
      </c>
      <c r="G73" s="152" t="s">
        <v>24</v>
      </c>
      <c r="H73" s="80">
        <f>H70+H71+H72</f>
        <v>0</v>
      </c>
      <c r="I73" s="221"/>
      <c r="J73" s="141"/>
      <c r="K73" s="143"/>
      <c r="L73" s="143"/>
      <c r="M73" s="141" t="s">
        <v>12</v>
      </c>
      <c r="N73" s="143"/>
      <c r="O73" s="143"/>
      <c r="P73" s="143"/>
    </row>
    <row r="74" spans="1:16" s="2" customFormat="1" ht="15.75" x14ac:dyDescent="0.25">
      <c r="A74" s="144" t="s">
        <v>34</v>
      </c>
      <c r="B74" s="138">
        <v>2350</v>
      </c>
      <c r="C74" s="138" t="s">
        <v>86</v>
      </c>
      <c r="D74" s="139" t="s">
        <v>47</v>
      </c>
      <c r="E74" s="80" t="s">
        <v>24</v>
      </c>
      <c r="F74" s="80">
        <f>F48+F49+F50+F53+F54+F55+F56+F60</f>
        <v>78578</v>
      </c>
      <c r="G74" s="152" t="s">
        <v>24</v>
      </c>
      <c r="H74" s="80">
        <f>H48+H49+H50+H53+H54+H55+H56+H60</f>
        <v>12200.6</v>
      </c>
      <c r="I74" s="222"/>
      <c r="J74" s="141"/>
      <c r="K74" s="143"/>
      <c r="L74" s="143"/>
      <c r="M74" s="141" t="s">
        <v>12</v>
      </c>
      <c r="N74" s="143"/>
      <c r="O74" s="143"/>
      <c r="P74" s="143"/>
    </row>
    <row r="75" spans="1:16" s="2" customFormat="1" ht="15.75" x14ac:dyDescent="0.25">
      <c r="A75" s="215" t="s">
        <v>63</v>
      </c>
      <c r="B75" s="215"/>
      <c r="C75" s="215"/>
      <c r="D75" s="215"/>
      <c r="E75" s="215"/>
      <c r="F75" s="215"/>
      <c r="G75" s="215"/>
      <c r="H75" s="215"/>
      <c r="I75" s="215"/>
      <c r="J75" s="125"/>
      <c r="K75" s="153"/>
      <c r="L75" s="143"/>
      <c r="M75" s="143" t="s">
        <v>12</v>
      </c>
      <c r="N75" s="143"/>
      <c r="O75" s="143"/>
      <c r="P75" s="143"/>
    </row>
    <row r="76" spans="1:16" s="2" customFormat="1" ht="15.75" x14ac:dyDescent="0.25">
      <c r="A76" s="154"/>
      <c r="B76" s="124"/>
      <c r="C76" s="124"/>
      <c r="D76" s="124"/>
      <c r="E76" s="124"/>
      <c r="F76" s="124"/>
      <c r="G76" s="124"/>
      <c r="H76" s="124"/>
      <c r="I76" s="155" t="s">
        <v>12</v>
      </c>
      <c r="J76" s="156"/>
      <c r="K76" s="153"/>
      <c r="L76" s="143"/>
      <c r="M76" s="143" t="s">
        <v>12</v>
      </c>
      <c r="N76" s="143"/>
      <c r="O76" s="143"/>
      <c r="P76" s="143"/>
    </row>
    <row r="77" spans="1:16" ht="15.75" x14ac:dyDescent="0.2">
      <c r="A77" s="215" t="s">
        <v>53</v>
      </c>
      <c r="B77" s="215"/>
      <c r="C77" s="215"/>
      <c r="D77" s="215"/>
      <c r="E77" s="215"/>
      <c r="F77" s="215"/>
      <c r="G77" s="215"/>
      <c r="H77" s="215"/>
      <c r="I77" s="215"/>
      <c r="J77" s="157" t="s">
        <v>12</v>
      </c>
      <c r="K77" s="64"/>
      <c r="L77" s="64"/>
      <c r="M77" s="64"/>
      <c r="N77" s="64"/>
      <c r="O77" s="64"/>
      <c r="P77" s="64"/>
    </row>
    <row r="78" spans="1:16" ht="15.75" x14ac:dyDescent="0.2">
      <c r="A78" s="127" t="s">
        <v>62</v>
      </c>
      <c r="B78" s="215" t="s">
        <v>77</v>
      </c>
      <c r="C78" s="215"/>
      <c r="D78" s="215"/>
      <c r="E78" s="215"/>
      <c r="F78" s="215"/>
      <c r="G78" s="215"/>
      <c r="H78" s="215"/>
      <c r="I78" s="215"/>
      <c r="J78" s="158" t="s">
        <v>12</v>
      </c>
      <c r="K78" s="64"/>
      <c r="L78" s="64"/>
      <c r="M78" s="64"/>
      <c r="N78" s="64"/>
      <c r="O78" s="64"/>
      <c r="P78" s="64"/>
    </row>
    <row r="79" spans="1:16" ht="15.75" x14ac:dyDescent="0.2">
      <c r="A79" s="137" t="s">
        <v>17</v>
      </c>
      <c r="B79" s="223" t="s">
        <v>74</v>
      </c>
      <c r="C79" s="224"/>
      <c r="D79" s="224"/>
      <c r="E79" s="224"/>
      <c r="F79" s="224"/>
      <c r="G79" s="224"/>
      <c r="H79" s="224"/>
      <c r="I79" s="225"/>
      <c r="J79" s="159" t="s">
        <v>12</v>
      </c>
      <c r="K79" s="160"/>
      <c r="L79" s="64"/>
      <c r="M79" s="64"/>
      <c r="N79" s="64"/>
      <c r="O79" s="64"/>
      <c r="P79" s="64"/>
    </row>
    <row r="80" spans="1:16" ht="15.75" x14ac:dyDescent="0.2">
      <c r="A80" s="137" t="s">
        <v>16</v>
      </c>
      <c r="B80" s="216" t="s">
        <v>107</v>
      </c>
      <c r="C80" s="217"/>
      <c r="D80" s="217"/>
      <c r="E80" s="217"/>
      <c r="F80" s="217"/>
      <c r="G80" s="217"/>
      <c r="H80" s="217"/>
      <c r="I80" s="218"/>
      <c r="J80" s="161"/>
      <c r="K80" s="64"/>
      <c r="L80" s="64"/>
      <c r="M80" s="64"/>
      <c r="N80" s="64"/>
      <c r="O80" s="64"/>
      <c r="P80" s="64"/>
    </row>
    <row r="81" spans="1:16" ht="15.75" x14ac:dyDescent="0.2">
      <c r="A81" s="137" t="s">
        <v>14</v>
      </c>
      <c r="B81" s="219" t="s">
        <v>75</v>
      </c>
      <c r="C81" s="219"/>
      <c r="D81" s="219"/>
      <c r="E81" s="219"/>
      <c r="F81" s="219"/>
      <c r="G81" s="219"/>
      <c r="H81" s="219"/>
      <c r="I81" s="219"/>
      <c r="J81" s="161"/>
      <c r="K81" s="64"/>
      <c r="L81" s="64"/>
      <c r="M81" s="64"/>
      <c r="N81" s="64"/>
      <c r="O81" s="64"/>
      <c r="P81" s="64"/>
    </row>
    <row r="82" spans="1:16" ht="15.75" x14ac:dyDescent="0.2">
      <c r="A82" s="137" t="s">
        <v>8</v>
      </c>
      <c r="B82" s="216" t="s">
        <v>109</v>
      </c>
      <c r="C82" s="217"/>
      <c r="D82" s="217"/>
      <c r="E82" s="217"/>
      <c r="F82" s="217"/>
      <c r="G82" s="217"/>
      <c r="H82" s="217"/>
      <c r="I82" s="218"/>
      <c r="J82" s="161"/>
      <c r="K82" s="64"/>
      <c r="L82" s="64"/>
      <c r="M82" s="64"/>
      <c r="N82" s="64"/>
      <c r="O82" s="64"/>
      <c r="P82" s="64"/>
    </row>
    <row r="83" spans="1:16" ht="15.75" x14ac:dyDescent="0.2">
      <c r="A83" s="137" t="s">
        <v>54</v>
      </c>
      <c r="B83" s="216" t="s">
        <v>109</v>
      </c>
      <c r="C83" s="217"/>
      <c r="D83" s="217"/>
      <c r="E83" s="217"/>
      <c r="F83" s="217"/>
      <c r="G83" s="217"/>
      <c r="H83" s="217"/>
      <c r="I83" s="218"/>
      <c r="J83" s="161"/>
      <c r="K83" s="64"/>
      <c r="L83" s="64" t="s">
        <v>12</v>
      </c>
      <c r="M83" s="64"/>
      <c r="N83" s="64"/>
      <c r="O83" s="64"/>
      <c r="P83" s="64"/>
    </row>
    <row r="84" spans="1:16" ht="15.75" x14ac:dyDescent="0.2">
      <c r="A84" s="137" t="s">
        <v>23</v>
      </c>
      <c r="B84" s="219" t="s">
        <v>76</v>
      </c>
      <c r="C84" s="219"/>
      <c r="D84" s="219"/>
      <c r="E84" s="219"/>
      <c r="F84" s="219"/>
      <c r="G84" s="219"/>
      <c r="H84" s="219"/>
      <c r="I84" s="219"/>
      <c r="J84" s="161"/>
      <c r="K84" s="64"/>
      <c r="L84" s="64"/>
      <c r="M84" s="64"/>
      <c r="N84" s="64"/>
      <c r="O84" s="64"/>
      <c r="P84" s="64"/>
    </row>
    <row r="85" spans="1:16" ht="15.75" x14ac:dyDescent="0.2">
      <c r="A85" s="137" t="s">
        <v>7</v>
      </c>
      <c r="B85" s="219" t="s">
        <v>102</v>
      </c>
      <c r="C85" s="219"/>
      <c r="D85" s="219"/>
      <c r="E85" s="219"/>
      <c r="F85" s="219"/>
      <c r="G85" s="219"/>
      <c r="H85" s="219"/>
      <c r="I85" s="219"/>
      <c r="J85" s="161"/>
      <c r="K85" s="64"/>
      <c r="L85" s="64"/>
      <c r="M85" s="64"/>
      <c r="N85" s="64"/>
      <c r="O85" s="64"/>
      <c r="P85" s="64"/>
    </row>
    <row r="86" spans="1:16" ht="15.75" x14ac:dyDescent="0.2">
      <c r="A86" s="144" t="s">
        <v>49</v>
      </c>
      <c r="B86" s="219" t="s">
        <v>97</v>
      </c>
      <c r="C86" s="219"/>
      <c r="D86" s="219"/>
      <c r="E86" s="219"/>
      <c r="F86" s="219"/>
      <c r="G86" s="219"/>
      <c r="H86" s="219"/>
      <c r="I86" s="219"/>
      <c r="J86" s="161"/>
      <c r="K86" s="64"/>
      <c r="L86" s="64"/>
      <c r="M86" s="64"/>
      <c r="N86" s="64"/>
      <c r="O86" s="64"/>
      <c r="P86" s="64"/>
    </row>
    <row r="87" spans="1:16" ht="15.75" x14ac:dyDescent="0.2">
      <c r="A87" s="144" t="s">
        <v>55</v>
      </c>
      <c r="B87" s="219" t="s">
        <v>98</v>
      </c>
      <c r="C87" s="219"/>
      <c r="D87" s="219"/>
      <c r="E87" s="219"/>
      <c r="F87" s="219"/>
      <c r="G87" s="219"/>
      <c r="H87" s="219"/>
      <c r="I87" s="219"/>
      <c r="J87" s="33"/>
      <c r="K87" s="64"/>
      <c r="L87" s="64"/>
      <c r="M87" s="64"/>
      <c r="N87" s="64"/>
      <c r="O87" s="64"/>
      <c r="P87" s="64"/>
    </row>
    <row r="88" spans="1:16" ht="15.75" x14ac:dyDescent="0.2">
      <c r="A88" s="144" t="s">
        <v>18</v>
      </c>
      <c r="B88" s="219" t="s">
        <v>99</v>
      </c>
      <c r="C88" s="219"/>
      <c r="D88" s="219"/>
      <c r="E88" s="219"/>
      <c r="F88" s="219"/>
      <c r="G88" s="219"/>
      <c r="H88" s="219"/>
      <c r="I88" s="219"/>
      <c r="J88" s="161"/>
      <c r="K88" s="64"/>
      <c r="L88" s="64"/>
      <c r="M88" s="64"/>
      <c r="N88" s="64"/>
      <c r="O88" s="64"/>
      <c r="P88" s="64"/>
    </row>
    <row r="89" spans="1:16" ht="15.75" x14ac:dyDescent="0.2">
      <c r="A89" s="144" t="s">
        <v>3</v>
      </c>
      <c r="B89" s="219" t="s">
        <v>105</v>
      </c>
      <c r="C89" s="219"/>
      <c r="D89" s="219"/>
      <c r="E89" s="219"/>
      <c r="F89" s="219"/>
      <c r="G89" s="219"/>
      <c r="H89" s="219"/>
      <c r="I89" s="219"/>
      <c r="J89" s="161"/>
      <c r="K89" s="64"/>
      <c r="L89" s="64"/>
      <c r="M89" s="64"/>
      <c r="N89" s="64"/>
      <c r="O89" s="64"/>
      <c r="P89" s="64"/>
    </row>
    <row r="90" spans="1:16" ht="15.75" x14ac:dyDescent="0.2">
      <c r="A90" s="144" t="s">
        <v>60</v>
      </c>
      <c r="B90" s="219" t="s">
        <v>103</v>
      </c>
      <c r="C90" s="219"/>
      <c r="D90" s="219"/>
      <c r="E90" s="219"/>
      <c r="F90" s="219"/>
      <c r="G90" s="219"/>
      <c r="H90" s="219"/>
      <c r="I90" s="219"/>
      <c r="J90" s="162" t="s">
        <v>12</v>
      </c>
      <c r="K90" s="64"/>
      <c r="L90" s="64"/>
      <c r="M90" s="64"/>
      <c r="N90" s="64"/>
      <c r="O90" s="64"/>
      <c r="P90" s="64"/>
    </row>
    <row r="91" spans="1:16" ht="15.75" x14ac:dyDescent="0.2">
      <c r="A91" s="144" t="s">
        <v>19</v>
      </c>
      <c r="B91" s="219" t="s">
        <v>108</v>
      </c>
      <c r="C91" s="219"/>
      <c r="D91" s="219"/>
      <c r="E91" s="219"/>
      <c r="F91" s="219"/>
      <c r="G91" s="219"/>
      <c r="H91" s="219"/>
      <c r="I91" s="219"/>
      <c r="J91" s="64"/>
      <c r="K91" s="64"/>
      <c r="L91" s="64"/>
      <c r="M91" s="64"/>
      <c r="N91" s="64"/>
      <c r="O91" s="64"/>
      <c r="P91" s="64"/>
    </row>
    <row r="92" spans="1:16" ht="15.75" x14ac:dyDescent="0.2">
      <c r="A92" s="144" t="s">
        <v>52</v>
      </c>
      <c r="B92" s="219" t="s">
        <v>101</v>
      </c>
      <c r="C92" s="219"/>
      <c r="D92" s="219"/>
      <c r="E92" s="219"/>
      <c r="F92" s="219"/>
      <c r="G92" s="219"/>
      <c r="H92" s="219"/>
      <c r="I92" s="219"/>
      <c r="J92" s="64"/>
      <c r="K92" s="64"/>
      <c r="L92" s="64"/>
      <c r="M92" s="64"/>
      <c r="N92" s="64"/>
      <c r="O92" s="64"/>
      <c r="P92" s="64"/>
    </row>
    <row r="93" spans="1:16" ht="15.75" x14ac:dyDescent="0.2">
      <c r="A93" s="163"/>
      <c r="B93" s="164"/>
      <c r="C93" s="164"/>
      <c r="D93" s="164"/>
      <c r="E93" s="164"/>
      <c r="F93" s="164"/>
      <c r="G93" s="164"/>
      <c r="H93" s="164"/>
      <c r="I93" s="164"/>
      <c r="J93" s="64"/>
      <c r="K93" s="64"/>
      <c r="L93" s="64"/>
      <c r="M93" s="64"/>
      <c r="N93" s="64"/>
      <c r="O93" s="64"/>
      <c r="P93" s="64"/>
    </row>
    <row r="94" spans="1:16" ht="15.75" x14ac:dyDescent="0.2">
      <c r="A94" s="214" t="s">
        <v>111</v>
      </c>
      <c r="B94" s="214"/>
      <c r="C94" s="214"/>
      <c r="D94" s="214"/>
      <c r="E94" s="214"/>
      <c r="F94" s="214"/>
      <c r="G94" s="214"/>
      <c r="H94" s="214"/>
      <c r="I94" s="214"/>
      <c r="J94" s="158" t="s">
        <v>12</v>
      </c>
      <c r="K94" s="64"/>
      <c r="L94" s="64"/>
      <c r="M94" s="64"/>
      <c r="N94" s="64"/>
      <c r="O94" s="64"/>
      <c r="P94" s="64"/>
    </row>
    <row r="96" spans="1:16" ht="15" x14ac:dyDescent="0.2">
      <c r="A96" s="6" t="s">
        <v>12</v>
      </c>
    </row>
  </sheetData>
  <mergeCells count="29">
    <mergeCell ref="B91:I91"/>
    <mergeCell ref="B92:I92"/>
    <mergeCell ref="B90:I90"/>
    <mergeCell ref="B85:I85"/>
    <mergeCell ref="B86:I86"/>
    <mergeCell ref="B87:I87"/>
    <mergeCell ref="B88:I88"/>
    <mergeCell ref="B89:I89"/>
    <mergeCell ref="B83:I83"/>
    <mergeCell ref="B84:I84"/>
    <mergeCell ref="A77:I77"/>
    <mergeCell ref="B78:I78"/>
    <mergeCell ref="B79:I79"/>
    <mergeCell ref="A94:I94"/>
    <mergeCell ref="C3:P3"/>
    <mergeCell ref="A75:I75"/>
    <mergeCell ref="B80:I80"/>
    <mergeCell ref="B81:I81"/>
    <mergeCell ref="B82:I82"/>
    <mergeCell ref="I70:I74"/>
    <mergeCell ref="A44:I44"/>
    <mergeCell ref="C4:P4"/>
    <mergeCell ref="C5:P5"/>
    <mergeCell ref="C6:P6"/>
    <mergeCell ref="C7:P7"/>
    <mergeCell ref="C8:P8"/>
    <mergeCell ref="A19:P19"/>
    <mergeCell ref="A27:P27"/>
    <mergeCell ref="A41:P41"/>
  </mergeCells>
  <phoneticPr fontId="4" type="noConversion"/>
  <printOptions verticalCentered="1" gridLines="1"/>
  <pageMargins left="0.45" right="0.45" top="0.5" bottom="0.5" header="0.3" footer="0.3"/>
  <pageSetup scale="40" orientation="landscape" r:id="rId1"/>
  <headerFooter alignWithMargins="0"/>
  <rowBreaks count="1" manualBreakCount="1">
    <brk id="43" max="16383" man="1"/>
  </rowBreaks>
  <colBreaks count="1" manualBreakCount="1">
    <brk id="7"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PJM Buy Bids-Sell Offers</vt:lpstr>
      <vt:lpstr>2nd IA Configuration</vt:lpstr>
      <vt:lpstr>2nd IA Parameters</vt:lpstr>
      <vt:lpstr>1st IA Parameters</vt:lpstr>
      <vt:lpstr>BRA Parameters</vt:lpstr>
      <vt:lpstr>'1st IA Parameters'!Print_Area</vt:lpstr>
      <vt:lpstr>'2nd IA Configuration'!Print_Area</vt:lpstr>
      <vt:lpstr>'2nd IA Parameters'!Print_Area</vt:lpstr>
      <vt:lpstr>'BRA Parameters'!Print_Area</vt:lpstr>
      <vt:lpstr>'PJM Buy Bids-Sell Offers'!Print_Area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Bruno, Joshua D.</cp:lastModifiedBy>
  <cp:lastPrinted>2019-06-04T17:33:15Z</cp:lastPrinted>
  <dcterms:created xsi:type="dcterms:W3CDTF">2007-01-26T13:56:48Z</dcterms:created>
  <dcterms:modified xsi:type="dcterms:W3CDTF">2019-08-14T12:59:20Z</dcterms:modified>
</cp:coreProperties>
</file>