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orp\shares\home\marzes\My Documents\Postings\22-23 3rd IA\2022-03-11 Auction Results\"/>
    </mc:Choice>
  </mc:AlternateContent>
  <bookViews>
    <workbookView xWindow="90" yWindow="75" windowWidth="14940" windowHeight="9030" activeTab="2"/>
  </bookViews>
  <sheets>
    <sheet name="PJM Buy Bids-Sell Offers" sheetId="24" r:id="rId1"/>
    <sheet name="3rd IA Configuration" sheetId="22" r:id="rId2"/>
    <sheet name="3rd IA Parameters" sheetId="19" r:id="rId3"/>
    <sheet name="BRA Parameters" sheetId="13" r:id="rId4"/>
  </sheets>
  <definedNames>
    <definedName name="_xlnm.Print_Area" localSheetId="1">'3rd IA Configuration'!$A$1:$P$20</definedName>
    <definedName name="_xlnm.Print_Area" localSheetId="2">'3rd IA Parameters'!$A$1:$P$89</definedName>
    <definedName name="_xlnm.Print_Area" localSheetId="3">'BRA Parameters'!$A$1:$P$92</definedName>
    <definedName name="_xlnm.Print_Area" localSheetId="0">'PJM Buy Bids-Sell Offers'!$A$1:$J$24</definedName>
  </definedNames>
  <calcPr calcId="162913"/>
</workbook>
</file>

<file path=xl/calcChain.xml><?xml version="1.0" encoding="utf-8"?>
<calcChain xmlns="http://schemas.openxmlformats.org/spreadsheetml/2006/main">
  <c r="P35" i="19" l="1"/>
  <c r="O35" i="19"/>
  <c r="N35" i="19"/>
  <c r="M35" i="19"/>
  <c r="L35" i="19"/>
  <c r="K35" i="19"/>
  <c r="J35" i="19"/>
  <c r="I35" i="19"/>
  <c r="H35" i="19"/>
  <c r="G35" i="19"/>
  <c r="F35" i="19"/>
  <c r="E35" i="19"/>
  <c r="D35" i="19"/>
  <c r="C35" i="19"/>
  <c r="B35" i="19"/>
  <c r="E20" i="24" l="1"/>
  <c r="G17" i="24" l="1"/>
  <c r="L16" i="19" l="1"/>
  <c r="B12" i="13"/>
  <c r="B12" i="19"/>
  <c r="E18" i="24" l="1"/>
  <c r="E16" i="24" l="1"/>
  <c r="E15" i="24"/>
  <c r="E19" i="24"/>
  <c r="E12" i="24"/>
  <c r="E13" i="24"/>
  <c r="E14" i="24"/>
  <c r="E11" i="24"/>
  <c r="B34" i="19"/>
  <c r="B26" i="19"/>
  <c r="C16" i="19"/>
  <c r="D16" i="19"/>
  <c r="E16" i="19"/>
  <c r="F16" i="19"/>
  <c r="G16" i="19"/>
  <c r="H16" i="19"/>
  <c r="I16" i="19"/>
  <c r="J16" i="19"/>
  <c r="K16" i="19"/>
  <c r="M16" i="19"/>
  <c r="N16" i="19"/>
  <c r="O16" i="19"/>
  <c r="P16" i="19"/>
  <c r="C17" i="19"/>
  <c r="D17" i="19"/>
  <c r="E17" i="19"/>
  <c r="F17" i="19"/>
  <c r="G17" i="19"/>
  <c r="H17" i="19"/>
  <c r="I17" i="19"/>
  <c r="J17" i="19"/>
  <c r="K17" i="19"/>
  <c r="L17" i="19"/>
  <c r="M17" i="19"/>
  <c r="N17" i="19"/>
  <c r="O17" i="19"/>
  <c r="P17" i="19"/>
  <c r="B17" i="19"/>
  <c r="B16" i="19"/>
  <c r="I30" i="19"/>
  <c r="J30" i="19"/>
  <c r="K30" i="19"/>
  <c r="L30" i="19"/>
  <c r="M30" i="19"/>
  <c r="N30" i="19"/>
  <c r="O30" i="19"/>
  <c r="P30" i="19"/>
  <c r="F30" i="19"/>
  <c r="G30" i="19"/>
  <c r="H30" i="19"/>
  <c r="L21" i="19" l="1"/>
  <c r="L20" i="19"/>
  <c r="P41" i="13" l="1"/>
  <c r="P38" i="19"/>
  <c r="P15" i="19"/>
  <c r="P5" i="22"/>
  <c r="P14" i="19"/>
  <c r="J38" i="19"/>
  <c r="B20" i="19" l="1"/>
  <c r="M38" i="19"/>
  <c r="L38" i="19"/>
  <c r="F38" i="19"/>
  <c r="B14" i="19" l="1"/>
  <c r="P15" i="13" l="1"/>
  <c r="B11" i="24" l="1"/>
  <c r="B20" i="24"/>
  <c r="B19" i="24"/>
  <c r="B18" i="24"/>
  <c r="B17" i="24"/>
  <c r="B16" i="24"/>
  <c r="B15" i="24"/>
  <c r="B14" i="24"/>
  <c r="B13" i="24"/>
  <c r="B12" i="24"/>
  <c r="B10" i="24"/>
  <c r="B9" i="24"/>
  <c r="B8" i="24"/>
  <c r="B7" i="24"/>
  <c r="B6" i="24"/>
  <c r="B21" i="24" l="1"/>
  <c r="E10" i="24"/>
  <c r="C6" i="22" l="1"/>
  <c r="D6" i="22"/>
  <c r="E6" i="22"/>
  <c r="F6" i="22"/>
  <c r="G6" i="22"/>
  <c r="H6" i="22"/>
  <c r="I6" i="22"/>
  <c r="J6" i="22"/>
  <c r="K6" i="22"/>
  <c r="L6" i="22"/>
  <c r="M6" i="22"/>
  <c r="N6" i="22"/>
  <c r="O6" i="22"/>
  <c r="P6" i="22"/>
  <c r="P7" i="22" s="1"/>
  <c r="P12" i="22" s="1"/>
  <c r="B6" i="22"/>
  <c r="C14" i="19" l="1"/>
  <c r="F45" i="13"/>
  <c r="P34" i="19" l="1"/>
  <c r="O34" i="19"/>
  <c r="N34" i="19"/>
  <c r="M34" i="19"/>
  <c r="L34" i="19"/>
  <c r="K34" i="19"/>
  <c r="J34" i="19"/>
  <c r="I34" i="19"/>
  <c r="H34" i="19"/>
  <c r="G34" i="19"/>
  <c r="F34" i="19"/>
  <c r="E34" i="19"/>
  <c r="D34" i="19"/>
  <c r="C34" i="19"/>
  <c r="E30" i="19"/>
  <c r="D30" i="19"/>
  <c r="C30" i="19"/>
  <c r="B30" i="19"/>
  <c r="E26" i="19"/>
  <c r="D26" i="19"/>
  <c r="P21" i="19"/>
  <c r="P29" i="19" s="1"/>
  <c r="O21" i="19"/>
  <c r="O29" i="19" s="1"/>
  <c r="N21" i="19"/>
  <c r="N29" i="19" s="1"/>
  <c r="M21" i="19"/>
  <c r="M29" i="19" s="1"/>
  <c r="L29" i="19"/>
  <c r="K21" i="19"/>
  <c r="K29" i="19" s="1"/>
  <c r="J21" i="19"/>
  <c r="J29" i="19" s="1"/>
  <c r="I21" i="19"/>
  <c r="I29" i="19" s="1"/>
  <c r="H21" i="19"/>
  <c r="H29" i="19" s="1"/>
  <c r="G21" i="19"/>
  <c r="G29" i="19" s="1"/>
  <c r="F21" i="19"/>
  <c r="F29" i="19" s="1"/>
  <c r="E21" i="19"/>
  <c r="E29" i="19" s="1"/>
  <c r="D21" i="19"/>
  <c r="D29" i="19" s="1"/>
  <c r="C21" i="19"/>
  <c r="C29" i="19" s="1"/>
  <c r="B21" i="19"/>
  <c r="B29" i="19" s="1"/>
  <c r="P20" i="19"/>
  <c r="P28" i="19" s="1"/>
  <c r="O20" i="19"/>
  <c r="O28" i="19" s="1"/>
  <c r="N20" i="19"/>
  <c r="N28" i="19" s="1"/>
  <c r="M20" i="19"/>
  <c r="M28" i="19" s="1"/>
  <c r="L28" i="19"/>
  <c r="K20" i="19"/>
  <c r="K28" i="19" s="1"/>
  <c r="J20" i="19"/>
  <c r="J28" i="19" s="1"/>
  <c r="I20" i="19"/>
  <c r="I28" i="19" s="1"/>
  <c r="H20" i="19"/>
  <c r="H28" i="19" s="1"/>
  <c r="G20" i="19"/>
  <c r="G28" i="19" s="1"/>
  <c r="F20" i="19"/>
  <c r="F28" i="19" s="1"/>
  <c r="E20" i="19"/>
  <c r="E28" i="19" s="1"/>
  <c r="D20" i="19"/>
  <c r="D28" i="19" s="1"/>
  <c r="C20" i="19"/>
  <c r="C28" i="19" s="1"/>
  <c r="B28" i="19"/>
  <c r="O14" i="19"/>
  <c r="O15" i="19" s="1"/>
  <c r="O5" i="22" s="1"/>
  <c r="O7" i="22" s="1"/>
  <c r="O12" i="22" s="1"/>
  <c r="O13" i="22" s="1"/>
  <c r="N14" i="19"/>
  <c r="N15" i="19" s="1"/>
  <c r="N5" i="22" s="1"/>
  <c r="N7" i="22" s="1"/>
  <c r="N12" i="22" s="1"/>
  <c r="N13" i="22" s="1"/>
  <c r="M14" i="19"/>
  <c r="L14" i="19"/>
  <c r="K14" i="19"/>
  <c r="K15" i="19" s="1"/>
  <c r="K5" i="22" s="1"/>
  <c r="K7" i="22" s="1"/>
  <c r="K12" i="22" s="1"/>
  <c r="K13" i="22" s="1"/>
  <c r="J14" i="19"/>
  <c r="J15" i="19" s="1"/>
  <c r="I14" i="19"/>
  <c r="H14" i="19"/>
  <c r="H15" i="19" s="1"/>
  <c r="H5" i="22" s="1"/>
  <c r="H7" i="22" s="1"/>
  <c r="G14" i="19"/>
  <c r="G15" i="19" s="1"/>
  <c r="G5" i="22" s="1"/>
  <c r="G7" i="22" s="1"/>
  <c r="F14" i="19"/>
  <c r="E14" i="19"/>
  <c r="D14" i="19"/>
  <c r="B15" i="19"/>
  <c r="O8" i="22"/>
  <c r="N8" i="22"/>
  <c r="K8" i="22"/>
  <c r="I8" i="22"/>
  <c r="H8" i="22"/>
  <c r="G8" i="22"/>
  <c r="C38" i="19"/>
  <c r="C15" i="19" s="1"/>
  <c r="G12" i="22" l="1"/>
  <c r="G13" i="22" s="1"/>
  <c r="G15" i="22" s="1"/>
  <c r="B25" i="19"/>
  <c r="B33" i="19" s="1"/>
  <c r="B23" i="19"/>
  <c r="J23" i="19"/>
  <c r="J31" i="19" s="1"/>
  <c r="J5" i="22"/>
  <c r="I15" i="19"/>
  <c r="I23" i="19" s="1"/>
  <c r="I31" i="19" s="1"/>
  <c r="C26" i="19"/>
  <c r="N15" i="22"/>
  <c r="K15" i="22"/>
  <c r="O15" i="22"/>
  <c r="H12" i="22"/>
  <c r="H13" i="22" s="1"/>
  <c r="L15" i="19"/>
  <c r="L5" i="22" s="1"/>
  <c r="L7" i="22" s="1"/>
  <c r="L12" i="22" s="1"/>
  <c r="L13" i="22" s="1"/>
  <c r="L8" i="22"/>
  <c r="P8" i="22"/>
  <c r="M15" i="19"/>
  <c r="M5" i="22" s="1"/>
  <c r="M7" i="22" s="1"/>
  <c r="M12" i="22" s="1"/>
  <c r="M13" i="22" s="1"/>
  <c r="M8" i="22"/>
  <c r="C8" i="22"/>
  <c r="C5" i="22"/>
  <c r="C7" i="22" s="1"/>
  <c r="C12" i="22" s="1"/>
  <c r="C15" i="22" s="1"/>
  <c r="D8" i="22"/>
  <c r="D38" i="19"/>
  <c r="D15" i="19" s="1"/>
  <c r="D5" i="22" s="1"/>
  <c r="D7" i="22" s="1"/>
  <c r="D12" i="22" s="1"/>
  <c r="D15" i="22" s="1"/>
  <c r="E8" i="22"/>
  <c r="E38" i="19"/>
  <c r="E15" i="19" s="1"/>
  <c r="F8" i="22"/>
  <c r="F15" i="19"/>
  <c r="J8" i="22"/>
  <c r="B5" i="22"/>
  <c r="B7" i="22" s="1"/>
  <c r="B12" i="22" s="1"/>
  <c r="N25" i="19"/>
  <c r="N33" i="19" s="1"/>
  <c r="N23" i="19"/>
  <c r="N31" i="19" s="1"/>
  <c r="N24" i="19"/>
  <c r="N32" i="19" s="1"/>
  <c r="I25" i="19"/>
  <c r="I33" i="19" s="1"/>
  <c r="B24" i="19"/>
  <c r="B32" i="19" s="1"/>
  <c r="K23" i="19"/>
  <c r="K31" i="19" s="1"/>
  <c r="K24" i="19"/>
  <c r="K32" i="19" s="1"/>
  <c r="K25" i="19"/>
  <c r="K33" i="19" s="1"/>
  <c r="G23" i="19"/>
  <c r="G31" i="19" s="1"/>
  <c r="G25" i="19"/>
  <c r="G33" i="19" s="1"/>
  <c r="G24" i="19"/>
  <c r="G32" i="19" s="1"/>
  <c r="O23" i="19"/>
  <c r="O31" i="19" s="1"/>
  <c r="O25" i="19"/>
  <c r="O33" i="19" s="1"/>
  <c r="O24" i="19"/>
  <c r="O32" i="19" s="1"/>
  <c r="H23" i="19"/>
  <c r="H31" i="19" s="1"/>
  <c r="H24" i="19"/>
  <c r="H32" i="19" s="1"/>
  <c r="H25" i="19"/>
  <c r="H33" i="19" s="1"/>
  <c r="B31" i="19" l="1"/>
  <c r="I24" i="19"/>
  <c r="I32" i="19" s="1"/>
  <c r="I5" i="22"/>
  <c r="I7" i="22" s="1"/>
  <c r="I12" i="22" s="1"/>
  <c r="I13" i="22" s="1"/>
  <c r="H15" i="22"/>
  <c r="E25" i="19"/>
  <c r="E33" i="19" s="1"/>
  <c r="E5" i="22"/>
  <c r="E7" i="22" s="1"/>
  <c r="E12" i="22" s="1"/>
  <c r="C13" i="22" s="1"/>
  <c r="M15" i="22"/>
  <c r="F24" i="19"/>
  <c r="F32" i="19" s="1"/>
  <c r="F5" i="22"/>
  <c r="F7" i="22" s="1"/>
  <c r="F12" i="22" s="1"/>
  <c r="J25" i="19"/>
  <c r="J33" i="19" s="1"/>
  <c r="J7" i="22"/>
  <c r="J12" i="22" s="1"/>
  <c r="J15" i="22" s="1"/>
  <c r="P13" i="22"/>
  <c r="P15" i="22" s="1"/>
  <c r="F25" i="19"/>
  <c r="F33" i="19" s="1"/>
  <c r="F23" i="19"/>
  <c r="F31" i="19" s="1"/>
  <c r="E23" i="19"/>
  <c r="E31" i="19" s="1"/>
  <c r="E24" i="19"/>
  <c r="E32" i="19" s="1"/>
  <c r="J24" i="19"/>
  <c r="J32" i="19" s="1"/>
  <c r="C25" i="19"/>
  <c r="C33" i="19" s="1"/>
  <c r="C23" i="19"/>
  <c r="C31" i="19" s="1"/>
  <c r="C24" i="19"/>
  <c r="C32" i="19" s="1"/>
  <c r="P23" i="19"/>
  <c r="P31" i="19" s="1"/>
  <c r="P24" i="19"/>
  <c r="P32" i="19" s="1"/>
  <c r="P25" i="19"/>
  <c r="P33" i="19" s="1"/>
  <c r="L23" i="19"/>
  <c r="L31" i="19" s="1"/>
  <c r="L24" i="19"/>
  <c r="L32" i="19" s="1"/>
  <c r="L25" i="19"/>
  <c r="L33" i="19" s="1"/>
  <c r="D23" i="19"/>
  <c r="D31" i="19" s="1"/>
  <c r="D24" i="19"/>
  <c r="D32" i="19" s="1"/>
  <c r="D25" i="19"/>
  <c r="D33" i="19" s="1"/>
  <c r="M24" i="19"/>
  <c r="M32" i="19" s="1"/>
  <c r="M23" i="19"/>
  <c r="M31" i="19" s="1"/>
  <c r="M25" i="19"/>
  <c r="M33" i="19" s="1"/>
  <c r="D13" i="22" l="1"/>
  <c r="F15" i="22"/>
  <c r="B13" i="22"/>
  <c r="I15" i="22"/>
  <c r="J13" i="22"/>
  <c r="F13" i="22"/>
  <c r="E15" i="22"/>
  <c r="E13" i="22"/>
  <c r="B23" i="13" l="1"/>
  <c r="C13" i="13" l="1"/>
  <c r="B15" i="13"/>
  <c r="C10" i="13" l="1"/>
  <c r="F74" i="13" l="1"/>
  <c r="F72" i="13"/>
  <c r="P10" i="13" l="1"/>
  <c r="O10" i="13"/>
  <c r="N10" i="13"/>
  <c r="M10" i="13"/>
  <c r="L10" i="13"/>
  <c r="K10" i="13"/>
  <c r="J10" i="13"/>
  <c r="I10" i="13"/>
  <c r="H10" i="13"/>
  <c r="G10" i="13"/>
  <c r="F10" i="13"/>
  <c r="E10" i="13"/>
  <c r="D10" i="13"/>
  <c r="C11" i="13"/>
  <c r="B32" i="13" l="1"/>
  <c r="F59" i="13"/>
  <c r="F66" i="13"/>
  <c r="C26" i="13" l="1"/>
  <c r="D26" i="13"/>
  <c r="E26" i="13"/>
  <c r="E66" i="13" l="1"/>
  <c r="G60" i="13"/>
  <c r="G53" i="13"/>
  <c r="B7" i="13" l="1"/>
  <c r="F70" i="13"/>
  <c r="F71" i="13"/>
  <c r="F73" i="13" l="1"/>
  <c r="P13" i="13" l="1"/>
  <c r="C41" i="13" l="1"/>
  <c r="D11" i="13"/>
  <c r="D41" i="13" s="1"/>
  <c r="E11" i="13"/>
  <c r="E41" i="13" s="1"/>
  <c r="F11" i="13"/>
  <c r="F41" i="13" s="1"/>
  <c r="G11" i="13"/>
  <c r="H11" i="13"/>
  <c r="I11" i="13"/>
  <c r="J11" i="13"/>
  <c r="J41" i="13" s="1"/>
  <c r="J15" i="13" s="1"/>
  <c r="K11" i="13"/>
  <c r="L11" i="13"/>
  <c r="L41" i="13" s="1"/>
  <c r="M11" i="13"/>
  <c r="M41" i="13" s="1"/>
  <c r="N11" i="13"/>
  <c r="O11" i="13"/>
  <c r="P11" i="13"/>
  <c r="P14" i="13" l="1"/>
  <c r="I54" i="13" l="1"/>
  <c r="I47" i="13"/>
  <c r="E45" i="13"/>
  <c r="B26" i="13" l="1"/>
  <c r="I62" i="13"/>
  <c r="G62" i="13"/>
  <c r="H74" i="13" l="1"/>
  <c r="H72" i="13"/>
  <c r="H71" i="13"/>
  <c r="D71" i="13"/>
  <c r="H70" i="13"/>
  <c r="D13" i="13" s="1"/>
  <c r="D14" i="13" s="1"/>
  <c r="D70" i="13"/>
  <c r="I69" i="13"/>
  <c r="G69" i="13"/>
  <c r="I68" i="13"/>
  <c r="D68" i="13"/>
  <c r="I67" i="13"/>
  <c r="G67" i="13"/>
  <c r="D67" i="13"/>
  <c r="I66" i="13"/>
  <c r="G66" i="13"/>
  <c r="I65" i="13"/>
  <c r="G65" i="13"/>
  <c r="D65" i="13"/>
  <c r="I64" i="13"/>
  <c r="G64" i="13"/>
  <c r="I63" i="13"/>
  <c r="G63" i="13"/>
  <c r="I61" i="13"/>
  <c r="G61" i="13"/>
  <c r="I60" i="13"/>
  <c r="I59" i="13"/>
  <c r="I58" i="13"/>
  <c r="D58" i="13"/>
  <c r="I57" i="13"/>
  <c r="G57" i="13"/>
  <c r="I56" i="13"/>
  <c r="G56" i="13"/>
  <c r="I55" i="13"/>
  <c r="G55" i="13"/>
  <c r="G54" i="13"/>
  <c r="D54" i="13"/>
  <c r="I53" i="13"/>
  <c r="D53" i="13"/>
  <c r="I52" i="13"/>
  <c r="G52" i="13"/>
  <c r="I51" i="13"/>
  <c r="G51" i="13"/>
  <c r="D51" i="13"/>
  <c r="D50" i="13"/>
  <c r="I49" i="13"/>
  <c r="G49" i="13"/>
  <c r="D49" i="13"/>
  <c r="I48" i="13"/>
  <c r="G48" i="13"/>
  <c r="G47" i="13"/>
  <c r="I46" i="13"/>
  <c r="G46" i="13"/>
  <c r="H45" i="13"/>
  <c r="B13" i="13" s="1"/>
  <c r="B14" i="13" s="1"/>
  <c r="M32" i="13"/>
  <c r="I32" i="13"/>
  <c r="H32" i="13"/>
  <c r="E32" i="13"/>
  <c r="D32" i="13"/>
  <c r="C32" i="13"/>
  <c r="L14" i="13"/>
  <c r="O13" i="13"/>
  <c r="O14" i="13" s="1"/>
  <c r="O15" i="13" s="1"/>
  <c r="N13" i="13"/>
  <c r="N14" i="13" s="1"/>
  <c r="N15" i="13" s="1"/>
  <c r="M13" i="13"/>
  <c r="M14" i="13" s="1"/>
  <c r="L13" i="13"/>
  <c r="K13" i="13"/>
  <c r="K14" i="13" s="1"/>
  <c r="K15" i="13" s="1"/>
  <c r="J13" i="13"/>
  <c r="J14" i="13" s="1"/>
  <c r="I13" i="13"/>
  <c r="I14" i="13" s="1"/>
  <c r="I15" i="13" s="1"/>
  <c r="H13" i="13"/>
  <c r="H14" i="13" s="1"/>
  <c r="H15" i="13" s="1"/>
  <c r="G13" i="13"/>
  <c r="G14" i="13" s="1"/>
  <c r="G15" i="13" s="1"/>
  <c r="F13" i="13"/>
  <c r="F14" i="13" s="1"/>
  <c r="E13" i="13"/>
  <c r="E14" i="13" s="1"/>
  <c r="B25" i="13" l="1"/>
  <c r="B37" i="13" s="1"/>
  <c r="B24" i="13"/>
  <c r="B34" i="13" s="1"/>
  <c r="B33" i="13"/>
  <c r="I45" i="13"/>
  <c r="F15" i="13"/>
  <c r="F23" i="13" s="1"/>
  <c r="J23" i="13"/>
  <c r="M15" i="13"/>
  <c r="F25" i="13"/>
  <c r="G25" i="13"/>
  <c r="G23" i="13"/>
  <c r="G24" i="13"/>
  <c r="O25" i="13"/>
  <c r="O23" i="13"/>
  <c r="O24" i="13"/>
  <c r="K23" i="13"/>
  <c r="K24" i="13"/>
  <c r="K25" i="13"/>
  <c r="N24" i="13"/>
  <c r="N25" i="13"/>
  <c r="N23" i="13"/>
  <c r="I25" i="13"/>
  <c r="I37" i="13" s="1"/>
  <c r="I23" i="13"/>
  <c r="I33" i="13" s="1"/>
  <c r="I24" i="13"/>
  <c r="I34" i="13" s="1"/>
  <c r="E15" i="13"/>
  <c r="H23" i="13"/>
  <c r="H33" i="13" s="1"/>
  <c r="H24" i="13"/>
  <c r="H34" i="13" s="1"/>
  <c r="H25" i="13"/>
  <c r="D15" i="13"/>
  <c r="L15" i="13"/>
  <c r="H73" i="13"/>
  <c r="C14" i="13" s="1"/>
  <c r="J24" i="13" l="1"/>
  <c r="F24" i="13"/>
  <c r="J25" i="13"/>
  <c r="C15" i="13"/>
  <c r="C25" i="13" s="1"/>
  <c r="E24" i="13"/>
  <c r="E34" i="13" s="1"/>
  <c r="E23" i="13"/>
  <c r="E33" i="13" s="1"/>
  <c r="E25" i="13"/>
  <c r="E37" i="13" s="1"/>
  <c r="D24" i="13"/>
  <c r="D34" i="13" s="1"/>
  <c r="D25" i="13"/>
  <c r="D37" i="13" s="1"/>
  <c r="D23" i="13"/>
  <c r="D33" i="13" s="1"/>
  <c r="P23" i="13"/>
  <c r="P24" i="13"/>
  <c r="P25" i="13"/>
  <c r="L25" i="13"/>
  <c r="L23" i="13"/>
  <c r="L24" i="13"/>
  <c r="M24" i="13"/>
  <c r="M34" i="13" s="1"/>
  <c r="M23" i="13"/>
  <c r="M33" i="13" s="1"/>
  <c r="M25" i="13"/>
  <c r="H37" i="13"/>
  <c r="C23" i="13" l="1"/>
  <c r="C33" i="13" s="1"/>
  <c r="C24" i="13"/>
  <c r="C34" i="13" s="1"/>
  <c r="M37" i="13"/>
  <c r="C37" i="13"/>
  <c r="L21" i="13" l="1"/>
  <c r="L38" i="13"/>
  <c r="M38" i="13"/>
  <c r="M21" i="13"/>
  <c r="N38" i="13"/>
  <c r="N21" i="13"/>
  <c r="O21" i="13"/>
  <c r="O38" i="13"/>
  <c r="H38" i="13"/>
  <c r="H21" i="13"/>
  <c r="I21" i="13"/>
  <c r="I38" i="13"/>
  <c r="P38" i="13"/>
  <c r="P21" i="13"/>
  <c r="L20" i="13"/>
  <c r="P20" i="13"/>
  <c r="O20" i="13"/>
  <c r="H20" i="13"/>
  <c r="H28" i="13" s="1"/>
  <c r="N20" i="13"/>
  <c r="I20" i="13"/>
  <c r="I28" i="13" s="1"/>
  <c r="M20" i="13"/>
  <c r="M28" i="13" s="1"/>
  <c r="J20" i="13" l="1"/>
  <c r="I29" i="13"/>
  <c r="I36" i="13"/>
  <c r="I35" i="13" s="1"/>
  <c r="H29" i="13"/>
  <c r="H36" i="13"/>
  <c r="H35" i="13" s="1"/>
  <c r="G38" i="13"/>
  <c r="G21" i="13"/>
  <c r="G20" i="13"/>
  <c r="F20" i="13"/>
  <c r="M29" i="13"/>
  <c r="M36" i="13"/>
  <c r="M35" i="13" s="1"/>
  <c r="F38" i="13"/>
  <c r="F21" i="13"/>
  <c r="K20" i="13"/>
  <c r="K21" i="13"/>
  <c r="K38" i="13"/>
  <c r="J38" i="13"/>
  <c r="J21" i="13"/>
  <c r="C21" i="13" l="1"/>
  <c r="C38" i="13"/>
  <c r="C20" i="13"/>
  <c r="C28" i="13" s="1"/>
  <c r="D38" i="13"/>
  <c r="D20" i="13"/>
  <c r="D28" i="13" s="1"/>
  <c r="D21" i="13"/>
  <c r="E38" i="13"/>
  <c r="E21" i="13"/>
  <c r="E20" i="13"/>
  <c r="E28" i="13" s="1"/>
  <c r="E29" i="13" l="1"/>
  <c r="E36" i="13"/>
  <c r="E35" i="13" s="1"/>
  <c r="D29" i="13"/>
  <c r="D36" i="13"/>
  <c r="D35" i="13" s="1"/>
  <c r="C29" i="13"/>
  <c r="C36" i="13"/>
  <c r="C35" i="13" s="1"/>
  <c r="B38" i="13" l="1"/>
  <c r="B21" i="13"/>
  <c r="B29" i="13" s="1"/>
  <c r="B20" i="13"/>
  <c r="B28" i="13" s="1"/>
  <c r="B36" i="13"/>
  <c r="B35" i="13" s="1"/>
</calcChain>
</file>

<file path=xl/sharedStrings.xml><?xml version="1.0" encoding="utf-8"?>
<sst xmlns="http://schemas.openxmlformats.org/spreadsheetml/2006/main" count="1068" uniqueCount="161">
  <si>
    <t>APS</t>
  </si>
  <si>
    <t>DPL</t>
  </si>
  <si>
    <t>AE</t>
  </si>
  <si>
    <t>BGE</t>
  </si>
  <si>
    <t>DLCO</t>
  </si>
  <si>
    <t>JCPL</t>
  </si>
  <si>
    <t>PEPCO</t>
  </si>
  <si>
    <t xml:space="preserve"> </t>
  </si>
  <si>
    <t>RTO</t>
  </si>
  <si>
    <t>SWMAAC</t>
  </si>
  <si>
    <t>EMAAC</t>
  </si>
  <si>
    <t>MAAC</t>
  </si>
  <si>
    <t>COMED</t>
  </si>
  <si>
    <t>DAYTON</t>
  </si>
  <si>
    <t>DOM</t>
  </si>
  <si>
    <t>METED</t>
  </si>
  <si>
    <t>RECO</t>
  </si>
  <si>
    <t>DPL SOUTH</t>
  </si>
  <si>
    <t>ATSI</t>
  </si>
  <si>
    <t>AEP</t>
  </si>
  <si>
    <t>DEOK</t>
  </si>
  <si>
    <t>EKPC</t>
  </si>
  <si>
    <t>Notes:</t>
  </si>
  <si>
    <t xml:space="preserve">Installed Reserve Margin (IRM) </t>
  </si>
  <si>
    <t>Pool-Wide Average EFORd</t>
  </si>
  <si>
    <t>Forecast Pool Requirement (FPR)</t>
  </si>
  <si>
    <t>Preliminary Forecast Peak Load</t>
  </si>
  <si>
    <t>Locational Deliverability Area</t>
  </si>
  <si>
    <t>PS</t>
  </si>
  <si>
    <t>PS NORTH</t>
  </si>
  <si>
    <t>ATSI-Cleveland</t>
  </si>
  <si>
    <t>PL</t>
  </si>
  <si>
    <t>CETO</t>
  </si>
  <si>
    <t>NA</t>
  </si>
  <si>
    <t>CETL</t>
  </si>
  <si>
    <t>Reliability Requirement</t>
  </si>
  <si>
    <t>Preliminary FRR Obligation</t>
  </si>
  <si>
    <t>Reliability Requirement adjusted for FRR</t>
  </si>
  <si>
    <t>Gross CONE, $/MW-Day (UCAP Price)</t>
  </si>
  <si>
    <t>Net CONE, $/MW-Day (UCAP Price)</t>
  </si>
  <si>
    <t>Variable Resource Requirement Curve:</t>
  </si>
  <si>
    <t>Point (a) UCAP Price, $/MW-Day</t>
  </si>
  <si>
    <t>Point (b) UCAP Price, $/MW-Day</t>
  </si>
  <si>
    <t>Point (c) UCAP Price, $/MW-Day</t>
  </si>
  <si>
    <t>Point (a) UCAP Level, MW</t>
  </si>
  <si>
    <t>Point (b) UCAP Level, MW</t>
  </si>
  <si>
    <t>Point (c) UCAP Level, MW</t>
  </si>
  <si>
    <t>VRR Curve adjusted for PRD:</t>
  </si>
  <si>
    <t>Point (a1) UCAP Price, $/MW-Day</t>
  </si>
  <si>
    <t>Point (b1) UCAP Price, $/MW-Day</t>
  </si>
  <si>
    <t>Point (prd1) UCAP Price, $/MW-Day</t>
  </si>
  <si>
    <t>Point (prd2) UCAP Price, $/MW-Day</t>
  </si>
  <si>
    <t>Point (a1) UCAP Level, MW</t>
  </si>
  <si>
    <t>Point (b1) UCAP Level, MW</t>
  </si>
  <si>
    <t>Point (prd1) UCAP Level, MW</t>
  </si>
  <si>
    <t>Point (prd2) UCAP Level, MW</t>
  </si>
  <si>
    <t>Pre-Auction Credit Rate, $/MW</t>
  </si>
  <si>
    <t>Participant-Funded ICTRs Awarded</t>
  </si>
  <si>
    <t>FRR Load Requirement (% Obligation):</t>
  </si>
  <si>
    <t>Minimum Internal Resource Requirement</t>
  </si>
  <si>
    <t>LDA CETO/CETL Data; Zonal Peak Loads, Base Zonal FRR Scaling Factors, and FRR load.</t>
  </si>
  <si>
    <t>LDA/Zone</t>
  </si>
  <si>
    <t>CETL to CETO Ratio %</t>
  </si>
  <si>
    <t>Preliminary Zonal Peak Load Forecast</t>
  </si>
  <si>
    <t>Base Zonal FRR Scaling Factor</t>
  </si>
  <si>
    <t xml:space="preserve">FRR Portion of the Preliminary Peak Load Forecast       </t>
  </si>
  <si>
    <t>Preliminary Zonal Peak Load Forecast less FRR load</t>
  </si>
  <si>
    <t>*</t>
  </si>
  <si>
    <t>ATSI-CLEVELAND</t>
  </si>
  <si>
    <t>PECO</t>
  </si>
  <si>
    <t>PENLC</t>
  </si>
  <si>
    <t>PL (incl. UGI)</t>
  </si>
  <si>
    <t>Western MAAC</t>
  </si>
  <si>
    <t>Western PJM</t>
  </si>
  <si>
    <t>* LDA has adequate internal resources to meet the reliability criterion.</t>
  </si>
  <si>
    <t>Limiting conditions at the CETL for modeled LDAs:</t>
  </si>
  <si>
    <t xml:space="preserve">LDA      </t>
  </si>
  <si>
    <t>PSNORTH</t>
  </si>
  <si>
    <t>DPLSOUTH</t>
  </si>
  <si>
    <t>2022-2023 RPM Base Residual Auction Planning Parameters</t>
  </si>
  <si>
    <t>OVEC</t>
  </si>
  <si>
    <t>Nominated PRD Value, MW</t>
  </si>
  <si>
    <t>Total Peak Load of FRR Entities</t>
  </si>
  <si>
    <t>2020 IRM Study</t>
  </si>
  <si>
    <t>2020 Zonal W/N Coincident Peak Loads</t>
  </si>
  <si>
    <t>Limiting Facility</t>
  </si>
  <si>
    <t>Violation</t>
  </si>
  <si>
    <t xml:space="preserve">Thermal </t>
  </si>
  <si>
    <t xml:space="preserve">  </t>
  </si>
  <si>
    <t>High Ridge - Sandy Spring 230 kV ckt 2314 for the loss of High Ridge - Sandy Spring - Burtonsville 230 kV ckt 2334
Elmont - Ladysmith 500 kV for the loss of Modlothian - North Anna 500 kV</t>
  </si>
  <si>
    <t>Voltage</t>
  </si>
  <si>
    <t>Voltage collapse for the loss of Keeney - Rock Springs 500 kV</t>
  </si>
  <si>
    <t>Voltage drop at various 230kV and 500kV buses near the contingency for the loss of Burches Hill-Possum Point 500kV circuit</t>
  </si>
  <si>
    <t>Thermal</t>
  </si>
  <si>
    <t>Cedar Grove - Clifton 'B' 230 kV for the loss of  Cedar Grove - Clifton 'K' 230 kV 
Brunswick - Meadow Road 230 kV ckt Z2331 for the loss of Metuchen -Pierson Ave - Meadow Rd- Deans 230 kV ckt s2219</t>
  </si>
  <si>
    <t>Roseland - Williams Pipeline 230 kV for the loss of  Cedar Grove to Roseland 230 kV circuit
Stanley Terrace - MC Carter 230 kV for the loss of  West Orange - MC Carter 230 kV  circuit
High Ridge - Sandy Spring 230 kV ckt 2314 for the loss of High Ridge - Sandy Spring - Burtonsville 230 kV ckt 2334
Brandon Shores - Hawkins Point #2344 230kV line for the loss of Sollers Point - Riverside - N. East #2345 230kV line</t>
  </si>
  <si>
    <t>Cedar Creek - Silver Run 230kV line for the loss of Cartanza - Milford 230kV line
Mt Pleasant - Middle Point 138 kV for the loss of Cartanza - Milford 230kV line 
Keeney - Rock Springs 500 kV for the loss of Peach Bottom - Limerick 500 kV</t>
  </si>
  <si>
    <t>Voltage drop at Sandy Springs 230kV bus for the loss of Burches Hill-Possum Point 500kV circuit</t>
  </si>
  <si>
    <t>Overload of Wylie Ridge-Toronto 345 kV for the loss of Wylie Ridge 345/138 kV transformers 1 and 2</t>
  </si>
  <si>
    <t>Overload of Inland Q-11-Clinic Health 138 kV for the loss of the Inland #4 345/138 kV transformer</t>
  </si>
  <si>
    <t>Olive - University Park 345 kV for loss of Dumont - Wilton Center 765 kV</t>
  </si>
  <si>
    <t>Voltage drop at Pumphrey  115 kV bus for the loss of Conastone-Brighton 500kV line (5011)</t>
  </si>
  <si>
    <t>Shelby - Sidney 138 kV for the loss of the Miami - West Milton -Miami Fort 345 kV
Gosney Hill - Still Run 138 kV for the loss of Kammer -  S. Canton 765 kV circuit and S. Canton 765/345 kV transformer</t>
  </si>
  <si>
    <t xml:space="preserve">Pierce - Foster 345 kV for the loss of Miami Fort - Tanner's Creek 345 kV circuit   
Pierce 345/138 kV transformer #18 for the loss of the  Pierce - Foster 345 kV circuit      </t>
  </si>
  <si>
    <t>&gt;115%</t>
  </si>
  <si>
    <t>&gt;1403.0</t>
  </si>
  <si>
    <t>&gt;1024.0</t>
  </si>
  <si>
    <t>&gt;2737.0</t>
  </si>
  <si>
    <t>&gt;1196.0</t>
  </si>
  <si>
    <t>&gt;3634.0</t>
  </si>
  <si>
    <t>&gt;1483.5</t>
  </si>
  <si>
    <t>&gt;1254.0</t>
  </si>
  <si>
    <t>&gt;1518.0</t>
  </si>
  <si>
    <t>2021 Load Report with adjustments for load served outside PJM.</t>
  </si>
  <si>
    <t>Wescosville 500/138 kV transformer pre-contingency
High Ridge - Sandy Spring 230 kV ckt 2314 for the loss of High Ridge - Sandy Spring - Burtonsville 230 kV ckt 2334
Brandon Shores - Hawkins Point #2344 230kV line for the loss of Sollers Point - Riverside - N. East #2345 230kV line</t>
  </si>
  <si>
    <t>EE Addback (UCAP)</t>
  </si>
  <si>
    <t>Original 2/8/2021: Reliability Requirement not adjusted for FRR load.</t>
  </si>
  <si>
    <t xml:space="preserve">Revision 4/22/2021: Reliability Requirement adjusted for FRR load.  </t>
  </si>
  <si>
    <t>Revision 5/17/2021: VRR Curve updated to reflect adjustments for total quantity of EE Resources for which PJM accepted an EE M&amp;V Plan submitted for the auction.</t>
  </si>
  <si>
    <t>2022 Load Report with adjustments for load served outside PJM.</t>
  </si>
  <si>
    <t>ATSI-C</t>
  </si>
  <si>
    <t>3rd IA Reliability Requirement</t>
  </si>
  <si>
    <t>Change in Reliability Requirement * (1)</t>
  </si>
  <si>
    <t>Additional Buy Bids *** (3)</t>
  </si>
  <si>
    <t>Net of (1), (2), and (3)</t>
  </si>
  <si>
    <t>Rest of LDA PJM Buy Bid Quantity Unadjusted</t>
  </si>
  <si>
    <t>Rest of LDA PJM Buy Bid Quantity Adjusted ****</t>
  </si>
  <si>
    <t>Capacity Import Limit Margin for 3rd IA</t>
  </si>
  <si>
    <t xml:space="preserve"> * As per Section 5.4.(c) of the PJM OATT, the reliability requirement for the RTO and each LDA will be updated since the change in reliability requirement for the RTO exceeds the lesser of the 500 MW or 1% threshold.</t>
  </si>
  <si>
    <t xml:space="preserve"> ** No updates in CETL values.</t>
  </si>
  <si>
    <t xml:space="preserve"> *** Additional Buy Bids to account for election of Non-Viable MWs related to Prior CIL Exception External Resources which were deemed not Operationally Deliverable for the Delivery Year to be requested for 3rd Incremental Auction. None received.</t>
  </si>
  <si>
    <t xml:space="preserve"> **** PJM Sell Offer and PJM Buy Bid quantities in nested LDAs may be adjusted in some cases to take into account any reliability impacts on the total LDA.</t>
  </si>
  <si>
    <t>Change in CETL from BRA to 3rd IA **</t>
  </si>
  <si>
    <t>Capacity Import Limit Margin remaining after BRA</t>
  </si>
  <si>
    <t>Uncleared PJM Buy Bids from previous IA (2)</t>
  </si>
  <si>
    <t>PJM Buy Bids &amp; Sell Offers</t>
  </si>
  <si>
    <t>Price Points for PJM Buy Bids and PJM Sell Offers **</t>
  </si>
  <si>
    <t>Location</t>
  </si>
  <si>
    <t>Rest of LDA PJM Buy Bid (MW) *</t>
  </si>
  <si>
    <t>Point 1 x-axis (MW)</t>
  </si>
  <si>
    <t>Point 1 y-axis ($/MW-Day)</t>
  </si>
  <si>
    <t>Point 2 x-axis (MW)</t>
  </si>
  <si>
    <t>Point 2 y-axis ($/MW-Day)</t>
  </si>
  <si>
    <t>Point 3 x-axis (MW)</t>
  </si>
  <si>
    <t>Point 3 y-axis ($/MW-Day)</t>
  </si>
  <si>
    <t>RTO (Rest of)</t>
  </si>
  <si>
    <t xml:space="preserve"> --</t>
  </si>
  <si>
    <t>MAAC (Rest of)</t>
  </si>
  <si>
    <t>EMAAC (Rest of)</t>
  </si>
  <si>
    <t>SWMAAC (Rest of)</t>
  </si>
  <si>
    <t>PS (Rest of)</t>
  </si>
  <si>
    <t>ATSI (Rest of)</t>
  </si>
  <si>
    <t>TOTAL</t>
  </si>
  <si>
    <t xml:space="preserve">   * A PJM Sell Offer is indicated by a negative PJM Buy Bid.</t>
  </si>
  <si>
    <t xml:space="preserve"> ** The price of a PJM buy bid is based on the Updated VRR Curve Increment which is the portion of the Updated VRR Curve remaining beyond the point representing all capacity already procured in prior auctions for the Delivery Year. The price of a PJM Sell Offer is based on the Updated VRR Curve Decrement which is the portion of the Updated VRR Curve to the left of the point representing all capacity already procured in prior auctions for the Delivery Year. </t>
  </si>
  <si>
    <t xml:space="preserve">Configuration of 3rd Incremental Auction for 2022/2023 Delivery Year </t>
  </si>
  <si>
    <t>BRA Reliability Requirement</t>
  </si>
  <si>
    <t>2021 IRM Study</t>
  </si>
  <si>
    <t>2022-2023 3rd Incremental Auction Configuration</t>
  </si>
  <si>
    <t>2022-2023 RPM 3rd Incremental Auction Planning Parameters</t>
  </si>
  <si>
    <t>Post-Auction Credit Rate, $/MW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</si>
</sst>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4" formatCode="_(&quot;$&quot;* #,##0.00_);_(&quot;$&quot;* \(#,##0.00\);_(&quot;$&quot;* &quot;-&quot;??_);_(@_)"/>
    <numFmt numFmtId="43" formatCode="_(* #,##0.00_);_(* \(#,##0.00\);_(* &quot;-&quot;??_);_(@_)"/>
    <numFmt numFmtId="164" formatCode="&quot;$&quot;#,##0.00"/>
    <numFmt numFmtId="165" formatCode="#,##0.0"/>
    <numFmt numFmtId="166" formatCode="0.0%"/>
    <numFmt numFmtId="167" formatCode="0.0000"/>
    <numFmt numFmtId="168" formatCode="0.0"/>
    <numFmt numFmtId="169" formatCode="0.00000"/>
    <numFmt numFmtId="170" formatCode="&quot;$&quot;#,##0"/>
  </numFmts>
  <fonts count="2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4"/>
      <name val="Arial"/>
      <family val="2"/>
    </font>
    <font>
      <b/>
      <sz val="12"/>
      <name val="Arial"/>
      <family val="2"/>
    </font>
    <font>
      <sz val="12"/>
      <name val="Arial"/>
      <family val="2"/>
    </font>
    <font>
      <sz val="10"/>
      <name val="Arial"/>
      <family val="2"/>
    </font>
    <font>
      <sz val="10"/>
      <name val="Arial"/>
      <family val="2"/>
    </font>
    <font>
      <sz val="11"/>
      <color theme="1"/>
      <name val="Calibri"/>
      <family val="2"/>
      <scheme val="minor"/>
    </font>
    <font>
      <sz val="10"/>
      <color rgb="FFFF0000"/>
      <name val="Arial"/>
      <family val="2"/>
    </font>
    <font>
      <sz val="10"/>
      <color theme="1"/>
      <name val="Arial"/>
      <family val="2"/>
    </font>
    <font>
      <b/>
      <sz val="14"/>
      <color rgb="FFFF0000"/>
      <name val="Arial"/>
      <family val="2"/>
    </font>
    <font>
      <b/>
      <sz val="12"/>
      <color rgb="FFFF0000"/>
      <name val="Arial"/>
      <family val="2"/>
    </font>
    <font>
      <sz val="10"/>
      <name val="Arial"/>
      <family val="2"/>
    </font>
    <font>
      <b/>
      <sz val="10"/>
      <name val="Arial"/>
      <family val="2"/>
    </font>
    <font>
      <sz val="12"/>
      <color theme="1"/>
      <name val="Arial"/>
      <family val="2"/>
    </font>
    <font>
      <sz val="11"/>
      <name val="Arial"/>
      <family val="2"/>
    </font>
    <font>
      <b/>
      <sz val="12"/>
      <color theme="1"/>
      <name val="Arial"/>
      <family val="2"/>
    </font>
    <font>
      <b/>
      <sz val="14"/>
      <name val="Calibri"/>
      <family val="2"/>
      <scheme val="minor"/>
    </font>
    <font>
      <b/>
      <sz val="14"/>
      <color rgb="FFFF0000"/>
      <name val="Calibri"/>
      <family val="2"/>
      <scheme val="minor"/>
    </font>
    <font>
      <b/>
      <sz val="12"/>
      <name val="Calibri"/>
      <family val="2"/>
      <scheme val="minor"/>
    </font>
    <font>
      <sz val="12"/>
      <name val="Calibri"/>
      <family val="2"/>
      <scheme val="minor"/>
    </font>
    <font>
      <b/>
      <sz val="12"/>
      <color rgb="FFFF0000"/>
      <name val="Calibri"/>
      <family val="2"/>
      <scheme val="minor"/>
    </font>
    <font>
      <sz val="10"/>
      <name val="Calibri"/>
      <family val="2"/>
      <scheme val="minor"/>
    </font>
  </fonts>
  <fills count="7">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6" tint="0.59999389629810485"/>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medium">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s>
  <cellStyleXfs count="34">
    <xf numFmtId="0" fontId="0" fillId="0" borderId="0"/>
    <xf numFmtId="43" fontId="12" fillId="0" borderId="0" applyFont="0" applyFill="0" applyBorder="0" applyAlignment="0" applyProtection="0"/>
    <xf numFmtId="0" fontId="11" fillId="0" borderId="0"/>
    <xf numFmtId="0" fontId="10" fillId="0" borderId="0">
      <alignment wrapText="1"/>
    </xf>
    <xf numFmtId="0" fontId="10" fillId="0" borderId="0"/>
    <xf numFmtId="0" fontId="12" fillId="0" borderId="0"/>
    <xf numFmtId="9" fontId="6"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44" fontId="10" fillId="0" borderId="0" applyFont="0" applyFill="0" applyBorder="0" applyAlignment="0" applyProtection="0"/>
    <xf numFmtId="0" fontId="10" fillId="0" borderId="0"/>
    <xf numFmtId="0" fontId="5" fillId="0" borderId="0"/>
    <xf numFmtId="9" fontId="10" fillId="0" borderId="0" applyFont="0" applyFill="0" applyBorder="0" applyAlignment="0" applyProtection="0"/>
    <xf numFmtId="0" fontId="14" fillId="0" borderId="0"/>
    <xf numFmtId="0" fontId="6" fillId="0" borderId="0"/>
    <xf numFmtId="0" fontId="14" fillId="0" borderId="0"/>
    <xf numFmtId="0" fontId="4" fillId="0" borderId="0"/>
    <xf numFmtId="0" fontId="6" fillId="0" borderId="0"/>
    <xf numFmtId="0" fontId="6" fillId="0" borderId="0">
      <alignment wrapText="1"/>
    </xf>
    <xf numFmtId="43" fontId="17"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0" fontId="6" fillId="0" borderId="0"/>
    <xf numFmtId="0" fontId="6" fillId="0" borderId="0"/>
    <xf numFmtId="0" fontId="3" fillId="0" borderId="0"/>
    <xf numFmtId="43" fontId="6" fillId="0" borderId="0" applyFont="0" applyFill="0" applyBorder="0" applyAlignment="0" applyProtection="0"/>
    <xf numFmtId="43" fontId="3" fillId="0" borderId="0" applyFont="0" applyFill="0" applyBorder="0" applyAlignment="0" applyProtection="0"/>
    <xf numFmtId="44" fontId="6" fillId="0" borderId="0" applyFont="0" applyFill="0" applyBorder="0" applyAlignment="0" applyProtection="0"/>
    <xf numFmtId="0" fontId="6" fillId="0" borderId="0"/>
    <xf numFmtId="0" fontId="3" fillId="0" borderId="0"/>
    <xf numFmtId="9" fontId="6" fillId="0" borderId="0" applyFont="0" applyFill="0" applyBorder="0" applyAlignment="0" applyProtection="0"/>
    <xf numFmtId="0" fontId="3" fillId="0" borderId="0"/>
    <xf numFmtId="0" fontId="2" fillId="0" borderId="0"/>
    <xf numFmtId="0" fontId="1" fillId="0" borderId="0"/>
  </cellStyleXfs>
  <cellXfs count="226">
    <xf numFmtId="0" fontId="0" fillId="0" borderId="0" xfId="0"/>
    <xf numFmtId="0" fontId="6" fillId="0" borderId="0" xfId="0" applyFont="1"/>
    <xf numFmtId="0" fontId="9" fillId="0" borderId="1" xfId="0" applyFont="1" applyBorder="1" applyAlignment="1">
      <alignment horizontal="left" vertical="center"/>
    </xf>
    <xf numFmtId="0" fontId="7" fillId="0" borderId="0" xfId="0" applyFont="1" applyBorder="1" applyAlignment="1">
      <alignment horizontal="left" vertical="center"/>
    </xf>
    <xf numFmtId="14" fontId="7" fillId="0" borderId="0" xfId="0" applyNumberFormat="1" applyFont="1" applyBorder="1" applyAlignment="1">
      <alignment horizontal="center" vertical="center"/>
    </xf>
    <xf numFmtId="0" fontId="15" fillId="0" borderId="0" xfId="0" applyFont="1" applyBorder="1" applyAlignment="1">
      <alignment horizontal="left" vertical="center"/>
    </xf>
    <xf numFmtId="0" fontId="0" fillId="0" borderId="0" xfId="0" applyAlignment="1">
      <alignment horizontal="center"/>
    </xf>
    <xf numFmtId="0" fontId="7" fillId="0" borderId="0" xfId="0" applyFont="1" applyBorder="1" applyAlignment="1">
      <alignment horizontal="center" vertical="center"/>
    </xf>
    <xf numFmtId="0" fontId="8" fillId="0" borderId="0" xfId="0" applyFont="1" applyBorder="1" applyAlignment="1">
      <alignment horizontal="center"/>
    </xf>
    <xf numFmtId="165" fontId="16" fillId="0" borderId="0" xfId="0" applyNumberFormat="1" applyFont="1" applyBorder="1" applyAlignment="1">
      <alignment horizontal="left" vertical="center"/>
    </xf>
    <xf numFmtId="0" fontId="9" fillId="0" borderId="0" xfId="0" applyFont="1" applyBorder="1" applyAlignment="1">
      <alignment horizontal="left" vertical="center"/>
    </xf>
    <xf numFmtId="0" fontId="16" fillId="0" borderId="0" xfId="0" applyFont="1" applyBorder="1" applyAlignment="1">
      <alignment horizontal="left" vertical="center"/>
    </xf>
    <xf numFmtId="1" fontId="16" fillId="0" borderId="0" xfId="0" applyNumberFormat="1" applyFont="1" applyBorder="1" applyAlignment="1">
      <alignment horizontal="left" vertical="center"/>
    </xf>
    <xf numFmtId="0" fontId="7" fillId="0" borderId="11" xfId="0" applyFont="1" applyBorder="1" applyAlignment="1">
      <alignment horizontal="center"/>
    </xf>
    <xf numFmtId="166" fontId="9" fillId="0" borderId="11" xfId="0" applyNumberFormat="1" applyFont="1" applyBorder="1" applyAlignment="1">
      <alignment horizontal="right" vertical="center"/>
    </xf>
    <xf numFmtId="10" fontId="9" fillId="0" borderId="11" xfId="0" applyNumberFormat="1" applyFont="1" applyBorder="1" applyAlignment="1">
      <alignment horizontal="right" vertical="center"/>
    </xf>
    <xf numFmtId="167" fontId="9" fillId="0" borderId="11" xfId="0" applyNumberFormat="1" applyFont="1" applyBorder="1" applyAlignment="1">
      <alignment horizontal="right" vertical="center"/>
    </xf>
    <xf numFmtId="164" fontId="9" fillId="0" borderId="1" xfId="0" applyNumberFormat="1" applyFont="1" applyBorder="1" applyAlignment="1">
      <alignment horizontal="center" vertical="center"/>
    </xf>
    <xf numFmtId="0" fontId="18" fillId="0" borderId="12" xfId="0" applyFont="1" applyBorder="1" applyAlignment="1">
      <alignment horizontal="center" vertical="center" wrapText="1"/>
    </xf>
    <xf numFmtId="0" fontId="8" fillId="0" borderId="13"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Fill="1" applyBorder="1" applyAlignment="1">
      <alignment horizontal="center" vertical="center"/>
    </xf>
    <xf numFmtId="0" fontId="9" fillId="0" borderId="2" xfId="0" applyFont="1" applyBorder="1" applyAlignment="1">
      <alignment horizontal="left" vertical="center" wrapText="1"/>
    </xf>
    <xf numFmtId="165" fontId="9" fillId="0" borderId="1" xfId="0" applyNumberFormat="1" applyFont="1" applyBorder="1" applyAlignment="1">
      <alignment horizontal="right" vertical="center" wrapText="1"/>
    </xf>
    <xf numFmtId="165" fontId="9" fillId="0" borderId="1" xfId="0" applyNumberFormat="1" applyFont="1" applyBorder="1" applyAlignment="1">
      <alignment horizontal="right" vertical="center"/>
    </xf>
    <xf numFmtId="165" fontId="9" fillId="0" borderId="1" xfId="0" applyNumberFormat="1" applyFont="1" applyFill="1" applyBorder="1" applyAlignment="1">
      <alignment horizontal="right" vertical="center" wrapText="1"/>
    </xf>
    <xf numFmtId="165" fontId="9" fillId="0" borderId="1" xfId="0" applyNumberFormat="1" applyFont="1" applyFill="1" applyBorder="1" applyAlignment="1">
      <alignment horizontal="right" vertical="center"/>
    </xf>
    <xf numFmtId="1" fontId="9" fillId="0" borderId="2" xfId="0" applyNumberFormat="1" applyFont="1" applyBorder="1" applyAlignment="1">
      <alignment horizontal="left" vertical="center" wrapText="1"/>
    </xf>
    <xf numFmtId="165" fontId="9" fillId="0" borderId="1" xfId="6" applyNumberFormat="1" applyFont="1" applyBorder="1" applyAlignment="1">
      <alignment horizontal="right" vertical="center"/>
    </xf>
    <xf numFmtId="3" fontId="9" fillId="0" borderId="1" xfId="0" applyNumberFormat="1" applyFont="1" applyBorder="1" applyAlignment="1">
      <alignment horizontal="right" vertical="center"/>
    </xf>
    <xf numFmtId="1" fontId="9" fillId="0" borderId="2" xfId="0" applyNumberFormat="1" applyFont="1" applyBorder="1" applyAlignment="1">
      <alignment horizontal="left" vertical="center"/>
    </xf>
    <xf numFmtId="165" fontId="8" fillId="0" borderId="1" xfId="0" applyNumberFormat="1" applyFont="1" applyBorder="1" applyAlignment="1">
      <alignment horizontal="right" vertical="center" wrapText="1"/>
    </xf>
    <xf numFmtId="0" fontId="9" fillId="0" borderId="1" xfId="0" applyFont="1" applyBorder="1" applyAlignment="1">
      <alignment horizontal="left" vertical="center" wrapText="1"/>
    </xf>
    <xf numFmtId="164" fontId="9" fillId="0" borderId="1" xfId="0" applyNumberFormat="1" applyFont="1" applyBorder="1" applyAlignment="1">
      <alignment horizontal="right" vertical="center" wrapText="1"/>
    </xf>
    <xf numFmtId="0" fontId="8" fillId="0" borderId="1" xfId="0" applyFont="1" applyBorder="1" applyAlignment="1">
      <alignment horizontal="left" vertical="center" wrapText="1"/>
    </xf>
    <xf numFmtId="164" fontId="8" fillId="0" borderId="1" xfId="0" applyNumberFormat="1" applyFont="1" applyBorder="1" applyAlignment="1">
      <alignment horizontal="right" vertical="center" wrapText="1"/>
    </xf>
    <xf numFmtId="1" fontId="9" fillId="0" borderId="14" xfId="0" applyNumberFormat="1" applyFont="1" applyBorder="1" applyAlignment="1">
      <alignment horizontal="left" vertical="center"/>
    </xf>
    <xf numFmtId="0" fontId="9" fillId="3" borderId="9" xfId="0" applyFont="1" applyFill="1" applyBorder="1" applyAlignment="1">
      <alignment horizontal="left" vertical="center" wrapText="1"/>
    </xf>
    <xf numFmtId="164" fontId="9" fillId="3" borderId="7" xfId="0" applyNumberFormat="1" applyFont="1" applyFill="1" applyBorder="1" applyAlignment="1">
      <alignment horizontal="right" vertical="center" wrapText="1"/>
    </xf>
    <xf numFmtId="164" fontId="9" fillId="3" borderId="8" xfId="0" applyNumberFormat="1" applyFont="1" applyFill="1" applyBorder="1" applyAlignment="1">
      <alignment horizontal="right" vertical="center" wrapText="1"/>
    </xf>
    <xf numFmtId="0" fontId="9" fillId="3" borderId="2" xfId="0" applyFont="1" applyFill="1" applyBorder="1" applyAlignment="1">
      <alignment horizontal="left" vertical="center" wrapText="1"/>
    </xf>
    <xf numFmtId="164" fontId="9" fillId="3" borderId="1" xfId="0" applyNumberFormat="1" applyFont="1" applyFill="1" applyBorder="1" applyAlignment="1">
      <alignment horizontal="right" vertical="center" wrapText="1"/>
    </xf>
    <xf numFmtId="164" fontId="9" fillId="3" borderId="5" xfId="0" applyNumberFormat="1" applyFont="1" applyFill="1" applyBorder="1" applyAlignment="1">
      <alignment horizontal="right" vertical="center" wrapText="1"/>
    </xf>
    <xf numFmtId="165" fontId="9" fillId="3" borderId="1" xfId="0" applyNumberFormat="1" applyFont="1" applyFill="1" applyBorder="1" applyAlignment="1">
      <alignment horizontal="right" vertical="center" wrapText="1"/>
    </xf>
    <xf numFmtId="165" fontId="9" fillId="3" borderId="5" xfId="0" applyNumberFormat="1" applyFont="1" applyFill="1" applyBorder="1" applyAlignment="1">
      <alignment horizontal="right" vertical="center" wrapText="1"/>
    </xf>
    <xf numFmtId="0" fontId="9" fillId="3" borderId="3" xfId="0" applyFont="1" applyFill="1" applyBorder="1" applyAlignment="1">
      <alignment horizontal="left" vertical="center" wrapText="1"/>
    </xf>
    <xf numFmtId="165" fontId="9" fillId="3" borderId="4" xfId="0" applyNumberFormat="1" applyFont="1" applyFill="1" applyBorder="1" applyAlignment="1">
      <alignment horizontal="right" vertical="center" wrapText="1"/>
    </xf>
    <xf numFmtId="165" fontId="9" fillId="3" borderId="6" xfId="0" applyNumberFormat="1" applyFont="1" applyFill="1" applyBorder="1" applyAlignment="1">
      <alignment horizontal="right" vertical="center" wrapText="1"/>
    </xf>
    <xf numFmtId="0" fontId="8" fillId="4" borderId="12" xfId="0" applyFont="1" applyFill="1" applyBorder="1" applyAlignment="1">
      <alignment horizontal="left" vertical="center" wrapText="1"/>
    </xf>
    <xf numFmtId="0" fontId="9" fillId="5" borderId="9" xfId="0" applyFont="1" applyFill="1" applyBorder="1" applyAlignment="1">
      <alignment horizontal="left" vertical="center" wrapText="1"/>
    </xf>
    <xf numFmtId="164" fontId="9" fillId="5" borderId="7" xfId="0" applyNumberFormat="1" applyFont="1" applyFill="1" applyBorder="1" applyAlignment="1">
      <alignment horizontal="right" vertical="center" wrapText="1"/>
    </xf>
    <xf numFmtId="164" fontId="9" fillId="5" borderId="8" xfId="0" applyNumberFormat="1" applyFont="1" applyFill="1" applyBorder="1" applyAlignment="1">
      <alignment horizontal="right" vertical="center" wrapText="1"/>
    </xf>
    <xf numFmtId="0" fontId="9" fillId="5" borderId="2" xfId="0" applyFont="1" applyFill="1" applyBorder="1" applyAlignment="1">
      <alignment horizontal="left" vertical="center" wrapText="1"/>
    </xf>
    <xf numFmtId="164" fontId="9" fillId="5" borderId="1" xfId="0" applyNumberFormat="1" applyFont="1" applyFill="1" applyBorder="1" applyAlignment="1">
      <alignment horizontal="right" vertical="center" wrapText="1"/>
    </xf>
    <xf numFmtId="164" fontId="9" fillId="5" borderId="5" xfId="0" applyNumberFormat="1" applyFont="1" applyFill="1" applyBorder="1" applyAlignment="1">
      <alignment horizontal="right" vertical="center" wrapText="1"/>
    </xf>
    <xf numFmtId="0" fontId="9" fillId="5" borderId="3" xfId="0" applyFont="1" applyFill="1" applyBorder="1" applyAlignment="1">
      <alignment horizontal="left" vertical="center" wrapText="1"/>
    </xf>
    <xf numFmtId="164" fontId="9" fillId="5" borderId="4" xfId="0" applyNumberFormat="1" applyFont="1" applyFill="1" applyBorder="1" applyAlignment="1">
      <alignment horizontal="right" vertical="center" wrapText="1"/>
    </xf>
    <xf numFmtId="164" fontId="9" fillId="5" borderId="6" xfId="0" applyNumberFormat="1" applyFont="1" applyFill="1" applyBorder="1" applyAlignment="1">
      <alignment horizontal="right" vertical="center" wrapText="1"/>
    </xf>
    <xf numFmtId="0" fontId="9" fillId="2" borderId="9" xfId="0" applyFont="1" applyFill="1" applyBorder="1" applyAlignment="1">
      <alignment horizontal="left" vertical="center" wrapText="1"/>
    </xf>
    <xf numFmtId="165" fontId="9" fillId="2" borderId="7" xfId="0" applyNumberFormat="1" applyFont="1" applyFill="1" applyBorder="1" applyAlignment="1">
      <alignment horizontal="right" vertical="center" wrapText="1"/>
    </xf>
    <xf numFmtId="0" fontId="9" fillId="2" borderId="2" xfId="0" applyFont="1" applyFill="1" applyBorder="1" applyAlignment="1">
      <alignment horizontal="left" vertical="center" wrapText="1"/>
    </xf>
    <xf numFmtId="165" fontId="9" fillId="2" borderId="1" xfId="0" applyNumberFormat="1" applyFont="1" applyFill="1" applyBorder="1" applyAlignment="1">
      <alignment horizontal="right" vertical="center" wrapText="1"/>
    </xf>
    <xf numFmtId="0" fontId="9" fillId="2" borderId="3" xfId="0" applyFont="1" applyFill="1" applyBorder="1" applyAlignment="1">
      <alignment horizontal="left" vertical="center" wrapText="1"/>
    </xf>
    <xf numFmtId="165" fontId="9" fillId="2" borderId="4" xfId="0" applyNumberFormat="1" applyFont="1" applyFill="1" applyBorder="1" applyAlignment="1">
      <alignment horizontal="right" vertical="center" wrapText="1"/>
    </xf>
    <xf numFmtId="0" fontId="8" fillId="0" borderId="12" xfId="0" applyFont="1" applyFill="1" applyBorder="1" applyAlignment="1">
      <alignment horizontal="left" vertical="center" wrapText="1"/>
    </xf>
    <xf numFmtId="164" fontId="19" fillId="0" borderId="13" xfId="0" applyNumberFormat="1" applyFont="1" applyFill="1" applyBorder="1" applyAlignment="1">
      <alignment horizontal="right" vertical="center"/>
    </xf>
    <xf numFmtId="166" fontId="9" fillId="0" borderId="1" xfId="0" applyNumberFormat="1" applyFont="1" applyBorder="1" applyAlignment="1">
      <alignment horizontal="right" vertical="center" wrapText="1"/>
    </xf>
    <xf numFmtId="168" fontId="9" fillId="0" borderId="1" xfId="0" applyNumberFormat="1" applyFont="1" applyBorder="1" applyAlignment="1">
      <alignment horizontal="right" vertical="center"/>
    </xf>
    <xf numFmtId="166" fontId="9" fillId="0" borderId="1" xfId="6" applyNumberFormat="1" applyFont="1" applyBorder="1" applyAlignment="1">
      <alignment horizontal="right" vertical="center"/>
    </xf>
    <xf numFmtId="0" fontId="9" fillId="0" borderId="15" xfId="0" applyFont="1" applyFill="1" applyBorder="1" applyAlignment="1">
      <alignment horizontal="left" vertical="center"/>
    </xf>
    <xf numFmtId="0" fontId="8" fillId="0" borderId="16" xfId="0" applyFont="1" applyFill="1" applyBorder="1" applyAlignment="1">
      <alignment horizontal="left" vertical="center"/>
    </xf>
    <xf numFmtId="0" fontId="8" fillId="0" borderId="16" xfId="0" applyFont="1" applyBorder="1" applyAlignment="1">
      <alignment horizontal="left" vertical="center"/>
    </xf>
    <xf numFmtId="0" fontId="6" fillId="0" borderId="0" xfId="0" applyFont="1" applyFill="1" applyBorder="1"/>
    <xf numFmtId="0" fontId="8" fillId="0" borderId="1" xfId="0" applyFont="1" applyBorder="1" applyAlignment="1">
      <alignment horizontal="right" vertical="center"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Border="1" applyAlignment="1">
      <alignment horizontal="right" vertical="center" wrapText="1"/>
    </xf>
    <xf numFmtId="165" fontId="9" fillId="0" borderId="1" xfId="0" applyNumberFormat="1" applyFont="1" applyFill="1" applyBorder="1" applyAlignment="1">
      <alignment horizontal="center" vertical="center" wrapText="1"/>
    </xf>
    <xf numFmtId="0" fontId="9" fillId="0" borderId="1" xfId="0" applyFont="1" applyBorder="1" applyAlignment="1">
      <alignment horizontal="right" vertical="center"/>
    </xf>
    <xf numFmtId="165" fontId="9" fillId="0" borderId="1" xfId="6" applyNumberFormat="1" applyFont="1" applyFill="1" applyBorder="1" applyAlignment="1">
      <alignment horizontal="right" vertical="center"/>
    </xf>
    <xf numFmtId="169" fontId="9" fillId="0" borderId="1" xfId="6" applyNumberFormat="1" applyFont="1" applyBorder="1" applyAlignment="1">
      <alignment horizontal="right" vertical="center"/>
    </xf>
    <xf numFmtId="0" fontId="9" fillId="0" borderId="0" xfId="0" applyFont="1" applyBorder="1"/>
    <xf numFmtId="0" fontId="6" fillId="0" borderId="0" xfId="0" applyFont="1" applyFill="1" applyBorder="1" applyAlignment="1">
      <alignment vertical="center"/>
    </xf>
    <xf numFmtId="0" fontId="9" fillId="0" borderId="1" xfId="0" applyFont="1" applyFill="1" applyBorder="1" applyAlignment="1">
      <alignment horizontal="right" vertical="center"/>
    </xf>
    <xf numFmtId="9" fontId="9" fillId="0" borderId="1" xfId="6" applyFont="1" applyFill="1" applyBorder="1" applyAlignment="1">
      <alignment horizontal="right" vertical="center"/>
    </xf>
    <xf numFmtId="9" fontId="9" fillId="0" borderId="1" xfId="6" applyNumberFormat="1" applyFont="1" applyFill="1" applyBorder="1" applyAlignment="1">
      <alignment horizontal="right" vertical="center"/>
    </xf>
    <xf numFmtId="168" fontId="9" fillId="0" borderId="1" xfId="6" applyNumberFormat="1" applyFont="1" applyBorder="1" applyAlignment="1">
      <alignment horizontal="right" vertical="center"/>
    </xf>
    <xf numFmtId="0" fontId="7" fillId="0" borderId="0" xfId="0" applyFont="1" applyBorder="1" applyAlignment="1">
      <alignment vertical="center"/>
    </xf>
    <xf numFmtId="0" fontId="9" fillId="0" borderId="1" xfId="0" applyFont="1" applyBorder="1" applyAlignment="1">
      <alignment horizontal="left" vertical="center"/>
    </xf>
    <xf numFmtId="0" fontId="9" fillId="0" borderId="1" xfId="0" applyFont="1" applyFill="1" applyBorder="1" applyAlignment="1">
      <alignment horizontal="left" vertical="center"/>
    </xf>
    <xf numFmtId="166" fontId="9" fillId="0" borderId="1" xfId="6" applyNumberFormat="1" applyFont="1" applyFill="1" applyBorder="1" applyAlignment="1">
      <alignment horizontal="right" vertical="center"/>
    </xf>
    <xf numFmtId="164" fontId="16" fillId="0" borderId="0" xfId="0" applyNumberFormat="1" applyFont="1" applyBorder="1" applyAlignment="1">
      <alignment horizontal="left" vertical="center"/>
    </xf>
    <xf numFmtId="165" fontId="19" fillId="0" borderId="11" xfId="0" applyNumberFormat="1" applyFont="1" applyFill="1" applyBorder="1" applyAlignment="1">
      <alignment horizontal="right" vertical="center"/>
    </xf>
    <xf numFmtId="165" fontId="19" fillId="0" borderId="1" xfId="0" applyNumberFormat="1" applyFont="1" applyFill="1" applyBorder="1" applyAlignment="1">
      <alignment horizontal="right" vertical="center" wrapText="1"/>
    </xf>
    <xf numFmtId="165" fontId="19" fillId="0" borderId="1" xfId="0" applyNumberFormat="1" applyFont="1" applyBorder="1" applyAlignment="1">
      <alignment horizontal="right" vertical="center"/>
    </xf>
    <xf numFmtId="165" fontId="19" fillId="0" borderId="1" xfId="0" applyNumberFormat="1" applyFont="1" applyFill="1" applyBorder="1" applyAlignment="1">
      <alignment horizontal="right" vertical="center"/>
    </xf>
    <xf numFmtId="165" fontId="19" fillId="0" borderId="1" xfId="6" applyNumberFormat="1" applyFont="1" applyBorder="1" applyAlignment="1">
      <alignment horizontal="right" vertical="center"/>
    </xf>
    <xf numFmtId="165" fontId="19" fillId="0" borderId="1" xfId="6" applyNumberFormat="1" applyFont="1" applyFill="1" applyBorder="1" applyAlignment="1">
      <alignment horizontal="right" vertical="center"/>
    </xf>
    <xf numFmtId="9" fontId="19" fillId="0" borderId="1" xfId="6" applyFont="1" applyFill="1" applyBorder="1" applyAlignment="1">
      <alignment horizontal="right" vertical="center"/>
    </xf>
    <xf numFmtId="169" fontId="19" fillId="0" borderId="1" xfId="6" applyNumberFormat="1" applyFont="1" applyBorder="1" applyAlignment="1">
      <alignment horizontal="right" vertical="center"/>
    </xf>
    <xf numFmtId="165" fontId="21" fillId="0" borderId="1" xfId="0" applyNumberFormat="1" applyFont="1" applyBorder="1" applyAlignment="1">
      <alignment horizontal="right" vertical="center" wrapText="1"/>
    </xf>
    <xf numFmtId="168" fontId="19" fillId="0" borderId="1" xfId="0" applyNumberFormat="1" applyFont="1" applyBorder="1" applyAlignment="1">
      <alignment horizontal="right" vertical="center" wrapText="1"/>
    </xf>
    <xf numFmtId="165" fontId="19" fillId="0" borderId="1" xfId="0" applyNumberFormat="1" applyFont="1" applyBorder="1" applyAlignment="1">
      <alignment horizontal="right" vertical="center" wrapText="1"/>
    </xf>
    <xf numFmtId="9" fontId="19" fillId="0" borderId="1" xfId="6" applyNumberFormat="1" applyFont="1" applyFill="1" applyBorder="1" applyAlignment="1">
      <alignment horizontal="right" vertical="center"/>
    </xf>
    <xf numFmtId="0" fontId="8" fillId="0" borderId="1" xfId="0" applyFont="1" applyFill="1" applyBorder="1" applyAlignment="1">
      <alignment horizontal="center" vertical="center" wrapText="1"/>
    </xf>
    <xf numFmtId="165" fontId="9" fillId="0" borderId="11" xfId="6" applyNumberFormat="1" applyFont="1" applyFill="1" applyBorder="1" applyAlignment="1">
      <alignment horizontal="right" vertical="center"/>
    </xf>
    <xf numFmtId="168" fontId="9" fillId="0" borderId="1" xfId="0" applyNumberFormat="1" applyFont="1" applyFill="1" applyBorder="1" applyAlignment="1">
      <alignment horizontal="right" vertical="center"/>
    </xf>
    <xf numFmtId="165" fontId="8" fillId="0" borderId="10" xfId="0" applyNumberFormat="1" applyFont="1" applyFill="1" applyBorder="1" applyAlignment="1">
      <alignment horizontal="right" vertical="center" wrapText="1"/>
    </xf>
    <xf numFmtId="165" fontId="9" fillId="0" borderId="13" xfId="6" applyNumberFormat="1" applyFont="1" applyFill="1" applyBorder="1" applyAlignment="1">
      <alignment horizontal="right" vertical="center"/>
    </xf>
    <xf numFmtId="165" fontId="9" fillId="4" borderId="13" xfId="0" applyNumberFormat="1" applyFont="1" applyFill="1" applyBorder="1" applyAlignment="1">
      <alignment horizontal="right" vertical="center" wrapText="1"/>
    </xf>
    <xf numFmtId="165" fontId="19" fillId="0" borderId="14" xfId="6" applyNumberFormat="1" applyFont="1" applyFill="1" applyBorder="1" applyAlignment="1">
      <alignment horizontal="right" vertical="center"/>
    </xf>
    <xf numFmtId="165" fontId="0" fillId="0" borderId="0" xfId="0" applyNumberFormat="1" applyBorder="1" applyAlignment="1">
      <alignment horizontal="left"/>
    </xf>
    <xf numFmtId="165" fontId="8" fillId="0" borderId="1" xfId="19" applyNumberFormat="1" applyFont="1" applyFill="1" applyBorder="1" applyAlignment="1">
      <alignment horizontal="right" vertical="center"/>
    </xf>
    <xf numFmtId="165" fontId="21" fillId="0" borderId="1" xfId="19" applyNumberFormat="1" applyFont="1" applyFill="1" applyBorder="1" applyAlignment="1">
      <alignment horizontal="right" vertical="center"/>
    </xf>
    <xf numFmtId="165" fontId="8" fillId="0" borderId="1" xfId="0" applyNumberFormat="1" applyFont="1" applyFill="1" applyBorder="1" applyAlignment="1">
      <alignment horizontal="right" vertical="center"/>
    </xf>
    <xf numFmtId="0" fontId="9" fillId="0" borderId="1" xfId="0" applyFont="1" applyBorder="1" applyAlignment="1">
      <alignment horizontal="left" vertical="center"/>
    </xf>
    <xf numFmtId="0" fontId="8" fillId="0" borderId="16" xfId="0" applyFont="1" applyBorder="1" applyAlignment="1">
      <alignment horizontal="left" vertical="center"/>
    </xf>
    <xf numFmtId="166" fontId="9" fillId="0" borderId="11" xfId="0" applyNumberFormat="1" applyFont="1" applyFill="1" applyBorder="1" applyAlignment="1">
      <alignment horizontal="right" vertical="center"/>
    </xf>
    <xf numFmtId="10" fontId="9" fillId="0" borderId="11" xfId="0" applyNumberFormat="1" applyFont="1" applyFill="1" applyBorder="1" applyAlignment="1">
      <alignment horizontal="right" vertical="center"/>
    </xf>
    <xf numFmtId="167" fontId="9" fillId="0" borderId="11" xfId="0" applyNumberFormat="1" applyFont="1" applyFill="1" applyBorder="1" applyAlignment="1">
      <alignment horizontal="right" vertical="center"/>
    </xf>
    <xf numFmtId="0" fontId="22" fillId="0" borderId="0" xfId="23" applyFont="1" applyBorder="1" applyAlignment="1">
      <alignment horizontal="left" vertical="center"/>
    </xf>
    <xf numFmtId="0" fontId="23" fillId="0" borderId="0" xfId="23" applyFont="1" applyBorder="1" applyAlignment="1">
      <alignment horizontal="left" vertical="center"/>
    </xf>
    <xf numFmtId="0" fontId="22" fillId="0" borderId="0" xfId="23" applyFont="1" applyFill="1" applyBorder="1" applyAlignment="1">
      <alignment horizontal="left" vertical="center"/>
    </xf>
    <xf numFmtId="0" fontId="24" fillId="0" borderId="0" xfId="23" applyFont="1" applyBorder="1" applyAlignment="1">
      <alignment horizontal="left"/>
    </xf>
    <xf numFmtId="14" fontId="24" fillId="0" borderId="0" xfId="23" applyNumberFormat="1" applyFont="1" applyBorder="1" applyAlignment="1">
      <alignment horizontal="left"/>
    </xf>
    <xf numFmtId="0" fontId="24" fillId="0" borderId="0" xfId="23" applyFont="1" applyBorder="1" applyAlignment="1">
      <alignment horizontal="center"/>
    </xf>
    <xf numFmtId="0" fontId="25" fillId="0" borderId="0" xfId="23" applyFont="1" applyBorder="1"/>
    <xf numFmtId="0" fontId="25" fillId="0" borderId="0" xfId="23" applyFont="1" applyFill="1" applyBorder="1" applyAlignment="1">
      <alignment horizontal="left"/>
    </xf>
    <xf numFmtId="170" fontId="26" fillId="0" borderId="0" xfId="23" applyNumberFormat="1" applyFont="1" applyFill="1" applyBorder="1" applyAlignment="1">
      <alignment horizontal="center"/>
    </xf>
    <xf numFmtId="0" fontId="24" fillId="0" borderId="1" xfId="23" applyFont="1" applyBorder="1" applyAlignment="1">
      <alignment horizontal="center" vertical="center" wrapText="1"/>
    </xf>
    <xf numFmtId="0" fontId="24" fillId="0" borderId="1" xfId="23" applyFont="1" applyBorder="1" applyAlignment="1">
      <alignment horizontal="center" vertical="center"/>
    </xf>
    <xf numFmtId="0" fontId="24" fillId="0" borderId="1" xfId="0" applyFont="1" applyFill="1" applyBorder="1" applyAlignment="1">
      <alignment horizontal="center" vertical="center"/>
    </xf>
    <xf numFmtId="0" fontId="25" fillId="0" borderId="1" xfId="23" applyFont="1" applyBorder="1" applyAlignment="1">
      <alignment horizontal="left" vertical="center" wrapText="1"/>
    </xf>
    <xf numFmtId="168" fontId="25" fillId="0" borderId="1" xfId="25" applyNumberFormat="1" applyFont="1" applyBorder="1" applyAlignment="1">
      <alignment horizontal="center" vertical="center"/>
    </xf>
    <xf numFmtId="168" fontId="25" fillId="0" borderId="1" xfId="25" applyNumberFormat="1" applyFont="1" applyFill="1" applyBorder="1" applyAlignment="1">
      <alignment horizontal="center" vertical="center"/>
    </xf>
    <xf numFmtId="1" fontId="25" fillId="0" borderId="1" xfId="23" applyNumberFormat="1" applyFont="1" applyBorder="1" applyAlignment="1">
      <alignment horizontal="left" vertical="center" wrapText="1"/>
    </xf>
    <xf numFmtId="166" fontId="25" fillId="0" borderId="1" xfId="23" applyNumberFormat="1" applyFont="1" applyBorder="1" applyAlignment="1">
      <alignment horizontal="center" vertical="center" wrapText="1"/>
    </xf>
    <xf numFmtId="165" fontId="25" fillId="0" borderId="1" xfId="23" applyNumberFormat="1" applyFont="1" applyFill="1" applyBorder="1" applyAlignment="1">
      <alignment horizontal="center" vertical="center"/>
    </xf>
    <xf numFmtId="0" fontId="25" fillId="0" borderId="1" xfId="23" applyFont="1" applyFill="1" applyBorder="1" applyAlignment="1">
      <alignment horizontal="left" vertical="center"/>
    </xf>
    <xf numFmtId="1" fontId="25" fillId="0" borderId="1" xfId="23" applyNumberFormat="1" applyFont="1" applyBorder="1" applyAlignment="1">
      <alignment horizontal="left" vertical="center"/>
    </xf>
    <xf numFmtId="168" fontId="25" fillId="0" borderId="1" xfId="23" applyNumberFormat="1" applyFont="1" applyBorder="1" applyAlignment="1">
      <alignment horizontal="center" vertical="center" wrapText="1"/>
    </xf>
    <xf numFmtId="165" fontId="25" fillId="0" borderId="1" xfId="23" applyNumberFormat="1" applyFont="1" applyBorder="1" applyAlignment="1">
      <alignment horizontal="center" vertical="center" wrapText="1"/>
    </xf>
    <xf numFmtId="1" fontId="25" fillId="6" borderId="1" xfId="23" applyNumberFormat="1" applyFont="1" applyFill="1" applyBorder="1" applyAlignment="1">
      <alignment horizontal="left" vertical="center"/>
    </xf>
    <xf numFmtId="165" fontId="25" fillId="0" borderId="1" xfId="0" applyNumberFormat="1" applyFont="1" applyBorder="1" applyAlignment="1">
      <alignment horizontal="center" vertical="center"/>
    </xf>
    <xf numFmtId="165" fontId="24" fillId="0" borderId="1" xfId="0" applyNumberFormat="1" applyFont="1" applyFill="1" applyBorder="1" applyAlignment="1">
      <alignment horizontal="center" vertical="center"/>
    </xf>
    <xf numFmtId="0" fontId="25" fillId="6" borderId="1" xfId="23" applyFont="1" applyFill="1" applyBorder="1" applyAlignment="1">
      <alignment vertical="center"/>
    </xf>
    <xf numFmtId="165" fontId="24" fillId="0" borderId="1" xfId="23" applyNumberFormat="1" applyFont="1" applyBorder="1" applyAlignment="1">
      <alignment horizontal="center" vertical="center"/>
    </xf>
    <xf numFmtId="0" fontId="25" fillId="0" borderId="0" xfId="23" applyFont="1" applyBorder="1" applyAlignment="1"/>
    <xf numFmtId="0" fontId="25" fillId="0" borderId="0" xfId="23" applyFont="1" applyAlignment="1">
      <alignment horizontal="center"/>
    </xf>
    <xf numFmtId="165" fontId="25" fillId="0" borderId="0" xfId="23" applyNumberFormat="1" applyFont="1" applyAlignment="1">
      <alignment horizontal="center"/>
    </xf>
    <xf numFmtId="14" fontId="22" fillId="0" borderId="0" xfId="0" applyNumberFormat="1" applyFont="1" applyBorder="1" applyAlignment="1">
      <alignment horizontal="center" vertical="center"/>
    </xf>
    <xf numFmtId="0" fontId="23" fillId="0" borderId="0" xfId="23" applyFont="1" applyAlignment="1">
      <alignment horizontal="left" vertical="center"/>
    </xf>
    <xf numFmtId="0" fontId="26" fillId="0" borderId="0" xfId="23" applyFont="1" applyAlignment="1">
      <alignment horizontal="left" vertical="center"/>
    </xf>
    <xf numFmtId="14" fontId="26" fillId="0" borderId="0" xfId="23" applyNumberFormat="1" applyFont="1" applyAlignment="1">
      <alignment horizontal="left"/>
    </xf>
    <xf numFmtId="0" fontId="27" fillId="0" borderId="0" xfId="23" applyFont="1" applyAlignment="1">
      <alignment horizontal="center"/>
    </xf>
    <xf numFmtId="0" fontId="27" fillId="0" borderId="0" xfId="23" applyFont="1"/>
    <xf numFmtId="1" fontId="24" fillId="0" borderId="0" xfId="23" quotePrefix="1" applyNumberFormat="1" applyFont="1" applyBorder="1" applyAlignment="1">
      <alignment horizontal="left"/>
    </xf>
    <xf numFmtId="165" fontId="27" fillId="0" borderId="0" xfId="23" applyNumberFormat="1" applyFont="1" applyAlignment="1">
      <alignment horizontal="center"/>
    </xf>
    <xf numFmtId="0" fontId="23" fillId="0" borderId="0" xfId="23" applyFont="1" applyAlignment="1">
      <alignment horizontal="left"/>
    </xf>
    <xf numFmtId="0" fontId="27" fillId="0" borderId="0" xfId="23" applyFont="1" applyBorder="1"/>
    <xf numFmtId="0" fontId="22" fillId="0" borderId="22" xfId="23" applyFont="1" applyBorder="1" applyAlignment="1">
      <alignment horizontal="center"/>
    </xf>
    <xf numFmtId="0" fontId="22" fillId="0" borderId="0" xfId="23" applyFont="1" applyBorder="1" applyAlignment="1">
      <alignment horizontal="center"/>
    </xf>
    <xf numFmtId="0" fontId="24" fillId="0" borderId="19" xfId="23" applyFont="1" applyBorder="1" applyAlignment="1">
      <alignment horizontal="right" wrapText="1"/>
    </xf>
    <xf numFmtId="0" fontId="24" fillId="0" borderId="19" xfId="23" applyFont="1" applyBorder="1" applyAlignment="1">
      <alignment horizontal="center" vertical="center" wrapText="1"/>
    </xf>
    <xf numFmtId="0" fontId="24" fillId="0" borderId="26" xfId="23" applyFont="1" applyBorder="1" applyAlignment="1">
      <alignment horizontal="center" vertical="center" wrapText="1"/>
    </xf>
    <xf numFmtId="0" fontId="24" fillId="0" borderId="27" xfId="23" applyFont="1" applyBorder="1" applyAlignment="1">
      <alignment horizontal="center" vertical="center" wrapText="1"/>
    </xf>
    <xf numFmtId="0" fontId="24" fillId="0" borderId="0" xfId="23" applyFont="1" applyBorder="1" applyAlignment="1">
      <alignment horizontal="center" vertical="center" wrapText="1"/>
    </xf>
    <xf numFmtId="4" fontId="25" fillId="0" borderId="28" xfId="23" applyNumberFormat="1" applyFont="1" applyBorder="1" applyAlignment="1">
      <alignment horizontal="right" vertical="center"/>
    </xf>
    <xf numFmtId="165" fontId="24" fillId="0" borderId="28" xfId="23" applyNumberFormat="1" applyFont="1" applyFill="1" applyBorder="1" applyAlignment="1">
      <alignment horizontal="center" vertical="center"/>
    </xf>
    <xf numFmtId="168" fontId="24" fillId="0" borderId="29" xfId="23" applyNumberFormat="1" applyFont="1" applyFill="1" applyBorder="1" applyAlignment="1">
      <alignment horizontal="center" vertical="center"/>
    </xf>
    <xf numFmtId="164" fontId="24" fillId="0" borderId="30" xfId="23" applyNumberFormat="1" applyFont="1" applyFill="1" applyBorder="1" applyAlignment="1">
      <alignment horizontal="center" vertical="center"/>
    </xf>
    <xf numFmtId="168" fontId="24" fillId="0" borderId="31" xfId="23" applyNumberFormat="1" applyFont="1" applyFill="1" applyBorder="1" applyAlignment="1">
      <alignment horizontal="center" vertical="center"/>
    </xf>
    <xf numFmtId="164" fontId="24" fillId="0" borderId="32" xfId="23" applyNumberFormat="1" applyFont="1" applyFill="1" applyBorder="1" applyAlignment="1">
      <alignment horizontal="center" vertical="center"/>
    </xf>
    <xf numFmtId="168" fontId="24" fillId="0" borderId="0" xfId="23" applyNumberFormat="1" applyFont="1" applyFill="1" applyBorder="1" applyAlignment="1">
      <alignment horizontal="center" vertical="center"/>
    </xf>
    <xf numFmtId="164" fontId="24" fillId="0" borderId="0" xfId="23" applyNumberFormat="1" applyFont="1" applyFill="1" applyBorder="1" applyAlignment="1">
      <alignment horizontal="center" vertical="center"/>
    </xf>
    <xf numFmtId="4" fontId="25" fillId="0" borderId="33" xfId="23" applyNumberFormat="1" applyFont="1" applyBorder="1" applyAlignment="1">
      <alignment horizontal="right" vertical="center"/>
    </xf>
    <xf numFmtId="165" fontId="24" fillId="0" borderId="34" xfId="23" applyNumberFormat="1" applyFont="1" applyFill="1" applyBorder="1" applyAlignment="1">
      <alignment horizontal="center" vertical="center"/>
    </xf>
    <xf numFmtId="4" fontId="25" fillId="0" borderId="34" xfId="23" applyNumberFormat="1" applyFont="1" applyBorder="1" applyAlignment="1">
      <alignment horizontal="right" vertical="center"/>
    </xf>
    <xf numFmtId="4" fontId="25" fillId="0" borderId="35" xfId="23" applyNumberFormat="1" applyFont="1" applyFill="1" applyBorder="1" applyAlignment="1">
      <alignment horizontal="right" vertical="center"/>
    </xf>
    <xf numFmtId="4" fontId="25" fillId="0" borderId="35" xfId="23" applyNumberFormat="1" applyFont="1" applyBorder="1" applyAlignment="1">
      <alignment horizontal="right" vertical="center"/>
    </xf>
    <xf numFmtId="168" fontId="24" fillId="0" borderId="36" xfId="23" applyNumberFormat="1" applyFont="1" applyFill="1" applyBorder="1" applyAlignment="1">
      <alignment horizontal="center" vertical="center"/>
    </xf>
    <xf numFmtId="164" fontId="24" fillId="0" borderId="37" xfId="23" applyNumberFormat="1" applyFont="1" applyFill="1" applyBorder="1" applyAlignment="1">
      <alignment horizontal="center" vertical="center"/>
    </xf>
    <xf numFmtId="168" fontId="24" fillId="0" borderId="0" xfId="23" applyNumberFormat="1" applyFont="1" applyFill="1" applyBorder="1" applyAlignment="1">
      <alignment horizontal="left" vertical="center"/>
    </xf>
    <xf numFmtId="4" fontId="25" fillId="0" borderId="38" xfId="23" applyNumberFormat="1" applyFont="1" applyBorder="1" applyAlignment="1">
      <alignment horizontal="right" vertical="center"/>
    </xf>
    <xf numFmtId="165" fontId="24" fillId="0" borderId="38" xfId="23" applyNumberFormat="1" applyFont="1" applyFill="1" applyBorder="1" applyAlignment="1">
      <alignment horizontal="center" vertical="center"/>
    </xf>
    <xf numFmtId="168" fontId="24" fillId="0" borderId="39" xfId="23" quotePrefix="1" applyNumberFormat="1" applyFont="1" applyFill="1" applyBorder="1" applyAlignment="1">
      <alignment horizontal="center" vertical="center"/>
    </xf>
    <xf numFmtId="164" fontId="24" fillId="0" borderId="40" xfId="23" quotePrefix="1" applyNumberFormat="1" applyFont="1" applyFill="1" applyBorder="1" applyAlignment="1">
      <alignment horizontal="center" vertical="center"/>
    </xf>
    <xf numFmtId="4" fontId="24" fillId="0" borderId="23" xfId="23" applyNumberFormat="1" applyFont="1" applyBorder="1" applyAlignment="1">
      <alignment horizontal="right"/>
    </xf>
    <xf numFmtId="165" fontId="24" fillId="0" borderId="19" xfId="30" applyNumberFormat="1" applyFont="1" applyBorder="1" applyAlignment="1">
      <alignment horizontal="center"/>
    </xf>
    <xf numFmtId="0" fontId="25" fillId="0" borderId="0" xfId="23" applyFont="1" applyBorder="1" applyAlignment="1">
      <alignment vertical="top" wrapText="1"/>
    </xf>
    <xf numFmtId="0" fontId="22" fillId="0" borderId="23" xfId="23" applyFont="1" applyBorder="1" applyAlignment="1">
      <alignment horizontal="center"/>
    </xf>
    <xf numFmtId="0" fontId="22" fillId="0" borderId="24" xfId="23" applyFont="1" applyBorder="1" applyAlignment="1">
      <alignment horizontal="center"/>
    </xf>
    <xf numFmtId="0" fontId="22" fillId="0" borderId="25" xfId="23" applyFont="1" applyBorder="1" applyAlignment="1">
      <alignment horizontal="center"/>
    </xf>
    <xf numFmtId="4" fontId="25" fillId="0" borderId="1" xfId="23" applyNumberFormat="1" applyFont="1" applyFill="1" applyBorder="1" applyAlignment="1">
      <alignment horizontal="left" vertical="top" wrapText="1"/>
    </xf>
    <xf numFmtId="0" fontId="25" fillId="0" borderId="1" xfId="23" applyFont="1" applyBorder="1" applyAlignment="1">
      <alignment vertical="top" wrapText="1"/>
    </xf>
    <xf numFmtId="0" fontId="24" fillId="0" borderId="11" xfId="0" applyFont="1" applyBorder="1" applyAlignment="1">
      <alignment horizontal="center" vertical="center" wrapText="1"/>
    </xf>
    <xf numFmtId="0" fontId="24" fillId="0" borderId="21" xfId="0" applyFont="1" applyBorder="1" applyAlignment="1">
      <alignment horizontal="center" vertical="center" wrapText="1"/>
    </xf>
    <xf numFmtId="0" fontId="24" fillId="0" borderId="14" xfId="0" applyFont="1" applyBorder="1" applyAlignment="1">
      <alignment horizontal="center" vertical="center" wrapText="1"/>
    </xf>
    <xf numFmtId="0" fontId="25" fillId="0" borderId="0" xfId="23" applyFont="1" applyBorder="1" applyAlignment="1">
      <alignment horizontal="left" vertical="center"/>
    </xf>
    <xf numFmtId="0" fontId="25" fillId="0" borderId="0" xfId="0" applyFont="1" applyAlignment="1">
      <alignment horizontal="left" vertical="center"/>
    </xf>
    <xf numFmtId="4" fontId="25" fillId="0" borderId="0" xfId="0" applyNumberFormat="1"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0" xfId="0" applyFont="1" applyBorder="1" applyAlignment="1">
      <alignment horizontal="left" vertical="center" wrapText="1"/>
    </xf>
    <xf numFmtId="0" fontId="8" fillId="0" borderId="10"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 xfId="0" applyFont="1" applyBorder="1" applyAlignment="1">
      <alignment vertical="center"/>
    </xf>
    <xf numFmtId="0" fontId="9" fillId="0" borderId="1" xfId="0" applyFont="1" applyBorder="1" applyAlignment="1">
      <alignment vertical="center"/>
    </xf>
    <xf numFmtId="0" fontId="19" fillId="0" borderId="1" xfId="0" applyFont="1" applyFill="1" applyBorder="1" applyAlignment="1">
      <alignment vertical="center"/>
    </xf>
    <xf numFmtId="165" fontId="9" fillId="0" borderId="11" xfId="0" applyNumberFormat="1" applyFont="1" applyFill="1" applyBorder="1" applyAlignment="1">
      <alignment horizontal="center" vertical="center" wrapText="1"/>
    </xf>
    <xf numFmtId="165" fontId="9" fillId="0" borderId="21" xfId="0" applyNumberFormat="1" applyFont="1" applyFill="1" applyBorder="1" applyAlignment="1">
      <alignment horizontal="center" vertical="center" wrapText="1"/>
    </xf>
    <xf numFmtId="165" fontId="9" fillId="0" borderId="14" xfId="0" applyNumberFormat="1" applyFont="1" applyFill="1" applyBorder="1" applyAlignment="1">
      <alignment horizontal="center" vertical="center" wrapText="1"/>
    </xf>
    <xf numFmtId="165" fontId="9" fillId="0" borderId="11" xfId="0" applyNumberFormat="1" applyFont="1" applyFill="1" applyBorder="1" applyAlignment="1">
      <alignment horizontal="center" vertical="center"/>
    </xf>
    <xf numFmtId="165" fontId="9" fillId="0" borderId="21" xfId="0" applyNumberFormat="1" applyFont="1" applyFill="1" applyBorder="1" applyAlignment="1">
      <alignment horizontal="center" vertical="center"/>
    </xf>
    <xf numFmtId="165" fontId="9" fillId="0" borderId="14" xfId="0" applyNumberFormat="1" applyFont="1" applyFill="1" applyBorder="1" applyAlignment="1">
      <alignment horizontal="center" vertical="center"/>
    </xf>
    <xf numFmtId="0" fontId="9" fillId="0" borderId="1" xfId="0" applyFont="1" applyBorder="1" applyAlignment="1">
      <alignment horizontal="left" vertical="center"/>
    </xf>
    <xf numFmtId="165" fontId="20" fillId="0" borderId="10" xfId="6" applyNumberFormat="1" applyFont="1" applyBorder="1" applyAlignment="1">
      <alignment horizontal="center" vertical="center" wrapText="1"/>
    </xf>
    <xf numFmtId="165" fontId="20" fillId="0" borderId="17" xfId="0" applyNumberFormat="1" applyFont="1" applyBorder="1" applyAlignment="1">
      <alignment horizontal="center" vertical="center" wrapText="1"/>
    </xf>
    <xf numFmtId="165" fontId="20" fillId="0" borderId="13" xfId="0" applyNumberFormat="1" applyFont="1" applyBorder="1" applyAlignment="1">
      <alignment horizontal="center" vertical="center" wrapText="1"/>
    </xf>
    <xf numFmtId="0" fontId="8" fillId="0" borderId="1" xfId="0" applyFont="1" applyBorder="1" applyAlignment="1">
      <alignment horizontal="left" vertical="center"/>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13" fillId="0" borderId="18" xfId="0" applyFont="1" applyBorder="1" applyAlignment="1">
      <alignment horizontal="left"/>
    </xf>
    <xf numFmtId="0" fontId="13" fillId="0" borderId="20" xfId="0" applyFont="1" applyBorder="1" applyAlignment="1">
      <alignment horizontal="left"/>
    </xf>
    <xf numFmtId="0" fontId="8" fillId="0" borderId="11" xfId="0" applyFont="1" applyBorder="1" applyAlignment="1">
      <alignment horizontal="center" vertical="center"/>
    </xf>
    <xf numFmtId="0" fontId="8" fillId="0" borderId="14" xfId="0" applyFont="1" applyBorder="1" applyAlignment="1">
      <alignment horizontal="center" vertical="center"/>
    </xf>
    <xf numFmtId="0" fontId="8" fillId="0" borderId="21" xfId="0" applyFont="1" applyBorder="1" applyAlignment="1">
      <alignment horizontal="center" vertical="center"/>
    </xf>
  </cellXfs>
  <cellStyles count="34">
    <cellStyle name="Comma" xfId="19" builtinId="3"/>
    <cellStyle name="Comma 2" xfId="1"/>
    <cellStyle name="Comma 2 2" xfId="8"/>
    <cellStyle name="Comma 2 2 2" xfId="26"/>
    <cellStyle name="Comma 2 3" xfId="21"/>
    <cellStyle name="Comma 3" xfId="7"/>
    <cellStyle name="Comma 3 2" xfId="25"/>
    <cellStyle name="Comma 4" xfId="20"/>
    <cellStyle name="Currency 2" xfId="9"/>
    <cellStyle name="Currency 2 2" xfId="27"/>
    <cellStyle name="Normal" xfId="0" builtinId="0"/>
    <cellStyle name="Normal 10 2" xfId="17"/>
    <cellStyle name="Normal 2" xfId="2"/>
    <cellStyle name="Normal 2 2" xfId="3"/>
    <cellStyle name="Normal 2 2 2" xfId="18"/>
    <cellStyle name="Normal 2 3" xfId="10"/>
    <cellStyle name="Normal 2 3 2" xfId="28"/>
    <cellStyle name="Normal 2 4" xfId="22"/>
    <cellStyle name="Normal 3" xfId="13"/>
    <cellStyle name="Normal 3 7" xfId="15"/>
    <cellStyle name="Normal 4" xfId="14"/>
    <cellStyle name="Normal 4 3" xfId="4"/>
    <cellStyle name="Normal 4 3 2" xfId="23"/>
    <cellStyle name="Normal 5" xfId="32"/>
    <cellStyle name="Normal 6" xfId="5"/>
    <cellStyle name="Normal 6 2" xfId="11"/>
    <cellStyle name="Normal 6 2 2" xfId="29"/>
    <cellStyle name="Normal 6 3" xfId="24"/>
    <cellStyle name="Normal 6 7" xfId="16"/>
    <cellStyle name="Normal 6 7 2" xfId="31"/>
    <cellStyle name="Normal 7" xfId="33"/>
    <cellStyle name="Percent" xfId="6" builtinId="5"/>
    <cellStyle name="Percent 2" xfId="12"/>
    <cellStyle name="Percent 2 2" xfId="3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26"/>
  <sheetViews>
    <sheetView zoomScale="90" zoomScaleNormal="90" workbookViewId="0"/>
  </sheetViews>
  <sheetFormatPr defaultRowHeight="12.75" x14ac:dyDescent="0.2"/>
  <cols>
    <col min="1" max="1" width="25.7109375" customWidth="1"/>
    <col min="2" max="8" width="16.7109375" customWidth="1"/>
    <col min="9" max="10" width="14.7109375" customWidth="1"/>
    <col min="11" max="16" width="12.7109375" customWidth="1"/>
  </cols>
  <sheetData>
    <row r="1" spans="1:27" ht="18.75" x14ac:dyDescent="0.2">
      <c r="A1" s="122" t="s">
        <v>155</v>
      </c>
      <c r="B1" s="122"/>
      <c r="C1" s="122"/>
      <c r="D1" s="122"/>
      <c r="E1" s="122"/>
      <c r="F1" s="150">
        <v>44589</v>
      </c>
      <c r="G1" s="151" t="s">
        <v>7</v>
      </c>
      <c r="H1" s="152"/>
    </row>
    <row r="2" spans="1:27" ht="18.75" x14ac:dyDescent="0.25">
      <c r="A2" s="122" t="s">
        <v>135</v>
      </c>
      <c r="B2" s="122"/>
      <c r="C2" s="122"/>
      <c r="D2" s="122"/>
      <c r="E2" s="122"/>
      <c r="F2" s="153"/>
      <c r="G2" s="154"/>
      <c r="H2" s="155"/>
    </row>
    <row r="3" spans="1:27" ht="19.5" thickBot="1" x14ac:dyDescent="0.35">
      <c r="A3" s="156"/>
      <c r="B3" s="157" t="s">
        <v>7</v>
      </c>
      <c r="C3" s="158" t="s">
        <v>7</v>
      </c>
      <c r="D3" s="154"/>
      <c r="E3" s="154"/>
      <c r="F3" s="154"/>
      <c r="G3" s="154"/>
      <c r="H3" s="155"/>
    </row>
    <row r="4" spans="1:27" ht="19.5" thickBot="1" x14ac:dyDescent="0.35">
      <c r="A4" s="159"/>
      <c r="B4" s="160"/>
      <c r="C4" s="190" t="s">
        <v>136</v>
      </c>
      <c r="D4" s="191"/>
      <c r="E4" s="191"/>
      <c r="F4" s="191"/>
      <c r="G4" s="191"/>
      <c r="H4" s="192"/>
      <c r="I4" s="161"/>
      <c r="J4" s="161"/>
    </row>
    <row r="5" spans="1:27" ht="48" thickBot="1" x14ac:dyDescent="0.3">
      <c r="A5" s="162" t="s">
        <v>137</v>
      </c>
      <c r="B5" s="163" t="s">
        <v>138</v>
      </c>
      <c r="C5" s="164" t="s">
        <v>139</v>
      </c>
      <c r="D5" s="165" t="s">
        <v>140</v>
      </c>
      <c r="E5" s="164" t="s">
        <v>141</v>
      </c>
      <c r="F5" s="165" t="s">
        <v>142</v>
      </c>
      <c r="G5" s="164" t="s">
        <v>143</v>
      </c>
      <c r="H5" s="165" t="s">
        <v>144</v>
      </c>
      <c r="I5" s="166"/>
      <c r="J5" s="166"/>
    </row>
    <row r="6" spans="1:27" ht="15.95" customHeight="1" x14ac:dyDescent="0.2">
      <c r="A6" s="167" t="s">
        <v>145</v>
      </c>
      <c r="B6" s="168">
        <f>'3rd IA Configuration'!B14</f>
        <v>0</v>
      </c>
      <c r="C6" s="169" t="s">
        <v>146</v>
      </c>
      <c r="D6" s="170" t="s">
        <v>146</v>
      </c>
      <c r="E6" s="169" t="s">
        <v>146</v>
      </c>
      <c r="F6" s="170" t="s">
        <v>146</v>
      </c>
      <c r="G6" s="171" t="s">
        <v>146</v>
      </c>
      <c r="H6" s="172" t="s">
        <v>146</v>
      </c>
      <c r="I6" s="173"/>
      <c r="J6" s="174"/>
      <c r="K6" s="174"/>
      <c r="L6" s="174"/>
      <c r="M6" s="174"/>
      <c r="N6" s="174"/>
      <c r="O6" s="174"/>
      <c r="P6" s="174"/>
      <c r="Q6" s="174"/>
      <c r="R6" s="174"/>
      <c r="S6" s="174"/>
      <c r="T6" s="174"/>
      <c r="U6" s="174"/>
      <c r="V6" s="174"/>
      <c r="W6" s="174"/>
      <c r="X6" s="174"/>
      <c r="Y6" s="174"/>
      <c r="Z6" s="174"/>
      <c r="AA6" s="174"/>
    </row>
    <row r="7" spans="1:27" ht="15.95" customHeight="1" x14ac:dyDescent="0.2">
      <c r="A7" s="175" t="s">
        <v>147</v>
      </c>
      <c r="B7" s="176">
        <f>'3rd IA Configuration'!C14</f>
        <v>0</v>
      </c>
      <c r="C7" s="169" t="s">
        <v>146</v>
      </c>
      <c r="D7" s="170" t="s">
        <v>146</v>
      </c>
      <c r="E7" s="169" t="s">
        <v>146</v>
      </c>
      <c r="F7" s="170" t="s">
        <v>146</v>
      </c>
      <c r="G7" s="169" t="s">
        <v>146</v>
      </c>
      <c r="H7" s="170" t="s">
        <v>146</v>
      </c>
      <c r="I7" s="173"/>
      <c r="J7" s="174"/>
    </row>
    <row r="8" spans="1:27" ht="15.95" customHeight="1" x14ac:dyDescent="0.2">
      <c r="A8" s="175" t="s">
        <v>148</v>
      </c>
      <c r="B8" s="176">
        <f>'3rd IA Configuration'!D14</f>
        <v>0</v>
      </c>
      <c r="C8" s="169" t="s">
        <v>146</v>
      </c>
      <c r="D8" s="170" t="s">
        <v>146</v>
      </c>
      <c r="E8" s="169" t="s">
        <v>146</v>
      </c>
      <c r="F8" s="170" t="s">
        <v>146</v>
      </c>
      <c r="G8" s="169" t="s">
        <v>146</v>
      </c>
      <c r="H8" s="170" t="s">
        <v>146</v>
      </c>
      <c r="I8" s="173"/>
      <c r="J8" s="174"/>
    </row>
    <row r="9" spans="1:27" ht="15.95" customHeight="1" x14ac:dyDescent="0.2">
      <c r="A9" s="175" t="s">
        <v>149</v>
      </c>
      <c r="B9" s="176">
        <f>'3rd IA Configuration'!E14</f>
        <v>0</v>
      </c>
      <c r="C9" s="169" t="s">
        <v>146</v>
      </c>
      <c r="D9" s="170" t="s">
        <v>146</v>
      </c>
      <c r="E9" s="169" t="s">
        <v>146</v>
      </c>
      <c r="F9" s="170" t="s">
        <v>146</v>
      </c>
      <c r="G9" s="169" t="s">
        <v>146</v>
      </c>
      <c r="H9" s="170" t="s">
        <v>146</v>
      </c>
      <c r="I9" s="173"/>
      <c r="J9" s="174"/>
    </row>
    <row r="10" spans="1:27" ht="15.95" customHeight="1" x14ac:dyDescent="0.2">
      <c r="A10" s="175" t="s">
        <v>150</v>
      </c>
      <c r="B10" s="176">
        <f>'3rd IA Configuration'!F14</f>
        <v>-4.0999999999999996</v>
      </c>
      <c r="C10" s="169">
        <v>0</v>
      </c>
      <c r="D10" s="170">
        <v>0</v>
      </c>
      <c r="E10" s="169">
        <f>-B10</f>
        <v>4.0999999999999996</v>
      </c>
      <c r="F10" s="170">
        <v>0</v>
      </c>
      <c r="G10" s="169" t="s">
        <v>146</v>
      </c>
      <c r="H10" s="170" t="s">
        <v>146</v>
      </c>
      <c r="I10" s="173"/>
      <c r="J10" s="174"/>
    </row>
    <row r="11" spans="1:27" ht="15.95" customHeight="1" x14ac:dyDescent="0.2">
      <c r="A11" s="175" t="s">
        <v>29</v>
      </c>
      <c r="B11" s="176">
        <f>'3rd IA Configuration'!G14</f>
        <v>-29.9</v>
      </c>
      <c r="C11" s="169">
        <v>0</v>
      </c>
      <c r="D11" s="170">
        <v>0</v>
      </c>
      <c r="E11" s="169">
        <f>-B11</f>
        <v>29.9</v>
      </c>
      <c r="F11" s="170">
        <v>0</v>
      </c>
      <c r="G11" s="169" t="s">
        <v>146</v>
      </c>
      <c r="H11" s="170" t="s">
        <v>146</v>
      </c>
      <c r="I11" s="173"/>
      <c r="J11" s="174"/>
    </row>
    <row r="12" spans="1:27" ht="15.95" customHeight="1" x14ac:dyDescent="0.2">
      <c r="A12" s="177" t="s">
        <v>17</v>
      </c>
      <c r="B12" s="176">
        <f>'3rd IA Configuration'!H14</f>
        <v>-21.5</v>
      </c>
      <c r="C12" s="169">
        <v>0</v>
      </c>
      <c r="D12" s="170">
        <v>0</v>
      </c>
      <c r="E12" s="169">
        <f t="shared" ref="E12:E14" si="0">-B12</f>
        <v>21.5</v>
      </c>
      <c r="F12" s="170">
        <v>0</v>
      </c>
      <c r="G12" s="169" t="s">
        <v>146</v>
      </c>
      <c r="H12" s="170" t="s">
        <v>146</v>
      </c>
      <c r="I12" s="173"/>
      <c r="J12" s="174"/>
    </row>
    <row r="13" spans="1:27" ht="15.95" customHeight="1" x14ac:dyDescent="0.2">
      <c r="A13" s="178" t="s">
        <v>6</v>
      </c>
      <c r="B13" s="176">
        <f>'3rd IA Configuration'!I14</f>
        <v>-76.7</v>
      </c>
      <c r="C13" s="169">
        <v>0</v>
      </c>
      <c r="D13" s="170">
        <v>0</v>
      </c>
      <c r="E13" s="169">
        <f t="shared" si="0"/>
        <v>76.7</v>
      </c>
      <c r="F13" s="170">
        <v>0</v>
      </c>
      <c r="G13" s="169" t="s">
        <v>146</v>
      </c>
      <c r="H13" s="170" t="s">
        <v>146</v>
      </c>
      <c r="I13" s="173"/>
      <c r="J13" s="174"/>
    </row>
    <row r="14" spans="1:27" ht="15.95" customHeight="1" x14ac:dyDescent="0.2">
      <c r="A14" s="179" t="s">
        <v>151</v>
      </c>
      <c r="B14" s="176">
        <f>'3rd IA Configuration'!J14</f>
        <v>-10.9</v>
      </c>
      <c r="C14" s="169">
        <v>0</v>
      </c>
      <c r="D14" s="170">
        <v>0</v>
      </c>
      <c r="E14" s="169">
        <f t="shared" si="0"/>
        <v>10.9</v>
      </c>
      <c r="F14" s="170">
        <v>0</v>
      </c>
      <c r="G14" s="169" t="s">
        <v>146</v>
      </c>
      <c r="H14" s="170" t="s">
        <v>146</v>
      </c>
      <c r="I14" s="173"/>
      <c r="J14" s="174"/>
    </row>
    <row r="15" spans="1:27" ht="15.95" customHeight="1" x14ac:dyDescent="0.2">
      <c r="A15" s="179" t="s">
        <v>68</v>
      </c>
      <c r="B15" s="176">
        <f>'3rd IA Configuration'!K14</f>
        <v>-113.7</v>
      </c>
      <c r="C15" s="169">
        <v>0</v>
      </c>
      <c r="D15" s="170">
        <v>0</v>
      </c>
      <c r="E15" s="169">
        <f t="shared" ref="E15" si="1">-B15</f>
        <v>113.7</v>
      </c>
      <c r="F15" s="170">
        <v>0</v>
      </c>
      <c r="G15" s="169" t="s">
        <v>146</v>
      </c>
      <c r="H15" s="170" t="s">
        <v>146</v>
      </c>
      <c r="I15" s="173"/>
      <c r="J15" s="174"/>
    </row>
    <row r="16" spans="1:27" ht="15.95" customHeight="1" x14ac:dyDescent="0.2">
      <c r="A16" s="179" t="s">
        <v>12</v>
      </c>
      <c r="B16" s="176">
        <f>'3rd IA Configuration'!L14</f>
        <v>151</v>
      </c>
      <c r="C16" s="180">
        <v>0</v>
      </c>
      <c r="D16" s="181">
        <v>92.15</v>
      </c>
      <c r="E16" s="180">
        <f>B16</f>
        <v>151</v>
      </c>
      <c r="F16" s="181">
        <v>69.45</v>
      </c>
      <c r="G16" s="169" t="s">
        <v>146</v>
      </c>
      <c r="H16" s="170" t="s">
        <v>146</v>
      </c>
      <c r="I16" s="173"/>
      <c r="J16" s="174"/>
    </row>
    <row r="17" spans="1:10" ht="15.95" customHeight="1" x14ac:dyDescent="0.2">
      <c r="A17" s="179" t="s">
        <v>3</v>
      </c>
      <c r="B17" s="176">
        <f>'3rd IA Configuration'!M14</f>
        <v>-42.1</v>
      </c>
      <c r="C17" s="169">
        <v>0</v>
      </c>
      <c r="D17" s="170">
        <v>0</v>
      </c>
      <c r="E17" s="169">
        <v>27.3</v>
      </c>
      <c r="F17" s="170">
        <v>0</v>
      </c>
      <c r="G17" s="169">
        <f>-B17</f>
        <v>42.1</v>
      </c>
      <c r="H17" s="170">
        <v>6.5</v>
      </c>
      <c r="I17" s="182"/>
      <c r="J17" s="174"/>
    </row>
    <row r="18" spans="1:10" ht="15.95" customHeight="1" x14ac:dyDescent="0.2">
      <c r="A18" s="179" t="s">
        <v>31</v>
      </c>
      <c r="B18" s="176">
        <f>'3rd IA Configuration'!N14</f>
        <v>-13</v>
      </c>
      <c r="C18" s="180">
        <v>0</v>
      </c>
      <c r="D18" s="181">
        <v>69.05</v>
      </c>
      <c r="E18" s="180">
        <f>-B18</f>
        <v>13</v>
      </c>
      <c r="F18" s="181">
        <v>73.722164593301585</v>
      </c>
      <c r="G18" s="169" t="s">
        <v>146</v>
      </c>
      <c r="H18" s="170" t="s">
        <v>146</v>
      </c>
      <c r="I18" s="173"/>
      <c r="J18" s="174"/>
    </row>
    <row r="19" spans="1:10" ht="15.95" customHeight="1" x14ac:dyDescent="0.2">
      <c r="A19" s="179" t="s">
        <v>13</v>
      </c>
      <c r="B19" s="176">
        <f>'3rd IA Configuration'!O14</f>
        <v>-28.6</v>
      </c>
      <c r="C19" s="169">
        <v>0</v>
      </c>
      <c r="D19" s="170">
        <v>0</v>
      </c>
      <c r="E19" s="169">
        <f t="shared" ref="E19:E20" si="2">-B19</f>
        <v>28.6</v>
      </c>
      <c r="F19" s="170">
        <v>0</v>
      </c>
      <c r="G19" s="169" t="s">
        <v>146</v>
      </c>
      <c r="H19" s="170" t="s">
        <v>146</v>
      </c>
      <c r="I19" s="173"/>
      <c r="J19" s="174"/>
    </row>
    <row r="20" spans="1:10" ht="15.95" customHeight="1" thickBot="1" x14ac:dyDescent="0.25">
      <c r="A20" s="183" t="s">
        <v>20</v>
      </c>
      <c r="B20" s="184">
        <f>'3rd IA Configuration'!P14</f>
        <v>-136.30000000000001</v>
      </c>
      <c r="C20" s="185">
        <v>0</v>
      </c>
      <c r="D20" s="186">
        <v>0</v>
      </c>
      <c r="E20" s="185">
        <f t="shared" si="2"/>
        <v>136.30000000000001</v>
      </c>
      <c r="F20" s="186">
        <v>0</v>
      </c>
      <c r="G20" s="185" t="s">
        <v>146</v>
      </c>
      <c r="H20" s="186" t="s">
        <v>146</v>
      </c>
      <c r="I20" s="173"/>
      <c r="J20" s="174"/>
    </row>
    <row r="21" spans="1:10" ht="16.5" thickBot="1" x14ac:dyDescent="0.3">
      <c r="A21" s="187" t="s">
        <v>152</v>
      </c>
      <c r="B21" s="188">
        <f>SUM(B6:B20)</f>
        <v>-325.8</v>
      </c>
      <c r="C21" s="157" t="s">
        <v>7</v>
      </c>
      <c r="D21" s="154"/>
      <c r="E21" s="154"/>
      <c r="F21" s="155"/>
      <c r="G21" s="155"/>
      <c r="H21" s="155"/>
    </row>
    <row r="23" spans="1:10" ht="15.75" x14ac:dyDescent="0.2">
      <c r="A23" s="193" t="s">
        <v>153</v>
      </c>
      <c r="B23" s="193"/>
      <c r="C23" s="193"/>
      <c r="D23" s="193"/>
      <c r="E23" s="193"/>
      <c r="F23" s="193"/>
      <c r="G23" s="193"/>
      <c r="H23" s="193"/>
    </row>
    <row r="24" spans="1:10" ht="60" customHeight="1" x14ac:dyDescent="0.2">
      <c r="A24" s="194" t="s">
        <v>154</v>
      </c>
      <c r="B24" s="194"/>
      <c r="C24" s="194"/>
      <c r="D24" s="194"/>
      <c r="E24" s="194"/>
      <c r="F24" s="194"/>
      <c r="G24" s="194"/>
      <c r="H24" s="194"/>
    </row>
    <row r="25" spans="1:10" ht="20.100000000000001" customHeight="1" x14ac:dyDescent="0.2">
      <c r="A25" s="189"/>
      <c r="B25" s="189"/>
      <c r="C25" s="189"/>
      <c r="D25" s="189"/>
      <c r="E25" s="189"/>
      <c r="F25" s="189"/>
      <c r="G25" s="189"/>
      <c r="H25" s="189"/>
    </row>
    <row r="26" spans="1:10" ht="20.100000000000001" customHeight="1" x14ac:dyDescent="0.2"/>
  </sheetData>
  <mergeCells count="3">
    <mergeCell ref="C4:H4"/>
    <mergeCell ref="A23:H23"/>
    <mergeCell ref="A24:H24"/>
  </mergeCells>
  <pageMargins left="0.45" right="0.45" top="0.5" bottom="0.5" header="0" footer="0"/>
  <pageSetup scale="76" orientation="landscape" horizontalDpi="4294967295" verticalDpi="4294967295" r:id="rId1"/>
  <ignoredErrors>
    <ignoredError sqref="E16"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8"/>
  <sheetViews>
    <sheetView zoomScale="90" zoomScaleNormal="90" workbookViewId="0"/>
  </sheetViews>
  <sheetFormatPr defaultRowHeight="12.75" x14ac:dyDescent="0.2"/>
  <cols>
    <col min="1" max="1" width="60.7109375" customWidth="1"/>
    <col min="2" max="18" width="15.7109375" customWidth="1"/>
  </cols>
  <sheetData>
    <row r="1" spans="1:16" ht="18.75" x14ac:dyDescent="0.2">
      <c r="A1" s="120" t="s">
        <v>158</v>
      </c>
      <c r="B1" s="121" t="s">
        <v>7</v>
      </c>
      <c r="C1" s="121" t="s">
        <v>7</v>
      </c>
      <c r="D1" s="120"/>
      <c r="E1" s="120"/>
      <c r="F1" s="120"/>
      <c r="G1" s="120"/>
      <c r="H1" s="120"/>
      <c r="I1" s="121" t="s">
        <v>7</v>
      </c>
      <c r="J1" s="122"/>
      <c r="K1" s="120"/>
      <c r="L1" s="120"/>
      <c r="M1" s="120"/>
      <c r="N1" s="120"/>
    </row>
    <row r="2" spans="1:16" ht="18.75" x14ac:dyDescent="0.25">
      <c r="A2" s="123"/>
      <c r="B2" s="121" t="s">
        <v>7</v>
      </c>
      <c r="C2" s="121" t="s">
        <v>7</v>
      </c>
      <c r="D2" s="123"/>
      <c r="E2" s="124"/>
      <c r="F2" s="123"/>
      <c r="G2" s="125"/>
      <c r="H2" s="126"/>
      <c r="I2" s="126"/>
      <c r="J2" s="126"/>
      <c r="K2" s="126"/>
      <c r="L2" s="126"/>
      <c r="M2" s="126"/>
      <c r="N2" s="126"/>
    </row>
    <row r="3" spans="1:16" ht="20.100000000000001" customHeight="1" x14ac:dyDescent="0.25">
      <c r="A3" s="127"/>
      <c r="B3" s="128" t="s">
        <v>7</v>
      </c>
      <c r="C3" s="195" t="s">
        <v>27</v>
      </c>
      <c r="D3" s="196"/>
      <c r="E3" s="196"/>
      <c r="F3" s="196"/>
      <c r="G3" s="196"/>
      <c r="H3" s="196"/>
      <c r="I3" s="196"/>
      <c r="J3" s="196"/>
      <c r="K3" s="196"/>
      <c r="L3" s="196"/>
      <c r="M3" s="196"/>
      <c r="N3" s="196"/>
      <c r="O3" s="196"/>
      <c r="P3" s="197"/>
    </row>
    <row r="4" spans="1:16" ht="20.100000000000001" customHeight="1" x14ac:dyDescent="0.2">
      <c r="A4" s="129" t="s">
        <v>7</v>
      </c>
      <c r="B4" s="130" t="s">
        <v>8</v>
      </c>
      <c r="C4" s="130" t="s">
        <v>11</v>
      </c>
      <c r="D4" s="130" t="s">
        <v>10</v>
      </c>
      <c r="E4" s="130" t="s">
        <v>9</v>
      </c>
      <c r="F4" s="130" t="s">
        <v>28</v>
      </c>
      <c r="G4" s="130" t="s">
        <v>29</v>
      </c>
      <c r="H4" s="130" t="s">
        <v>17</v>
      </c>
      <c r="I4" s="130" t="s">
        <v>6</v>
      </c>
      <c r="J4" s="130" t="s">
        <v>18</v>
      </c>
      <c r="K4" s="130" t="s">
        <v>120</v>
      </c>
      <c r="L4" s="131" t="s">
        <v>12</v>
      </c>
      <c r="M4" s="131" t="s">
        <v>3</v>
      </c>
      <c r="N4" s="131" t="s">
        <v>31</v>
      </c>
      <c r="O4" s="131" t="s">
        <v>13</v>
      </c>
      <c r="P4" s="131" t="s">
        <v>20</v>
      </c>
    </row>
    <row r="5" spans="1:16" ht="20.100000000000001" customHeight="1" x14ac:dyDescent="0.2">
      <c r="A5" s="132" t="s">
        <v>121</v>
      </c>
      <c r="B5" s="133">
        <f>'3rd IA Parameters'!B15</f>
        <v>131930.79999999999</v>
      </c>
      <c r="C5" s="133">
        <f>'3rd IA Parameters'!C15</f>
        <v>63827</v>
      </c>
      <c r="D5" s="133">
        <f>'3rd IA Parameters'!D15</f>
        <v>35584</v>
      </c>
      <c r="E5" s="133">
        <f>'3rd IA Parameters'!E15</f>
        <v>14292</v>
      </c>
      <c r="F5" s="133">
        <f>'3rd IA Parameters'!F15</f>
        <v>11226</v>
      </c>
      <c r="G5" s="133">
        <f>'3rd IA Parameters'!G15</f>
        <v>5776</v>
      </c>
      <c r="H5" s="133">
        <f>'3rd IA Parameters'!H15</f>
        <v>2864</v>
      </c>
      <c r="I5" s="133">
        <f>'3rd IA Parameters'!I15</f>
        <v>7146</v>
      </c>
      <c r="J5" s="133">
        <f>'3rd IA Parameters'!J15</f>
        <v>14554</v>
      </c>
      <c r="K5" s="133">
        <f>'3rd IA Parameters'!K15</f>
        <v>5344</v>
      </c>
      <c r="L5" s="133">
        <f>'3rd IA Parameters'!L15</f>
        <v>24082</v>
      </c>
      <c r="M5" s="133">
        <f>'3rd IA Parameters'!M15</f>
        <v>7523</v>
      </c>
      <c r="N5" s="133">
        <f>'3rd IA Parameters'!N15</f>
        <v>10174</v>
      </c>
      <c r="O5" s="133">
        <f>'3rd IA Parameters'!O15</f>
        <v>3845</v>
      </c>
      <c r="P5" s="133">
        <f>'3rd IA Parameters'!P15</f>
        <v>6601.7992000000004</v>
      </c>
    </row>
    <row r="6" spans="1:16" ht="20.100000000000001" customHeight="1" x14ac:dyDescent="0.2">
      <c r="A6" s="132" t="s">
        <v>156</v>
      </c>
      <c r="B6" s="133">
        <f>'BRA Parameters'!B15</f>
        <v>132256.6</v>
      </c>
      <c r="C6" s="133">
        <f>'BRA Parameters'!C15</f>
        <v>64514</v>
      </c>
      <c r="D6" s="133">
        <f>'BRA Parameters'!D15</f>
        <v>35884</v>
      </c>
      <c r="E6" s="133">
        <f>'BRA Parameters'!E15</f>
        <v>14934</v>
      </c>
      <c r="F6" s="133">
        <f>'BRA Parameters'!F15</f>
        <v>11686</v>
      </c>
      <c r="G6" s="133">
        <f>'BRA Parameters'!G15</f>
        <v>6180</v>
      </c>
      <c r="H6" s="133">
        <f>'BRA Parameters'!H15</f>
        <v>3155</v>
      </c>
      <c r="I6" s="133">
        <f>'BRA Parameters'!I15</f>
        <v>7701</v>
      </c>
      <c r="J6" s="133">
        <f>'BRA Parameters'!J15</f>
        <v>15011</v>
      </c>
      <c r="K6" s="133">
        <f>'BRA Parameters'!K15</f>
        <v>5761</v>
      </c>
      <c r="L6" s="133">
        <f>'BRA Parameters'!L15</f>
        <v>23931</v>
      </c>
      <c r="M6" s="133">
        <f>'BRA Parameters'!M15</f>
        <v>7828</v>
      </c>
      <c r="N6" s="133">
        <f>'BRA Parameters'!N15</f>
        <v>10244</v>
      </c>
      <c r="O6" s="133">
        <f>'BRA Parameters'!O15</f>
        <v>3950</v>
      </c>
      <c r="P6" s="133">
        <f>'BRA Parameters'!P15</f>
        <v>7102.1034</v>
      </c>
    </row>
    <row r="7" spans="1:16" ht="20.100000000000001" customHeight="1" x14ac:dyDescent="0.2">
      <c r="A7" s="135" t="s">
        <v>122</v>
      </c>
      <c r="B7" s="133">
        <f>B5-B6</f>
        <v>-325.80000000001746</v>
      </c>
      <c r="C7" s="133">
        <f>C5-C6</f>
        <v>-687</v>
      </c>
      <c r="D7" s="133">
        <f>D5-D6</f>
        <v>-300</v>
      </c>
      <c r="E7" s="133">
        <f t="shared" ref="E7:O7" si="0">E5-E6</f>
        <v>-642</v>
      </c>
      <c r="F7" s="133">
        <f t="shared" si="0"/>
        <v>-460</v>
      </c>
      <c r="G7" s="133">
        <f>G5-G6</f>
        <v>-404</v>
      </c>
      <c r="H7" s="133">
        <f t="shared" si="0"/>
        <v>-291</v>
      </c>
      <c r="I7" s="133">
        <f t="shared" si="0"/>
        <v>-555</v>
      </c>
      <c r="J7" s="134">
        <f t="shared" si="0"/>
        <v>-457</v>
      </c>
      <c r="K7" s="134">
        <f t="shared" si="0"/>
        <v>-417</v>
      </c>
      <c r="L7" s="134">
        <f t="shared" si="0"/>
        <v>151</v>
      </c>
      <c r="M7" s="133">
        <f t="shared" si="0"/>
        <v>-305</v>
      </c>
      <c r="N7" s="133">
        <f t="shared" si="0"/>
        <v>-70</v>
      </c>
      <c r="O7" s="133">
        <f t="shared" si="0"/>
        <v>-105</v>
      </c>
      <c r="P7" s="133">
        <f>P5-P6</f>
        <v>-500.30419999999958</v>
      </c>
    </row>
    <row r="8" spans="1:16" ht="20.100000000000001" customHeight="1" x14ac:dyDescent="0.2">
      <c r="A8" s="132" t="s">
        <v>132</v>
      </c>
      <c r="B8" s="136" t="s">
        <v>33</v>
      </c>
      <c r="C8" s="137">
        <f>'3rd IA Parameters'!C11-'BRA Parameters'!C11</f>
        <v>0</v>
      </c>
      <c r="D8" s="137">
        <f>'3rd IA Parameters'!D11-'BRA Parameters'!D11</f>
        <v>0</v>
      </c>
      <c r="E8" s="137">
        <f>'3rd IA Parameters'!E11-'BRA Parameters'!E11</f>
        <v>0</v>
      </c>
      <c r="F8" s="137">
        <f>'3rd IA Parameters'!F11-'BRA Parameters'!F11</f>
        <v>0</v>
      </c>
      <c r="G8" s="137">
        <f>'3rd IA Parameters'!G11-'BRA Parameters'!G11</f>
        <v>0</v>
      </c>
      <c r="H8" s="137">
        <f>'3rd IA Parameters'!H11-'BRA Parameters'!H11</f>
        <v>0</v>
      </c>
      <c r="I8" s="137">
        <f>'3rd IA Parameters'!I11-'BRA Parameters'!I11</f>
        <v>0</v>
      </c>
      <c r="J8" s="137">
        <f>'3rd IA Parameters'!J11-'BRA Parameters'!J11</f>
        <v>0</v>
      </c>
      <c r="K8" s="137">
        <f>'3rd IA Parameters'!K11-'BRA Parameters'!K11</f>
        <v>0</v>
      </c>
      <c r="L8" s="137">
        <f>'3rd IA Parameters'!L11-'BRA Parameters'!L11</f>
        <v>0</v>
      </c>
      <c r="M8" s="137">
        <f>'3rd IA Parameters'!M11-'BRA Parameters'!M11</f>
        <v>0</v>
      </c>
      <c r="N8" s="137">
        <f>'3rd IA Parameters'!N11-'BRA Parameters'!N11</f>
        <v>0</v>
      </c>
      <c r="O8" s="137">
        <f>'3rd IA Parameters'!O11-'BRA Parameters'!O11</f>
        <v>0</v>
      </c>
      <c r="P8" s="137">
        <f>'3rd IA Parameters'!P11-'BRA Parameters'!P11</f>
        <v>0</v>
      </c>
    </row>
    <row r="9" spans="1:16" ht="20.100000000000001" customHeight="1" x14ac:dyDescent="0.2">
      <c r="A9" s="138" t="s">
        <v>133</v>
      </c>
      <c r="B9" s="136" t="s">
        <v>33</v>
      </c>
      <c r="C9" s="137">
        <v>0</v>
      </c>
      <c r="D9" s="137">
        <v>0</v>
      </c>
      <c r="E9" s="137">
        <v>136.9</v>
      </c>
      <c r="F9" s="137">
        <v>457</v>
      </c>
      <c r="G9" s="137">
        <v>243.3</v>
      </c>
      <c r="H9" s="137">
        <v>49.7</v>
      </c>
      <c r="I9" s="137">
        <v>2126.3000000000002</v>
      </c>
      <c r="J9" s="137">
        <v>3424.1000000000004</v>
      </c>
      <c r="K9" s="137">
        <v>1028.3999999999996</v>
      </c>
      <c r="L9" s="137">
        <v>0</v>
      </c>
      <c r="M9" s="137">
        <v>0</v>
      </c>
      <c r="N9" s="137">
        <v>4078.1</v>
      </c>
      <c r="O9" s="137">
        <v>941.80000000000018</v>
      </c>
      <c r="P9" s="137">
        <v>0</v>
      </c>
    </row>
    <row r="10" spans="1:16" ht="20.100000000000001" customHeight="1" x14ac:dyDescent="0.2">
      <c r="A10" s="139" t="s">
        <v>134</v>
      </c>
      <c r="B10" s="140">
        <v>0</v>
      </c>
      <c r="C10" s="140">
        <v>0</v>
      </c>
      <c r="D10" s="140">
        <v>0</v>
      </c>
      <c r="E10" s="140">
        <v>0</v>
      </c>
      <c r="F10" s="140">
        <v>0</v>
      </c>
      <c r="G10" s="140">
        <v>0</v>
      </c>
      <c r="H10" s="140">
        <v>0</v>
      </c>
      <c r="I10" s="140">
        <v>0</v>
      </c>
      <c r="J10" s="140">
        <v>0</v>
      </c>
      <c r="K10" s="140">
        <v>0</v>
      </c>
      <c r="L10" s="140">
        <v>0</v>
      </c>
      <c r="M10" s="140">
        <v>0</v>
      </c>
      <c r="N10" s="140">
        <v>0</v>
      </c>
      <c r="O10" s="140">
        <v>0</v>
      </c>
      <c r="P10" s="140">
        <v>0</v>
      </c>
    </row>
    <row r="11" spans="1:16" ht="20.100000000000001" customHeight="1" x14ac:dyDescent="0.2">
      <c r="A11" s="139" t="s">
        <v>123</v>
      </c>
      <c r="B11" s="140">
        <v>0</v>
      </c>
      <c r="C11" s="140">
        <v>0</v>
      </c>
      <c r="D11" s="140">
        <v>0</v>
      </c>
      <c r="E11" s="140">
        <v>0</v>
      </c>
      <c r="F11" s="140">
        <v>0</v>
      </c>
      <c r="G11" s="140">
        <v>0</v>
      </c>
      <c r="H11" s="140">
        <v>0</v>
      </c>
      <c r="I11" s="140">
        <v>0</v>
      </c>
      <c r="J11" s="140">
        <v>0</v>
      </c>
      <c r="K11" s="140">
        <v>0</v>
      </c>
      <c r="L11" s="140">
        <v>0</v>
      </c>
      <c r="M11" s="140">
        <v>0</v>
      </c>
      <c r="N11" s="140">
        <v>0</v>
      </c>
      <c r="O11" s="140">
        <v>0</v>
      </c>
      <c r="P11" s="140">
        <v>0</v>
      </c>
    </row>
    <row r="12" spans="1:16" ht="20.100000000000001" customHeight="1" x14ac:dyDescent="0.2">
      <c r="A12" s="139" t="s">
        <v>124</v>
      </c>
      <c r="B12" s="141">
        <f>B7+B10+B11</f>
        <v>-325.80000000001746</v>
      </c>
      <c r="C12" s="141">
        <f>C7+C10+C11</f>
        <v>-687</v>
      </c>
      <c r="D12" s="141">
        <f>D7+D10+D11</f>
        <v>-300</v>
      </c>
      <c r="E12" s="141">
        <f t="shared" ref="E12:O12" si="1">E7+E10+E11</f>
        <v>-642</v>
      </c>
      <c r="F12" s="141">
        <f>F7+F10+F11</f>
        <v>-460</v>
      </c>
      <c r="G12" s="141">
        <f t="shared" si="1"/>
        <v>-404</v>
      </c>
      <c r="H12" s="141">
        <f>H7+H10+H11</f>
        <v>-291</v>
      </c>
      <c r="I12" s="141">
        <f t="shared" si="1"/>
        <v>-555</v>
      </c>
      <c r="J12" s="141">
        <f t="shared" si="1"/>
        <v>-457</v>
      </c>
      <c r="K12" s="141">
        <f t="shared" si="1"/>
        <v>-417</v>
      </c>
      <c r="L12" s="141">
        <f>L7+L10+L11</f>
        <v>151</v>
      </c>
      <c r="M12" s="141">
        <f t="shared" si="1"/>
        <v>-305</v>
      </c>
      <c r="N12" s="141">
        <f t="shared" si="1"/>
        <v>-70</v>
      </c>
      <c r="O12" s="141">
        <f t="shared" si="1"/>
        <v>-105</v>
      </c>
      <c r="P12" s="141">
        <f>P7+P10+P11</f>
        <v>-500.30419999999958</v>
      </c>
    </row>
    <row r="13" spans="1:16" ht="20.100000000000001" customHeight="1" x14ac:dyDescent="0.2">
      <c r="A13" s="142" t="s">
        <v>125</v>
      </c>
      <c r="B13" s="143">
        <f>B12-C12-J12-L12-O12-P12</f>
        <v>1272.5041999999821</v>
      </c>
      <c r="C13" s="143">
        <f>C12-D12-E12-N12</f>
        <v>325</v>
      </c>
      <c r="D13" s="143">
        <f>D12-F12-H12</f>
        <v>451</v>
      </c>
      <c r="E13" s="143">
        <f>E12-I12-M12</f>
        <v>218</v>
      </c>
      <c r="F13" s="143">
        <f>F12-G12</f>
        <v>-56</v>
      </c>
      <c r="G13" s="143">
        <f t="shared" ref="G13:N13" si="2">G12</f>
        <v>-404</v>
      </c>
      <c r="H13" s="143">
        <f t="shared" si="2"/>
        <v>-291</v>
      </c>
      <c r="I13" s="143">
        <f t="shared" si="2"/>
        <v>-555</v>
      </c>
      <c r="J13" s="143">
        <f>J12-K12</f>
        <v>-40</v>
      </c>
      <c r="K13" s="143">
        <f t="shared" si="2"/>
        <v>-417</v>
      </c>
      <c r="L13" s="143">
        <f t="shared" si="2"/>
        <v>151</v>
      </c>
      <c r="M13" s="143">
        <f t="shared" si="2"/>
        <v>-305</v>
      </c>
      <c r="N13" s="143">
        <f t="shared" si="2"/>
        <v>-70</v>
      </c>
      <c r="O13" s="143">
        <f>O12</f>
        <v>-105</v>
      </c>
      <c r="P13" s="143">
        <f>P12</f>
        <v>-500.30419999999958</v>
      </c>
    </row>
    <row r="14" spans="1:16" ht="20.100000000000001" customHeight="1" x14ac:dyDescent="0.2">
      <c r="A14" s="142" t="s">
        <v>126</v>
      </c>
      <c r="B14" s="144">
        <v>0</v>
      </c>
      <c r="C14" s="144">
        <v>0</v>
      </c>
      <c r="D14" s="144">
        <v>0</v>
      </c>
      <c r="E14" s="144">
        <v>0</v>
      </c>
      <c r="F14" s="144">
        <v>-4.0999999999999996</v>
      </c>
      <c r="G14" s="144">
        <v>-29.9</v>
      </c>
      <c r="H14" s="144">
        <v>-21.5</v>
      </c>
      <c r="I14" s="144">
        <v>-76.7</v>
      </c>
      <c r="J14" s="144">
        <v>-10.9</v>
      </c>
      <c r="K14" s="144">
        <v>-113.7</v>
      </c>
      <c r="L14" s="144">
        <v>151</v>
      </c>
      <c r="M14" s="144">
        <v>-42.1</v>
      </c>
      <c r="N14" s="144">
        <v>-13</v>
      </c>
      <c r="O14" s="144">
        <v>-28.6</v>
      </c>
      <c r="P14" s="144">
        <v>-136.30000000000001</v>
      </c>
    </row>
    <row r="15" spans="1:16" ht="20.100000000000001" customHeight="1" x14ac:dyDescent="0.2">
      <c r="A15" s="145" t="s">
        <v>127</v>
      </c>
      <c r="B15" s="130" t="s">
        <v>33</v>
      </c>
      <c r="C15" s="146">
        <f>C9+(C14+D14+E14+N14+F14+G14+H14+I14+M14-C12)</f>
        <v>499.70000000000005</v>
      </c>
      <c r="D15" s="146">
        <f>D9+(D14+F14+G14+H14-D12)</f>
        <v>244.5</v>
      </c>
      <c r="E15" s="146">
        <f>E9+(E14+I14+M14-E12)</f>
        <v>660.1</v>
      </c>
      <c r="F15" s="146">
        <f>F9+(F14+G14-F12)</f>
        <v>883</v>
      </c>
      <c r="G15" s="146">
        <f>G9+(G14-G13)</f>
        <v>617.40000000000009</v>
      </c>
      <c r="H15" s="146">
        <f>H9+(H14-H13)</f>
        <v>319.2</v>
      </c>
      <c r="I15" s="146">
        <f>I9+(I14-I13)</f>
        <v>2604.6000000000004</v>
      </c>
      <c r="J15" s="146">
        <f>J9+(J14+K14-J12)</f>
        <v>3756.5000000000005</v>
      </c>
      <c r="K15" s="146">
        <f>K9+(K14-K13)</f>
        <v>1331.6999999999996</v>
      </c>
      <c r="L15" s="146">
        <v>0</v>
      </c>
      <c r="M15" s="146">
        <f>M9+(M14-M13)</f>
        <v>262.89999999999998</v>
      </c>
      <c r="N15" s="146">
        <f>N9+(N14-N13)</f>
        <v>4135.1000000000004</v>
      </c>
      <c r="O15" s="146">
        <f>O9+(O14-O13)</f>
        <v>1018.2000000000002</v>
      </c>
      <c r="P15" s="146">
        <f>P9+(P14-P13)</f>
        <v>364.00419999999957</v>
      </c>
    </row>
    <row r="16" spans="1:16" ht="5.0999999999999996" customHeight="1" x14ac:dyDescent="0.25">
      <c r="A16" s="147"/>
      <c r="B16" s="148"/>
      <c r="C16" s="149"/>
      <c r="D16" s="149"/>
      <c r="E16" s="149"/>
      <c r="F16" s="149"/>
      <c r="G16" s="149"/>
      <c r="H16" s="149"/>
      <c r="I16" s="149"/>
      <c r="J16" s="149"/>
      <c r="K16" s="149"/>
      <c r="L16" s="149"/>
      <c r="M16" s="149"/>
      <c r="N16" s="149"/>
    </row>
    <row r="17" spans="1:16" ht="20.100000000000001" customHeight="1" x14ac:dyDescent="0.2">
      <c r="A17" s="198" t="s">
        <v>128</v>
      </c>
      <c r="B17" s="198"/>
      <c r="C17" s="198"/>
      <c r="D17" s="198"/>
      <c r="E17" s="198"/>
      <c r="F17" s="198"/>
      <c r="G17" s="198"/>
      <c r="H17" s="198"/>
      <c r="I17" s="198"/>
      <c r="J17" s="198"/>
      <c r="K17" s="198"/>
      <c r="L17" s="198"/>
      <c r="M17" s="198"/>
      <c r="N17" s="198"/>
      <c r="O17" s="198"/>
      <c r="P17" s="198"/>
    </row>
    <row r="18" spans="1:16" ht="20.100000000000001" customHeight="1" x14ac:dyDescent="0.2">
      <c r="A18" s="198" t="s">
        <v>129</v>
      </c>
      <c r="B18" s="198"/>
      <c r="C18" s="198"/>
      <c r="D18" s="198"/>
      <c r="E18" s="198"/>
      <c r="F18" s="198"/>
      <c r="G18" s="198"/>
      <c r="H18" s="198"/>
      <c r="I18" s="198"/>
      <c r="J18" s="198"/>
      <c r="K18" s="198"/>
      <c r="L18" s="198"/>
      <c r="M18" s="198"/>
      <c r="N18" s="198"/>
      <c r="O18" s="198"/>
      <c r="P18" s="198"/>
    </row>
    <row r="19" spans="1:16" ht="20.100000000000001" customHeight="1" x14ac:dyDescent="0.2">
      <c r="A19" s="199" t="s">
        <v>130</v>
      </c>
      <c r="B19" s="199"/>
      <c r="C19" s="199"/>
      <c r="D19" s="199"/>
      <c r="E19" s="199"/>
      <c r="F19" s="199"/>
      <c r="G19" s="199"/>
      <c r="H19" s="199"/>
      <c r="I19" s="199"/>
      <c r="J19" s="199"/>
      <c r="K19" s="199"/>
      <c r="L19" s="199"/>
      <c r="M19" s="199"/>
      <c r="N19" s="199"/>
      <c r="O19" s="199"/>
      <c r="P19" s="199"/>
    </row>
    <row r="20" spans="1:16" ht="20.100000000000001" customHeight="1" x14ac:dyDescent="0.2">
      <c r="A20" s="200" t="s">
        <v>131</v>
      </c>
      <c r="B20" s="200"/>
      <c r="C20" s="200"/>
      <c r="D20" s="200"/>
      <c r="E20" s="200"/>
      <c r="F20" s="200"/>
      <c r="G20" s="200"/>
      <c r="H20" s="200"/>
      <c r="I20" s="200"/>
      <c r="J20" s="200"/>
      <c r="K20" s="200"/>
      <c r="L20" s="200"/>
      <c r="M20" s="200"/>
      <c r="N20" s="200"/>
      <c r="O20" s="200"/>
      <c r="P20" s="200"/>
    </row>
    <row r="21" spans="1:16" x14ac:dyDescent="0.2">
      <c r="A21" t="s">
        <v>7</v>
      </c>
      <c r="B21" t="s">
        <v>7</v>
      </c>
      <c r="C21" t="s">
        <v>7</v>
      </c>
      <c r="D21" t="s">
        <v>7</v>
      </c>
      <c r="E21" t="s">
        <v>7</v>
      </c>
      <c r="F21" t="s">
        <v>7</v>
      </c>
      <c r="G21" t="s">
        <v>7</v>
      </c>
      <c r="H21" t="s">
        <v>7</v>
      </c>
      <c r="I21" t="s">
        <v>7</v>
      </c>
      <c r="J21" t="s">
        <v>7</v>
      </c>
      <c r="K21" t="s">
        <v>7</v>
      </c>
      <c r="L21" t="s">
        <v>7</v>
      </c>
      <c r="M21" t="s">
        <v>7</v>
      </c>
      <c r="N21" t="s">
        <v>7</v>
      </c>
      <c r="O21" t="s">
        <v>7</v>
      </c>
      <c r="P21" t="s">
        <v>7</v>
      </c>
    </row>
    <row r="22" spans="1:16" x14ac:dyDescent="0.2">
      <c r="A22" t="s">
        <v>7</v>
      </c>
      <c r="B22" t="s">
        <v>7</v>
      </c>
      <c r="C22" t="s">
        <v>7</v>
      </c>
      <c r="D22" t="s">
        <v>7</v>
      </c>
      <c r="E22" t="s">
        <v>7</v>
      </c>
      <c r="F22" t="s">
        <v>7</v>
      </c>
      <c r="G22" t="s">
        <v>7</v>
      </c>
      <c r="H22" t="s">
        <v>7</v>
      </c>
      <c r="I22" t="s">
        <v>7</v>
      </c>
      <c r="J22" t="s">
        <v>7</v>
      </c>
      <c r="K22" t="s">
        <v>7</v>
      </c>
      <c r="L22" t="s">
        <v>7</v>
      </c>
      <c r="M22" t="s">
        <v>7</v>
      </c>
      <c r="N22" t="s">
        <v>7</v>
      </c>
      <c r="O22" t="s">
        <v>7</v>
      </c>
      <c r="P22" t="s">
        <v>7</v>
      </c>
    </row>
    <row r="23" spans="1:16" x14ac:dyDescent="0.2">
      <c r="A23" t="s">
        <v>7</v>
      </c>
      <c r="B23" t="s">
        <v>7</v>
      </c>
      <c r="C23" t="s">
        <v>7</v>
      </c>
      <c r="D23" t="s">
        <v>7</v>
      </c>
      <c r="E23" t="s">
        <v>7</v>
      </c>
      <c r="F23" t="s">
        <v>7</v>
      </c>
      <c r="G23" t="s">
        <v>7</v>
      </c>
      <c r="H23" t="s">
        <v>7</v>
      </c>
      <c r="I23" t="s">
        <v>7</v>
      </c>
      <c r="J23" t="s">
        <v>7</v>
      </c>
      <c r="K23" t="s">
        <v>7</v>
      </c>
      <c r="L23" t="s">
        <v>7</v>
      </c>
      <c r="M23" t="s">
        <v>7</v>
      </c>
      <c r="N23" t="s">
        <v>7</v>
      </c>
      <c r="O23" t="s">
        <v>7</v>
      </c>
      <c r="P23" t="s">
        <v>7</v>
      </c>
    </row>
    <row r="24" spans="1:16" x14ac:dyDescent="0.2">
      <c r="A24" t="s">
        <v>7</v>
      </c>
      <c r="B24" t="s">
        <v>7</v>
      </c>
      <c r="C24" t="s">
        <v>7</v>
      </c>
      <c r="D24" t="s">
        <v>7</v>
      </c>
      <c r="E24" t="s">
        <v>7</v>
      </c>
      <c r="F24" t="s">
        <v>7</v>
      </c>
      <c r="G24" t="s">
        <v>7</v>
      </c>
      <c r="H24" t="s">
        <v>7</v>
      </c>
      <c r="I24" t="s">
        <v>7</v>
      </c>
      <c r="J24" t="s">
        <v>7</v>
      </c>
      <c r="K24" t="s">
        <v>7</v>
      </c>
      <c r="L24" t="s">
        <v>7</v>
      </c>
      <c r="M24" t="s">
        <v>7</v>
      </c>
      <c r="N24" t="s">
        <v>7</v>
      </c>
      <c r="O24" t="s">
        <v>7</v>
      </c>
      <c r="P24" t="s">
        <v>7</v>
      </c>
    </row>
    <row r="25" spans="1:16" x14ac:dyDescent="0.2">
      <c r="A25" t="s">
        <v>7</v>
      </c>
      <c r="B25" t="s">
        <v>7</v>
      </c>
      <c r="C25" t="s">
        <v>7</v>
      </c>
      <c r="D25" t="s">
        <v>7</v>
      </c>
      <c r="E25" t="s">
        <v>7</v>
      </c>
      <c r="F25" t="s">
        <v>7</v>
      </c>
      <c r="G25" t="s">
        <v>7</v>
      </c>
      <c r="H25" t="s">
        <v>7</v>
      </c>
      <c r="I25" t="s">
        <v>7</v>
      </c>
      <c r="J25" t="s">
        <v>7</v>
      </c>
      <c r="K25" t="s">
        <v>7</v>
      </c>
      <c r="L25" t="s">
        <v>7</v>
      </c>
      <c r="M25" t="s">
        <v>7</v>
      </c>
      <c r="N25" t="s">
        <v>7</v>
      </c>
      <c r="O25" t="s">
        <v>7</v>
      </c>
      <c r="P25" t="s">
        <v>7</v>
      </c>
    </row>
    <row r="26" spans="1:16" x14ac:dyDescent="0.2">
      <c r="A26" t="s">
        <v>7</v>
      </c>
      <c r="B26" t="s">
        <v>7</v>
      </c>
      <c r="C26" t="s">
        <v>7</v>
      </c>
      <c r="D26" t="s">
        <v>7</v>
      </c>
      <c r="E26" t="s">
        <v>7</v>
      </c>
      <c r="F26" t="s">
        <v>7</v>
      </c>
      <c r="G26" t="s">
        <v>7</v>
      </c>
      <c r="H26" t="s">
        <v>7</v>
      </c>
      <c r="I26" t="s">
        <v>7</v>
      </c>
      <c r="J26" t="s">
        <v>7</v>
      </c>
      <c r="K26" t="s">
        <v>7</v>
      </c>
      <c r="L26" t="s">
        <v>7</v>
      </c>
      <c r="M26" t="s">
        <v>7</v>
      </c>
      <c r="N26" t="s">
        <v>7</v>
      </c>
      <c r="O26" t="s">
        <v>7</v>
      </c>
      <c r="P26" t="s">
        <v>7</v>
      </c>
    </row>
    <row r="27" spans="1:16" x14ac:dyDescent="0.2">
      <c r="A27" t="s">
        <v>7</v>
      </c>
      <c r="B27" t="s">
        <v>7</v>
      </c>
      <c r="C27" t="s">
        <v>7</v>
      </c>
      <c r="D27" t="s">
        <v>7</v>
      </c>
      <c r="E27" t="s">
        <v>7</v>
      </c>
      <c r="F27" t="s">
        <v>7</v>
      </c>
      <c r="G27" t="s">
        <v>7</v>
      </c>
      <c r="H27" t="s">
        <v>7</v>
      </c>
      <c r="I27" t="s">
        <v>7</v>
      </c>
      <c r="J27" t="s">
        <v>7</v>
      </c>
      <c r="K27" t="s">
        <v>7</v>
      </c>
      <c r="L27" t="s">
        <v>7</v>
      </c>
      <c r="M27" t="s">
        <v>7</v>
      </c>
      <c r="N27" t="s">
        <v>7</v>
      </c>
      <c r="O27" t="s">
        <v>7</v>
      </c>
      <c r="P27" t="s">
        <v>7</v>
      </c>
    </row>
    <row r="28" spans="1:16" x14ac:dyDescent="0.2">
      <c r="A28" t="s">
        <v>7</v>
      </c>
      <c r="B28" t="s">
        <v>7</v>
      </c>
      <c r="C28" t="s">
        <v>7</v>
      </c>
      <c r="D28" t="s">
        <v>7</v>
      </c>
      <c r="E28" t="s">
        <v>7</v>
      </c>
      <c r="F28" t="s">
        <v>7</v>
      </c>
      <c r="G28" t="s">
        <v>7</v>
      </c>
      <c r="H28" t="s">
        <v>7</v>
      </c>
      <c r="I28" t="s">
        <v>7</v>
      </c>
      <c r="J28" t="s">
        <v>7</v>
      </c>
      <c r="K28" t="s">
        <v>7</v>
      </c>
      <c r="L28" t="s">
        <v>7</v>
      </c>
      <c r="M28" t="s">
        <v>7</v>
      </c>
      <c r="N28" t="s">
        <v>7</v>
      </c>
      <c r="O28" t="s">
        <v>7</v>
      </c>
      <c r="P28" t="s">
        <v>7</v>
      </c>
    </row>
    <row r="29" spans="1:16" x14ac:dyDescent="0.2">
      <c r="A29" t="s">
        <v>7</v>
      </c>
      <c r="B29" t="s">
        <v>7</v>
      </c>
      <c r="C29" t="s">
        <v>7</v>
      </c>
      <c r="D29" t="s">
        <v>7</v>
      </c>
      <c r="E29" t="s">
        <v>7</v>
      </c>
      <c r="F29" t="s">
        <v>7</v>
      </c>
      <c r="G29" t="s">
        <v>7</v>
      </c>
      <c r="H29" t="s">
        <v>7</v>
      </c>
      <c r="I29" t="s">
        <v>7</v>
      </c>
      <c r="J29" t="s">
        <v>7</v>
      </c>
      <c r="K29" t="s">
        <v>7</v>
      </c>
      <c r="L29" t="s">
        <v>7</v>
      </c>
      <c r="M29" t="s">
        <v>7</v>
      </c>
      <c r="N29" t="s">
        <v>7</v>
      </c>
      <c r="O29" t="s">
        <v>7</v>
      </c>
      <c r="P29" t="s">
        <v>7</v>
      </c>
    </row>
    <row r="30" spans="1:16" x14ac:dyDescent="0.2">
      <c r="A30" t="s">
        <v>7</v>
      </c>
      <c r="B30" t="s">
        <v>7</v>
      </c>
      <c r="C30" t="s">
        <v>7</v>
      </c>
      <c r="D30" t="s">
        <v>7</v>
      </c>
      <c r="E30" t="s">
        <v>7</v>
      </c>
      <c r="F30" t="s">
        <v>7</v>
      </c>
      <c r="G30" t="s">
        <v>7</v>
      </c>
      <c r="H30" t="s">
        <v>7</v>
      </c>
      <c r="I30" t="s">
        <v>7</v>
      </c>
      <c r="J30" t="s">
        <v>7</v>
      </c>
      <c r="K30" t="s">
        <v>7</v>
      </c>
      <c r="L30" t="s">
        <v>7</v>
      </c>
      <c r="M30" t="s">
        <v>7</v>
      </c>
      <c r="N30" t="s">
        <v>7</v>
      </c>
      <c r="O30" t="s">
        <v>7</v>
      </c>
      <c r="P30" t="s">
        <v>7</v>
      </c>
    </row>
    <row r="31" spans="1:16" x14ac:dyDescent="0.2">
      <c r="A31" t="s">
        <v>7</v>
      </c>
      <c r="B31" t="s">
        <v>7</v>
      </c>
      <c r="C31" t="s">
        <v>7</v>
      </c>
      <c r="D31" t="s">
        <v>7</v>
      </c>
      <c r="E31" t="s">
        <v>7</v>
      </c>
      <c r="F31" t="s">
        <v>7</v>
      </c>
      <c r="G31" t="s">
        <v>7</v>
      </c>
      <c r="H31" t="s">
        <v>7</v>
      </c>
      <c r="I31" t="s">
        <v>7</v>
      </c>
      <c r="J31" t="s">
        <v>7</v>
      </c>
      <c r="K31" t="s">
        <v>7</v>
      </c>
      <c r="L31" t="s">
        <v>7</v>
      </c>
      <c r="M31" t="s">
        <v>7</v>
      </c>
      <c r="N31" t="s">
        <v>7</v>
      </c>
      <c r="O31" t="s">
        <v>7</v>
      </c>
      <c r="P31" t="s">
        <v>7</v>
      </c>
    </row>
    <row r="32" spans="1:16" x14ac:dyDescent="0.2">
      <c r="A32" t="s">
        <v>7</v>
      </c>
      <c r="B32" t="s">
        <v>7</v>
      </c>
      <c r="C32" t="s">
        <v>7</v>
      </c>
      <c r="D32" t="s">
        <v>7</v>
      </c>
      <c r="E32" t="s">
        <v>7</v>
      </c>
      <c r="F32" t="s">
        <v>7</v>
      </c>
      <c r="G32" t="s">
        <v>7</v>
      </c>
      <c r="H32" t="s">
        <v>7</v>
      </c>
      <c r="I32" t="s">
        <v>7</v>
      </c>
      <c r="J32" t="s">
        <v>7</v>
      </c>
      <c r="K32" t="s">
        <v>7</v>
      </c>
      <c r="L32" t="s">
        <v>7</v>
      </c>
      <c r="M32" t="s">
        <v>7</v>
      </c>
      <c r="N32" t="s">
        <v>7</v>
      </c>
      <c r="O32" t="s">
        <v>7</v>
      </c>
      <c r="P32" t="s">
        <v>7</v>
      </c>
    </row>
    <row r="33" spans="1:16" x14ac:dyDescent="0.2">
      <c r="A33" t="s">
        <v>7</v>
      </c>
      <c r="B33" t="s">
        <v>7</v>
      </c>
      <c r="C33" t="s">
        <v>7</v>
      </c>
      <c r="D33" t="s">
        <v>7</v>
      </c>
      <c r="E33" t="s">
        <v>7</v>
      </c>
      <c r="F33" t="s">
        <v>7</v>
      </c>
      <c r="G33" t="s">
        <v>7</v>
      </c>
      <c r="H33" t="s">
        <v>7</v>
      </c>
      <c r="I33" t="s">
        <v>7</v>
      </c>
      <c r="J33" t="s">
        <v>7</v>
      </c>
      <c r="K33" t="s">
        <v>7</v>
      </c>
      <c r="L33" t="s">
        <v>7</v>
      </c>
      <c r="M33" t="s">
        <v>7</v>
      </c>
      <c r="N33" t="s">
        <v>7</v>
      </c>
      <c r="O33" t="s">
        <v>7</v>
      </c>
      <c r="P33" t="s">
        <v>7</v>
      </c>
    </row>
    <row r="34" spans="1:16" x14ac:dyDescent="0.2">
      <c r="A34" t="s">
        <v>7</v>
      </c>
      <c r="B34" t="s">
        <v>7</v>
      </c>
      <c r="C34" t="s">
        <v>7</v>
      </c>
      <c r="D34" t="s">
        <v>7</v>
      </c>
      <c r="E34" t="s">
        <v>7</v>
      </c>
      <c r="F34" t="s">
        <v>7</v>
      </c>
      <c r="G34" t="s">
        <v>7</v>
      </c>
      <c r="H34" t="s">
        <v>7</v>
      </c>
      <c r="I34" t="s">
        <v>7</v>
      </c>
      <c r="J34" t="s">
        <v>7</v>
      </c>
      <c r="K34" t="s">
        <v>7</v>
      </c>
      <c r="L34" t="s">
        <v>7</v>
      </c>
      <c r="M34" t="s">
        <v>7</v>
      </c>
      <c r="N34" t="s">
        <v>7</v>
      </c>
      <c r="O34" t="s">
        <v>7</v>
      </c>
      <c r="P34" t="s">
        <v>7</v>
      </c>
    </row>
    <row r="35" spans="1:16" x14ac:dyDescent="0.2">
      <c r="B35" t="s">
        <v>7</v>
      </c>
    </row>
    <row r="36" spans="1:16" x14ac:dyDescent="0.2">
      <c r="B36" t="s">
        <v>7</v>
      </c>
    </row>
    <row r="37" spans="1:16" x14ac:dyDescent="0.2">
      <c r="B37" t="s">
        <v>7</v>
      </c>
    </row>
    <row r="38" spans="1:16" x14ac:dyDescent="0.2">
      <c r="B38" t="s">
        <v>7</v>
      </c>
    </row>
  </sheetData>
  <mergeCells count="5">
    <mergeCell ref="C3:P3"/>
    <mergeCell ref="A17:P17"/>
    <mergeCell ref="A18:P18"/>
    <mergeCell ref="A19:P19"/>
    <mergeCell ref="A20:P20"/>
  </mergeCells>
  <pageMargins left="0.45" right="0.45" top="0.5" bottom="0.5" header="0.3" footer="0.3"/>
  <pageSetup scale="44" orientation="landscape"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97"/>
  <sheetViews>
    <sheetView tabSelected="1" zoomScale="90" zoomScaleNormal="90" workbookViewId="0"/>
  </sheetViews>
  <sheetFormatPr defaultRowHeight="12.75" x14ac:dyDescent="0.2"/>
  <cols>
    <col min="1" max="1" width="60.7109375" customWidth="1"/>
    <col min="2" max="9" width="16.7109375" customWidth="1"/>
    <col min="10" max="10" width="22.7109375" customWidth="1"/>
    <col min="11" max="11" width="18.28515625" customWidth="1"/>
    <col min="12" max="16" width="16.7109375" customWidth="1"/>
  </cols>
  <sheetData>
    <row r="1" spans="1:16" ht="20.100000000000001" customHeight="1" x14ac:dyDescent="0.25">
      <c r="A1" s="87" t="s">
        <v>159</v>
      </c>
      <c r="B1" s="87"/>
      <c r="C1" s="3"/>
      <c r="D1" s="4">
        <v>44631</v>
      </c>
      <c r="E1" s="3"/>
      <c r="F1" s="5" t="s">
        <v>7</v>
      </c>
      <c r="G1" s="6"/>
      <c r="H1" s="7"/>
      <c r="I1" s="8" t="s">
        <v>7</v>
      </c>
      <c r="J1" s="9" t="s">
        <v>7</v>
      </c>
    </row>
    <row r="2" spans="1:16" ht="20.100000000000001" customHeight="1" x14ac:dyDescent="0.2">
      <c r="A2" s="10" t="s">
        <v>7</v>
      </c>
      <c r="B2" s="11"/>
      <c r="C2" s="11"/>
      <c r="D2" s="11"/>
      <c r="E2" s="11"/>
      <c r="F2" s="11"/>
      <c r="G2" s="11"/>
      <c r="H2" s="11"/>
      <c r="I2" s="9" t="s">
        <v>7</v>
      </c>
      <c r="J2" s="12" t="s">
        <v>7</v>
      </c>
      <c r="K2" s="11" t="s">
        <v>7</v>
      </c>
      <c r="L2" s="11"/>
      <c r="M2" s="91" t="s">
        <v>7</v>
      </c>
      <c r="N2" s="11"/>
    </row>
    <row r="3" spans="1:16" ht="20.100000000000001" customHeight="1" x14ac:dyDescent="0.25">
      <c r="A3" s="115" t="s">
        <v>7</v>
      </c>
      <c r="B3" s="13" t="s">
        <v>8</v>
      </c>
      <c r="C3" s="205" t="s">
        <v>22</v>
      </c>
      <c r="D3" s="205"/>
      <c r="E3" s="205"/>
      <c r="F3" s="205"/>
      <c r="G3" s="205"/>
      <c r="H3" s="205"/>
      <c r="I3" s="205"/>
      <c r="J3" s="205"/>
      <c r="K3" s="205"/>
      <c r="L3" s="205"/>
      <c r="M3" s="205"/>
      <c r="N3" s="205"/>
      <c r="O3" s="205"/>
      <c r="P3" s="205"/>
    </row>
    <row r="4" spans="1:16" ht="20.100000000000001" customHeight="1" x14ac:dyDescent="0.2">
      <c r="A4" s="115" t="s">
        <v>23</v>
      </c>
      <c r="B4" s="117">
        <v>0.14899999999999999</v>
      </c>
      <c r="C4" s="206" t="s">
        <v>157</v>
      </c>
      <c r="D4" s="206"/>
      <c r="E4" s="206"/>
      <c r="F4" s="206"/>
      <c r="G4" s="206"/>
      <c r="H4" s="206"/>
      <c r="I4" s="206"/>
      <c r="J4" s="206"/>
      <c r="K4" s="206"/>
      <c r="L4" s="206"/>
      <c r="M4" s="206"/>
      <c r="N4" s="206"/>
      <c r="O4" s="206"/>
      <c r="P4" s="206"/>
    </row>
    <row r="5" spans="1:16" ht="20.100000000000001" customHeight="1" x14ac:dyDescent="0.2">
      <c r="A5" s="115" t="s">
        <v>24</v>
      </c>
      <c r="B5" s="118">
        <v>5.0799999999999998E-2</v>
      </c>
      <c r="C5" s="206" t="s">
        <v>157</v>
      </c>
      <c r="D5" s="206"/>
      <c r="E5" s="206"/>
      <c r="F5" s="206"/>
      <c r="G5" s="206"/>
      <c r="H5" s="206"/>
      <c r="I5" s="206"/>
      <c r="J5" s="206"/>
      <c r="K5" s="206"/>
      <c r="L5" s="206"/>
      <c r="M5" s="206"/>
      <c r="N5" s="206"/>
      <c r="O5" s="206"/>
      <c r="P5" s="206"/>
    </row>
    <row r="6" spans="1:16" ht="20.100000000000001" customHeight="1" x14ac:dyDescent="0.2">
      <c r="A6" s="115" t="s">
        <v>25</v>
      </c>
      <c r="B6" s="119">
        <v>1.0906</v>
      </c>
      <c r="C6" s="206" t="s">
        <v>157</v>
      </c>
      <c r="D6" s="206"/>
      <c r="E6" s="206"/>
      <c r="F6" s="206"/>
      <c r="G6" s="206"/>
      <c r="H6" s="206"/>
      <c r="I6" s="206"/>
      <c r="J6" s="206"/>
      <c r="K6" s="206"/>
      <c r="L6" s="206"/>
      <c r="M6" s="206"/>
      <c r="N6" s="206"/>
      <c r="O6" s="206"/>
      <c r="P6" s="206"/>
    </row>
    <row r="7" spans="1:16" ht="20.100000000000001" customHeight="1" x14ac:dyDescent="0.2">
      <c r="A7" s="115" t="s">
        <v>26</v>
      </c>
      <c r="B7" s="92">
        <v>149263.6</v>
      </c>
      <c r="C7" s="207" t="s">
        <v>119</v>
      </c>
      <c r="D7" s="207"/>
      <c r="E7" s="207"/>
      <c r="F7" s="207"/>
      <c r="G7" s="207"/>
      <c r="H7" s="207"/>
      <c r="I7" s="207"/>
      <c r="J7" s="207"/>
      <c r="K7" s="207"/>
      <c r="L7" s="207"/>
      <c r="M7" s="207"/>
      <c r="N7" s="207"/>
      <c r="O7" s="207"/>
      <c r="P7" s="207"/>
    </row>
    <row r="8" spans="1:16" ht="20.100000000000001" customHeight="1" x14ac:dyDescent="0.2">
      <c r="A8" s="115" t="s">
        <v>7</v>
      </c>
      <c r="B8" s="17" t="s">
        <v>7</v>
      </c>
      <c r="C8" s="201" t="s">
        <v>27</v>
      </c>
      <c r="D8" s="201"/>
      <c r="E8" s="201"/>
      <c r="F8" s="201"/>
      <c r="G8" s="201"/>
      <c r="H8" s="201"/>
      <c r="I8" s="201"/>
      <c r="J8" s="201"/>
      <c r="K8" s="201"/>
      <c r="L8" s="201"/>
      <c r="M8" s="201"/>
      <c r="N8" s="201"/>
      <c r="O8" s="201"/>
      <c r="P8" s="201"/>
    </row>
    <row r="9" spans="1:16" ht="20.100000000000001" customHeight="1" x14ac:dyDescent="0.2">
      <c r="A9" s="18" t="s">
        <v>7</v>
      </c>
      <c r="B9" s="19" t="s">
        <v>8</v>
      </c>
      <c r="C9" s="19" t="s">
        <v>11</v>
      </c>
      <c r="D9" s="19" t="s">
        <v>10</v>
      </c>
      <c r="E9" s="19" t="s">
        <v>9</v>
      </c>
      <c r="F9" s="19" t="s">
        <v>28</v>
      </c>
      <c r="G9" s="19" t="s">
        <v>29</v>
      </c>
      <c r="H9" s="19" t="s">
        <v>17</v>
      </c>
      <c r="I9" s="19" t="s">
        <v>6</v>
      </c>
      <c r="J9" s="20" t="s">
        <v>18</v>
      </c>
      <c r="K9" s="20" t="s">
        <v>30</v>
      </c>
      <c r="L9" s="21" t="s">
        <v>12</v>
      </c>
      <c r="M9" s="21" t="s">
        <v>3</v>
      </c>
      <c r="N9" s="21" t="s">
        <v>31</v>
      </c>
      <c r="O9" s="21" t="s">
        <v>13</v>
      </c>
      <c r="P9" s="21" t="s">
        <v>20</v>
      </c>
    </row>
    <row r="10" spans="1:16" ht="20.100000000000001" customHeight="1" x14ac:dyDescent="0.2">
      <c r="A10" s="22" t="s">
        <v>32</v>
      </c>
      <c r="B10" s="23" t="s">
        <v>33</v>
      </c>
      <c r="C10" s="93">
        <v>-4040</v>
      </c>
      <c r="D10" s="94">
        <v>3410</v>
      </c>
      <c r="E10" s="95">
        <v>5880</v>
      </c>
      <c r="F10" s="94">
        <v>5520</v>
      </c>
      <c r="G10" s="94">
        <v>2480</v>
      </c>
      <c r="H10" s="94">
        <v>1590</v>
      </c>
      <c r="I10" s="94">
        <v>3970</v>
      </c>
      <c r="J10" s="94">
        <v>4260</v>
      </c>
      <c r="K10" s="94">
        <v>3530</v>
      </c>
      <c r="L10" s="94">
        <v>-2900</v>
      </c>
      <c r="M10" s="95">
        <v>4740</v>
      </c>
      <c r="N10" s="94">
        <v>0</v>
      </c>
      <c r="O10" s="94">
        <v>2580</v>
      </c>
      <c r="P10" s="94">
        <v>3250</v>
      </c>
    </row>
    <row r="11" spans="1:16" ht="20.100000000000001" customHeight="1" x14ac:dyDescent="0.2">
      <c r="A11" s="22" t="s">
        <v>34</v>
      </c>
      <c r="B11" s="23" t="s">
        <v>33</v>
      </c>
      <c r="C11" s="93">
        <v>4375</v>
      </c>
      <c r="D11" s="95">
        <v>9173</v>
      </c>
      <c r="E11" s="95">
        <v>8310</v>
      </c>
      <c r="F11" s="95">
        <v>8626</v>
      </c>
      <c r="G11" s="95">
        <v>4360</v>
      </c>
      <c r="H11" s="95">
        <v>2053</v>
      </c>
      <c r="I11" s="95">
        <v>6781</v>
      </c>
      <c r="J11" s="95">
        <v>9119</v>
      </c>
      <c r="K11" s="95">
        <v>5229</v>
      </c>
      <c r="L11" s="95">
        <v>6839</v>
      </c>
      <c r="M11" s="95">
        <v>5683</v>
      </c>
      <c r="N11" s="95">
        <v>4850</v>
      </c>
      <c r="O11" s="95">
        <v>3941</v>
      </c>
      <c r="P11" s="95">
        <v>5465</v>
      </c>
    </row>
    <row r="12" spans="1:16" ht="20.100000000000001" customHeight="1" x14ac:dyDescent="0.2">
      <c r="A12" s="27" t="s">
        <v>35</v>
      </c>
      <c r="B12" s="23">
        <f>ROUND((B7*B6),1)</f>
        <v>162786.9</v>
      </c>
      <c r="C12" s="93">
        <v>63827</v>
      </c>
      <c r="D12" s="96">
        <v>35584</v>
      </c>
      <c r="E12" s="97">
        <v>14292</v>
      </c>
      <c r="F12" s="96">
        <v>11226</v>
      </c>
      <c r="G12" s="96">
        <v>5776</v>
      </c>
      <c r="H12" s="96">
        <v>2864</v>
      </c>
      <c r="I12" s="96">
        <v>7146</v>
      </c>
      <c r="J12" s="96">
        <v>14554</v>
      </c>
      <c r="K12" s="96">
        <v>5344</v>
      </c>
      <c r="L12" s="96">
        <v>24082</v>
      </c>
      <c r="M12" s="97">
        <v>7523</v>
      </c>
      <c r="N12" s="96">
        <v>10174</v>
      </c>
      <c r="O12" s="96">
        <v>3845</v>
      </c>
      <c r="P12" s="96">
        <v>6817</v>
      </c>
    </row>
    <row r="13" spans="1:16" ht="20.100000000000001" customHeight="1" x14ac:dyDescent="0.2">
      <c r="A13" s="22" t="s">
        <v>82</v>
      </c>
      <c r="B13" s="26">
        <v>28292.799999999999</v>
      </c>
      <c r="C13" s="29">
        <v>0</v>
      </c>
      <c r="D13" s="29">
        <v>0</v>
      </c>
      <c r="E13" s="29">
        <v>0</v>
      </c>
      <c r="F13" s="29">
        <v>0</v>
      </c>
      <c r="G13" s="29">
        <v>0</v>
      </c>
      <c r="H13" s="29">
        <v>0</v>
      </c>
      <c r="I13" s="29">
        <v>0</v>
      </c>
      <c r="J13" s="29">
        <v>0</v>
      </c>
      <c r="K13" s="29">
        <v>0</v>
      </c>
      <c r="L13" s="24">
        <v>0</v>
      </c>
      <c r="M13" s="29">
        <v>0</v>
      </c>
      <c r="N13" s="29">
        <v>0</v>
      </c>
      <c r="O13" s="29">
        <v>0</v>
      </c>
      <c r="P13" s="26">
        <v>802.1</v>
      </c>
    </row>
    <row r="14" spans="1:16" ht="20.100000000000001" customHeight="1" x14ac:dyDescent="0.2">
      <c r="A14" s="22" t="s">
        <v>36</v>
      </c>
      <c r="B14" s="24">
        <f>ROUND(B13*$B$6,1)</f>
        <v>30856.1</v>
      </c>
      <c r="C14" s="29">
        <f>ROUND(C13*$B$6,1)</f>
        <v>0</v>
      </c>
      <c r="D14" s="29">
        <f t="shared" ref="D14:I14" si="0">ROUND(D13*$B$6,1)</f>
        <v>0</v>
      </c>
      <c r="E14" s="29">
        <f t="shared" si="0"/>
        <v>0</v>
      </c>
      <c r="F14" s="29">
        <f t="shared" si="0"/>
        <v>0</v>
      </c>
      <c r="G14" s="29">
        <f t="shared" si="0"/>
        <v>0</v>
      </c>
      <c r="H14" s="29">
        <f t="shared" si="0"/>
        <v>0</v>
      </c>
      <c r="I14" s="29">
        <f t="shared" si="0"/>
        <v>0</v>
      </c>
      <c r="J14" s="29">
        <f>ROUND(J13*$B$6,1)</f>
        <v>0</v>
      </c>
      <c r="K14" s="29">
        <f>ROUND(K13*$B$6,1)</f>
        <v>0</v>
      </c>
      <c r="L14" s="24">
        <f>ROUND(L13*$B$6,1)</f>
        <v>0</v>
      </c>
      <c r="M14" s="29">
        <f>ROUND(M13*$B$6,1)</f>
        <v>0</v>
      </c>
      <c r="N14" s="29">
        <f>ROUND(N13*$B$6,1)</f>
        <v>0</v>
      </c>
      <c r="O14" s="29">
        <f t="shared" ref="O14" si="1">ROUND(O13*$B$6,1)</f>
        <v>0</v>
      </c>
      <c r="P14" s="26">
        <f>ROUND(P13*$B$6,1)</f>
        <v>874.8</v>
      </c>
    </row>
    <row r="15" spans="1:16" ht="20.100000000000001" customHeight="1" x14ac:dyDescent="0.2">
      <c r="A15" s="30" t="s">
        <v>37</v>
      </c>
      <c r="B15" s="31">
        <f>B12-B14</f>
        <v>131930.79999999999</v>
      </c>
      <c r="C15" s="31">
        <f>C12-C14*C38</f>
        <v>63827</v>
      </c>
      <c r="D15" s="31">
        <f>D12-D14*D38</f>
        <v>35584</v>
      </c>
      <c r="E15" s="31">
        <f>E12-E14*E38</f>
        <v>14292</v>
      </c>
      <c r="F15" s="31">
        <f>F12-F14*F38</f>
        <v>11226</v>
      </c>
      <c r="G15" s="31">
        <f t="shared" ref="G15:O15" si="2">G12-G14</f>
        <v>5776</v>
      </c>
      <c r="H15" s="31">
        <f t="shared" si="2"/>
        <v>2864</v>
      </c>
      <c r="I15" s="31">
        <f>I12-I14</f>
        <v>7146</v>
      </c>
      <c r="J15" s="31">
        <f>J12-J14*J38</f>
        <v>14554</v>
      </c>
      <c r="K15" s="31">
        <f>K12-K14</f>
        <v>5344</v>
      </c>
      <c r="L15" s="31">
        <f>L12-L14*L38</f>
        <v>24082</v>
      </c>
      <c r="M15" s="31">
        <f>M12-M14*M38</f>
        <v>7523</v>
      </c>
      <c r="N15" s="31">
        <f t="shared" si="2"/>
        <v>10174</v>
      </c>
      <c r="O15" s="31">
        <f t="shared" si="2"/>
        <v>3845</v>
      </c>
      <c r="P15" s="31">
        <f>P12-P14*P38</f>
        <v>6601.7992000000004</v>
      </c>
    </row>
    <row r="16" spans="1:16" ht="20.100000000000001" customHeight="1" x14ac:dyDescent="0.2">
      <c r="A16" s="32" t="s">
        <v>38</v>
      </c>
      <c r="B16" s="33">
        <f>'BRA Parameters'!B16*(1-'BRA Parameters'!$B$5)/(1-'3rd IA Parameters'!$B$5)</f>
        <v>309.33999999999997</v>
      </c>
      <c r="C16" s="33">
        <f>'BRA Parameters'!C16*(1-'BRA Parameters'!$B$5)/(1-'3rd IA Parameters'!$B$5)</f>
        <v>310.64999999999992</v>
      </c>
      <c r="D16" s="33">
        <f>'BRA Parameters'!D16*(1-'BRA Parameters'!$B$5)/(1-'3rd IA Parameters'!$B$5)</f>
        <v>311.73</v>
      </c>
      <c r="E16" s="33">
        <f>'BRA Parameters'!E16*(1-'BRA Parameters'!$B$5)/(1-'3rd IA Parameters'!$B$5)</f>
        <v>316.63</v>
      </c>
      <c r="F16" s="33">
        <f>'BRA Parameters'!F16*(1-'BRA Parameters'!$B$5)/(1-'3rd IA Parameters'!$B$5)</f>
        <v>311.73</v>
      </c>
      <c r="G16" s="33">
        <f>'BRA Parameters'!G16*(1-'BRA Parameters'!$B$5)/(1-'3rd IA Parameters'!$B$5)</f>
        <v>311.73</v>
      </c>
      <c r="H16" s="33">
        <f>'BRA Parameters'!H16*(1-'BRA Parameters'!$B$5)/(1-'3rd IA Parameters'!$B$5)</f>
        <v>311.73</v>
      </c>
      <c r="I16" s="33">
        <f>'BRA Parameters'!I16*(1-'BRA Parameters'!$B$5)/(1-'3rd IA Parameters'!$B$5)</f>
        <v>316.63</v>
      </c>
      <c r="J16" s="33">
        <f>'BRA Parameters'!J16*(1-'BRA Parameters'!$B$5)/(1-'3rd IA Parameters'!$B$5)</f>
        <v>304.51</v>
      </c>
      <c r="K16" s="33">
        <f>'BRA Parameters'!K16*(1-'BRA Parameters'!$B$5)/(1-'3rd IA Parameters'!$B$5)</f>
        <v>304.51</v>
      </c>
      <c r="L16" s="33">
        <f>'BRA Parameters'!L16*(1-'BRA Parameters'!$B$5)/(1-'3rd IA Parameters'!$B$5)</f>
        <v>304.51</v>
      </c>
      <c r="M16" s="33">
        <f>'BRA Parameters'!M16*(1-'BRA Parameters'!$B$5)/(1-'3rd IA Parameters'!$B$5)</f>
        <v>316.63</v>
      </c>
      <c r="N16" s="33">
        <f>'BRA Parameters'!N16*(1-'BRA Parameters'!$B$5)/(1-'3rd IA Parameters'!$B$5)</f>
        <v>304.51</v>
      </c>
      <c r="O16" s="33">
        <f>'BRA Parameters'!O16*(1-'BRA Parameters'!$B$5)/(1-'3rd IA Parameters'!$B$5)</f>
        <v>304.51</v>
      </c>
      <c r="P16" s="33">
        <f>'BRA Parameters'!P16*(1-'BRA Parameters'!$B$5)/(1-'3rd IA Parameters'!$B$5)</f>
        <v>304.51</v>
      </c>
    </row>
    <row r="17" spans="1:16" ht="20.100000000000001" customHeight="1" x14ac:dyDescent="0.2">
      <c r="A17" s="34" t="s">
        <v>39</v>
      </c>
      <c r="B17" s="35">
        <f>'BRA Parameters'!B17*(1-'BRA Parameters'!$B$5)/(1-'3rd IA Parameters'!$B$5)</f>
        <v>260.5</v>
      </c>
      <c r="C17" s="35">
        <f>'BRA Parameters'!C17*(1-'BRA Parameters'!$B$5)/(1-'3rd IA Parameters'!$B$5)</f>
        <v>245.12</v>
      </c>
      <c r="D17" s="35">
        <f>'BRA Parameters'!D17*(1-'BRA Parameters'!$B$5)/(1-'3rd IA Parameters'!$B$5)</f>
        <v>259.36</v>
      </c>
      <c r="E17" s="35">
        <f>'BRA Parameters'!E17*(1-'BRA Parameters'!$B$5)/(1-'3rd IA Parameters'!$B$5)</f>
        <v>242.95</v>
      </c>
      <c r="F17" s="35">
        <f>'BRA Parameters'!F17*(1-'BRA Parameters'!$B$5)/(1-'3rd IA Parameters'!$B$5)</f>
        <v>268.44</v>
      </c>
      <c r="G17" s="35">
        <f>'BRA Parameters'!G17*(1-'BRA Parameters'!$B$5)/(1-'3rd IA Parameters'!$B$5)</f>
        <v>268.44</v>
      </c>
      <c r="H17" s="35">
        <f>'BRA Parameters'!H17*(1-'BRA Parameters'!$B$5)/(1-'3rd IA Parameters'!$B$5)</f>
        <v>236.18</v>
      </c>
      <c r="I17" s="35">
        <f>'BRA Parameters'!I17*(1-'BRA Parameters'!$B$5)/(1-'3rd IA Parameters'!$B$5)</f>
        <v>259.52</v>
      </c>
      <c r="J17" s="35">
        <f>'BRA Parameters'!J17*(1-'BRA Parameters'!$B$5)/(1-'3rd IA Parameters'!$B$5)</f>
        <v>230.5</v>
      </c>
      <c r="K17" s="35">
        <f>'BRA Parameters'!K17*(1-'BRA Parameters'!$B$5)/(1-'3rd IA Parameters'!$B$5)</f>
        <v>230.5</v>
      </c>
      <c r="L17" s="35">
        <f>'BRA Parameters'!L17*(1-'BRA Parameters'!$B$5)/(1-'3rd IA Parameters'!$B$5)</f>
        <v>247.86</v>
      </c>
      <c r="M17" s="35">
        <f>'BRA Parameters'!M17*(1-'BRA Parameters'!$B$5)/(1-'3rd IA Parameters'!$B$5)</f>
        <v>226.37</v>
      </c>
      <c r="N17" s="35">
        <f>'BRA Parameters'!N17*(1-'BRA Parameters'!$B$5)/(1-'3rd IA Parameters'!$B$5)</f>
        <v>250.41</v>
      </c>
      <c r="O17" s="35">
        <f>'BRA Parameters'!O17*(1-'BRA Parameters'!$B$5)/(1-'3rd IA Parameters'!$B$5)</f>
        <v>226.32</v>
      </c>
      <c r="P17" s="35">
        <f>'BRA Parameters'!P17*(1-'BRA Parameters'!$B$5)/(1-'3rd IA Parameters'!$B$5)</f>
        <v>223.63</v>
      </c>
    </row>
    <row r="18" spans="1:16" ht="20.100000000000001" customHeight="1" x14ac:dyDescent="0.2">
      <c r="A18" s="36" t="s">
        <v>115</v>
      </c>
      <c r="B18" s="23">
        <v>5205</v>
      </c>
      <c r="C18" s="23">
        <v>2062.4</v>
      </c>
      <c r="D18" s="23">
        <v>1152</v>
      </c>
      <c r="E18" s="23">
        <v>481.1</v>
      </c>
      <c r="F18" s="23">
        <v>416.1</v>
      </c>
      <c r="G18" s="23">
        <v>197.7</v>
      </c>
      <c r="H18" s="23">
        <v>49.8</v>
      </c>
      <c r="I18" s="23">
        <v>277.5</v>
      </c>
      <c r="J18" s="23">
        <v>428.9</v>
      </c>
      <c r="K18" s="23">
        <v>45.5</v>
      </c>
      <c r="L18" s="23">
        <v>932.7</v>
      </c>
      <c r="M18" s="23">
        <v>203.7</v>
      </c>
      <c r="N18" s="23">
        <v>244</v>
      </c>
      <c r="O18" s="23">
        <v>93.1</v>
      </c>
      <c r="P18" s="23">
        <v>150.30000000000001</v>
      </c>
    </row>
    <row r="19" spans="1:16" ht="20.100000000000001" customHeight="1" thickBot="1" x14ac:dyDescent="0.25">
      <c r="A19" s="202" t="s">
        <v>40</v>
      </c>
      <c r="B19" s="202"/>
      <c r="C19" s="202"/>
      <c r="D19" s="202"/>
      <c r="E19" s="202"/>
      <c r="F19" s="202"/>
      <c r="G19" s="202"/>
      <c r="H19" s="202"/>
      <c r="I19" s="202"/>
      <c r="J19" s="202"/>
      <c r="K19" s="202"/>
      <c r="L19" s="202"/>
      <c r="M19" s="202"/>
      <c r="N19" s="202"/>
      <c r="O19" s="202"/>
      <c r="P19" s="202"/>
    </row>
    <row r="20" spans="1:16" ht="20.100000000000001" customHeight="1" x14ac:dyDescent="0.2">
      <c r="A20" s="37" t="s">
        <v>41</v>
      </c>
      <c r="B20" s="38">
        <f>ROUND(MAX(B16,1.5*B17),2)</f>
        <v>390.75</v>
      </c>
      <c r="C20" s="38">
        <f t="shared" ref="C20:N20" si="3">ROUND(MAX(C16,1.5*C17),2)</f>
        <v>367.68</v>
      </c>
      <c r="D20" s="38">
        <f t="shared" si="3"/>
        <v>389.04</v>
      </c>
      <c r="E20" s="38">
        <f t="shared" si="3"/>
        <v>364.43</v>
      </c>
      <c r="F20" s="38">
        <f t="shared" si="3"/>
        <v>402.66</v>
      </c>
      <c r="G20" s="38">
        <f t="shared" si="3"/>
        <v>402.66</v>
      </c>
      <c r="H20" s="38">
        <f>ROUND(MAX(H16,1.5*H17),2)</f>
        <v>354.27</v>
      </c>
      <c r="I20" s="38">
        <f t="shared" si="3"/>
        <v>389.28</v>
      </c>
      <c r="J20" s="38">
        <f t="shared" si="3"/>
        <v>345.75</v>
      </c>
      <c r="K20" s="38">
        <f t="shared" si="3"/>
        <v>345.75</v>
      </c>
      <c r="L20" s="38">
        <f t="shared" si="3"/>
        <v>371.79</v>
      </c>
      <c r="M20" s="38">
        <f t="shared" si="3"/>
        <v>339.56</v>
      </c>
      <c r="N20" s="38">
        <f t="shared" si="3"/>
        <v>375.62</v>
      </c>
      <c r="O20" s="38">
        <f>ROUND(MAX(O16,1.5*O17),2)</f>
        <v>339.48</v>
      </c>
      <c r="P20" s="39">
        <f>ROUND(MAX(P16,1.5*P17),2)</f>
        <v>335.45</v>
      </c>
    </row>
    <row r="21" spans="1:16" ht="20.100000000000001" customHeight="1" x14ac:dyDescent="0.2">
      <c r="A21" s="40" t="s">
        <v>42</v>
      </c>
      <c r="B21" s="41">
        <f>ROUND(B$17*0.75,2)</f>
        <v>195.38</v>
      </c>
      <c r="C21" s="41">
        <f t="shared" ref="C21:M21" si="4">ROUND(C$17*0.75,2)</f>
        <v>183.84</v>
      </c>
      <c r="D21" s="41">
        <f t="shared" si="4"/>
        <v>194.52</v>
      </c>
      <c r="E21" s="41">
        <f t="shared" si="4"/>
        <v>182.21</v>
      </c>
      <c r="F21" s="41">
        <f t="shared" si="4"/>
        <v>201.33</v>
      </c>
      <c r="G21" s="41">
        <f t="shared" si="4"/>
        <v>201.33</v>
      </c>
      <c r="H21" s="41">
        <f t="shared" si="4"/>
        <v>177.14</v>
      </c>
      <c r="I21" s="41">
        <f t="shared" si="4"/>
        <v>194.64</v>
      </c>
      <c r="J21" s="41">
        <f t="shared" si="4"/>
        <v>172.88</v>
      </c>
      <c r="K21" s="41">
        <f t="shared" si="4"/>
        <v>172.88</v>
      </c>
      <c r="L21" s="41">
        <f t="shared" si="4"/>
        <v>185.9</v>
      </c>
      <c r="M21" s="41">
        <f t="shared" si="4"/>
        <v>169.78</v>
      </c>
      <c r="N21" s="41">
        <f>ROUND(N$17*0.75,2)</f>
        <v>187.81</v>
      </c>
      <c r="O21" s="41">
        <f>ROUND(O$17*0.75,2)</f>
        <v>169.74</v>
      </c>
      <c r="P21" s="42">
        <f>ROUND(P$17*0.75,2)</f>
        <v>167.72</v>
      </c>
    </row>
    <row r="22" spans="1:16" ht="20.100000000000001" customHeight="1" x14ac:dyDescent="0.2">
      <c r="A22" s="40" t="s">
        <v>43</v>
      </c>
      <c r="B22" s="41">
        <v>0</v>
      </c>
      <c r="C22" s="41">
        <v>0</v>
      </c>
      <c r="D22" s="41">
        <v>0</v>
      </c>
      <c r="E22" s="41">
        <v>0</v>
      </c>
      <c r="F22" s="41">
        <v>0</v>
      </c>
      <c r="G22" s="41">
        <v>0</v>
      </c>
      <c r="H22" s="41">
        <v>0</v>
      </c>
      <c r="I22" s="41">
        <v>0</v>
      </c>
      <c r="J22" s="41">
        <v>0</v>
      </c>
      <c r="K22" s="41">
        <v>0</v>
      </c>
      <c r="L22" s="41">
        <v>0</v>
      </c>
      <c r="M22" s="41">
        <v>0</v>
      </c>
      <c r="N22" s="41">
        <v>0</v>
      </c>
      <c r="O22" s="41">
        <v>0</v>
      </c>
      <c r="P22" s="42">
        <v>0</v>
      </c>
    </row>
    <row r="23" spans="1:16" ht="20.100000000000001" customHeight="1" x14ac:dyDescent="0.2">
      <c r="A23" s="40" t="s">
        <v>44</v>
      </c>
      <c r="B23" s="43">
        <f>ROUND(B$15*(1+$B$4-1.2%)/(1+$B$4),1)+B$18</f>
        <v>135757.9</v>
      </c>
      <c r="C23" s="43">
        <f t="shared" ref="C23:P23" si="5">ROUND(C$15*(1+$B$4-1.2%)/(1+$B$4),1)+C$18</f>
        <v>65222.8</v>
      </c>
      <c r="D23" s="43">
        <f t="shared" si="5"/>
        <v>36364.400000000001</v>
      </c>
      <c r="E23" s="43">
        <f t="shared" si="5"/>
        <v>14623.800000000001</v>
      </c>
      <c r="F23" s="43">
        <f t="shared" si="5"/>
        <v>11524.9</v>
      </c>
      <c r="G23" s="43">
        <f t="shared" si="5"/>
        <v>5913.4</v>
      </c>
      <c r="H23" s="43">
        <f t="shared" si="5"/>
        <v>2883.9</v>
      </c>
      <c r="I23" s="43">
        <f t="shared" si="5"/>
        <v>7348.9</v>
      </c>
      <c r="J23" s="43">
        <f>ROUND(J$15*(1+$B$4-1.2%)/(1+$B$4),1)+J$18</f>
        <v>14830.9</v>
      </c>
      <c r="K23" s="43">
        <f t="shared" si="5"/>
        <v>5333.7</v>
      </c>
      <c r="L23" s="43">
        <f t="shared" si="5"/>
        <v>24763.200000000001</v>
      </c>
      <c r="M23" s="43">
        <f t="shared" si="5"/>
        <v>7648.0999999999995</v>
      </c>
      <c r="N23" s="43">
        <f t="shared" si="5"/>
        <v>10311.700000000001</v>
      </c>
      <c r="O23" s="43">
        <f t="shared" si="5"/>
        <v>3897.9</v>
      </c>
      <c r="P23" s="44">
        <f t="shared" si="5"/>
        <v>6683.2</v>
      </c>
    </row>
    <row r="24" spans="1:16" ht="20.100000000000001" customHeight="1" x14ac:dyDescent="0.2">
      <c r="A24" s="40" t="s">
        <v>45</v>
      </c>
      <c r="B24" s="43">
        <f>ROUND(B$15*(1+$B$4+1.9%)/(1+$B$4),1)+B$18</f>
        <v>139317.4</v>
      </c>
      <c r="C24" s="43">
        <f t="shared" ref="C24:P24" si="6">ROUND(C$15*(1+$B$4+1.9%)/(1+$B$4),1)+C$18</f>
        <v>66944.899999999994</v>
      </c>
      <c r="D24" s="43">
        <f t="shared" si="6"/>
        <v>37324.400000000001</v>
      </c>
      <c r="E24" s="43">
        <f t="shared" si="6"/>
        <v>15009.4</v>
      </c>
      <c r="F24" s="43">
        <f t="shared" si="6"/>
        <v>11827.7</v>
      </c>
      <c r="G24" s="43">
        <f t="shared" si="6"/>
        <v>6069.2</v>
      </c>
      <c r="H24" s="43">
        <f t="shared" si="6"/>
        <v>2961.2000000000003</v>
      </c>
      <c r="I24" s="43">
        <f t="shared" si="6"/>
        <v>7541.7</v>
      </c>
      <c r="J24" s="43">
        <f t="shared" si="6"/>
        <v>15223.6</v>
      </c>
      <c r="K24" s="43">
        <f t="shared" si="6"/>
        <v>5477.9</v>
      </c>
      <c r="L24" s="43">
        <f t="shared" si="6"/>
        <v>25412.9</v>
      </c>
      <c r="M24" s="43">
        <f t="shared" si="6"/>
        <v>7851.0999999999995</v>
      </c>
      <c r="N24" s="43">
        <f t="shared" si="6"/>
        <v>10586.2</v>
      </c>
      <c r="O24" s="43">
        <f t="shared" si="6"/>
        <v>4001.7</v>
      </c>
      <c r="P24" s="44">
        <f t="shared" si="6"/>
        <v>6861.3</v>
      </c>
    </row>
    <row r="25" spans="1:16" ht="20.100000000000001" customHeight="1" thickBot="1" x14ac:dyDescent="0.25">
      <c r="A25" s="45" t="s">
        <v>46</v>
      </c>
      <c r="B25" s="46">
        <f>ROUND(B$15*(1+$B$4+7.8%)/(1+$B$4),1)+B$18</f>
        <v>146091.9</v>
      </c>
      <c r="C25" s="46">
        <f t="shared" ref="C25:P25" si="7">ROUND(C$15*(1+$B$4+7.8%)/(1+$B$4),1)+C$18</f>
        <v>70222.299999999988</v>
      </c>
      <c r="D25" s="46">
        <f t="shared" si="7"/>
        <v>39151.599999999999</v>
      </c>
      <c r="E25" s="46">
        <f t="shared" si="7"/>
        <v>15743.300000000001</v>
      </c>
      <c r="F25" s="46">
        <f t="shared" si="7"/>
        <v>12404.2</v>
      </c>
      <c r="G25" s="46">
        <f t="shared" si="7"/>
        <v>6365.8</v>
      </c>
      <c r="H25" s="46">
        <f t="shared" si="7"/>
        <v>3108.2000000000003</v>
      </c>
      <c r="I25" s="46">
        <f t="shared" si="7"/>
        <v>7908.6</v>
      </c>
      <c r="J25" s="46">
        <f t="shared" si="7"/>
        <v>15970.9</v>
      </c>
      <c r="K25" s="46">
        <f t="shared" si="7"/>
        <v>5752.3</v>
      </c>
      <c r="L25" s="46">
        <f t="shared" si="7"/>
        <v>26649.5</v>
      </c>
      <c r="M25" s="46">
        <f t="shared" si="7"/>
        <v>8237.4</v>
      </c>
      <c r="N25" s="46">
        <f t="shared" si="7"/>
        <v>11108.7</v>
      </c>
      <c r="O25" s="46">
        <f t="shared" si="7"/>
        <v>4199.1000000000004</v>
      </c>
      <c r="P25" s="47">
        <f t="shared" si="7"/>
        <v>7200.3</v>
      </c>
    </row>
    <row r="26" spans="1:16" ht="20.100000000000001" customHeight="1" x14ac:dyDescent="0.2">
      <c r="A26" s="48" t="s">
        <v>81</v>
      </c>
      <c r="B26" s="109">
        <f>C26+J26+L26+O26+P26</f>
        <v>230</v>
      </c>
      <c r="C26" s="109">
        <f>D26+E26+N26</f>
        <v>230</v>
      </c>
      <c r="D26" s="109">
        <f>20.4+H26</f>
        <v>40</v>
      </c>
      <c r="E26" s="109">
        <f>I26+M26</f>
        <v>190</v>
      </c>
      <c r="F26" s="109">
        <v>0</v>
      </c>
      <c r="G26" s="109">
        <v>0</v>
      </c>
      <c r="H26" s="109">
        <v>19.600000000000001</v>
      </c>
      <c r="I26" s="109">
        <v>110</v>
      </c>
      <c r="J26" s="109">
        <v>0</v>
      </c>
      <c r="K26" s="109">
        <v>0</v>
      </c>
      <c r="L26" s="109">
        <v>0</v>
      </c>
      <c r="M26" s="109">
        <v>80</v>
      </c>
      <c r="N26" s="109">
        <v>0</v>
      </c>
      <c r="O26" s="109">
        <v>0</v>
      </c>
      <c r="P26" s="109">
        <v>0</v>
      </c>
    </row>
    <row r="27" spans="1:16" ht="20.100000000000001" customHeight="1" thickBot="1" x14ac:dyDescent="0.25">
      <c r="A27" s="203" t="s">
        <v>47</v>
      </c>
      <c r="B27" s="203"/>
      <c r="C27" s="203"/>
      <c r="D27" s="203"/>
      <c r="E27" s="203"/>
      <c r="F27" s="203"/>
      <c r="G27" s="203"/>
      <c r="H27" s="203"/>
      <c r="I27" s="203"/>
      <c r="J27" s="203"/>
      <c r="K27" s="203"/>
      <c r="L27" s="203"/>
      <c r="M27" s="203"/>
      <c r="N27" s="203"/>
      <c r="O27" s="203"/>
      <c r="P27" s="203"/>
    </row>
    <row r="28" spans="1:16" ht="20.100000000000001" customHeight="1" x14ac:dyDescent="0.2">
      <c r="A28" s="49" t="s">
        <v>48</v>
      </c>
      <c r="B28" s="50">
        <f>B20</f>
        <v>390.75</v>
      </c>
      <c r="C28" s="50">
        <f t="shared" ref="C28:E29" si="8">C20</f>
        <v>367.68</v>
      </c>
      <c r="D28" s="50">
        <f t="shared" si="8"/>
        <v>389.04</v>
      </c>
      <c r="E28" s="50">
        <f t="shared" si="8"/>
        <v>364.43</v>
      </c>
      <c r="F28" s="50">
        <f t="shared" ref="F28:I28" si="9">F20</f>
        <v>402.66</v>
      </c>
      <c r="G28" s="50">
        <f t="shared" si="9"/>
        <v>402.66</v>
      </c>
      <c r="H28" s="50">
        <f t="shared" si="9"/>
        <v>354.27</v>
      </c>
      <c r="I28" s="50">
        <f t="shared" si="9"/>
        <v>389.28</v>
      </c>
      <c r="J28" s="50">
        <f t="shared" ref="J28:P28" si="10">J20</f>
        <v>345.75</v>
      </c>
      <c r="K28" s="50">
        <f t="shared" si="10"/>
        <v>345.75</v>
      </c>
      <c r="L28" s="50">
        <f t="shared" si="10"/>
        <v>371.79</v>
      </c>
      <c r="M28" s="50">
        <f t="shared" si="10"/>
        <v>339.56</v>
      </c>
      <c r="N28" s="50">
        <f t="shared" si="10"/>
        <v>375.62</v>
      </c>
      <c r="O28" s="50">
        <f t="shared" si="10"/>
        <v>339.48</v>
      </c>
      <c r="P28" s="50">
        <f t="shared" si="10"/>
        <v>335.45</v>
      </c>
    </row>
    <row r="29" spans="1:16" ht="20.100000000000001" customHeight="1" x14ac:dyDescent="0.2">
      <c r="A29" s="52" t="s">
        <v>49</v>
      </c>
      <c r="B29" s="53">
        <f>B21</f>
        <v>195.38</v>
      </c>
      <c r="C29" s="53">
        <f t="shared" si="8"/>
        <v>183.84</v>
      </c>
      <c r="D29" s="53">
        <f t="shared" si="8"/>
        <v>194.52</v>
      </c>
      <c r="E29" s="53">
        <f t="shared" si="8"/>
        <v>182.21</v>
      </c>
      <c r="F29" s="53">
        <f t="shared" ref="F29:I29" si="11">F21</f>
        <v>201.33</v>
      </c>
      <c r="G29" s="53">
        <f t="shared" si="11"/>
        <v>201.33</v>
      </c>
      <c r="H29" s="53">
        <f t="shared" si="11"/>
        <v>177.14</v>
      </c>
      <c r="I29" s="53">
        <f t="shared" si="11"/>
        <v>194.64</v>
      </c>
      <c r="J29" s="53">
        <f t="shared" ref="J29:P29" si="12">J21</f>
        <v>172.88</v>
      </c>
      <c r="K29" s="53">
        <f t="shared" si="12"/>
        <v>172.88</v>
      </c>
      <c r="L29" s="53">
        <f t="shared" si="12"/>
        <v>185.9</v>
      </c>
      <c r="M29" s="53">
        <f t="shared" si="12"/>
        <v>169.78</v>
      </c>
      <c r="N29" s="53">
        <f t="shared" si="12"/>
        <v>187.81</v>
      </c>
      <c r="O29" s="53">
        <f t="shared" si="12"/>
        <v>169.74</v>
      </c>
      <c r="P29" s="53">
        <f t="shared" si="12"/>
        <v>167.72</v>
      </c>
    </row>
    <row r="30" spans="1:16" ht="20.100000000000001" customHeight="1" thickBot="1" x14ac:dyDescent="0.25">
      <c r="A30" s="55" t="s">
        <v>43</v>
      </c>
      <c r="B30" s="56">
        <f>B22</f>
        <v>0</v>
      </c>
      <c r="C30" s="56">
        <f>C22</f>
        <v>0</v>
      </c>
      <c r="D30" s="56">
        <f>D22</f>
        <v>0</v>
      </c>
      <c r="E30" s="56">
        <f>E22</f>
        <v>0</v>
      </c>
      <c r="F30" s="56">
        <f t="shared" ref="F30:I30" si="13">F22</f>
        <v>0</v>
      </c>
      <c r="G30" s="56">
        <f t="shared" si="13"/>
        <v>0</v>
      </c>
      <c r="H30" s="56">
        <f t="shared" si="13"/>
        <v>0</v>
      </c>
      <c r="I30" s="56">
        <f t="shared" si="13"/>
        <v>0</v>
      </c>
      <c r="J30" s="56">
        <f t="shared" ref="J30:P30" si="14">J22</f>
        <v>0</v>
      </c>
      <c r="K30" s="56">
        <f t="shared" si="14"/>
        <v>0</v>
      </c>
      <c r="L30" s="56">
        <f t="shared" si="14"/>
        <v>0</v>
      </c>
      <c r="M30" s="56">
        <f t="shared" si="14"/>
        <v>0</v>
      </c>
      <c r="N30" s="56">
        <f t="shared" si="14"/>
        <v>0</v>
      </c>
      <c r="O30" s="56">
        <f t="shared" si="14"/>
        <v>0</v>
      </c>
      <c r="P30" s="56">
        <f t="shared" si="14"/>
        <v>0</v>
      </c>
    </row>
    <row r="31" spans="1:16" ht="20.100000000000001" customHeight="1" x14ac:dyDescent="0.2">
      <c r="A31" s="58" t="s">
        <v>52</v>
      </c>
      <c r="B31" s="59">
        <f t="shared" ref="B31:E32" si="15">ROUND(B23-B$26*$B$6,1)</f>
        <v>135507.1</v>
      </c>
      <c r="C31" s="59">
        <f t="shared" si="15"/>
        <v>64972</v>
      </c>
      <c r="D31" s="59">
        <f t="shared" si="15"/>
        <v>36320.800000000003</v>
      </c>
      <c r="E31" s="59">
        <f t="shared" si="15"/>
        <v>14416.6</v>
      </c>
      <c r="F31" s="59">
        <f t="shared" ref="F31:I31" si="16">ROUND(F23-F$26*$B$6,1)</f>
        <v>11524.9</v>
      </c>
      <c r="G31" s="59">
        <f t="shared" si="16"/>
        <v>5913.4</v>
      </c>
      <c r="H31" s="59">
        <f t="shared" si="16"/>
        <v>2862.5</v>
      </c>
      <c r="I31" s="59">
        <f t="shared" si="16"/>
        <v>7228.9</v>
      </c>
      <c r="J31" s="59">
        <f t="shared" ref="J31:P31" si="17">ROUND(J23-J$26*$B$6,1)</f>
        <v>14830.9</v>
      </c>
      <c r="K31" s="59">
        <f t="shared" si="17"/>
        <v>5333.7</v>
      </c>
      <c r="L31" s="59">
        <f t="shared" si="17"/>
        <v>24763.200000000001</v>
      </c>
      <c r="M31" s="59">
        <f t="shared" si="17"/>
        <v>7560.9</v>
      </c>
      <c r="N31" s="59">
        <f t="shared" si="17"/>
        <v>10311.700000000001</v>
      </c>
      <c r="O31" s="59">
        <f t="shared" si="17"/>
        <v>3897.9</v>
      </c>
      <c r="P31" s="59">
        <f t="shared" si="17"/>
        <v>6683.2</v>
      </c>
    </row>
    <row r="32" spans="1:16" ht="20.100000000000001" customHeight="1" x14ac:dyDescent="0.2">
      <c r="A32" s="60" t="s">
        <v>53</v>
      </c>
      <c r="B32" s="61">
        <f>ROUND(B24-B$26*$B$6,1)</f>
        <v>139066.6</v>
      </c>
      <c r="C32" s="61">
        <f t="shared" si="15"/>
        <v>66694.100000000006</v>
      </c>
      <c r="D32" s="61">
        <f t="shared" si="15"/>
        <v>37280.800000000003</v>
      </c>
      <c r="E32" s="61">
        <f t="shared" si="15"/>
        <v>14802.2</v>
      </c>
      <c r="F32" s="61">
        <f t="shared" ref="F32:I32" si="18">ROUND(F24-F$26*$B$6,1)</f>
        <v>11827.7</v>
      </c>
      <c r="G32" s="61">
        <f t="shared" si="18"/>
        <v>6069.2</v>
      </c>
      <c r="H32" s="61">
        <f t="shared" si="18"/>
        <v>2939.8</v>
      </c>
      <c r="I32" s="61">
        <f t="shared" si="18"/>
        <v>7421.7</v>
      </c>
      <c r="J32" s="61">
        <f t="shared" ref="J32:P32" si="19">ROUND(J24-J$26*$B$6,1)</f>
        <v>15223.6</v>
      </c>
      <c r="K32" s="61">
        <f t="shared" si="19"/>
        <v>5477.9</v>
      </c>
      <c r="L32" s="61">
        <f t="shared" si="19"/>
        <v>25412.9</v>
      </c>
      <c r="M32" s="61">
        <f t="shared" si="19"/>
        <v>7763.9</v>
      </c>
      <c r="N32" s="61">
        <f t="shared" si="19"/>
        <v>10586.2</v>
      </c>
      <c r="O32" s="61">
        <f t="shared" si="19"/>
        <v>4001.7</v>
      </c>
      <c r="P32" s="61">
        <f t="shared" si="19"/>
        <v>6861.3</v>
      </c>
    </row>
    <row r="33" spans="1:17" ht="20.100000000000001" customHeight="1" thickBot="1" x14ac:dyDescent="0.25">
      <c r="A33" s="62" t="s">
        <v>46</v>
      </c>
      <c r="B33" s="63">
        <f>ROUND(B25-B$26*$B$6,1)</f>
        <v>145841.1</v>
      </c>
      <c r="C33" s="63">
        <f t="shared" ref="C33:P33" si="20">ROUND(C25-C$26*$B$6,1)</f>
        <v>69971.5</v>
      </c>
      <c r="D33" s="63">
        <f t="shared" si="20"/>
        <v>39108</v>
      </c>
      <c r="E33" s="63">
        <f t="shared" si="20"/>
        <v>15536.1</v>
      </c>
      <c r="F33" s="63">
        <f t="shared" si="20"/>
        <v>12404.2</v>
      </c>
      <c r="G33" s="63">
        <f t="shared" si="20"/>
        <v>6365.8</v>
      </c>
      <c r="H33" s="63">
        <f t="shared" si="20"/>
        <v>3086.8</v>
      </c>
      <c r="I33" s="63">
        <f t="shared" si="20"/>
        <v>7788.6</v>
      </c>
      <c r="J33" s="63">
        <f t="shared" si="20"/>
        <v>15970.9</v>
      </c>
      <c r="K33" s="63">
        <f t="shared" si="20"/>
        <v>5752.3</v>
      </c>
      <c r="L33" s="63">
        <f t="shared" si="20"/>
        <v>26649.5</v>
      </c>
      <c r="M33" s="63">
        <f t="shared" si="20"/>
        <v>8150.2</v>
      </c>
      <c r="N33" s="63">
        <f t="shared" si="20"/>
        <v>11108.7</v>
      </c>
      <c r="O33" s="63">
        <f t="shared" si="20"/>
        <v>4199.1000000000004</v>
      </c>
      <c r="P33" s="63">
        <f t="shared" si="20"/>
        <v>7200.3</v>
      </c>
    </row>
    <row r="34" spans="1:17" ht="20.100000000000001" customHeight="1" x14ac:dyDescent="0.2">
      <c r="A34" s="64" t="s">
        <v>56</v>
      </c>
      <c r="B34" s="65">
        <f>ROUND(MAX(B$17*0.5, 20)*365,2)</f>
        <v>47541.25</v>
      </c>
      <c r="C34" s="65">
        <f t="shared" ref="C34:M35" si="21">ROUND(MAX(C$17*0.5, 20)*365,2)</f>
        <v>44734.400000000001</v>
      </c>
      <c r="D34" s="65">
        <f t="shared" si="21"/>
        <v>47333.2</v>
      </c>
      <c r="E34" s="65">
        <f t="shared" si="21"/>
        <v>44338.38</v>
      </c>
      <c r="F34" s="65">
        <f t="shared" si="21"/>
        <v>48990.3</v>
      </c>
      <c r="G34" s="65">
        <f t="shared" si="21"/>
        <v>48990.3</v>
      </c>
      <c r="H34" s="65">
        <f t="shared" si="21"/>
        <v>43102.85</v>
      </c>
      <c r="I34" s="65">
        <f t="shared" si="21"/>
        <v>47362.400000000001</v>
      </c>
      <c r="J34" s="65">
        <f t="shared" si="21"/>
        <v>42066.25</v>
      </c>
      <c r="K34" s="65">
        <f t="shared" si="21"/>
        <v>42066.25</v>
      </c>
      <c r="L34" s="65">
        <f t="shared" si="21"/>
        <v>45234.45</v>
      </c>
      <c r="M34" s="65">
        <f t="shared" si="21"/>
        <v>41312.53</v>
      </c>
      <c r="N34" s="65">
        <f>ROUND(MAX(N$17*0.5, 20)*365,2)</f>
        <v>45699.83</v>
      </c>
      <c r="O34" s="65">
        <f>ROUND(MAX(O$17*0.5, 20)*365,2)</f>
        <v>41303.4</v>
      </c>
      <c r="P34" s="65">
        <f>ROUND(MAX(P$17*0.5, 20)*365,2)</f>
        <v>40812.480000000003</v>
      </c>
    </row>
    <row r="35" spans="1:17" ht="20.100000000000001" customHeight="1" x14ac:dyDescent="0.2">
      <c r="A35" s="64" t="s">
        <v>160</v>
      </c>
      <c r="B35" s="65">
        <f>ROUND(MAX(B$17*0.5, 20)*365,2)</f>
        <v>47541.25</v>
      </c>
      <c r="C35" s="65">
        <f t="shared" si="21"/>
        <v>44734.400000000001</v>
      </c>
      <c r="D35" s="65">
        <f t="shared" si="21"/>
        <v>47333.2</v>
      </c>
      <c r="E35" s="65">
        <f t="shared" si="21"/>
        <v>44338.38</v>
      </c>
      <c r="F35" s="65">
        <f t="shared" si="21"/>
        <v>48990.3</v>
      </c>
      <c r="G35" s="65">
        <f t="shared" si="21"/>
        <v>48990.3</v>
      </c>
      <c r="H35" s="65">
        <f t="shared" si="21"/>
        <v>43102.85</v>
      </c>
      <c r="I35" s="65">
        <f t="shared" si="21"/>
        <v>47362.400000000001</v>
      </c>
      <c r="J35" s="65">
        <f t="shared" si="21"/>
        <v>42066.25</v>
      </c>
      <c r="K35" s="65">
        <f t="shared" si="21"/>
        <v>42066.25</v>
      </c>
      <c r="L35" s="65">
        <f t="shared" si="21"/>
        <v>45234.45</v>
      </c>
      <c r="M35" s="65">
        <f t="shared" si="21"/>
        <v>41312.53</v>
      </c>
      <c r="N35" s="65">
        <f>ROUND(MAX(N$17*0.5, 20)*365,2)</f>
        <v>45699.83</v>
      </c>
      <c r="O35" s="65">
        <f>ROUND(MAX(O$17*0.5, 20)*365,2)</f>
        <v>41303.4</v>
      </c>
      <c r="P35" s="65">
        <f>ROUND(MAX(P$17*0.5, 20)*365,2)</f>
        <v>40812.480000000003</v>
      </c>
    </row>
    <row r="36" spans="1:17" ht="20.100000000000001" customHeight="1" x14ac:dyDescent="0.2">
      <c r="A36" s="22" t="s">
        <v>57</v>
      </c>
      <c r="B36" s="66" t="s">
        <v>33</v>
      </c>
      <c r="C36" s="67">
        <v>1557</v>
      </c>
      <c r="D36" s="67">
        <v>40</v>
      </c>
      <c r="E36" s="67" t="s">
        <v>33</v>
      </c>
      <c r="F36" s="67">
        <v>1070</v>
      </c>
      <c r="G36" s="67">
        <v>639</v>
      </c>
      <c r="H36" s="67">
        <v>72</v>
      </c>
      <c r="I36" s="67" t="s">
        <v>33</v>
      </c>
      <c r="J36" s="67" t="s">
        <v>33</v>
      </c>
      <c r="K36" s="67" t="s">
        <v>33</v>
      </c>
      <c r="L36" s="106">
        <v>1376</v>
      </c>
      <c r="M36" s="67">
        <v>65.7</v>
      </c>
      <c r="N36" s="67" t="s">
        <v>33</v>
      </c>
      <c r="O36" s="67" t="s">
        <v>33</v>
      </c>
      <c r="P36" s="67">
        <v>155</v>
      </c>
    </row>
    <row r="37" spans="1:17" ht="20.100000000000001" customHeight="1" x14ac:dyDescent="0.2">
      <c r="A37" s="204" t="s">
        <v>58</v>
      </c>
      <c r="B37" s="204"/>
      <c r="C37" s="204"/>
      <c r="D37" s="204"/>
      <c r="E37" s="204"/>
      <c r="F37" s="204"/>
      <c r="G37" s="204"/>
      <c r="H37" s="204"/>
      <c r="I37" s="204"/>
      <c r="J37" s="204"/>
      <c r="K37" s="204"/>
      <c r="L37" s="204"/>
      <c r="M37" s="204"/>
      <c r="N37" s="204"/>
      <c r="O37" s="204"/>
      <c r="P37" s="204"/>
    </row>
    <row r="38" spans="1:17" ht="20.100000000000001" customHeight="1" x14ac:dyDescent="0.2">
      <c r="A38" s="22" t="s">
        <v>59</v>
      </c>
      <c r="B38" s="66" t="s">
        <v>33</v>
      </c>
      <c r="C38" s="90">
        <f>MIN(ROUND((C12-C11)/(54166*$B$6),3),100%)</f>
        <v>1</v>
      </c>
      <c r="D38" s="68">
        <f>ROUND((D12-D11)/(29586*$B$6),3)</f>
        <v>0.81899999999999995</v>
      </c>
      <c r="E38" s="68">
        <f>ROUND((E12-E11)/(11979*$B$6),3)</f>
        <v>0.45800000000000002</v>
      </c>
      <c r="F38" s="68">
        <f>ROUND((F12-F11)/(9279*$B$6),3)</f>
        <v>0.25700000000000001</v>
      </c>
      <c r="G38" s="66" t="s">
        <v>33</v>
      </c>
      <c r="H38" s="66" t="s">
        <v>33</v>
      </c>
      <c r="I38" s="66" t="s">
        <v>33</v>
      </c>
      <c r="J38" s="68">
        <f>ROUND((J12-J11)/(11885*$B$6),3)</f>
        <v>0.41899999999999998</v>
      </c>
      <c r="K38" s="66" t="s">
        <v>33</v>
      </c>
      <c r="L38" s="68">
        <f>ROUND((L12-L11)/(20119*$B$6),3)</f>
        <v>0.78600000000000003</v>
      </c>
      <c r="M38" s="68">
        <f>ROUND((M12-M11)/(6235*$B$6),3)</f>
        <v>0.27100000000000002</v>
      </c>
      <c r="N38" s="66" t="s">
        <v>33</v>
      </c>
      <c r="O38" s="66" t="s">
        <v>33</v>
      </c>
      <c r="P38" s="68">
        <f>ROUND((P12-P11)/(5036*$B$6),3)</f>
        <v>0.246</v>
      </c>
    </row>
    <row r="39" spans="1:17" ht="20.100000000000001" customHeight="1" x14ac:dyDescent="0.2">
      <c r="A39" s="69" t="s">
        <v>7</v>
      </c>
      <c r="B39" s="70"/>
      <c r="C39" s="70"/>
      <c r="D39" s="70"/>
      <c r="E39" s="70"/>
      <c r="F39" s="70"/>
      <c r="G39" s="116"/>
      <c r="H39" s="116"/>
      <c r="I39" s="116"/>
      <c r="J39" s="116"/>
      <c r="K39" s="116"/>
      <c r="L39" s="116"/>
      <c r="M39" s="116"/>
      <c r="N39" s="116"/>
    </row>
    <row r="40" spans="1:17" ht="20.100000000000001" customHeight="1" x14ac:dyDescent="0.2">
      <c r="K40" s="1" t="s">
        <v>7</v>
      </c>
      <c r="M40" s="72" t="s">
        <v>7</v>
      </c>
    </row>
    <row r="41" spans="1:17" x14ac:dyDescent="0.2">
      <c r="K41" t="s">
        <v>7</v>
      </c>
      <c r="O41" s="82" t="s">
        <v>7</v>
      </c>
      <c r="P41" s="82" t="s">
        <v>7</v>
      </c>
      <c r="Q41" s="82" t="s">
        <v>7</v>
      </c>
    </row>
    <row r="42" spans="1:17" ht="20.100000000000001" customHeight="1" x14ac:dyDescent="0.2">
      <c r="K42" t="s">
        <v>7</v>
      </c>
      <c r="O42" s="82" t="s">
        <v>7</v>
      </c>
      <c r="P42" s="82" t="s">
        <v>7</v>
      </c>
      <c r="Q42" s="82" t="s">
        <v>7</v>
      </c>
    </row>
    <row r="43" spans="1:17" ht="20.100000000000001" customHeight="1" x14ac:dyDescent="0.2">
      <c r="K43" t="s">
        <v>7</v>
      </c>
      <c r="O43" s="82" t="s">
        <v>7</v>
      </c>
      <c r="P43" s="82" t="s">
        <v>7</v>
      </c>
      <c r="Q43" s="82" t="s">
        <v>7</v>
      </c>
    </row>
    <row r="44" spans="1:17" ht="20.100000000000001" customHeight="1" x14ac:dyDescent="0.2">
      <c r="K44" t="s">
        <v>7</v>
      </c>
      <c r="O44" s="82" t="s">
        <v>7</v>
      </c>
      <c r="P44" s="82" t="s">
        <v>7</v>
      </c>
      <c r="Q44" s="82" t="s">
        <v>7</v>
      </c>
    </row>
    <row r="45" spans="1:17" ht="20.100000000000001" customHeight="1" x14ac:dyDescent="0.2">
      <c r="K45" t="s">
        <v>7</v>
      </c>
      <c r="O45" s="82" t="s">
        <v>7</v>
      </c>
      <c r="P45" s="82" t="s">
        <v>7</v>
      </c>
      <c r="Q45" s="82" t="s">
        <v>7</v>
      </c>
    </row>
    <row r="46" spans="1:17" ht="20.100000000000001" customHeight="1" x14ac:dyDescent="0.2">
      <c r="K46" t="s">
        <v>7</v>
      </c>
      <c r="O46" s="82" t="s">
        <v>7</v>
      </c>
      <c r="P46" s="82" t="s">
        <v>7</v>
      </c>
      <c r="Q46" s="82" t="s">
        <v>7</v>
      </c>
    </row>
    <row r="47" spans="1:17" ht="20.100000000000001" customHeight="1" x14ac:dyDescent="0.2">
      <c r="K47" t="s">
        <v>7</v>
      </c>
      <c r="O47" s="82" t="s">
        <v>7</v>
      </c>
      <c r="P47" s="82" t="s">
        <v>7</v>
      </c>
      <c r="Q47" s="82" t="s">
        <v>7</v>
      </c>
    </row>
    <row r="48" spans="1:17" ht="20.100000000000001" customHeight="1" x14ac:dyDescent="0.2">
      <c r="K48" t="s">
        <v>7</v>
      </c>
      <c r="O48" s="82" t="s">
        <v>7</v>
      </c>
      <c r="P48" s="82" t="s">
        <v>7</v>
      </c>
      <c r="Q48" s="82" t="s">
        <v>7</v>
      </c>
    </row>
    <row r="49" spans="11:17" ht="20.100000000000001" customHeight="1" x14ac:dyDescent="0.2">
      <c r="K49" t="s">
        <v>7</v>
      </c>
      <c r="O49" s="82" t="s">
        <v>7</v>
      </c>
      <c r="P49" s="82" t="s">
        <v>7</v>
      </c>
      <c r="Q49" s="82" t="s">
        <v>7</v>
      </c>
    </row>
    <row r="50" spans="11:17" ht="20.100000000000001" customHeight="1" x14ac:dyDescent="0.2">
      <c r="K50" t="s">
        <v>7</v>
      </c>
      <c r="O50" s="82" t="s">
        <v>7</v>
      </c>
      <c r="P50" s="82" t="s">
        <v>7</v>
      </c>
      <c r="Q50" s="82" t="s">
        <v>7</v>
      </c>
    </row>
    <row r="51" spans="11:17" ht="20.100000000000001" customHeight="1" x14ac:dyDescent="0.2">
      <c r="K51" t="s">
        <v>7</v>
      </c>
      <c r="O51" s="82" t="s">
        <v>7</v>
      </c>
      <c r="P51" s="82" t="s">
        <v>7</v>
      </c>
      <c r="Q51" s="82" t="s">
        <v>7</v>
      </c>
    </row>
    <row r="52" spans="11:17" ht="20.100000000000001" customHeight="1" x14ac:dyDescent="0.2">
      <c r="K52" t="s">
        <v>7</v>
      </c>
      <c r="O52" s="82" t="s">
        <v>7</v>
      </c>
      <c r="P52" s="82" t="s">
        <v>7</v>
      </c>
      <c r="Q52" s="82" t="s">
        <v>7</v>
      </c>
    </row>
    <row r="53" spans="11:17" ht="20.100000000000001" customHeight="1" x14ac:dyDescent="0.2">
      <c r="K53" t="s">
        <v>7</v>
      </c>
      <c r="O53" s="82" t="s">
        <v>7</v>
      </c>
      <c r="P53" s="82" t="s">
        <v>7</v>
      </c>
      <c r="Q53" s="82" t="s">
        <v>7</v>
      </c>
    </row>
    <row r="54" spans="11:17" ht="20.100000000000001" customHeight="1" x14ac:dyDescent="0.2">
      <c r="K54" t="s">
        <v>7</v>
      </c>
      <c r="O54" s="82" t="s">
        <v>7</v>
      </c>
      <c r="P54" s="82" t="s">
        <v>7</v>
      </c>
      <c r="Q54" s="82" t="s">
        <v>7</v>
      </c>
    </row>
    <row r="55" spans="11:17" ht="20.100000000000001" customHeight="1" x14ac:dyDescent="0.2">
      <c r="K55" t="s">
        <v>7</v>
      </c>
      <c r="O55" s="82" t="s">
        <v>7</v>
      </c>
      <c r="P55" s="82" t="s">
        <v>7</v>
      </c>
      <c r="Q55" s="82" t="s">
        <v>7</v>
      </c>
    </row>
    <row r="56" spans="11:17" ht="20.100000000000001" customHeight="1" x14ac:dyDescent="0.2">
      <c r="K56" t="s">
        <v>7</v>
      </c>
      <c r="O56" s="82" t="s">
        <v>7</v>
      </c>
      <c r="P56" s="82" t="s">
        <v>7</v>
      </c>
      <c r="Q56" s="82" t="s">
        <v>7</v>
      </c>
    </row>
    <row r="57" spans="11:17" ht="20.100000000000001" customHeight="1" x14ac:dyDescent="0.2">
      <c r="K57" t="s">
        <v>7</v>
      </c>
      <c r="O57" s="82" t="s">
        <v>7</v>
      </c>
      <c r="P57" s="82" t="s">
        <v>7</v>
      </c>
      <c r="Q57" s="82" t="s">
        <v>7</v>
      </c>
    </row>
    <row r="58" spans="11:17" ht="20.100000000000001" customHeight="1" x14ac:dyDescent="0.2">
      <c r="K58" t="s">
        <v>7</v>
      </c>
      <c r="O58" s="82" t="s">
        <v>7</v>
      </c>
      <c r="P58" s="82" t="s">
        <v>7</v>
      </c>
      <c r="Q58" s="82" t="s">
        <v>7</v>
      </c>
    </row>
    <row r="59" spans="11:17" ht="20.100000000000001" customHeight="1" x14ac:dyDescent="0.2">
      <c r="K59" t="s">
        <v>7</v>
      </c>
      <c r="O59" s="82" t="s">
        <v>7</v>
      </c>
      <c r="P59" s="82" t="s">
        <v>7</v>
      </c>
      <c r="Q59" s="82" t="s">
        <v>7</v>
      </c>
    </row>
    <row r="60" spans="11:17" ht="20.100000000000001" customHeight="1" x14ac:dyDescent="0.2">
      <c r="K60" t="s">
        <v>7</v>
      </c>
      <c r="O60" s="82" t="s">
        <v>7</v>
      </c>
      <c r="P60" s="82" t="s">
        <v>7</v>
      </c>
      <c r="Q60" s="82" t="s">
        <v>7</v>
      </c>
    </row>
    <row r="61" spans="11:17" ht="20.100000000000001" customHeight="1" x14ac:dyDescent="0.2">
      <c r="K61" t="s">
        <v>7</v>
      </c>
      <c r="O61" s="82" t="s">
        <v>7</v>
      </c>
      <c r="P61" s="82" t="s">
        <v>7</v>
      </c>
      <c r="Q61" s="82" t="s">
        <v>7</v>
      </c>
    </row>
    <row r="62" spans="11:17" ht="20.100000000000001" customHeight="1" x14ac:dyDescent="0.2">
      <c r="K62" t="s">
        <v>7</v>
      </c>
      <c r="O62" s="82" t="s">
        <v>7</v>
      </c>
      <c r="P62" s="82" t="s">
        <v>7</v>
      </c>
      <c r="Q62" s="82" t="s">
        <v>7</v>
      </c>
    </row>
    <row r="63" spans="11:17" ht="20.100000000000001" customHeight="1" x14ac:dyDescent="0.2">
      <c r="K63" t="s">
        <v>7</v>
      </c>
      <c r="O63" s="82" t="s">
        <v>7</v>
      </c>
      <c r="P63" s="82" t="s">
        <v>7</v>
      </c>
      <c r="Q63" s="82" t="s">
        <v>7</v>
      </c>
    </row>
    <row r="64" spans="11:17" ht="20.100000000000001" customHeight="1" x14ac:dyDescent="0.2">
      <c r="K64" t="s">
        <v>7</v>
      </c>
      <c r="O64" s="82" t="s">
        <v>7</v>
      </c>
      <c r="P64" s="82" t="s">
        <v>7</v>
      </c>
      <c r="Q64" s="82" t="s">
        <v>7</v>
      </c>
    </row>
    <row r="65" spans="11:17" ht="20.100000000000001" customHeight="1" x14ac:dyDescent="0.2">
      <c r="K65" t="s">
        <v>7</v>
      </c>
      <c r="O65" s="82" t="s">
        <v>7</v>
      </c>
      <c r="P65" s="82" t="s">
        <v>7</v>
      </c>
      <c r="Q65" s="82" t="s">
        <v>7</v>
      </c>
    </row>
    <row r="66" spans="11:17" ht="20.100000000000001" customHeight="1" x14ac:dyDescent="0.2">
      <c r="K66" t="s">
        <v>88</v>
      </c>
      <c r="O66" s="82" t="s">
        <v>7</v>
      </c>
      <c r="P66" s="82" t="s">
        <v>7</v>
      </c>
      <c r="Q66" s="82" t="s">
        <v>7</v>
      </c>
    </row>
    <row r="67" spans="11:17" ht="20.100000000000001" customHeight="1" x14ac:dyDescent="0.2">
      <c r="K67" t="s">
        <v>7</v>
      </c>
      <c r="O67" s="82" t="s">
        <v>7</v>
      </c>
      <c r="P67" s="82" t="s">
        <v>7</v>
      </c>
      <c r="Q67" s="82" t="s">
        <v>7</v>
      </c>
    </row>
    <row r="68" spans="11:17" ht="20.100000000000001" customHeight="1" x14ac:dyDescent="0.2">
      <c r="K68" t="s">
        <v>7</v>
      </c>
      <c r="O68" s="82" t="s">
        <v>7</v>
      </c>
      <c r="P68" s="82" t="s">
        <v>7</v>
      </c>
      <c r="Q68" s="82" t="s">
        <v>7</v>
      </c>
    </row>
    <row r="69" spans="11:17" ht="20.100000000000001" customHeight="1" x14ac:dyDescent="0.2">
      <c r="K69" t="s">
        <v>7</v>
      </c>
      <c r="O69" s="81"/>
      <c r="P69" s="81"/>
    </row>
    <row r="70" spans="11:17" ht="20.100000000000001" customHeight="1" x14ac:dyDescent="0.2">
      <c r="K70" t="s">
        <v>7</v>
      </c>
      <c r="O70" s="81"/>
      <c r="P70" s="81"/>
    </row>
    <row r="71" spans="11:17" ht="20.100000000000001" customHeight="1" x14ac:dyDescent="0.2">
      <c r="K71" t="s">
        <v>7</v>
      </c>
      <c r="O71" s="81"/>
      <c r="P71" s="81"/>
    </row>
    <row r="72" spans="11:17" ht="20.100000000000001" customHeight="1" x14ac:dyDescent="0.2">
      <c r="K72" t="s">
        <v>7</v>
      </c>
      <c r="O72" s="81"/>
      <c r="P72" s="81"/>
    </row>
    <row r="73" spans="11:17" ht="9.9499999999999993" customHeight="1" x14ac:dyDescent="0.2">
      <c r="K73" t="s">
        <v>7</v>
      </c>
      <c r="O73" s="81"/>
      <c r="P73" s="81"/>
    </row>
    <row r="74" spans="11:17" ht="20.100000000000001" customHeight="1" x14ac:dyDescent="0.2">
      <c r="K74" t="s">
        <v>7</v>
      </c>
    </row>
    <row r="75" spans="11:17" x14ac:dyDescent="0.2">
      <c r="K75" t="s">
        <v>7</v>
      </c>
    </row>
    <row r="76" spans="11:17" ht="38.25" customHeight="1" x14ac:dyDescent="0.2">
      <c r="K76" t="s">
        <v>7</v>
      </c>
    </row>
    <row r="77" spans="11:17" ht="20.100000000000001" customHeight="1" x14ac:dyDescent="0.2">
      <c r="K77" t="s">
        <v>7</v>
      </c>
    </row>
    <row r="78" spans="11:17" ht="33.75" customHeight="1" x14ac:dyDescent="0.2">
      <c r="K78" t="s">
        <v>7</v>
      </c>
    </row>
    <row r="79" spans="11:17" ht="33.75" customHeight="1" x14ac:dyDescent="0.2">
      <c r="K79" t="s">
        <v>7</v>
      </c>
    </row>
    <row r="80" spans="11:17" ht="68.25" customHeight="1" x14ac:dyDescent="0.2">
      <c r="K80" t="s">
        <v>7</v>
      </c>
    </row>
    <row r="81" spans="4:11" ht="45.75" customHeight="1" x14ac:dyDescent="0.2">
      <c r="K81" t="s">
        <v>7</v>
      </c>
    </row>
    <row r="82" spans="4:11" ht="22.5" customHeight="1" x14ac:dyDescent="0.2">
      <c r="K82" t="s">
        <v>7</v>
      </c>
    </row>
    <row r="83" spans="4:11" ht="22.5" customHeight="1" x14ac:dyDescent="0.2">
      <c r="K83" t="s">
        <v>7</v>
      </c>
    </row>
    <row r="84" spans="4:11" ht="60" customHeight="1" x14ac:dyDescent="0.2">
      <c r="K84" t="s">
        <v>7</v>
      </c>
    </row>
    <row r="85" spans="4:11" ht="39.950000000000003" customHeight="1" x14ac:dyDescent="0.2">
      <c r="K85" t="s">
        <v>7</v>
      </c>
    </row>
    <row r="86" spans="4:11" ht="20.100000000000001" customHeight="1" x14ac:dyDescent="0.2">
      <c r="K86" t="s">
        <v>7</v>
      </c>
    </row>
    <row r="87" spans="4:11" ht="47.25" customHeight="1" x14ac:dyDescent="0.2">
      <c r="K87" t="s">
        <v>7</v>
      </c>
    </row>
    <row r="88" spans="4:11" ht="32.25" customHeight="1" x14ac:dyDescent="0.2">
      <c r="K88" t="s">
        <v>7</v>
      </c>
    </row>
    <row r="89" spans="4:11" ht="39.950000000000003" customHeight="1" x14ac:dyDescent="0.2">
      <c r="K89" t="s">
        <v>7</v>
      </c>
    </row>
    <row r="90" spans="4:11" ht="15" customHeight="1" x14ac:dyDescent="0.2">
      <c r="K90" t="s">
        <v>7</v>
      </c>
    </row>
    <row r="91" spans="4:11" ht="15" customHeight="1" x14ac:dyDescent="0.2">
      <c r="K91" t="s">
        <v>7</v>
      </c>
    </row>
    <row r="92" spans="4:11" ht="15" customHeight="1" x14ac:dyDescent="0.2">
      <c r="K92" t="s">
        <v>7</v>
      </c>
    </row>
    <row r="93" spans="4:11" x14ac:dyDescent="0.2">
      <c r="K93" t="s">
        <v>7</v>
      </c>
    </row>
    <row r="94" spans="4:11" x14ac:dyDescent="0.2">
      <c r="K94" t="s">
        <v>7</v>
      </c>
    </row>
    <row r="95" spans="4:11" x14ac:dyDescent="0.2">
      <c r="D95" s="1" t="s">
        <v>7</v>
      </c>
      <c r="K95" t="s">
        <v>7</v>
      </c>
    </row>
    <row r="96" spans="4:11" x14ac:dyDescent="0.2">
      <c r="K96" t="s">
        <v>7</v>
      </c>
    </row>
    <row r="97" spans="11:11" x14ac:dyDescent="0.2">
      <c r="K97" t="s">
        <v>7</v>
      </c>
    </row>
  </sheetData>
  <mergeCells count="9">
    <mergeCell ref="C8:P8"/>
    <mergeCell ref="A19:P19"/>
    <mergeCell ref="A27:P27"/>
    <mergeCell ref="A37:P37"/>
    <mergeCell ref="C3:P3"/>
    <mergeCell ref="C4:P4"/>
    <mergeCell ref="C5:P5"/>
    <mergeCell ref="C6:P6"/>
    <mergeCell ref="C7:P7"/>
  </mergeCells>
  <pageMargins left="0.45" right="0.45" top="0.5" bottom="0.5" header="0.3" footer="0.3"/>
  <pageSetup scale="3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00"/>
  <sheetViews>
    <sheetView zoomScale="90" zoomScaleNormal="90" workbookViewId="0"/>
  </sheetViews>
  <sheetFormatPr defaultRowHeight="12.75" x14ac:dyDescent="0.2"/>
  <cols>
    <col min="1" max="1" width="60.7109375" customWidth="1"/>
    <col min="2" max="9" width="16.7109375" customWidth="1"/>
    <col min="10" max="10" width="22.7109375" customWidth="1"/>
    <col min="11" max="11" width="18.28515625" customWidth="1"/>
    <col min="12" max="16" width="16.7109375" customWidth="1"/>
  </cols>
  <sheetData>
    <row r="1" spans="1:16" ht="20.100000000000001" customHeight="1" x14ac:dyDescent="0.25">
      <c r="A1" s="87" t="s">
        <v>79</v>
      </c>
      <c r="B1" s="87"/>
      <c r="C1" s="3"/>
      <c r="D1" s="4">
        <v>44333</v>
      </c>
      <c r="E1" s="3"/>
      <c r="F1" s="5" t="s">
        <v>7</v>
      </c>
      <c r="G1" s="6"/>
      <c r="H1" s="7"/>
      <c r="I1" s="8" t="s">
        <v>7</v>
      </c>
      <c r="J1" s="9" t="s">
        <v>7</v>
      </c>
    </row>
    <row r="2" spans="1:16" ht="20.100000000000001" customHeight="1" x14ac:dyDescent="0.2">
      <c r="A2" s="10" t="s">
        <v>7</v>
      </c>
      <c r="B2" s="11"/>
      <c r="C2" s="11"/>
      <c r="D2" s="11"/>
      <c r="E2" s="11"/>
      <c r="F2" s="11"/>
      <c r="G2" s="11"/>
      <c r="H2" s="11"/>
      <c r="I2" s="9" t="s">
        <v>7</v>
      </c>
      <c r="J2" s="12" t="s">
        <v>7</v>
      </c>
      <c r="K2" s="11" t="s">
        <v>7</v>
      </c>
      <c r="L2" s="11"/>
      <c r="M2" s="91" t="s">
        <v>7</v>
      </c>
      <c r="N2" s="11"/>
    </row>
    <row r="3" spans="1:16" ht="20.100000000000001" customHeight="1" x14ac:dyDescent="0.25">
      <c r="A3" s="2" t="s">
        <v>7</v>
      </c>
      <c r="B3" s="13" t="s">
        <v>8</v>
      </c>
      <c r="C3" s="205" t="s">
        <v>22</v>
      </c>
      <c r="D3" s="205"/>
      <c r="E3" s="205"/>
      <c r="F3" s="205"/>
      <c r="G3" s="205"/>
      <c r="H3" s="205"/>
      <c r="I3" s="205"/>
      <c r="J3" s="205"/>
      <c r="K3" s="205"/>
      <c r="L3" s="205"/>
      <c r="M3" s="205"/>
      <c r="N3" s="205"/>
      <c r="O3" s="205"/>
      <c r="P3" s="205"/>
    </row>
    <row r="4" spans="1:16" ht="20.100000000000001" customHeight="1" x14ac:dyDescent="0.2">
      <c r="A4" s="2" t="s">
        <v>23</v>
      </c>
      <c r="B4" s="14">
        <v>0.14499999999999999</v>
      </c>
      <c r="C4" s="206" t="s">
        <v>83</v>
      </c>
      <c r="D4" s="206"/>
      <c r="E4" s="206"/>
      <c r="F4" s="206"/>
      <c r="G4" s="206"/>
      <c r="H4" s="206"/>
      <c r="I4" s="206"/>
      <c r="J4" s="206"/>
      <c r="K4" s="206"/>
      <c r="L4" s="206"/>
      <c r="M4" s="206"/>
      <c r="N4" s="206"/>
      <c r="O4" s="206"/>
      <c r="P4" s="206"/>
    </row>
    <row r="5" spans="1:16" ht="20.100000000000001" customHeight="1" x14ac:dyDescent="0.2">
      <c r="A5" s="2" t="s">
        <v>24</v>
      </c>
      <c r="B5" s="15">
        <v>5.0799999999999998E-2</v>
      </c>
      <c r="C5" s="206" t="s">
        <v>83</v>
      </c>
      <c r="D5" s="206"/>
      <c r="E5" s="206"/>
      <c r="F5" s="206"/>
      <c r="G5" s="206"/>
      <c r="H5" s="206"/>
      <c r="I5" s="206"/>
      <c r="J5" s="206"/>
      <c r="K5" s="206"/>
      <c r="L5" s="206"/>
      <c r="M5" s="206"/>
      <c r="N5" s="206"/>
      <c r="O5" s="206"/>
      <c r="P5" s="206"/>
    </row>
    <row r="6" spans="1:16" ht="20.100000000000001" customHeight="1" x14ac:dyDescent="0.2">
      <c r="A6" s="2" t="s">
        <v>25</v>
      </c>
      <c r="B6" s="16">
        <v>1.0868</v>
      </c>
      <c r="C6" s="206" t="s">
        <v>83</v>
      </c>
      <c r="D6" s="206"/>
      <c r="E6" s="206"/>
      <c r="F6" s="206"/>
      <c r="G6" s="206"/>
      <c r="H6" s="206"/>
      <c r="I6" s="206"/>
      <c r="J6" s="206"/>
      <c r="K6" s="206"/>
      <c r="L6" s="206"/>
      <c r="M6" s="206"/>
      <c r="N6" s="206"/>
      <c r="O6" s="206"/>
      <c r="P6" s="206"/>
    </row>
    <row r="7" spans="1:16" ht="20.100000000000001" customHeight="1" x14ac:dyDescent="0.2">
      <c r="A7" s="2" t="s">
        <v>26</v>
      </c>
      <c r="B7" s="92">
        <f>F45</f>
        <v>150229</v>
      </c>
      <c r="C7" s="207" t="s">
        <v>113</v>
      </c>
      <c r="D7" s="207"/>
      <c r="E7" s="207"/>
      <c r="F7" s="207"/>
      <c r="G7" s="207"/>
      <c r="H7" s="207"/>
      <c r="I7" s="207"/>
      <c r="J7" s="207"/>
      <c r="K7" s="207"/>
      <c r="L7" s="207"/>
      <c r="M7" s="207"/>
      <c r="N7" s="207"/>
      <c r="O7" s="207"/>
      <c r="P7" s="207"/>
    </row>
    <row r="8" spans="1:16" ht="20.100000000000001" customHeight="1" x14ac:dyDescent="0.2">
      <c r="A8" s="2" t="s">
        <v>7</v>
      </c>
      <c r="B8" s="17" t="s">
        <v>7</v>
      </c>
      <c r="C8" s="201" t="s">
        <v>27</v>
      </c>
      <c r="D8" s="201"/>
      <c r="E8" s="201"/>
      <c r="F8" s="201"/>
      <c r="G8" s="201"/>
      <c r="H8" s="201"/>
      <c r="I8" s="201"/>
      <c r="J8" s="201"/>
      <c r="K8" s="201"/>
      <c r="L8" s="201"/>
      <c r="M8" s="201"/>
      <c r="N8" s="201"/>
      <c r="O8" s="201"/>
      <c r="P8" s="201"/>
    </row>
    <row r="9" spans="1:16" ht="20.100000000000001" customHeight="1" x14ac:dyDescent="0.2">
      <c r="A9" s="18" t="s">
        <v>7</v>
      </c>
      <c r="B9" s="19" t="s">
        <v>8</v>
      </c>
      <c r="C9" s="19" t="s">
        <v>11</v>
      </c>
      <c r="D9" s="19" t="s">
        <v>10</v>
      </c>
      <c r="E9" s="19" t="s">
        <v>9</v>
      </c>
      <c r="F9" s="19" t="s">
        <v>28</v>
      </c>
      <c r="G9" s="19" t="s">
        <v>29</v>
      </c>
      <c r="H9" s="19" t="s">
        <v>17</v>
      </c>
      <c r="I9" s="19" t="s">
        <v>6</v>
      </c>
      <c r="J9" s="20" t="s">
        <v>18</v>
      </c>
      <c r="K9" s="20" t="s">
        <v>30</v>
      </c>
      <c r="L9" s="21" t="s">
        <v>12</v>
      </c>
      <c r="M9" s="21" t="s">
        <v>3</v>
      </c>
      <c r="N9" s="21" t="s">
        <v>31</v>
      </c>
      <c r="O9" s="21" t="s">
        <v>13</v>
      </c>
      <c r="P9" s="21" t="s">
        <v>20</v>
      </c>
    </row>
    <row r="10" spans="1:16" ht="20.100000000000001" customHeight="1" x14ac:dyDescent="0.2">
      <c r="A10" s="22" t="s">
        <v>32</v>
      </c>
      <c r="B10" s="23" t="s">
        <v>33</v>
      </c>
      <c r="C10" s="93">
        <f>B73</f>
        <v>-7440</v>
      </c>
      <c r="D10" s="94">
        <f>B70</f>
        <v>2800</v>
      </c>
      <c r="E10" s="95">
        <f>B71</f>
        <v>4120</v>
      </c>
      <c r="F10" s="94">
        <f>B67</f>
        <v>5740</v>
      </c>
      <c r="G10" s="94">
        <f>B68</f>
        <v>2680</v>
      </c>
      <c r="H10" s="94">
        <f>B58</f>
        <v>1480</v>
      </c>
      <c r="I10" s="94">
        <f>B65</f>
        <v>2380</v>
      </c>
      <c r="J10" s="94">
        <f>B49</f>
        <v>4610</v>
      </c>
      <c r="K10" s="94">
        <f>B50</f>
        <v>3310</v>
      </c>
      <c r="L10" s="94">
        <f>B52</f>
        <v>-2130</v>
      </c>
      <c r="M10" s="95">
        <f>B51</f>
        <v>4780</v>
      </c>
      <c r="N10" s="94">
        <f>B66</f>
        <v>-500</v>
      </c>
      <c r="O10" s="94">
        <f>B53</f>
        <v>2230</v>
      </c>
      <c r="P10" s="94">
        <f>B54</f>
        <v>2710</v>
      </c>
    </row>
    <row r="11" spans="1:16" ht="20.100000000000001" customHeight="1" x14ac:dyDescent="0.2">
      <c r="A11" s="22" t="s">
        <v>34</v>
      </c>
      <c r="B11" s="23" t="s">
        <v>33</v>
      </c>
      <c r="C11" s="93">
        <f>C73</f>
        <v>4375</v>
      </c>
      <c r="D11" s="95">
        <f>C70</f>
        <v>9173</v>
      </c>
      <c r="E11" s="95">
        <f>C71</f>
        <v>8310</v>
      </c>
      <c r="F11" s="95">
        <f>C67</f>
        <v>8626</v>
      </c>
      <c r="G11" s="95">
        <f>C68</f>
        <v>4360</v>
      </c>
      <c r="H11" s="95">
        <f>C58</f>
        <v>2053</v>
      </c>
      <c r="I11" s="95">
        <f>C65</f>
        <v>6781</v>
      </c>
      <c r="J11" s="95">
        <f>C49</f>
        <v>9119</v>
      </c>
      <c r="K11" s="95">
        <f>C50</f>
        <v>5229</v>
      </c>
      <c r="L11" s="95">
        <f>C52</f>
        <v>6839</v>
      </c>
      <c r="M11" s="95">
        <f>C51</f>
        <v>5683</v>
      </c>
      <c r="N11" s="95">
        <f>C66</f>
        <v>4850</v>
      </c>
      <c r="O11" s="95">
        <f>C53</f>
        <v>3941</v>
      </c>
      <c r="P11" s="95">
        <f>C54</f>
        <v>5465</v>
      </c>
    </row>
    <row r="12" spans="1:16" ht="20.100000000000001" customHeight="1" x14ac:dyDescent="0.2">
      <c r="A12" s="27" t="s">
        <v>35</v>
      </c>
      <c r="B12" s="23">
        <f>ROUND((B7*B6),1)</f>
        <v>163268.9</v>
      </c>
      <c r="C12" s="93">
        <v>64514</v>
      </c>
      <c r="D12" s="96">
        <v>35884</v>
      </c>
      <c r="E12" s="97">
        <v>14934</v>
      </c>
      <c r="F12" s="96">
        <v>11686</v>
      </c>
      <c r="G12" s="96">
        <v>6180</v>
      </c>
      <c r="H12" s="96">
        <v>3155</v>
      </c>
      <c r="I12" s="96">
        <v>7701</v>
      </c>
      <c r="J12" s="96">
        <v>15011</v>
      </c>
      <c r="K12" s="96">
        <v>5761</v>
      </c>
      <c r="L12" s="96">
        <v>23931</v>
      </c>
      <c r="M12" s="97">
        <v>7828</v>
      </c>
      <c r="N12" s="96">
        <v>10244</v>
      </c>
      <c r="O12" s="96">
        <v>3950</v>
      </c>
      <c r="P12" s="96">
        <v>7407</v>
      </c>
    </row>
    <row r="13" spans="1:16" ht="20.100000000000001" customHeight="1" x14ac:dyDescent="0.2">
      <c r="A13" s="22" t="s">
        <v>82</v>
      </c>
      <c r="B13" s="24">
        <f>H45</f>
        <v>28535.466270277164</v>
      </c>
      <c r="C13" s="29">
        <f>H73</f>
        <v>0</v>
      </c>
      <c r="D13" s="29">
        <f>H70</f>
        <v>0</v>
      </c>
      <c r="E13" s="29">
        <f>H71</f>
        <v>0</v>
      </c>
      <c r="F13" s="29">
        <f>H67</f>
        <v>0</v>
      </c>
      <c r="G13" s="29">
        <f>H68</f>
        <v>0</v>
      </c>
      <c r="H13" s="29">
        <f>H58</f>
        <v>0</v>
      </c>
      <c r="I13" s="29">
        <f>H65</f>
        <v>0</v>
      </c>
      <c r="J13" s="29">
        <f>H49</f>
        <v>0</v>
      </c>
      <c r="K13" s="29">
        <f>H50</f>
        <v>0</v>
      </c>
      <c r="L13" s="24">
        <f>H52</f>
        <v>0</v>
      </c>
      <c r="M13" s="29">
        <f>H51</f>
        <v>0</v>
      </c>
      <c r="N13" s="29">
        <f>H66</f>
        <v>0</v>
      </c>
      <c r="O13" s="29">
        <f>H53</f>
        <v>0</v>
      </c>
      <c r="P13" s="26">
        <f>H54</f>
        <v>827.53202956393204</v>
      </c>
    </row>
    <row r="14" spans="1:16" ht="20.100000000000001" customHeight="1" x14ac:dyDescent="0.2">
      <c r="A14" s="22" t="s">
        <v>36</v>
      </c>
      <c r="B14" s="24">
        <f>ROUND(B13*$B$6,1)</f>
        <v>31012.3</v>
      </c>
      <c r="C14" s="29">
        <f t="shared" ref="C14:I14" si="0">ROUND(C13*$B$6,1)</f>
        <v>0</v>
      </c>
      <c r="D14" s="29">
        <f t="shared" si="0"/>
        <v>0</v>
      </c>
      <c r="E14" s="29">
        <f t="shared" si="0"/>
        <v>0</v>
      </c>
      <c r="F14" s="29">
        <f t="shared" si="0"/>
        <v>0</v>
      </c>
      <c r="G14" s="29">
        <f t="shared" si="0"/>
        <v>0</v>
      </c>
      <c r="H14" s="29">
        <f t="shared" si="0"/>
        <v>0</v>
      </c>
      <c r="I14" s="29">
        <f t="shared" si="0"/>
        <v>0</v>
      </c>
      <c r="J14" s="29">
        <f>ROUND(J13*$B$6,1)</f>
        <v>0</v>
      </c>
      <c r="K14" s="29">
        <f>ROUND(K13*$B$6,1)</f>
        <v>0</v>
      </c>
      <c r="L14" s="24">
        <f>ROUND(L13*$B$6,1)</f>
        <v>0</v>
      </c>
      <c r="M14" s="29">
        <f>ROUND(M13*$B$6,1)</f>
        <v>0</v>
      </c>
      <c r="N14" s="29">
        <f>ROUND(N13*$B$6,1)</f>
        <v>0</v>
      </c>
      <c r="O14" s="29">
        <f t="shared" ref="O14" si="1">ROUND(O13*$B$6,1)</f>
        <v>0</v>
      </c>
      <c r="P14" s="26">
        <f>ROUND(P13*$B$6,1)</f>
        <v>899.4</v>
      </c>
    </row>
    <row r="15" spans="1:16" ht="20.100000000000001" customHeight="1" x14ac:dyDescent="0.2">
      <c r="A15" s="30" t="s">
        <v>37</v>
      </c>
      <c r="B15" s="31">
        <f>B12-B14</f>
        <v>132256.6</v>
      </c>
      <c r="C15" s="31">
        <f>C12-C14*C41</f>
        <v>64514</v>
      </c>
      <c r="D15" s="31">
        <f t="shared" ref="D15:E15" si="2">D12-D14*D41</f>
        <v>35884</v>
      </c>
      <c r="E15" s="31">
        <f t="shared" si="2"/>
        <v>14934</v>
      </c>
      <c r="F15" s="31">
        <f>F12-F14*F41</f>
        <v>11686</v>
      </c>
      <c r="G15" s="31">
        <f t="shared" ref="G15:O15" si="3">G12-G14</f>
        <v>6180</v>
      </c>
      <c r="H15" s="31">
        <f t="shared" si="3"/>
        <v>3155</v>
      </c>
      <c r="I15" s="31">
        <f t="shared" si="3"/>
        <v>7701</v>
      </c>
      <c r="J15" s="31">
        <f>J12-J14*J41</f>
        <v>15011</v>
      </c>
      <c r="K15" s="31">
        <f>K12-K14</f>
        <v>5761</v>
      </c>
      <c r="L15" s="31">
        <f>L12-L14*L41</f>
        <v>23931</v>
      </c>
      <c r="M15" s="31">
        <f>M12-M14*M41</f>
        <v>7828</v>
      </c>
      <c r="N15" s="31">
        <f t="shared" si="3"/>
        <v>10244</v>
      </c>
      <c r="O15" s="31">
        <f t="shared" si="3"/>
        <v>3950</v>
      </c>
      <c r="P15" s="31">
        <f>P12-P14*P41</f>
        <v>7102.1034</v>
      </c>
    </row>
    <row r="16" spans="1:16" ht="20.100000000000001" customHeight="1" x14ac:dyDescent="0.2">
      <c r="A16" s="32" t="s">
        <v>38</v>
      </c>
      <c r="B16" s="33">
        <v>309.33999999999997</v>
      </c>
      <c r="C16" s="33">
        <v>310.64999999999998</v>
      </c>
      <c r="D16" s="33">
        <v>311.73</v>
      </c>
      <c r="E16" s="33">
        <v>316.63</v>
      </c>
      <c r="F16" s="33">
        <v>311.73</v>
      </c>
      <c r="G16" s="33">
        <v>311.73</v>
      </c>
      <c r="H16" s="33">
        <v>311.73</v>
      </c>
      <c r="I16" s="33">
        <v>316.63</v>
      </c>
      <c r="J16" s="33">
        <v>304.51</v>
      </c>
      <c r="K16" s="33">
        <v>304.51</v>
      </c>
      <c r="L16" s="33">
        <v>304.51</v>
      </c>
      <c r="M16" s="33">
        <v>316.63</v>
      </c>
      <c r="N16" s="33">
        <v>304.51</v>
      </c>
      <c r="O16" s="33">
        <v>304.51</v>
      </c>
      <c r="P16" s="33">
        <v>304.51</v>
      </c>
    </row>
    <row r="17" spans="1:16" ht="20.100000000000001" customHeight="1" x14ac:dyDescent="0.2">
      <c r="A17" s="34" t="s">
        <v>39</v>
      </c>
      <c r="B17" s="35">
        <v>260.5</v>
      </c>
      <c r="C17" s="35">
        <v>245.12</v>
      </c>
      <c r="D17" s="35">
        <v>259.36</v>
      </c>
      <c r="E17" s="35">
        <v>242.95</v>
      </c>
      <c r="F17" s="35">
        <v>268.44</v>
      </c>
      <c r="G17" s="35">
        <v>268.44</v>
      </c>
      <c r="H17" s="35">
        <v>236.18</v>
      </c>
      <c r="I17" s="35">
        <v>259.52</v>
      </c>
      <c r="J17" s="35">
        <v>230.5</v>
      </c>
      <c r="K17" s="35">
        <v>230.5</v>
      </c>
      <c r="L17" s="35">
        <v>247.86</v>
      </c>
      <c r="M17" s="35">
        <v>226.37</v>
      </c>
      <c r="N17" s="35">
        <v>250.41</v>
      </c>
      <c r="O17" s="35">
        <v>226.32</v>
      </c>
      <c r="P17" s="35">
        <v>223.63</v>
      </c>
    </row>
    <row r="18" spans="1:16" ht="20.100000000000001" customHeight="1" x14ac:dyDescent="0.2">
      <c r="A18" s="36" t="s">
        <v>115</v>
      </c>
      <c r="B18" s="23">
        <v>5205</v>
      </c>
      <c r="C18" s="23">
        <v>2062.4</v>
      </c>
      <c r="D18" s="23">
        <v>1152</v>
      </c>
      <c r="E18" s="23">
        <v>481.1</v>
      </c>
      <c r="F18" s="23">
        <v>416.1</v>
      </c>
      <c r="G18" s="23">
        <v>197.7</v>
      </c>
      <c r="H18" s="23">
        <v>49.8</v>
      </c>
      <c r="I18" s="23">
        <v>277.5</v>
      </c>
      <c r="J18" s="23">
        <v>428.9</v>
      </c>
      <c r="K18" s="23">
        <v>45.5</v>
      </c>
      <c r="L18" s="23">
        <v>932.7</v>
      </c>
      <c r="M18" s="23">
        <v>203.7</v>
      </c>
      <c r="N18" s="23">
        <v>244</v>
      </c>
      <c r="O18" s="23">
        <v>93.1</v>
      </c>
      <c r="P18" s="23">
        <v>150.30000000000001</v>
      </c>
    </row>
    <row r="19" spans="1:16" ht="20.100000000000001" customHeight="1" thickBot="1" x14ac:dyDescent="0.25">
      <c r="A19" s="202" t="s">
        <v>40</v>
      </c>
      <c r="B19" s="202"/>
      <c r="C19" s="202"/>
      <c r="D19" s="202"/>
      <c r="E19" s="202"/>
      <c r="F19" s="202"/>
      <c r="G19" s="202"/>
      <c r="H19" s="202"/>
      <c r="I19" s="202"/>
      <c r="J19" s="202"/>
      <c r="K19" s="202"/>
      <c r="L19" s="202"/>
      <c r="M19" s="202"/>
      <c r="N19" s="202"/>
      <c r="O19" s="202"/>
      <c r="P19" s="202"/>
    </row>
    <row r="20" spans="1:16" ht="20.100000000000001" customHeight="1" x14ac:dyDescent="0.2">
      <c r="A20" s="37" t="s">
        <v>41</v>
      </c>
      <c r="B20" s="38">
        <f>ROUND(MAX(B16,1.5*B17),2)</f>
        <v>390.75</v>
      </c>
      <c r="C20" s="38">
        <f t="shared" ref="C20:N20" si="4">ROUND(MAX(C16,1.5*C17),2)</f>
        <v>367.68</v>
      </c>
      <c r="D20" s="38">
        <f t="shared" si="4"/>
        <v>389.04</v>
      </c>
      <c r="E20" s="38">
        <f t="shared" si="4"/>
        <v>364.43</v>
      </c>
      <c r="F20" s="38">
        <f t="shared" si="4"/>
        <v>402.66</v>
      </c>
      <c r="G20" s="38">
        <f t="shared" si="4"/>
        <v>402.66</v>
      </c>
      <c r="H20" s="38">
        <f>ROUND(MAX(H16,1.5*H17),2)</f>
        <v>354.27</v>
      </c>
      <c r="I20" s="38">
        <f t="shared" si="4"/>
        <v>389.28</v>
      </c>
      <c r="J20" s="38">
        <f t="shared" si="4"/>
        <v>345.75</v>
      </c>
      <c r="K20" s="38">
        <f t="shared" si="4"/>
        <v>345.75</v>
      </c>
      <c r="L20" s="38">
        <f t="shared" si="4"/>
        <v>371.79</v>
      </c>
      <c r="M20" s="38">
        <f t="shared" si="4"/>
        <v>339.56</v>
      </c>
      <c r="N20" s="38">
        <f t="shared" si="4"/>
        <v>375.62</v>
      </c>
      <c r="O20" s="38">
        <f>ROUND(MAX(O16,1.5*O17),2)</f>
        <v>339.48</v>
      </c>
      <c r="P20" s="39">
        <f>ROUND(MAX(P16,1.5*P17),2)</f>
        <v>335.45</v>
      </c>
    </row>
    <row r="21" spans="1:16" ht="20.100000000000001" customHeight="1" x14ac:dyDescent="0.2">
      <c r="A21" s="40" t="s">
        <v>42</v>
      </c>
      <c r="B21" s="41">
        <f>ROUND(B$17*0.75,2)</f>
        <v>195.38</v>
      </c>
      <c r="C21" s="41">
        <f t="shared" ref="C21:M21" si="5">ROUND(C$17*0.75,2)</f>
        <v>183.84</v>
      </c>
      <c r="D21" s="41">
        <f t="shared" si="5"/>
        <v>194.52</v>
      </c>
      <c r="E21" s="41">
        <f t="shared" si="5"/>
        <v>182.21</v>
      </c>
      <c r="F21" s="41">
        <f t="shared" si="5"/>
        <v>201.33</v>
      </c>
      <c r="G21" s="41">
        <f t="shared" si="5"/>
        <v>201.33</v>
      </c>
      <c r="H21" s="41">
        <f t="shared" si="5"/>
        <v>177.14</v>
      </c>
      <c r="I21" s="41">
        <f t="shared" si="5"/>
        <v>194.64</v>
      </c>
      <c r="J21" s="41">
        <f t="shared" si="5"/>
        <v>172.88</v>
      </c>
      <c r="K21" s="41">
        <f t="shared" si="5"/>
        <v>172.88</v>
      </c>
      <c r="L21" s="41">
        <f t="shared" si="5"/>
        <v>185.9</v>
      </c>
      <c r="M21" s="41">
        <f t="shared" si="5"/>
        <v>169.78</v>
      </c>
      <c r="N21" s="41">
        <f>ROUND(N$17*0.75,2)</f>
        <v>187.81</v>
      </c>
      <c r="O21" s="41">
        <f>ROUND(O$17*0.75,2)</f>
        <v>169.74</v>
      </c>
      <c r="P21" s="42">
        <f>ROUND(P$17*0.75,2)</f>
        <v>167.72</v>
      </c>
    </row>
    <row r="22" spans="1:16" ht="20.100000000000001" customHeight="1" x14ac:dyDescent="0.2">
      <c r="A22" s="40" t="s">
        <v>43</v>
      </c>
      <c r="B22" s="41">
        <v>0</v>
      </c>
      <c r="C22" s="41">
        <v>0</v>
      </c>
      <c r="D22" s="41">
        <v>0</v>
      </c>
      <c r="E22" s="41">
        <v>0</v>
      </c>
      <c r="F22" s="41">
        <v>0</v>
      </c>
      <c r="G22" s="41">
        <v>0</v>
      </c>
      <c r="H22" s="41">
        <v>0</v>
      </c>
      <c r="I22" s="41">
        <v>0</v>
      </c>
      <c r="J22" s="41">
        <v>0</v>
      </c>
      <c r="K22" s="41">
        <v>0</v>
      </c>
      <c r="L22" s="41">
        <v>0</v>
      </c>
      <c r="M22" s="41">
        <v>0</v>
      </c>
      <c r="N22" s="41">
        <v>0</v>
      </c>
      <c r="O22" s="41">
        <v>0</v>
      </c>
      <c r="P22" s="42">
        <v>0</v>
      </c>
    </row>
    <row r="23" spans="1:16" ht="20.100000000000001" customHeight="1" x14ac:dyDescent="0.2">
      <c r="A23" s="40" t="s">
        <v>44</v>
      </c>
      <c r="B23" s="43">
        <f>ROUND(B$15*(1+$B$4-1.2%)/(1+$B$4),1)+B$18</f>
        <v>136075.5</v>
      </c>
      <c r="C23" s="43">
        <f t="shared" ref="C23:P23" si="6">ROUND(C$15*(1+$B$4-1.2%)/(1+$B$4),1)+C$18</f>
        <v>65900.3</v>
      </c>
      <c r="D23" s="43">
        <f t="shared" si="6"/>
        <v>36659.9</v>
      </c>
      <c r="E23" s="43">
        <f t="shared" si="6"/>
        <v>15258.6</v>
      </c>
      <c r="F23" s="43">
        <f t="shared" si="6"/>
        <v>11979.6</v>
      </c>
      <c r="G23" s="43">
        <f t="shared" si="6"/>
        <v>6312.9</v>
      </c>
      <c r="H23" s="43">
        <f t="shared" si="6"/>
        <v>3171.7000000000003</v>
      </c>
      <c r="I23" s="43">
        <f t="shared" si="6"/>
        <v>7897.8</v>
      </c>
      <c r="J23" s="43">
        <f t="shared" si="6"/>
        <v>15282.6</v>
      </c>
      <c r="K23" s="43">
        <f t="shared" si="6"/>
        <v>5746.1</v>
      </c>
      <c r="L23" s="43">
        <f t="shared" si="6"/>
        <v>24612.9</v>
      </c>
      <c r="M23" s="43">
        <f t="shared" si="6"/>
        <v>7949.7</v>
      </c>
      <c r="N23" s="43">
        <f t="shared" si="6"/>
        <v>10380.6</v>
      </c>
      <c r="O23" s="43">
        <f t="shared" si="6"/>
        <v>4001.7</v>
      </c>
      <c r="P23" s="44">
        <f t="shared" si="6"/>
        <v>7178</v>
      </c>
    </row>
    <row r="24" spans="1:16" ht="20.100000000000001" customHeight="1" x14ac:dyDescent="0.2">
      <c r="A24" s="40" t="s">
        <v>45</v>
      </c>
      <c r="B24" s="43">
        <f>ROUND(B$15*(1+$B$4+1.9%)/(1+$B$4),1)+B$18</f>
        <v>139656.29999999999</v>
      </c>
      <c r="C24" s="43">
        <f t="shared" ref="C24:P24" si="7">ROUND(C$15*(1+$B$4+1.9%)/(1+$B$4),1)+C$18</f>
        <v>67646.899999999994</v>
      </c>
      <c r="D24" s="43">
        <f t="shared" si="7"/>
        <v>37631.5</v>
      </c>
      <c r="E24" s="43">
        <f t="shared" si="7"/>
        <v>15662.9</v>
      </c>
      <c r="F24" s="43">
        <f t="shared" si="7"/>
        <v>12296</v>
      </c>
      <c r="G24" s="43">
        <f t="shared" si="7"/>
        <v>6480.3</v>
      </c>
      <c r="H24" s="43">
        <f t="shared" si="7"/>
        <v>3257.2000000000003</v>
      </c>
      <c r="I24" s="43">
        <f t="shared" si="7"/>
        <v>8106.3</v>
      </c>
      <c r="J24" s="43">
        <f t="shared" si="7"/>
        <v>15689</v>
      </c>
      <c r="K24" s="43">
        <f t="shared" si="7"/>
        <v>5902.1</v>
      </c>
      <c r="L24" s="43">
        <f t="shared" si="7"/>
        <v>25260.799999999999</v>
      </c>
      <c r="M24" s="43">
        <f t="shared" si="7"/>
        <v>8161.5999999999995</v>
      </c>
      <c r="N24" s="43">
        <f t="shared" si="7"/>
        <v>10658</v>
      </c>
      <c r="O24" s="43">
        <f t="shared" si="7"/>
        <v>4108.6000000000004</v>
      </c>
      <c r="P24" s="44">
        <f t="shared" si="7"/>
        <v>7370.3</v>
      </c>
    </row>
    <row r="25" spans="1:16" ht="20.100000000000001" customHeight="1" thickBot="1" x14ac:dyDescent="0.25">
      <c r="A25" s="45" t="s">
        <v>46</v>
      </c>
      <c r="B25" s="46">
        <f>ROUND(B$15*(1+$B$4+7.8%)/(1+$B$4),1)+B$18</f>
        <v>146471.20000000001</v>
      </c>
      <c r="C25" s="46">
        <f t="shared" ref="C25:P25" si="8">ROUND(C$15*(1+$B$4+7.8%)/(1+$B$4),1)+C$18</f>
        <v>70971.199999999997</v>
      </c>
      <c r="D25" s="46">
        <f t="shared" si="8"/>
        <v>39480.5</v>
      </c>
      <c r="E25" s="46">
        <f t="shared" si="8"/>
        <v>16432.399999999998</v>
      </c>
      <c r="F25" s="46">
        <f t="shared" si="8"/>
        <v>12898.2</v>
      </c>
      <c r="G25" s="46">
        <f t="shared" si="8"/>
        <v>6798.7</v>
      </c>
      <c r="H25" s="46">
        <f t="shared" si="8"/>
        <v>3419.7000000000003</v>
      </c>
      <c r="I25" s="46">
        <f t="shared" si="8"/>
        <v>8503.1</v>
      </c>
      <c r="J25" s="46">
        <f t="shared" si="8"/>
        <v>16462.5</v>
      </c>
      <c r="K25" s="46">
        <f t="shared" si="8"/>
        <v>6199</v>
      </c>
      <c r="L25" s="46">
        <f t="shared" si="8"/>
        <v>26493.9</v>
      </c>
      <c r="M25" s="46">
        <f t="shared" si="8"/>
        <v>8565</v>
      </c>
      <c r="N25" s="46">
        <f t="shared" si="8"/>
        <v>11185.8</v>
      </c>
      <c r="O25" s="46">
        <f t="shared" si="8"/>
        <v>4312.2000000000007</v>
      </c>
      <c r="P25" s="47">
        <f t="shared" si="8"/>
        <v>7736.2</v>
      </c>
    </row>
    <row r="26" spans="1:16" ht="20.100000000000001" customHeight="1" x14ac:dyDescent="0.2">
      <c r="A26" s="48" t="s">
        <v>81</v>
      </c>
      <c r="B26" s="109">
        <f>C26+J26+L26+O26+P26</f>
        <v>230</v>
      </c>
      <c r="C26" s="109">
        <f>D26+E26+N26</f>
        <v>230</v>
      </c>
      <c r="D26" s="109">
        <f>20.4+H26</f>
        <v>40</v>
      </c>
      <c r="E26" s="109">
        <f>I26+M26</f>
        <v>190</v>
      </c>
      <c r="F26" s="109">
        <v>0</v>
      </c>
      <c r="G26" s="109">
        <v>0</v>
      </c>
      <c r="H26" s="109">
        <v>19.600000000000001</v>
      </c>
      <c r="I26" s="109">
        <v>110</v>
      </c>
      <c r="J26" s="109">
        <v>0</v>
      </c>
      <c r="K26" s="109">
        <v>0</v>
      </c>
      <c r="L26" s="109">
        <v>0</v>
      </c>
      <c r="M26" s="109">
        <v>80</v>
      </c>
      <c r="N26" s="109">
        <v>0</v>
      </c>
      <c r="O26" s="109">
        <v>0</v>
      </c>
      <c r="P26" s="109">
        <v>0</v>
      </c>
    </row>
    <row r="27" spans="1:16" ht="20.100000000000001" customHeight="1" thickBot="1" x14ac:dyDescent="0.25">
      <c r="A27" s="203" t="s">
        <v>47</v>
      </c>
      <c r="B27" s="203"/>
      <c r="C27" s="203"/>
      <c r="D27" s="203"/>
      <c r="E27" s="203"/>
      <c r="F27" s="203"/>
      <c r="G27" s="203"/>
      <c r="H27" s="203"/>
      <c r="I27" s="203"/>
      <c r="J27" s="203"/>
      <c r="K27" s="203"/>
      <c r="L27" s="203"/>
      <c r="M27" s="203"/>
      <c r="N27" s="203"/>
      <c r="O27" s="203"/>
      <c r="P27" s="203"/>
    </row>
    <row r="28" spans="1:16" ht="20.100000000000001" customHeight="1" x14ac:dyDescent="0.2">
      <c r="A28" s="49" t="s">
        <v>48</v>
      </c>
      <c r="B28" s="50">
        <f>B20</f>
        <v>390.75</v>
      </c>
      <c r="C28" s="50">
        <f t="shared" ref="C28:M29" si="9">C20</f>
        <v>367.68</v>
      </c>
      <c r="D28" s="50">
        <f t="shared" si="9"/>
        <v>389.04</v>
      </c>
      <c r="E28" s="50">
        <f t="shared" si="9"/>
        <v>364.43</v>
      </c>
      <c r="F28" s="50" t="s">
        <v>7</v>
      </c>
      <c r="G28" s="50" t="s">
        <v>7</v>
      </c>
      <c r="H28" s="50">
        <f t="shared" si="9"/>
        <v>354.27</v>
      </c>
      <c r="I28" s="50">
        <f t="shared" si="9"/>
        <v>389.28</v>
      </c>
      <c r="J28" s="50" t="s">
        <v>7</v>
      </c>
      <c r="K28" s="50" t="s">
        <v>7</v>
      </c>
      <c r="L28" s="50" t="s">
        <v>7</v>
      </c>
      <c r="M28" s="50">
        <f t="shared" si="9"/>
        <v>339.56</v>
      </c>
      <c r="N28" s="50" t="s">
        <v>7</v>
      </c>
      <c r="O28" s="50" t="s">
        <v>7</v>
      </c>
      <c r="P28" s="51" t="s">
        <v>7</v>
      </c>
    </row>
    <row r="29" spans="1:16" ht="20.100000000000001" customHeight="1" x14ac:dyDescent="0.2">
      <c r="A29" s="52" t="s">
        <v>49</v>
      </c>
      <c r="B29" s="53">
        <f>B21</f>
        <v>195.38</v>
      </c>
      <c r="C29" s="53">
        <f t="shared" si="9"/>
        <v>183.84</v>
      </c>
      <c r="D29" s="53">
        <f t="shared" si="9"/>
        <v>194.52</v>
      </c>
      <c r="E29" s="53">
        <f t="shared" si="9"/>
        <v>182.21</v>
      </c>
      <c r="F29" s="53" t="s">
        <v>7</v>
      </c>
      <c r="G29" s="53" t="s">
        <v>7</v>
      </c>
      <c r="H29" s="53">
        <f t="shared" si="9"/>
        <v>177.14</v>
      </c>
      <c r="I29" s="53">
        <f t="shared" si="9"/>
        <v>194.64</v>
      </c>
      <c r="J29" s="53" t="s">
        <v>7</v>
      </c>
      <c r="K29" s="53" t="s">
        <v>7</v>
      </c>
      <c r="L29" s="53" t="s">
        <v>7</v>
      </c>
      <c r="M29" s="53">
        <f t="shared" si="9"/>
        <v>169.78</v>
      </c>
      <c r="N29" s="53" t="s">
        <v>7</v>
      </c>
      <c r="O29" s="53" t="s">
        <v>7</v>
      </c>
      <c r="P29" s="54" t="s">
        <v>7</v>
      </c>
    </row>
    <row r="30" spans="1:16" ht="20.100000000000001" customHeight="1" x14ac:dyDescent="0.2">
      <c r="A30" s="52" t="s">
        <v>50</v>
      </c>
      <c r="B30" s="53">
        <v>0.01</v>
      </c>
      <c r="C30" s="53">
        <v>0.01</v>
      </c>
      <c r="D30" s="53">
        <v>0.01</v>
      </c>
      <c r="E30" s="53">
        <v>0.01</v>
      </c>
      <c r="F30" s="53" t="s">
        <v>7</v>
      </c>
      <c r="G30" s="53" t="s">
        <v>7</v>
      </c>
      <c r="H30" s="53">
        <v>0.01</v>
      </c>
      <c r="I30" s="53">
        <v>0.01</v>
      </c>
      <c r="J30" s="53" t="s">
        <v>7</v>
      </c>
      <c r="K30" s="53" t="s">
        <v>7</v>
      </c>
      <c r="L30" s="53" t="s">
        <v>7</v>
      </c>
      <c r="M30" s="53">
        <v>0.01</v>
      </c>
      <c r="N30" s="53" t="s">
        <v>7</v>
      </c>
      <c r="O30" s="53" t="s">
        <v>7</v>
      </c>
      <c r="P30" s="54" t="s">
        <v>7</v>
      </c>
    </row>
    <row r="31" spans="1:16" ht="20.100000000000001" customHeight="1" x14ac:dyDescent="0.2">
      <c r="A31" s="52" t="s">
        <v>51</v>
      </c>
      <c r="B31" s="53">
        <v>0.01</v>
      </c>
      <c r="C31" s="53">
        <v>0.01</v>
      </c>
      <c r="D31" s="53">
        <v>0.01</v>
      </c>
      <c r="E31" s="53">
        <v>0.01</v>
      </c>
      <c r="F31" s="53" t="s">
        <v>7</v>
      </c>
      <c r="G31" s="53" t="s">
        <v>7</v>
      </c>
      <c r="H31" s="53">
        <v>0.01</v>
      </c>
      <c r="I31" s="53">
        <v>0.01</v>
      </c>
      <c r="J31" s="53" t="s">
        <v>7</v>
      </c>
      <c r="K31" s="53" t="s">
        <v>7</v>
      </c>
      <c r="L31" s="53" t="s">
        <v>7</v>
      </c>
      <c r="M31" s="53">
        <v>0.01</v>
      </c>
      <c r="N31" s="53" t="s">
        <v>7</v>
      </c>
      <c r="O31" s="53" t="s">
        <v>7</v>
      </c>
      <c r="P31" s="54" t="s">
        <v>7</v>
      </c>
    </row>
    <row r="32" spans="1:16" ht="20.100000000000001" customHeight="1" thickBot="1" x14ac:dyDescent="0.25">
      <c r="A32" s="55" t="s">
        <v>43</v>
      </c>
      <c r="B32" s="56">
        <f>B22</f>
        <v>0</v>
      </c>
      <c r="C32" s="56">
        <f t="shared" ref="C32:M32" si="10">C22</f>
        <v>0</v>
      </c>
      <c r="D32" s="56">
        <f t="shared" si="10"/>
        <v>0</v>
      </c>
      <c r="E32" s="56">
        <f t="shared" si="10"/>
        <v>0</v>
      </c>
      <c r="F32" s="56" t="s">
        <v>7</v>
      </c>
      <c r="G32" s="56" t="s">
        <v>7</v>
      </c>
      <c r="H32" s="56">
        <f t="shared" si="10"/>
        <v>0</v>
      </c>
      <c r="I32" s="56">
        <f t="shared" si="10"/>
        <v>0</v>
      </c>
      <c r="J32" s="56" t="s">
        <v>7</v>
      </c>
      <c r="K32" s="56" t="s">
        <v>7</v>
      </c>
      <c r="L32" s="56" t="s">
        <v>7</v>
      </c>
      <c r="M32" s="56">
        <f t="shared" si="10"/>
        <v>0</v>
      </c>
      <c r="N32" s="56" t="s">
        <v>7</v>
      </c>
      <c r="O32" s="56" t="s">
        <v>7</v>
      </c>
      <c r="P32" s="57" t="s">
        <v>7</v>
      </c>
    </row>
    <row r="33" spans="1:17" ht="20.100000000000001" customHeight="1" x14ac:dyDescent="0.2">
      <c r="A33" s="58" t="s">
        <v>52</v>
      </c>
      <c r="B33" s="59">
        <f>ROUND(B23-B$26*$B$6,1)</f>
        <v>135825.5</v>
      </c>
      <c r="C33" s="59">
        <f t="shared" ref="C33:I34" si="11">ROUND(C23-C$26*$B$6,1)</f>
        <v>65650.3</v>
      </c>
      <c r="D33" s="59">
        <f t="shared" si="11"/>
        <v>36616.400000000001</v>
      </c>
      <c r="E33" s="59">
        <f>ROUND(E23-E$26*$B$6,1)</f>
        <v>15052.1</v>
      </c>
      <c r="F33" s="59" t="s">
        <v>7</v>
      </c>
      <c r="G33" s="59" t="s">
        <v>7</v>
      </c>
      <c r="H33" s="59">
        <f t="shared" si="11"/>
        <v>3150.4</v>
      </c>
      <c r="I33" s="59">
        <f t="shared" si="11"/>
        <v>7778.3</v>
      </c>
      <c r="J33" s="59" t="s">
        <v>7</v>
      </c>
      <c r="K33" s="59" t="s">
        <v>7</v>
      </c>
      <c r="L33" s="59" t="s">
        <v>7</v>
      </c>
      <c r="M33" s="59">
        <f>ROUND(M23-M$26*$B$6,1)</f>
        <v>7862.8</v>
      </c>
      <c r="N33" s="59" t="s">
        <v>7</v>
      </c>
      <c r="O33" s="59" t="s">
        <v>7</v>
      </c>
      <c r="P33" s="59" t="s">
        <v>7</v>
      </c>
    </row>
    <row r="34" spans="1:17" ht="20.100000000000001" customHeight="1" x14ac:dyDescent="0.2">
      <c r="A34" s="60" t="s">
        <v>53</v>
      </c>
      <c r="B34" s="61">
        <f>ROUND(B24-B$26*$B$6,1)</f>
        <v>139406.29999999999</v>
      </c>
      <c r="C34" s="61">
        <f t="shared" si="11"/>
        <v>67396.899999999994</v>
      </c>
      <c r="D34" s="61">
        <f t="shared" si="11"/>
        <v>37588</v>
      </c>
      <c r="E34" s="61">
        <f>ROUND(E24-E$26*$B$6,1)</f>
        <v>15456.4</v>
      </c>
      <c r="F34" s="61" t="s">
        <v>7</v>
      </c>
      <c r="G34" s="61" t="s">
        <v>7</v>
      </c>
      <c r="H34" s="61">
        <f t="shared" si="11"/>
        <v>3235.9</v>
      </c>
      <c r="I34" s="61">
        <f t="shared" si="11"/>
        <v>7986.8</v>
      </c>
      <c r="J34" s="61" t="s">
        <v>7</v>
      </c>
      <c r="K34" s="61" t="s">
        <v>7</v>
      </c>
      <c r="L34" s="61" t="s">
        <v>7</v>
      </c>
      <c r="M34" s="61">
        <f>ROUND(M24-M$26*$B$6,1)</f>
        <v>8074.7</v>
      </c>
      <c r="N34" s="61" t="s">
        <v>7</v>
      </c>
      <c r="O34" s="61" t="s">
        <v>7</v>
      </c>
      <c r="P34" s="61" t="s">
        <v>7</v>
      </c>
    </row>
    <row r="35" spans="1:17" ht="20.100000000000001" customHeight="1" x14ac:dyDescent="0.2">
      <c r="A35" s="60" t="s">
        <v>54</v>
      </c>
      <c r="B35" s="61">
        <f>ROUND(B36-B$26*$B$6,1)</f>
        <v>146220.9</v>
      </c>
      <c r="C35" s="61">
        <f t="shared" ref="C35:H35" si="12">ROUND(C36-C$26*$B$6,1)</f>
        <v>70721</v>
      </c>
      <c r="D35" s="61">
        <f t="shared" si="12"/>
        <v>39436.9</v>
      </c>
      <c r="E35" s="61">
        <f>ROUND(E36-E$26*$B$6,1)</f>
        <v>16225.9</v>
      </c>
      <c r="F35" s="61" t="s">
        <v>7</v>
      </c>
      <c r="G35" s="61" t="s">
        <v>7</v>
      </c>
      <c r="H35" s="61">
        <f t="shared" si="12"/>
        <v>3398.4</v>
      </c>
      <c r="I35" s="61">
        <f>ROUND(I36-I$26*$B$6,1)</f>
        <v>8383.6</v>
      </c>
      <c r="J35" s="61" t="s">
        <v>7</v>
      </c>
      <c r="K35" s="61" t="s">
        <v>7</v>
      </c>
      <c r="L35" s="61" t="s">
        <v>7</v>
      </c>
      <c r="M35" s="61">
        <f>ROUND(M36-M$26*$B$6,1)</f>
        <v>8478.1</v>
      </c>
      <c r="N35" s="61" t="s">
        <v>7</v>
      </c>
      <c r="O35" s="61" t="s">
        <v>7</v>
      </c>
      <c r="P35" s="61" t="s">
        <v>7</v>
      </c>
    </row>
    <row r="36" spans="1:17" ht="20.100000000000001" customHeight="1" x14ac:dyDescent="0.2">
      <c r="A36" s="60" t="s">
        <v>55</v>
      </c>
      <c r="B36" s="61">
        <f>ROUND(B25-B31*(B25-B24)/B21,1)</f>
        <v>146470.9</v>
      </c>
      <c r="C36" s="61">
        <f t="shared" ref="C36:M36" si="13">ROUND(C25-C31*(C25-C24)/C21,1)</f>
        <v>70971</v>
      </c>
      <c r="D36" s="61">
        <f t="shared" si="13"/>
        <v>39480.400000000001</v>
      </c>
      <c r="E36" s="61">
        <f t="shared" si="13"/>
        <v>16432.400000000001</v>
      </c>
      <c r="F36" s="61" t="s">
        <v>7</v>
      </c>
      <c r="G36" s="61" t="s">
        <v>7</v>
      </c>
      <c r="H36" s="61">
        <f>ROUND(H25-H31*(H25-H24)/H21,1)</f>
        <v>3419.7</v>
      </c>
      <c r="I36" s="61">
        <f>ROUND(I25-I31*(I25-I24)/I21,1)</f>
        <v>8503.1</v>
      </c>
      <c r="J36" s="61" t="s">
        <v>7</v>
      </c>
      <c r="K36" s="61" t="s">
        <v>7</v>
      </c>
      <c r="L36" s="61" t="s">
        <v>7</v>
      </c>
      <c r="M36" s="61">
        <f t="shared" si="13"/>
        <v>8565</v>
      </c>
      <c r="N36" s="61" t="s">
        <v>7</v>
      </c>
      <c r="O36" s="61" t="s">
        <v>7</v>
      </c>
      <c r="P36" s="61" t="s">
        <v>7</v>
      </c>
    </row>
    <row r="37" spans="1:17" ht="20.100000000000001" customHeight="1" thickBot="1" x14ac:dyDescent="0.25">
      <c r="A37" s="62" t="s">
        <v>46</v>
      </c>
      <c r="B37" s="63">
        <f>B25</f>
        <v>146471.20000000001</v>
      </c>
      <c r="C37" s="63">
        <f t="shared" ref="C37:M37" si="14">C25</f>
        <v>70971.199999999997</v>
      </c>
      <c r="D37" s="63">
        <f t="shared" si="14"/>
        <v>39480.5</v>
      </c>
      <c r="E37" s="63">
        <f t="shared" si="14"/>
        <v>16432.399999999998</v>
      </c>
      <c r="F37" s="63" t="s">
        <v>7</v>
      </c>
      <c r="G37" s="63" t="s">
        <v>7</v>
      </c>
      <c r="H37" s="63">
        <f t="shared" si="14"/>
        <v>3419.7000000000003</v>
      </c>
      <c r="I37" s="63">
        <f>I25</f>
        <v>8503.1</v>
      </c>
      <c r="J37" s="63" t="s">
        <v>7</v>
      </c>
      <c r="K37" s="63" t="s">
        <v>7</v>
      </c>
      <c r="L37" s="63" t="s">
        <v>7</v>
      </c>
      <c r="M37" s="63">
        <f t="shared" si="14"/>
        <v>8565</v>
      </c>
      <c r="N37" s="63" t="s">
        <v>7</v>
      </c>
      <c r="O37" s="63" t="s">
        <v>7</v>
      </c>
      <c r="P37" s="63" t="s">
        <v>7</v>
      </c>
    </row>
    <row r="38" spans="1:17" ht="20.100000000000001" customHeight="1" x14ac:dyDescent="0.2">
      <c r="A38" s="64" t="s">
        <v>56</v>
      </c>
      <c r="B38" s="65">
        <f>ROUND(MAX(B$17*0.5, 20)*365,2)</f>
        <v>47541.25</v>
      </c>
      <c r="C38" s="65">
        <f t="shared" ref="C38:M38" si="15">ROUND(MAX(C$17*0.5, 20)*365,2)</f>
        <v>44734.400000000001</v>
      </c>
      <c r="D38" s="65">
        <f t="shared" si="15"/>
        <v>47333.2</v>
      </c>
      <c r="E38" s="65">
        <f t="shared" si="15"/>
        <v>44338.38</v>
      </c>
      <c r="F38" s="65">
        <f t="shared" si="15"/>
        <v>48990.3</v>
      </c>
      <c r="G38" s="65">
        <f t="shared" si="15"/>
        <v>48990.3</v>
      </c>
      <c r="H38" s="65">
        <f t="shared" si="15"/>
        <v>43102.85</v>
      </c>
      <c r="I38" s="65">
        <f t="shared" si="15"/>
        <v>47362.400000000001</v>
      </c>
      <c r="J38" s="65">
        <f t="shared" si="15"/>
        <v>42066.25</v>
      </c>
      <c r="K38" s="65">
        <f t="shared" si="15"/>
        <v>42066.25</v>
      </c>
      <c r="L38" s="65">
        <f t="shared" si="15"/>
        <v>45234.45</v>
      </c>
      <c r="M38" s="65">
        <f t="shared" si="15"/>
        <v>41312.53</v>
      </c>
      <c r="N38" s="65">
        <f>ROUND(MAX(N$17*0.5, 20)*365,2)</f>
        <v>45699.83</v>
      </c>
      <c r="O38" s="65">
        <f>ROUND(MAX(O$17*0.5, 20)*365,2)</f>
        <v>41303.4</v>
      </c>
      <c r="P38" s="65">
        <f>ROUND(MAX(P$17*0.5, 20)*365,2)</f>
        <v>40812.480000000003</v>
      </c>
    </row>
    <row r="39" spans="1:17" ht="20.100000000000001" customHeight="1" x14ac:dyDescent="0.2">
      <c r="A39" s="22" t="s">
        <v>57</v>
      </c>
      <c r="B39" s="66" t="s">
        <v>33</v>
      </c>
      <c r="C39" s="67">
        <v>1557</v>
      </c>
      <c r="D39" s="67">
        <v>40</v>
      </c>
      <c r="E39" s="67" t="s">
        <v>33</v>
      </c>
      <c r="F39" s="67">
        <v>1070</v>
      </c>
      <c r="G39" s="67">
        <v>639</v>
      </c>
      <c r="H39" s="67">
        <v>72</v>
      </c>
      <c r="I39" s="67" t="s">
        <v>33</v>
      </c>
      <c r="J39" s="67" t="s">
        <v>33</v>
      </c>
      <c r="K39" s="67" t="s">
        <v>33</v>
      </c>
      <c r="L39" s="106">
        <v>1376</v>
      </c>
      <c r="M39" s="67">
        <v>65.7</v>
      </c>
      <c r="N39" s="67" t="s">
        <v>33</v>
      </c>
      <c r="O39" s="67" t="s">
        <v>33</v>
      </c>
      <c r="P39" s="67">
        <v>155</v>
      </c>
    </row>
    <row r="40" spans="1:17" ht="20.100000000000001" customHeight="1" x14ac:dyDescent="0.2">
      <c r="A40" s="204" t="s">
        <v>58</v>
      </c>
      <c r="B40" s="204"/>
      <c r="C40" s="204"/>
      <c r="D40" s="204"/>
      <c r="E40" s="204"/>
      <c r="F40" s="204"/>
      <c r="G40" s="204"/>
      <c r="H40" s="204"/>
      <c r="I40" s="204"/>
      <c r="J40" s="204"/>
      <c r="K40" s="204"/>
      <c r="L40" s="204"/>
      <c r="M40" s="204"/>
      <c r="N40" s="204"/>
      <c r="O40" s="204"/>
      <c r="P40" s="204"/>
    </row>
    <row r="41" spans="1:17" ht="20.100000000000001" customHeight="1" x14ac:dyDescent="0.2">
      <c r="A41" s="22" t="s">
        <v>59</v>
      </c>
      <c r="B41" s="66" t="s">
        <v>33</v>
      </c>
      <c r="C41" s="90">
        <f>MIN(ROUND((C12-C11)/(F73*$B$6),3),100%)</f>
        <v>1</v>
      </c>
      <c r="D41" s="68">
        <f>ROUND((D12-D11)/(F70*$B$6),3)</f>
        <v>0.82699999999999996</v>
      </c>
      <c r="E41" s="68">
        <f>ROUND((E12-E11)/(F71*$B$6),3)</f>
        <v>0.50600000000000001</v>
      </c>
      <c r="F41" s="68">
        <f>ROUND((F12-F11)/(F67*$B$6),3)</f>
        <v>0.29899999999999999</v>
      </c>
      <c r="G41" s="66" t="s">
        <v>33</v>
      </c>
      <c r="H41" s="66" t="s">
        <v>33</v>
      </c>
      <c r="I41" s="66" t="s">
        <v>33</v>
      </c>
      <c r="J41" s="68">
        <f>ROUND((J12-J11)/(F49*$B$6),3)</f>
        <v>0.45100000000000001</v>
      </c>
      <c r="K41" s="66" t="s">
        <v>33</v>
      </c>
      <c r="L41" s="68">
        <f>ROUND((L12-L11)/(F52*$B$6),3)</f>
        <v>0.81399999999999995</v>
      </c>
      <c r="M41" s="68">
        <f>ROUND((M12-M11)/(F51*$B$6),3)</f>
        <v>0.308</v>
      </c>
      <c r="N41" s="66" t="s">
        <v>33</v>
      </c>
      <c r="O41" s="66" t="s">
        <v>33</v>
      </c>
      <c r="P41" s="68">
        <f>ROUND((P12-P11)/(F54*$B$6),3)</f>
        <v>0.33900000000000002</v>
      </c>
    </row>
    <row r="42" spans="1:17" ht="20.100000000000001" customHeight="1" x14ac:dyDescent="0.2">
      <c r="A42" s="69" t="s">
        <v>7</v>
      </c>
      <c r="B42" s="70"/>
      <c r="C42" s="70"/>
      <c r="D42" s="70"/>
      <c r="E42" s="70"/>
      <c r="F42" s="70"/>
      <c r="G42" s="71"/>
      <c r="H42" s="71"/>
      <c r="I42" s="71"/>
      <c r="J42" s="71"/>
      <c r="K42" s="71"/>
      <c r="L42" s="71"/>
      <c r="M42" s="71"/>
      <c r="N42" s="71"/>
    </row>
    <row r="43" spans="1:17" ht="20.100000000000001" customHeight="1" x14ac:dyDescent="0.2">
      <c r="A43" s="218" t="s">
        <v>60</v>
      </c>
      <c r="B43" s="218"/>
      <c r="C43" s="218"/>
      <c r="D43" s="218"/>
      <c r="E43" s="218"/>
      <c r="F43" s="218"/>
      <c r="G43" s="218"/>
      <c r="H43" s="218"/>
      <c r="I43" s="218"/>
      <c r="J43" s="111" t="s">
        <v>7</v>
      </c>
      <c r="K43" s="1" t="s">
        <v>7</v>
      </c>
      <c r="M43" s="72" t="s">
        <v>7</v>
      </c>
    </row>
    <row r="44" spans="1:17" ht="78.75" x14ac:dyDescent="0.2">
      <c r="A44" s="73" t="s">
        <v>61</v>
      </c>
      <c r="B44" s="74" t="s">
        <v>32</v>
      </c>
      <c r="C44" s="75" t="s">
        <v>34</v>
      </c>
      <c r="D44" s="75" t="s">
        <v>62</v>
      </c>
      <c r="E44" s="104" t="s">
        <v>84</v>
      </c>
      <c r="F44" s="74" t="s">
        <v>63</v>
      </c>
      <c r="G44" s="74" t="s">
        <v>64</v>
      </c>
      <c r="H44" s="74" t="s">
        <v>65</v>
      </c>
      <c r="I44" s="74" t="s">
        <v>66</v>
      </c>
      <c r="J44" s="34" t="s">
        <v>61</v>
      </c>
      <c r="K44" t="s">
        <v>7</v>
      </c>
      <c r="O44" s="82" t="s">
        <v>7</v>
      </c>
      <c r="P44" s="82" t="s">
        <v>7</v>
      </c>
      <c r="Q44" s="82" t="s">
        <v>7</v>
      </c>
    </row>
    <row r="45" spans="1:17" ht="20.100000000000001" customHeight="1" x14ac:dyDescent="0.2">
      <c r="A45" s="76" t="s">
        <v>8</v>
      </c>
      <c r="B45" s="76" t="s">
        <v>33</v>
      </c>
      <c r="C45" s="25" t="s">
        <v>33</v>
      </c>
      <c r="D45" s="77" t="s">
        <v>33</v>
      </c>
      <c r="E45" s="107">
        <f>E46+E47+E48+E49+E51+E52+E53+E54+E55+E56+E57+E59+E60+E61+E62+E63+E64+E65+E66+E67+E69</f>
        <v>147074</v>
      </c>
      <c r="F45" s="100">
        <f>F46+F47+F48+F49+F51+F52+F53+F54+F55+F56+F57+F59+F60+F61+F62+F63+F64+F65+F66+F67+F69</f>
        <v>150229</v>
      </c>
      <c r="G45" s="101" t="s">
        <v>33</v>
      </c>
      <c r="H45" s="100">
        <f>H46+H47+H48+H49+H51+H52+H53+H54+H55+H56+H57+H59+H60+H61+H63+H64+H65+H66+H67+H69</f>
        <v>28535.466270277164</v>
      </c>
      <c r="I45" s="31">
        <f>I46+I47+I48+I49+I51+I52+I53+I54+I55+I56+I57+I59+I60+I61+I62+I63+I64+I65+I66+I67+I69</f>
        <v>121693.53372972284</v>
      </c>
      <c r="J45" s="32" t="s">
        <v>8</v>
      </c>
      <c r="K45" t="s">
        <v>7</v>
      </c>
      <c r="O45" s="82" t="s">
        <v>7</v>
      </c>
      <c r="P45" s="82" t="s">
        <v>7</v>
      </c>
      <c r="Q45" s="82" t="s">
        <v>7</v>
      </c>
    </row>
    <row r="46" spans="1:17" ht="20.100000000000001" customHeight="1" x14ac:dyDescent="0.2">
      <c r="A46" s="78" t="s">
        <v>2</v>
      </c>
      <c r="B46" s="26">
        <v>1220</v>
      </c>
      <c r="C46" s="26" t="s">
        <v>105</v>
      </c>
      <c r="D46" s="84" t="s">
        <v>104</v>
      </c>
      <c r="E46" s="97">
        <v>2400</v>
      </c>
      <c r="F46" s="110">
        <v>2406</v>
      </c>
      <c r="G46" s="99">
        <f>F46/E46</f>
        <v>1.0024999999999999</v>
      </c>
      <c r="H46" s="102">
        <v>0</v>
      </c>
      <c r="I46" s="28">
        <f t="shared" ref="I46:I69" si="16">F46-H46</f>
        <v>2406</v>
      </c>
      <c r="J46" s="88" t="s">
        <v>2</v>
      </c>
      <c r="K46" t="s">
        <v>7</v>
      </c>
      <c r="O46" s="82" t="s">
        <v>7</v>
      </c>
      <c r="P46" s="82" t="s">
        <v>7</v>
      </c>
      <c r="Q46" s="82" t="s">
        <v>7</v>
      </c>
    </row>
    <row r="47" spans="1:17" ht="20.100000000000001" customHeight="1" x14ac:dyDescent="0.2">
      <c r="A47" s="83" t="s">
        <v>19</v>
      </c>
      <c r="B47" s="26">
        <v>-660</v>
      </c>
      <c r="C47" s="26" t="s">
        <v>67</v>
      </c>
      <c r="D47" s="105" t="s">
        <v>67</v>
      </c>
      <c r="E47" s="97">
        <v>21291.9</v>
      </c>
      <c r="F47" s="110">
        <v>22101</v>
      </c>
      <c r="G47" s="99">
        <f t="shared" ref="G47:G57" si="17">F47/E47</f>
        <v>1.0380003663364941</v>
      </c>
      <c r="H47" s="102">
        <v>10930.455257633181</v>
      </c>
      <c r="I47" s="28">
        <f>F47-H47</f>
        <v>11170.544742366819</v>
      </c>
      <c r="J47" s="89" t="s">
        <v>19</v>
      </c>
      <c r="K47" t="s">
        <v>7</v>
      </c>
      <c r="O47" s="82" t="s">
        <v>7</v>
      </c>
      <c r="P47" s="82" t="s">
        <v>7</v>
      </c>
      <c r="Q47" s="82" t="s">
        <v>7</v>
      </c>
    </row>
    <row r="48" spans="1:17" ht="20.100000000000001" customHeight="1" x14ac:dyDescent="0.2">
      <c r="A48" s="83" t="s">
        <v>0</v>
      </c>
      <c r="B48" s="26">
        <v>890</v>
      </c>
      <c r="C48" s="26" t="s">
        <v>106</v>
      </c>
      <c r="D48" s="84" t="s">
        <v>104</v>
      </c>
      <c r="E48" s="108">
        <v>8620</v>
      </c>
      <c r="F48" s="110">
        <v>8641</v>
      </c>
      <c r="G48" s="80">
        <f t="shared" si="17"/>
        <v>1.0024361948955915</v>
      </c>
      <c r="H48" s="23">
        <v>0</v>
      </c>
      <c r="I48" s="28">
        <f t="shared" si="16"/>
        <v>8641</v>
      </c>
      <c r="J48" s="89" t="s">
        <v>0</v>
      </c>
      <c r="K48" t="s">
        <v>7</v>
      </c>
      <c r="O48" s="82" t="s">
        <v>7</v>
      </c>
      <c r="P48" s="82" t="s">
        <v>7</v>
      </c>
      <c r="Q48" s="82" t="s">
        <v>7</v>
      </c>
    </row>
    <row r="49" spans="1:17" ht="20.100000000000001" customHeight="1" x14ac:dyDescent="0.2">
      <c r="A49" s="83" t="s">
        <v>18</v>
      </c>
      <c r="B49" s="26">
        <v>4610</v>
      </c>
      <c r="C49" s="112">
        <v>9119</v>
      </c>
      <c r="D49" s="84">
        <f>C49/B49</f>
        <v>1.9780911062906725</v>
      </c>
      <c r="E49" s="79">
        <v>11490</v>
      </c>
      <c r="F49" s="110">
        <v>12022</v>
      </c>
      <c r="G49" s="80">
        <f t="shared" si="17"/>
        <v>1.0463011314186248</v>
      </c>
      <c r="H49" s="23">
        <v>0</v>
      </c>
      <c r="I49" s="28">
        <f t="shared" si="16"/>
        <v>12022</v>
      </c>
      <c r="J49" s="89" t="s">
        <v>18</v>
      </c>
      <c r="K49" t="s">
        <v>7</v>
      </c>
      <c r="O49" s="82" t="s">
        <v>7</v>
      </c>
      <c r="P49" s="82" t="s">
        <v>7</v>
      </c>
      <c r="Q49" s="82" t="s">
        <v>7</v>
      </c>
    </row>
    <row r="50" spans="1:17" ht="20.100000000000001" customHeight="1" x14ac:dyDescent="0.2">
      <c r="A50" s="83" t="s">
        <v>68</v>
      </c>
      <c r="B50" s="26">
        <v>3310</v>
      </c>
      <c r="C50" s="112">
        <v>5229</v>
      </c>
      <c r="D50" s="84">
        <f>C50/B50</f>
        <v>1.5797583081570996</v>
      </c>
      <c r="E50" s="79" t="s">
        <v>33</v>
      </c>
      <c r="F50" s="110">
        <v>4159.6000000000004</v>
      </c>
      <c r="G50" s="80" t="s">
        <v>33</v>
      </c>
      <c r="H50" s="23">
        <v>0</v>
      </c>
      <c r="I50" s="28" t="s">
        <v>33</v>
      </c>
      <c r="J50" s="89" t="s">
        <v>68</v>
      </c>
      <c r="K50" t="s">
        <v>7</v>
      </c>
      <c r="O50" s="82" t="s">
        <v>7</v>
      </c>
      <c r="P50" s="82" t="s">
        <v>7</v>
      </c>
      <c r="Q50" s="82" t="s">
        <v>7</v>
      </c>
    </row>
    <row r="51" spans="1:17" ht="20.100000000000001" customHeight="1" x14ac:dyDescent="0.2">
      <c r="A51" s="83" t="s">
        <v>3</v>
      </c>
      <c r="B51" s="26">
        <v>4780</v>
      </c>
      <c r="C51" s="113">
        <v>5683</v>
      </c>
      <c r="D51" s="98">
        <f>C51/B51</f>
        <v>1.1889121338912134</v>
      </c>
      <c r="E51" s="97">
        <v>6330</v>
      </c>
      <c r="F51" s="110">
        <v>6411</v>
      </c>
      <c r="G51" s="99">
        <f t="shared" si="17"/>
        <v>1.0127962085308058</v>
      </c>
      <c r="H51" s="23">
        <v>0</v>
      </c>
      <c r="I51" s="28">
        <f t="shared" si="16"/>
        <v>6411</v>
      </c>
      <c r="J51" s="88" t="s">
        <v>3</v>
      </c>
      <c r="K51" t="s">
        <v>7</v>
      </c>
      <c r="O51" s="82" t="s">
        <v>7</v>
      </c>
      <c r="P51" s="82" t="s">
        <v>7</v>
      </c>
      <c r="Q51" s="82" t="s">
        <v>7</v>
      </c>
    </row>
    <row r="52" spans="1:17" ht="20.100000000000001" customHeight="1" x14ac:dyDescent="0.2">
      <c r="A52" s="78" t="s">
        <v>12</v>
      </c>
      <c r="B52" s="26">
        <v>-2130</v>
      </c>
      <c r="C52" s="113">
        <v>6839</v>
      </c>
      <c r="D52" s="98" t="s">
        <v>67</v>
      </c>
      <c r="E52" s="97">
        <v>18490</v>
      </c>
      <c r="F52" s="110">
        <v>19323</v>
      </c>
      <c r="G52" s="99">
        <f t="shared" si="17"/>
        <v>1.0450513791238507</v>
      </c>
      <c r="H52" s="23">
        <v>0</v>
      </c>
      <c r="I52" s="28">
        <f t="shared" si="16"/>
        <v>19323</v>
      </c>
      <c r="J52" s="88" t="s">
        <v>12</v>
      </c>
      <c r="K52" t="s">
        <v>7</v>
      </c>
      <c r="O52" s="82" t="s">
        <v>7</v>
      </c>
      <c r="P52" s="82" t="s">
        <v>7</v>
      </c>
      <c r="Q52" s="82" t="s">
        <v>7</v>
      </c>
    </row>
    <row r="53" spans="1:17" ht="20.100000000000001" customHeight="1" x14ac:dyDescent="0.2">
      <c r="A53" s="78" t="s">
        <v>13</v>
      </c>
      <c r="B53" s="26">
        <v>2230</v>
      </c>
      <c r="C53" s="114">
        <v>3941</v>
      </c>
      <c r="D53" s="84">
        <f t="shared" ref="D53:D54" si="18">C53/B53</f>
        <v>1.7672645739910313</v>
      </c>
      <c r="E53" s="79">
        <v>3120</v>
      </c>
      <c r="F53" s="110">
        <v>3319</v>
      </c>
      <c r="G53" s="80">
        <f>F53/E53</f>
        <v>1.0637820512820513</v>
      </c>
      <c r="H53" s="23">
        <v>0</v>
      </c>
      <c r="I53" s="28">
        <f t="shared" si="16"/>
        <v>3319</v>
      </c>
      <c r="J53" s="88" t="s">
        <v>13</v>
      </c>
      <c r="K53" t="s">
        <v>7</v>
      </c>
      <c r="O53" s="82" t="s">
        <v>7</v>
      </c>
      <c r="P53" s="82" t="s">
        <v>7</v>
      </c>
      <c r="Q53" s="82" t="s">
        <v>7</v>
      </c>
    </row>
    <row r="54" spans="1:17" ht="20.100000000000001" customHeight="1" x14ac:dyDescent="0.2">
      <c r="A54" s="78" t="s">
        <v>20</v>
      </c>
      <c r="B54" s="26">
        <v>2710</v>
      </c>
      <c r="C54" s="114">
        <v>5465</v>
      </c>
      <c r="D54" s="84">
        <f t="shared" si="18"/>
        <v>2.0166051660516606</v>
      </c>
      <c r="E54" s="79">
        <v>4950</v>
      </c>
      <c r="F54" s="110">
        <v>5275</v>
      </c>
      <c r="G54" s="80">
        <f>F54/E54</f>
        <v>1.0656565656565657</v>
      </c>
      <c r="H54" s="102">
        <v>827.53202956393204</v>
      </c>
      <c r="I54" s="28">
        <f>F54-H54</f>
        <v>4447.4679704360678</v>
      </c>
      <c r="J54" s="88" t="s">
        <v>20</v>
      </c>
      <c r="K54" t="s">
        <v>7</v>
      </c>
      <c r="O54" s="82" t="s">
        <v>7</v>
      </c>
      <c r="P54" s="82" t="s">
        <v>7</v>
      </c>
      <c r="Q54" s="82" t="s">
        <v>7</v>
      </c>
    </row>
    <row r="55" spans="1:17" ht="20.100000000000001" customHeight="1" x14ac:dyDescent="0.2">
      <c r="A55" s="78" t="s">
        <v>4</v>
      </c>
      <c r="B55" s="26">
        <v>1320</v>
      </c>
      <c r="C55" s="26" t="s">
        <v>112</v>
      </c>
      <c r="D55" s="84" t="s">
        <v>104</v>
      </c>
      <c r="E55" s="79">
        <v>2560</v>
      </c>
      <c r="F55" s="110">
        <v>2662</v>
      </c>
      <c r="G55" s="80">
        <f t="shared" si="17"/>
        <v>1.03984375</v>
      </c>
      <c r="H55" s="102">
        <v>0</v>
      </c>
      <c r="I55" s="28">
        <f t="shared" si="16"/>
        <v>2662</v>
      </c>
      <c r="J55" s="88" t="s">
        <v>4</v>
      </c>
      <c r="K55" t="s">
        <v>7</v>
      </c>
      <c r="O55" s="82" t="s">
        <v>7</v>
      </c>
      <c r="P55" s="82" t="s">
        <v>7</v>
      </c>
      <c r="Q55" s="82" t="s">
        <v>7</v>
      </c>
    </row>
    <row r="56" spans="1:17" ht="20.100000000000001" customHeight="1" x14ac:dyDescent="0.2">
      <c r="A56" s="78" t="s">
        <v>14</v>
      </c>
      <c r="B56" s="26">
        <v>-2770</v>
      </c>
      <c r="C56" s="26" t="s">
        <v>67</v>
      </c>
      <c r="D56" s="79" t="s">
        <v>67</v>
      </c>
      <c r="E56" s="79">
        <v>19734.099999999999</v>
      </c>
      <c r="F56" s="110">
        <v>19648</v>
      </c>
      <c r="G56" s="80">
        <f t="shared" si="17"/>
        <v>0.99563699383300996</v>
      </c>
      <c r="H56" s="102">
        <v>16777.478983080051</v>
      </c>
      <c r="I56" s="28">
        <f t="shared" si="16"/>
        <v>2870.521016919949</v>
      </c>
      <c r="J56" s="88" t="s">
        <v>14</v>
      </c>
      <c r="K56" t="s">
        <v>7</v>
      </c>
      <c r="O56" s="82" t="s">
        <v>7</v>
      </c>
      <c r="P56" s="82" t="s">
        <v>7</v>
      </c>
      <c r="Q56" s="82" t="s">
        <v>7</v>
      </c>
    </row>
    <row r="57" spans="1:17" ht="20.100000000000001" customHeight="1" x14ac:dyDescent="0.2">
      <c r="A57" s="78" t="s">
        <v>1</v>
      </c>
      <c r="B57" s="26">
        <v>1090</v>
      </c>
      <c r="C57" s="26" t="s">
        <v>111</v>
      </c>
      <c r="D57" s="84" t="s">
        <v>104</v>
      </c>
      <c r="E57" s="79">
        <v>3770</v>
      </c>
      <c r="F57" s="110">
        <v>3731</v>
      </c>
      <c r="G57" s="80">
        <f t="shared" si="17"/>
        <v>0.98965517241379308</v>
      </c>
      <c r="H57" s="102">
        <v>0</v>
      </c>
      <c r="I57" s="28">
        <f t="shared" si="16"/>
        <v>3731</v>
      </c>
      <c r="J57" s="88" t="s">
        <v>1</v>
      </c>
      <c r="K57" t="s">
        <v>7</v>
      </c>
      <c r="O57" s="82" t="s">
        <v>7</v>
      </c>
      <c r="P57" s="82" t="s">
        <v>7</v>
      </c>
      <c r="Q57" s="82" t="s">
        <v>7</v>
      </c>
    </row>
    <row r="58" spans="1:17" ht="20.100000000000001" customHeight="1" x14ac:dyDescent="0.2">
      <c r="A58" s="78" t="s">
        <v>17</v>
      </c>
      <c r="B58" s="26">
        <v>1480</v>
      </c>
      <c r="C58" s="114">
        <v>2053</v>
      </c>
      <c r="D58" s="84">
        <f>C58/B58</f>
        <v>1.3871621621621621</v>
      </c>
      <c r="E58" s="79" t="s">
        <v>33</v>
      </c>
      <c r="F58" s="110">
        <v>2328.1</v>
      </c>
      <c r="G58" s="80" t="s">
        <v>33</v>
      </c>
      <c r="H58" s="102">
        <v>0</v>
      </c>
      <c r="I58" s="28">
        <f t="shared" si="16"/>
        <v>2328.1</v>
      </c>
      <c r="J58" s="88" t="s">
        <v>17</v>
      </c>
      <c r="K58" t="s">
        <v>7</v>
      </c>
      <c r="O58" s="82" t="s">
        <v>7</v>
      </c>
      <c r="P58" s="82" t="s">
        <v>7</v>
      </c>
      <c r="Q58" s="82" t="s">
        <v>7</v>
      </c>
    </row>
    <row r="59" spans="1:17" ht="20.100000000000001" customHeight="1" x14ac:dyDescent="0.2">
      <c r="A59" s="78" t="s">
        <v>21</v>
      </c>
      <c r="B59" s="26">
        <v>1290</v>
      </c>
      <c r="C59" s="26" t="s">
        <v>110</v>
      </c>
      <c r="D59" s="85" t="s">
        <v>104</v>
      </c>
      <c r="E59" s="79">
        <v>2308</v>
      </c>
      <c r="F59" s="110">
        <f>ROUND(E59*G59,1)</f>
        <v>2344</v>
      </c>
      <c r="G59" s="80">
        <v>1.015609756097561</v>
      </c>
      <c r="H59" s="102">
        <v>0</v>
      </c>
      <c r="I59" s="28">
        <f t="shared" si="16"/>
        <v>2344</v>
      </c>
      <c r="J59" s="88" t="s">
        <v>21</v>
      </c>
      <c r="K59" t="s">
        <v>7</v>
      </c>
      <c r="O59" s="82" t="s">
        <v>7</v>
      </c>
      <c r="P59" s="82" t="s">
        <v>7</v>
      </c>
      <c r="Q59" s="82" t="s">
        <v>7</v>
      </c>
    </row>
    <row r="60" spans="1:17" ht="20.100000000000001" customHeight="1" x14ac:dyDescent="0.2">
      <c r="A60" s="78" t="s">
        <v>5</v>
      </c>
      <c r="B60" s="26">
        <v>3160</v>
      </c>
      <c r="C60" s="26" t="s">
        <v>109</v>
      </c>
      <c r="D60" s="85" t="s">
        <v>104</v>
      </c>
      <c r="E60" s="79">
        <v>5870</v>
      </c>
      <c r="F60" s="110">
        <v>5639</v>
      </c>
      <c r="G60" s="80">
        <f>F60/E60</f>
        <v>0.96064735945485524</v>
      </c>
      <c r="H60" s="23">
        <v>0</v>
      </c>
      <c r="I60" s="28">
        <f t="shared" si="16"/>
        <v>5639</v>
      </c>
      <c r="J60" s="88" t="s">
        <v>5</v>
      </c>
      <c r="K60" t="s">
        <v>7</v>
      </c>
      <c r="O60" s="82" t="s">
        <v>7</v>
      </c>
      <c r="P60" s="82" t="s">
        <v>7</v>
      </c>
      <c r="Q60" s="82" t="s">
        <v>7</v>
      </c>
    </row>
    <row r="61" spans="1:17" ht="20.100000000000001" customHeight="1" x14ac:dyDescent="0.2">
      <c r="A61" s="78" t="s">
        <v>15</v>
      </c>
      <c r="B61" s="26">
        <v>1040</v>
      </c>
      <c r="C61" s="26" t="s">
        <v>108</v>
      </c>
      <c r="D61" s="85" t="s">
        <v>104</v>
      </c>
      <c r="E61" s="79">
        <v>2920</v>
      </c>
      <c r="F61" s="110">
        <v>2989</v>
      </c>
      <c r="G61" s="80">
        <f>F61/E61</f>
        <v>1.0236301369863015</v>
      </c>
      <c r="H61" s="23">
        <v>0</v>
      </c>
      <c r="I61" s="28">
        <f t="shared" si="16"/>
        <v>2989</v>
      </c>
      <c r="J61" s="88" t="s">
        <v>15</v>
      </c>
      <c r="K61" t="s">
        <v>7</v>
      </c>
      <c r="O61" s="82" t="s">
        <v>7</v>
      </c>
      <c r="P61" s="82" t="s">
        <v>7</v>
      </c>
      <c r="Q61" s="82" t="s">
        <v>7</v>
      </c>
    </row>
    <row r="62" spans="1:17" ht="20.100000000000001" customHeight="1" x14ac:dyDescent="0.2">
      <c r="A62" s="78" t="s">
        <v>80</v>
      </c>
      <c r="B62" s="26" t="s">
        <v>33</v>
      </c>
      <c r="C62" s="26" t="s">
        <v>33</v>
      </c>
      <c r="D62" s="79" t="s">
        <v>33</v>
      </c>
      <c r="E62" s="79">
        <v>55</v>
      </c>
      <c r="F62" s="110">
        <v>55</v>
      </c>
      <c r="G62" s="80">
        <f>F62/E62</f>
        <v>1</v>
      </c>
      <c r="H62" s="23">
        <v>0</v>
      </c>
      <c r="I62" s="28">
        <f t="shared" si="16"/>
        <v>55</v>
      </c>
      <c r="J62" s="88" t="s">
        <v>80</v>
      </c>
      <c r="K62" t="s">
        <v>7</v>
      </c>
      <c r="O62" s="82" t="s">
        <v>7</v>
      </c>
      <c r="P62" s="82" t="s">
        <v>7</v>
      </c>
      <c r="Q62" s="82" t="s">
        <v>7</v>
      </c>
    </row>
    <row r="63" spans="1:17" ht="20.100000000000001" customHeight="1" x14ac:dyDescent="0.2">
      <c r="A63" s="78" t="s">
        <v>69</v>
      </c>
      <c r="B63" s="26">
        <v>2380</v>
      </c>
      <c r="C63" s="26" t="s">
        <v>107</v>
      </c>
      <c r="D63" s="85" t="s">
        <v>104</v>
      </c>
      <c r="E63" s="79">
        <v>7880</v>
      </c>
      <c r="F63" s="110">
        <v>8152</v>
      </c>
      <c r="G63" s="80">
        <f t="shared" ref="G63:G67" si="19">F63/E63</f>
        <v>1.0345177664974619</v>
      </c>
      <c r="H63" s="23">
        <v>0</v>
      </c>
      <c r="I63" s="28">
        <f t="shared" si="16"/>
        <v>8152</v>
      </c>
      <c r="J63" s="88" t="s">
        <v>69</v>
      </c>
      <c r="K63" t="s">
        <v>7</v>
      </c>
      <c r="O63" s="82" t="s">
        <v>7</v>
      </c>
      <c r="P63" s="82" t="s">
        <v>7</v>
      </c>
      <c r="Q63" s="82" t="s">
        <v>7</v>
      </c>
    </row>
    <row r="64" spans="1:17" ht="20.100000000000001" customHeight="1" x14ac:dyDescent="0.2">
      <c r="A64" s="78" t="s">
        <v>70</v>
      </c>
      <c r="B64" s="26">
        <v>-240</v>
      </c>
      <c r="C64" s="26" t="s">
        <v>67</v>
      </c>
      <c r="D64" s="79" t="s">
        <v>67</v>
      </c>
      <c r="E64" s="79">
        <v>2840</v>
      </c>
      <c r="F64" s="110">
        <v>2822</v>
      </c>
      <c r="G64" s="80">
        <f t="shared" si="19"/>
        <v>0.99366197183098592</v>
      </c>
      <c r="H64" s="23">
        <v>0</v>
      </c>
      <c r="I64" s="28">
        <f t="shared" si="16"/>
        <v>2822</v>
      </c>
      <c r="J64" s="88" t="s">
        <v>70</v>
      </c>
      <c r="K64" t="s">
        <v>7</v>
      </c>
      <c r="O64" s="82" t="s">
        <v>7</v>
      </c>
      <c r="P64" s="82" t="s">
        <v>7</v>
      </c>
      <c r="Q64" s="82" t="s">
        <v>7</v>
      </c>
    </row>
    <row r="65" spans="1:17" ht="20.100000000000001" customHeight="1" x14ac:dyDescent="0.2">
      <c r="A65" s="78" t="s">
        <v>6</v>
      </c>
      <c r="B65" s="26">
        <v>2380</v>
      </c>
      <c r="C65" s="112">
        <v>6781</v>
      </c>
      <c r="D65" s="84">
        <f>C65/B65</f>
        <v>2.8491596638655463</v>
      </c>
      <c r="E65" s="79">
        <v>5640</v>
      </c>
      <c r="F65" s="110">
        <v>5642</v>
      </c>
      <c r="G65" s="80">
        <f t="shared" si="19"/>
        <v>1.0003546099290781</v>
      </c>
      <c r="H65" s="23">
        <v>0</v>
      </c>
      <c r="I65" s="28">
        <f t="shared" si="16"/>
        <v>5642</v>
      </c>
      <c r="J65" s="88" t="s">
        <v>6</v>
      </c>
      <c r="K65" t="s">
        <v>7</v>
      </c>
      <c r="O65" s="82" t="s">
        <v>7</v>
      </c>
      <c r="P65" s="82" t="s">
        <v>7</v>
      </c>
      <c r="Q65" s="82" t="s">
        <v>7</v>
      </c>
    </row>
    <row r="66" spans="1:17" ht="20.100000000000001" customHeight="1" x14ac:dyDescent="0.2">
      <c r="A66" s="78" t="s">
        <v>71</v>
      </c>
      <c r="B66" s="26">
        <v>-500</v>
      </c>
      <c r="C66" s="114">
        <v>4850</v>
      </c>
      <c r="D66" s="84" t="s">
        <v>67</v>
      </c>
      <c r="E66" s="79">
        <f>6800+190</f>
        <v>6990</v>
      </c>
      <c r="F66" s="110">
        <f>7054+187</f>
        <v>7241</v>
      </c>
      <c r="G66" s="80">
        <f t="shared" si="19"/>
        <v>1.0359084406294707</v>
      </c>
      <c r="H66" s="23">
        <v>0</v>
      </c>
      <c r="I66" s="28">
        <f t="shared" si="16"/>
        <v>7241</v>
      </c>
      <c r="J66" s="88" t="s">
        <v>71</v>
      </c>
      <c r="K66" t="s">
        <v>7</v>
      </c>
      <c r="O66" s="82" t="s">
        <v>7</v>
      </c>
      <c r="P66" s="82" t="s">
        <v>7</v>
      </c>
      <c r="Q66" s="82" t="s">
        <v>7</v>
      </c>
    </row>
    <row r="67" spans="1:17" ht="20.100000000000001" customHeight="1" x14ac:dyDescent="0.2">
      <c r="A67" s="78" t="s">
        <v>28</v>
      </c>
      <c r="B67" s="26">
        <v>5740</v>
      </c>
      <c r="C67" s="112">
        <v>8626</v>
      </c>
      <c r="D67" s="85">
        <f>C67/B67</f>
        <v>1.5027874564459931</v>
      </c>
      <c r="E67" s="79">
        <v>9410</v>
      </c>
      <c r="F67" s="110">
        <v>9431</v>
      </c>
      <c r="G67" s="80">
        <f t="shared" si="19"/>
        <v>1.0022316684378321</v>
      </c>
      <c r="H67" s="23">
        <v>0</v>
      </c>
      <c r="I67" s="28">
        <f t="shared" si="16"/>
        <v>9431</v>
      </c>
      <c r="J67" s="88" t="s">
        <v>28</v>
      </c>
      <c r="K67" t="s">
        <v>7</v>
      </c>
      <c r="O67" s="82" t="s">
        <v>7</v>
      </c>
      <c r="P67" s="82" t="s">
        <v>7</v>
      </c>
      <c r="Q67" s="82" t="s">
        <v>7</v>
      </c>
    </row>
    <row r="68" spans="1:17" ht="20.100000000000001" customHeight="1" x14ac:dyDescent="0.2">
      <c r="A68" s="78" t="s">
        <v>29</v>
      </c>
      <c r="B68" s="26">
        <v>2680</v>
      </c>
      <c r="C68" s="112">
        <v>4360</v>
      </c>
      <c r="D68" s="85">
        <f>C68/B68</f>
        <v>1.6268656716417911</v>
      </c>
      <c r="E68" s="79" t="s">
        <v>33</v>
      </c>
      <c r="F68" s="110">
        <v>4904.1000000000004</v>
      </c>
      <c r="G68" s="80" t="s">
        <v>33</v>
      </c>
      <c r="H68" s="23">
        <v>0</v>
      </c>
      <c r="I68" s="28">
        <f t="shared" si="16"/>
        <v>4904.1000000000004</v>
      </c>
      <c r="J68" s="88" t="s">
        <v>29</v>
      </c>
      <c r="K68" t="s">
        <v>7</v>
      </c>
      <c r="O68" s="82" t="s">
        <v>7</v>
      </c>
      <c r="P68" s="82" t="s">
        <v>7</v>
      </c>
      <c r="Q68" s="82" t="s">
        <v>7</v>
      </c>
    </row>
    <row r="69" spans="1:17" ht="20.100000000000001" customHeight="1" x14ac:dyDescent="0.2">
      <c r="A69" s="78" t="s">
        <v>16</v>
      </c>
      <c r="B69" s="26" t="s">
        <v>33</v>
      </c>
      <c r="C69" s="26" t="s">
        <v>33</v>
      </c>
      <c r="D69" s="79" t="s">
        <v>33</v>
      </c>
      <c r="E69" s="79">
        <v>405</v>
      </c>
      <c r="F69" s="110">
        <v>375</v>
      </c>
      <c r="G69" s="80">
        <f>F69/E69</f>
        <v>0.92592592592592593</v>
      </c>
      <c r="H69" s="23">
        <v>0</v>
      </c>
      <c r="I69" s="28">
        <f t="shared" si="16"/>
        <v>375</v>
      </c>
      <c r="J69" s="88" t="s">
        <v>16</v>
      </c>
      <c r="K69" t="s">
        <v>88</v>
      </c>
      <c r="O69" s="82" t="s">
        <v>7</v>
      </c>
      <c r="P69" s="82" t="s">
        <v>7</v>
      </c>
      <c r="Q69" s="82" t="s">
        <v>7</v>
      </c>
    </row>
    <row r="70" spans="1:17" ht="20.100000000000001" customHeight="1" x14ac:dyDescent="0.2">
      <c r="A70" s="78" t="s">
        <v>10</v>
      </c>
      <c r="B70" s="26">
        <v>2800</v>
      </c>
      <c r="C70" s="112">
        <v>9173</v>
      </c>
      <c r="D70" s="85">
        <f>C70/B70</f>
        <v>3.2760714285714285</v>
      </c>
      <c r="E70" s="79" t="s">
        <v>33</v>
      </c>
      <c r="F70" s="28">
        <f>F46+F57+F60+F63+F67+F69</f>
        <v>29734</v>
      </c>
      <c r="G70" s="86" t="s">
        <v>33</v>
      </c>
      <c r="H70" s="28">
        <f>H46+H57+H60+H63+H67+H69</f>
        <v>0</v>
      </c>
      <c r="I70" s="215" t="s">
        <v>7</v>
      </c>
      <c r="J70" s="88" t="s">
        <v>10</v>
      </c>
      <c r="K70" t="s">
        <v>7</v>
      </c>
      <c r="O70" s="82" t="s">
        <v>7</v>
      </c>
      <c r="P70" s="82" t="s">
        <v>7</v>
      </c>
      <c r="Q70" s="82" t="s">
        <v>7</v>
      </c>
    </row>
    <row r="71" spans="1:17" ht="20.100000000000001" customHeight="1" x14ac:dyDescent="0.2">
      <c r="A71" s="83" t="s">
        <v>9</v>
      </c>
      <c r="B71" s="26">
        <v>4120</v>
      </c>
      <c r="C71" s="113">
        <v>8310</v>
      </c>
      <c r="D71" s="103">
        <f>C71/B71</f>
        <v>2.016990291262136</v>
      </c>
      <c r="E71" s="97" t="s">
        <v>33</v>
      </c>
      <c r="F71" s="97">
        <f>F51+F65</f>
        <v>12053</v>
      </c>
      <c r="G71" s="86" t="s">
        <v>33</v>
      </c>
      <c r="H71" s="28">
        <f>H51+H65</f>
        <v>0</v>
      </c>
      <c r="I71" s="216"/>
      <c r="J71" s="88" t="s">
        <v>9</v>
      </c>
      <c r="K71" t="s">
        <v>7</v>
      </c>
      <c r="O71" s="82" t="s">
        <v>7</v>
      </c>
      <c r="P71" s="82" t="s">
        <v>7</v>
      </c>
      <c r="Q71" s="82" t="s">
        <v>7</v>
      </c>
    </row>
    <row r="72" spans="1:17" ht="20.100000000000001" customHeight="1" x14ac:dyDescent="0.2">
      <c r="A72" s="83" t="s">
        <v>72</v>
      </c>
      <c r="B72" s="26">
        <v>-10080</v>
      </c>
      <c r="C72" s="95" t="s">
        <v>67</v>
      </c>
      <c r="D72" s="97" t="s">
        <v>67</v>
      </c>
      <c r="E72" s="97" t="s">
        <v>33</v>
      </c>
      <c r="F72" s="96">
        <f>F61+F64+F66</f>
        <v>13052</v>
      </c>
      <c r="G72" s="86" t="s">
        <v>33</v>
      </c>
      <c r="H72" s="28">
        <f>H61+H64+H66</f>
        <v>0</v>
      </c>
      <c r="I72" s="216"/>
      <c r="J72" s="89" t="s">
        <v>72</v>
      </c>
      <c r="K72" t="s">
        <v>7</v>
      </c>
      <c r="O72" s="81"/>
      <c r="P72" s="81"/>
    </row>
    <row r="73" spans="1:17" ht="20.100000000000001" customHeight="1" x14ac:dyDescent="0.2">
      <c r="A73" s="83" t="s">
        <v>11</v>
      </c>
      <c r="B73" s="26">
        <v>-7440</v>
      </c>
      <c r="C73" s="113">
        <v>4375</v>
      </c>
      <c r="D73" s="103" t="s">
        <v>67</v>
      </c>
      <c r="E73" s="97" t="s">
        <v>33</v>
      </c>
      <c r="F73" s="97">
        <f>F70+F71+F72</f>
        <v>54839</v>
      </c>
      <c r="G73" s="86" t="s">
        <v>33</v>
      </c>
      <c r="H73" s="28">
        <f>H70+H71+H72</f>
        <v>0</v>
      </c>
      <c r="I73" s="216"/>
      <c r="J73" s="88" t="s">
        <v>11</v>
      </c>
      <c r="K73" t="s">
        <v>7</v>
      </c>
      <c r="O73" s="81"/>
      <c r="P73" s="81"/>
    </row>
    <row r="74" spans="1:17" ht="20.100000000000001" customHeight="1" x14ac:dyDescent="0.2">
      <c r="A74" s="83" t="s">
        <v>73</v>
      </c>
      <c r="B74" s="26">
        <v>-4800</v>
      </c>
      <c r="C74" s="26" t="s">
        <v>67</v>
      </c>
      <c r="D74" s="79" t="s">
        <v>67</v>
      </c>
      <c r="E74" s="28" t="s">
        <v>33</v>
      </c>
      <c r="F74" s="28">
        <f>F47+F48+F49+F52+F53+F54+F55+F59+F62</f>
        <v>75742</v>
      </c>
      <c r="G74" s="86" t="s">
        <v>33</v>
      </c>
      <c r="H74" s="28">
        <f>H47+H48+H49+H52+H53+H54+H55+H59</f>
        <v>11757.987287197113</v>
      </c>
      <c r="I74" s="217"/>
      <c r="J74" s="89" t="s">
        <v>73</v>
      </c>
      <c r="K74" t="s">
        <v>7</v>
      </c>
      <c r="O74" s="81"/>
      <c r="P74" s="81"/>
    </row>
    <row r="75" spans="1:17" ht="20.100000000000001" customHeight="1" x14ac:dyDescent="0.2">
      <c r="A75" s="219" t="s">
        <v>74</v>
      </c>
      <c r="B75" s="220"/>
      <c r="C75" s="220"/>
      <c r="D75" s="220"/>
      <c r="E75" s="220"/>
      <c r="F75" s="220"/>
      <c r="G75" s="220"/>
      <c r="H75" s="220"/>
      <c r="I75" s="220"/>
      <c r="J75" s="220"/>
      <c r="K75" t="s">
        <v>7</v>
      </c>
      <c r="O75" s="81"/>
      <c r="P75" s="81"/>
    </row>
    <row r="76" spans="1:17" ht="9.9499999999999993" customHeight="1" x14ac:dyDescent="0.2">
      <c r="A76" s="221" t="s">
        <v>7</v>
      </c>
      <c r="B76" s="222"/>
      <c r="C76" s="222"/>
      <c r="D76" s="222"/>
      <c r="E76" s="222"/>
      <c r="F76" s="222"/>
      <c r="G76" s="222"/>
      <c r="H76" s="222"/>
      <c r="I76" s="222"/>
      <c r="J76" s="222"/>
      <c r="K76" t="s">
        <v>7</v>
      </c>
      <c r="O76" s="81"/>
      <c r="P76" s="81"/>
    </row>
    <row r="77" spans="1:17" ht="20.100000000000001" customHeight="1" x14ac:dyDescent="0.2">
      <c r="A77" s="218" t="s">
        <v>75</v>
      </c>
      <c r="B77" s="218"/>
      <c r="C77" s="218"/>
      <c r="D77" s="218"/>
      <c r="E77" s="218"/>
      <c r="F77" s="218"/>
      <c r="G77" s="218"/>
      <c r="H77" s="218"/>
      <c r="I77" s="218"/>
      <c r="J77" s="218"/>
      <c r="K77" t="s">
        <v>7</v>
      </c>
    </row>
    <row r="78" spans="1:17" ht="15.75" x14ac:dyDescent="0.2">
      <c r="A78" s="73" t="s">
        <v>76</v>
      </c>
      <c r="B78" s="223" t="s">
        <v>86</v>
      </c>
      <c r="C78" s="224"/>
      <c r="D78" s="223" t="s">
        <v>85</v>
      </c>
      <c r="E78" s="225"/>
      <c r="F78" s="225"/>
      <c r="G78" s="225"/>
      <c r="H78" s="225"/>
      <c r="I78" s="225"/>
      <c r="J78" s="224"/>
      <c r="K78" t="s">
        <v>7</v>
      </c>
    </row>
    <row r="79" spans="1:17" ht="38.25" customHeight="1" x14ac:dyDescent="0.2">
      <c r="A79" s="78" t="s">
        <v>11</v>
      </c>
      <c r="B79" s="211" t="s">
        <v>87</v>
      </c>
      <c r="C79" s="213"/>
      <c r="D79" s="208" t="s">
        <v>89</v>
      </c>
      <c r="E79" s="209"/>
      <c r="F79" s="209"/>
      <c r="G79" s="209"/>
      <c r="H79" s="209"/>
      <c r="I79" s="209"/>
      <c r="J79" s="210"/>
      <c r="K79" t="s">
        <v>7</v>
      </c>
    </row>
    <row r="80" spans="1:17" ht="20.100000000000001" customHeight="1" x14ac:dyDescent="0.2">
      <c r="A80" s="78" t="s">
        <v>10</v>
      </c>
      <c r="B80" s="211" t="s">
        <v>90</v>
      </c>
      <c r="C80" s="213"/>
      <c r="D80" s="211" t="s">
        <v>91</v>
      </c>
      <c r="E80" s="212"/>
      <c r="F80" s="212"/>
      <c r="G80" s="212"/>
      <c r="H80" s="212"/>
      <c r="I80" s="212"/>
      <c r="J80" s="213"/>
      <c r="K80" t="s">
        <v>7</v>
      </c>
    </row>
    <row r="81" spans="1:11" ht="33.75" customHeight="1" x14ac:dyDescent="0.2">
      <c r="A81" s="78" t="s">
        <v>9</v>
      </c>
      <c r="B81" s="211" t="s">
        <v>90</v>
      </c>
      <c r="C81" s="213"/>
      <c r="D81" s="208" t="s">
        <v>92</v>
      </c>
      <c r="E81" s="209"/>
      <c r="F81" s="209"/>
      <c r="G81" s="209"/>
      <c r="H81" s="209"/>
      <c r="I81" s="209"/>
      <c r="J81" s="210"/>
      <c r="K81" t="s">
        <v>7</v>
      </c>
    </row>
    <row r="82" spans="1:11" ht="33.75" customHeight="1" x14ac:dyDescent="0.2">
      <c r="A82" s="78" t="s">
        <v>28</v>
      </c>
      <c r="B82" s="211" t="s">
        <v>93</v>
      </c>
      <c r="C82" s="213"/>
      <c r="D82" s="208" t="s">
        <v>94</v>
      </c>
      <c r="E82" s="209"/>
      <c r="F82" s="209"/>
      <c r="G82" s="209"/>
      <c r="H82" s="209"/>
      <c r="I82" s="209"/>
      <c r="J82" s="210"/>
      <c r="K82" t="s">
        <v>7</v>
      </c>
    </row>
    <row r="83" spans="1:11" ht="68.25" customHeight="1" x14ac:dyDescent="0.2">
      <c r="A83" s="78" t="s">
        <v>77</v>
      </c>
      <c r="B83" s="211" t="s">
        <v>93</v>
      </c>
      <c r="C83" s="213"/>
      <c r="D83" s="208" t="s">
        <v>95</v>
      </c>
      <c r="E83" s="209"/>
      <c r="F83" s="209"/>
      <c r="G83" s="209"/>
      <c r="H83" s="209"/>
      <c r="I83" s="209"/>
      <c r="J83" s="210"/>
      <c r="K83" t="s">
        <v>7</v>
      </c>
    </row>
    <row r="84" spans="1:11" ht="45.75" customHeight="1" x14ac:dyDescent="0.2">
      <c r="A84" s="78" t="s">
        <v>78</v>
      </c>
      <c r="B84" s="211" t="s">
        <v>93</v>
      </c>
      <c r="C84" s="213"/>
      <c r="D84" s="208" t="s">
        <v>96</v>
      </c>
      <c r="E84" s="209"/>
      <c r="F84" s="209"/>
      <c r="G84" s="209"/>
      <c r="H84" s="209"/>
      <c r="I84" s="209"/>
      <c r="J84" s="210"/>
      <c r="K84" t="s">
        <v>7</v>
      </c>
    </row>
    <row r="85" spans="1:11" ht="22.5" customHeight="1" x14ac:dyDescent="0.2">
      <c r="A85" s="78" t="s">
        <v>6</v>
      </c>
      <c r="B85" s="211" t="s">
        <v>90</v>
      </c>
      <c r="C85" s="213"/>
      <c r="D85" s="208" t="s">
        <v>97</v>
      </c>
      <c r="E85" s="209"/>
      <c r="F85" s="209"/>
      <c r="G85" s="209"/>
      <c r="H85" s="209"/>
      <c r="I85" s="209"/>
      <c r="J85" s="210"/>
      <c r="K85" t="s">
        <v>7</v>
      </c>
    </row>
    <row r="86" spans="1:11" ht="22.5" customHeight="1" x14ac:dyDescent="0.2">
      <c r="A86" s="83" t="s">
        <v>18</v>
      </c>
      <c r="B86" s="211" t="s">
        <v>93</v>
      </c>
      <c r="C86" s="213"/>
      <c r="D86" s="211" t="s">
        <v>98</v>
      </c>
      <c r="E86" s="212"/>
      <c r="F86" s="212"/>
      <c r="G86" s="212"/>
      <c r="H86" s="212"/>
      <c r="I86" s="212"/>
      <c r="J86" s="213"/>
      <c r="K86" t="s">
        <v>7</v>
      </c>
    </row>
    <row r="87" spans="1:11" ht="60" customHeight="1" x14ac:dyDescent="0.2">
      <c r="A87" s="83" t="s">
        <v>68</v>
      </c>
      <c r="B87" s="211" t="s">
        <v>93</v>
      </c>
      <c r="C87" s="213"/>
      <c r="D87" s="211" t="s">
        <v>99</v>
      </c>
      <c r="E87" s="212"/>
      <c r="F87" s="212"/>
      <c r="G87" s="212"/>
      <c r="H87" s="212"/>
      <c r="I87" s="212"/>
      <c r="J87" s="213"/>
      <c r="K87" t="s">
        <v>7</v>
      </c>
    </row>
    <row r="88" spans="1:11" ht="39.950000000000003" customHeight="1" x14ac:dyDescent="0.2">
      <c r="A88" s="83" t="s">
        <v>12</v>
      </c>
      <c r="B88" s="211" t="s">
        <v>93</v>
      </c>
      <c r="C88" s="213"/>
      <c r="D88" s="211" t="s">
        <v>100</v>
      </c>
      <c r="E88" s="212"/>
      <c r="F88" s="212"/>
      <c r="G88" s="212"/>
      <c r="H88" s="212"/>
      <c r="I88" s="212"/>
      <c r="J88" s="213"/>
      <c r="K88" t="s">
        <v>7</v>
      </c>
    </row>
    <row r="89" spans="1:11" ht="20.100000000000001" customHeight="1" x14ac:dyDescent="0.2">
      <c r="A89" s="83" t="s">
        <v>3</v>
      </c>
      <c r="B89" s="211" t="s">
        <v>90</v>
      </c>
      <c r="C89" s="213"/>
      <c r="D89" s="211" t="s">
        <v>101</v>
      </c>
      <c r="E89" s="212"/>
      <c r="F89" s="212"/>
      <c r="G89" s="212"/>
      <c r="H89" s="212"/>
      <c r="I89" s="212"/>
      <c r="J89" s="213"/>
      <c r="K89" t="s">
        <v>7</v>
      </c>
    </row>
    <row r="90" spans="1:11" ht="47.25" customHeight="1" x14ac:dyDescent="0.2">
      <c r="A90" s="83" t="s">
        <v>31</v>
      </c>
      <c r="B90" s="211" t="s">
        <v>93</v>
      </c>
      <c r="C90" s="213"/>
      <c r="D90" s="208" t="s">
        <v>114</v>
      </c>
      <c r="E90" s="209"/>
      <c r="F90" s="209"/>
      <c r="G90" s="209"/>
      <c r="H90" s="209"/>
      <c r="I90" s="209"/>
      <c r="J90" s="210"/>
      <c r="K90" t="s">
        <v>7</v>
      </c>
    </row>
    <row r="91" spans="1:11" ht="32.25" customHeight="1" x14ac:dyDescent="0.2">
      <c r="A91" s="83" t="s">
        <v>13</v>
      </c>
      <c r="B91" s="211" t="s">
        <v>93</v>
      </c>
      <c r="C91" s="213"/>
      <c r="D91" s="208" t="s">
        <v>102</v>
      </c>
      <c r="E91" s="209"/>
      <c r="F91" s="209"/>
      <c r="G91" s="209"/>
      <c r="H91" s="209"/>
      <c r="I91" s="209"/>
      <c r="J91" s="210"/>
      <c r="K91" t="s">
        <v>7</v>
      </c>
    </row>
    <row r="92" spans="1:11" ht="39.950000000000003" customHeight="1" x14ac:dyDescent="0.2">
      <c r="A92" s="83" t="s">
        <v>20</v>
      </c>
      <c r="B92" s="211" t="s">
        <v>93</v>
      </c>
      <c r="C92" s="213"/>
      <c r="D92" s="208" t="s">
        <v>103</v>
      </c>
      <c r="E92" s="209"/>
      <c r="F92" s="209"/>
      <c r="G92" s="209"/>
      <c r="H92" s="209"/>
      <c r="I92" s="209"/>
      <c r="J92" s="210"/>
      <c r="K92" t="s">
        <v>7</v>
      </c>
    </row>
    <row r="93" spans="1:11" ht="15" customHeight="1" x14ac:dyDescent="0.2">
      <c r="A93" s="214" t="s">
        <v>116</v>
      </c>
      <c r="B93" s="214"/>
      <c r="C93" s="214"/>
      <c r="D93" s="214"/>
      <c r="E93" s="214"/>
      <c r="F93" s="214"/>
      <c r="G93" s="214"/>
      <c r="H93" s="214"/>
      <c r="I93" s="214"/>
      <c r="K93" t="s">
        <v>7</v>
      </c>
    </row>
    <row r="94" spans="1:11" ht="15" customHeight="1" x14ac:dyDescent="0.2">
      <c r="A94" s="214" t="s">
        <v>117</v>
      </c>
      <c r="B94" s="214"/>
      <c r="C94" s="214"/>
      <c r="D94" s="214"/>
      <c r="E94" s="214"/>
      <c r="F94" s="214"/>
      <c r="G94" s="214"/>
      <c r="H94" s="214"/>
      <c r="I94" s="214"/>
      <c r="K94" t="s">
        <v>7</v>
      </c>
    </row>
    <row r="95" spans="1:11" ht="15" customHeight="1" x14ac:dyDescent="0.2">
      <c r="A95" s="214" t="s">
        <v>118</v>
      </c>
      <c r="B95" s="214"/>
      <c r="C95" s="214"/>
      <c r="D95" s="214"/>
      <c r="E95" s="214"/>
      <c r="F95" s="214"/>
      <c r="G95" s="214"/>
      <c r="H95" s="214"/>
      <c r="I95" s="214"/>
      <c r="K95" t="s">
        <v>7</v>
      </c>
    </row>
    <row r="96" spans="1:11" x14ac:dyDescent="0.2">
      <c r="K96" t="s">
        <v>7</v>
      </c>
    </row>
    <row r="97" spans="4:11" x14ac:dyDescent="0.2">
      <c r="K97" t="s">
        <v>7</v>
      </c>
    </row>
    <row r="98" spans="4:11" x14ac:dyDescent="0.2">
      <c r="D98" s="1" t="s">
        <v>7</v>
      </c>
      <c r="K98" t="s">
        <v>7</v>
      </c>
    </row>
    <row r="99" spans="4:11" x14ac:dyDescent="0.2">
      <c r="K99" t="s">
        <v>7</v>
      </c>
    </row>
    <row r="100" spans="4:11" x14ac:dyDescent="0.2">
      <c r="K100" t="s">
        <v>7</v>
      </c>
    </row>
  </sheetData>
  <mergeCells count="47">
    <mergeCell ref="B85:C85"/>
    <mergeCell ref="B80:C80"/>
    <mergeCell ref="B81:C81"/>
    <mergeCell ref="B82:C82"/>
    <mergeCell ref="B83:C83"/>
    <mergeCell ref="B84:C84"/>
    <mergeCell ref="A77:J77"/>
    <mergeCell ref="B78:C78"/>
    <mergeCell ref="D78:J78"/>
    <mergeCell ref="D79:J79"/>
    <mergeCell ref="B79:C79"/>
    <mergeCell ref="D90:J90"/>
    <mergeCell ref="D91:J91"/>
    <mergeCell ref="D92:J92"/>
    <mergeCell ref="I70:I74"/>
    <mergeCell ref="C3:P3"/>
    <mergeCell ref="C4:P4"/>
    <mergeCell ref="C5:P5"/>
    <mergeCell ref="C6:P6"/>
    <mergeCell ref="C7:P7"/>
    <mergeCell ref="C8:P8"/>
    <mergeCell ref="A19:P19"/>
    <mergeCell ref="A27:P27"/>
    <mergeCell ref="A40:P40"/>
    <mergeCell ref="A43:I43"/>
    <mergeCell ref="A75:J75"/>
    <mergeCell ref="A76:J76"/>
    <mergeCell ref="B91:C91"/>
    <mergeCell ref="B92:C92"/>
    <mergeCell ref="A93:I93"/>
    <mergeCell ref="A94:I94"/>
    <mergeCell ref="A95:I95"/>
    <mergeCell ref="B86:C86"/>
    <mergeCell ref="B87:C87"/>
    <mergeCell ref="B88:C88"/>
    <mergeCell ref="B89:C89"/>
    <mergeCell ref="B90:C90"/>
    <mergeCell ref="D80:J80"/>
    <mergeCell ref="D81:J81"/>
    <mergeCell ref="D82:J82"/>
    <mergeCell ref="D83:J83"/>
    <mergeCell ref="D84:J84"/>
    <mergeCell ref="D85:J85"/>
    <mergeCell ref="D86:J86"/>
    <mergeCell ref="D87:J87"/>
    <mergeCell ref="D88:J88"/>
    <mergeCell ref="D89:J89"/>
  </mergeCells>
  <pageMargins left="0.45" right="0.45" top="0.5" bottom="0.5" header="0.3" footer="0.3"/>
  <pageSetup scale="3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PJM Buy Bids-Sell Offers</vt:lpstr>
      <vt:lpstr>3rd IA Configuration</vt:lpstr>
      <vt:lpstr>3rd IA Parameters</vt:lpstr>
      <vt:lpstr>BRA Parameters</vt:lpstr>
      <vt:lpstr>'3rd IA Configuration'!Print_Area</vt:lpstr>
      <vt:lpstr>'3rd IA Parameters'!Print_Area</vt:lpstr>
      <vt:lpstr>'BRA Parameters'!Print_Area</vt:lpstr>
      <vt:lpstr>'PJM Buy Bids-Sell Offers'!Print_Area</vt:lpstr>
    </vt:vector>
  </TitlesOfParts>
  <Company>PJM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PJM User</dc:creator>
  <cp:lastModifiedBy>Marzewski, Skyler</cp:lastModifiedBy>
  <cp:lastPrinted>2021-02-01T14:20:03Z</cp:lastPrinted>
  <dcterms:created xsi:type="dcterms:W3CDTF">2007-01-26T13:56:48Z</dcterms:created>
  <dcterms:modified xsi:type="dcterms:W3CDTF">2022-03-11T18:38:02Z</dcterms:modified>
</cp:coreProperties>
</file>