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chut\AppData\Roaming\OpenText\OTEdit\EC_cera\c256693064\"/>
    </mc:Choice>
  </mc:AlternateContent>
  <bookViews>
    <workbookView xWindow="0" yWindow="0" windowWidth="28800" windowHeight="12300" tabRatio="691"/>
  </bookViews>
  <sheets>
    <sheet name="Planning Parameters" sheetId="12" r:id="rId1"/>
    <sheet name="Net CONE" sheetId="2" r:id="rId2"/>
    <sheet name="Key Transmission Upgrade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" i="12" l="1"/>
  <c r="O39" i="12"/>
  <c r="N39" i="12"/>
  <c r="M39" i="12"/>
  <c r="L39" i="12"/>
  <c r="K39" i="12"/>
  <c r="J39" i="12"/>
  <c r="I39" i="12"/>
  <c r="G39" i="12"/>
  <c r="F39" i="12"/>
  <c r="E39" i="12"/>
  <c r="D39" i="12"/>
  <c r="C39" i="12"/>
  <c r="B39" i="12"/>
  <c r="H42" i="12" l="1"/>
  <c r="P13" i="12" l="1"/>
  <c r="F13" i="12" l="1"/>
  <c r="F14" i="12" s="1"/>
  <c r="G13" i="12"/>
  <c r="G14" i="12" s="1"/>
  <c r="G15" i="12" s="1"/>
  <c r="H13" i="12"/>
  <c r="I13" i="12"/>
  <c r="I14" i="12" s="1"/>
  <c r="I15" i="12" s="1"/>
  <c r="I23" i="12" s="1"/>
  <c r="I33" i="12" s="1"/>
  <c r="J13" i="12"/>
  <c r="J14" i="12" s="1"/>
  <c r="K13" i="12"/>
  <c r="K14" i="12" s="1"/>
  <c r="K15" i="12" s="1"/>
  <c r="L13" i="12"/>
  <c r="L14" i="12" s="1"/>
  <c r="M13" i="12"/>
  <c r="M14" i="12" s="1"/>
  <c r="N13" i="12"/>
  <c r="N14" i="12" s="1"/>
  <c r="N15" i="12" s="1"/>
  <c r="O13" i="12"/>
  <c r="O14" i="12" s="1"/>
  <c r="O15" i="12" s="1"/>
  <c r="P14" i="12"/>
  <c r="H14" i="12"/>
  <c r="H15" i="12" s="1"/>
  <c r="H25" i="12" s="1"/>
  <c r="D26" i="12"/>
  <c r="E26" i="12"/>
  <c r="B32" i="12"/>
  <c r="C32" i="12"/>
  <c r="D32" i="12"/>
  <c r="E32" i="12"/>
  <c r="H32" i="12"/>
  <c r="I32" i="12"/>
  <c r="M32" i="12"/>
  <c r="F42" i="12"/>
  <c r="P42" i="12"/>
  <c r="B13" i="12"/>
  <c r="B14" i="12" s="1"/>
  <c r="J42" i="12"/>
  <c r="M42" i="12"/>
  <c r="L42" i="12"/>
  <c r="E42" i="12"/>
  <c r="C13" i="12"/>
  <c r="C14" i="12" s="1"/>
  <c r="E13" i="12"/>
  <c r="E14" i="12" s="1"/>
  <c r="C26" i="12" l="1"/>
  <c r="B26" i="12" s="1"/>
  <c r="I25" i="12"/>
  <c r="I37" i="12" s="1"/>
  <c r="I24" i="12"/>
  <c r="I34" i="12" s="1"/>
  <c r="L15" i="12"/>
  <c r="L23" i="12" s="1"/>
  <c r="P15" i="12"/>
  <c r="P25" i="12" s="1"/>
  <c r="E15" i="12"/>
  <c r="E25" i="12" s="1"/>
  <c r="F15" i="12"/>
  <c r="F23" i="12" s="1"/>
  <c r="K25" i="12"/>
  <c r="K24" i="12"/>
  <c r="K23" i="12"/>
  <c r="J15" i="12"/>
  <c r="G24" i="12"/>
  <c r="G23" i="12"/>
  <c r="G25" i="12"/>
  <c r="D42" i="12"/>
  <c r="H37" i="12"/>
  <c r="N23" i="12"/>
  <c r="N25" i="12"/>
  <c r="N24" i="12"/>
  <c r="O24" i="12"/>
  <c r="O23" i="12"/>
  <c r="O25" i="12"/>
  <c r="M15" i="12"/>
  <c r="B7" i="12"/>
  <c r="C42" i="12"/>
  <c r="C15" i="12" s="1"/>
  <c r="D13" i="12"/>
  <c r="D14" i="12" s="1"/>
  <c r="H23" i="12"/>
  <c r="H33" i="12" s="1"/>
  <c r="H24" i="12"/>
  <c r="H34" i="12" s="1"/>
  <c r="P24" i="12" l="1"/>
  <c r="E24" i="12"/>
  <c r="E34" i="12" s="1"/>
  <c r="E23" i="12"/>
  <c r="E33" i="12" s="1"/>
  <c r="B15" i="12"/>
  <c r="P23" i="12"/>
  <c r="L25" i="12"/>
  <c r="L24" i="12"/>
  <c r="D15" i="12"/>
  <c r="D24" i="12" s="1"/>
  <c r="D34" i="12" s="1"/>
  <c r="F25" i="12"/>
  <c r="F24" i="12"/>
  <c r="C25" i="12"/>
  <c r="C24" i="12"/>
  <c r="C34" i="12" s="1"/>
  <c r="C23" i="12"/>
  <c r="C33" i="12" s="1"/>
  <c r="J25" i="12"/>
  <c r="J24" i="12"/>
  <c r="J23" i="12"/>
  <c r="M25" i="12"/>
  <c r="M24" i="12"/>
  <c r="M34" i="12" s="1"/>
  <c r="M23" i="12"/>
  <c r="M33" i="12" s="1"/>
  <c r="E37" i="12"/>
  <c r="B24" i="12" l="1"/>
  <c r="B34" i="12" s="1"/>
  <c r="B23" i="12"/>
  <c r="B33" i="12" s="1"/>
  <c r="B25" i="12"/>
  <c r="B37" i="12" s="1"/>
  <c r="D25" i="12"/>
  <c r="D37" i="12" s="1"/>
  <c r="D23" i="12"/>
  <c r="D33" i="12" s="1"/>
  <c r="M37" i="12"/>
  <c r="C37" i="12"/>
  <c r="H12" i="2" l="1"/>
  <c r="C11" i="2"/>
  <c r="D11" i="2" l="1"/>
  <c r="I12" i="2" l="1"/>
  <c r="C28" i="2" l="1"/>
  <c r="C23" i="2"/>
  <c r="C19" i="2"/>
  <c r="H4" i="2" l="1"/>
  <c r="E11" i="2" l="1"/>
  <c r="E28" i="2"/>
  <c r="G39" i="2"/>
  <c r="H39" i="2" s="1"/>
  <c r="B39" i="2"/>
  <c r="H38" i="2"/>
  <c r="H37" i="2"/>
  <c r="H36" i="2"/>
  <c r="H35" i="2"/>
  <c r="H34" i="2"/>
  <c r="H33" i="2"/>
  <c r="H32" i="2"/>
  <c r="H31" i="2"/>
  <c r="H30" i="2"/>
  <c r="H29" i="2"/>
  <c r="D28" i="2"/>
  <c r="H26" i="2"/>
  <c r="H25" i="2"/>
  <c r="H24" i="2"/>
  <c r="D23" i="2"/>
  <c r="H21" i="2"/>
  <c r="H20" i="2"/>
  <c r="D19" i="2"/>
  <c r="H17" i="2"/>
  <c r="I17" i="2" s="1"/>
  <c r="H16" i="2"/>
  <c r="I16" i="2" s="1"/>
  <c r="H15" i="2"/>
  <c r="I15" i="2" s="1"/>
  <c r="H14" i="2"/>
  <c r="I14" i="2" s="1"/>
  <c r="H13" i="2"/>
  <c r="I13" i="2" s="1"/>
  <c r="J12" i="2"/>
  <c r="I33" i="2" l="1"/>
  <c r="J33" i="2" s="1"/>
  <c r="O17" i="12" s="1"/>
  <c r="I37" i="2"/>
  <c r="J37" i="2" s="1"/>
  <c r="I30" i="2"/>
  <c r="J30" i="2" s="1"/>
  <c r="I34" i="2"/>
  <c r="J34" i="2" s="1"/>
  <c r="P17" i="12" s="1"/>
  <c r="I38" i="2"/>
  <c r="J38" i="2" s="1"/>
  <c r="I31" i="2"/>
  <c r="J31" i="2" s="1"/>
  <c r="I35" i="2"/>
  <c r="J35" i="2" s="1"/>
  <c r="I29" i="2"/>
  <c r="J29" i="2" s="1"/>
  <c r="I32" i="2"/>
  <c r="J32" i="2" s="1"/>
  <c r="L17" i="12" s="1"/>
  <c r="I36" i="2"/>
  <c r="J36" i="2" s="1"/>
  <c r="I24" i="2"/>
  <c r="J24" i="2" s="1"/>
  <c r="I25" i="2"/>
  <c r="J25" i="2" s="1"/>
  <c r="I26" i="2"/>
  <c r="J26" i="2" s="1"/>
  <c r="N17" i="12" s="1"/>
  <c r="E23" i="2"/>
  <c r="E26" i="2" s="1"/>
  <c r="N16" i="12" s="1"/>
  <c r="I21" i="2"/>
  <c r="J21" i="2" s="1"/>
  <c r="I17" i="12" s="1"/>
  <c r="I20" i="2"/>
  <c r="J20" i="2" s="1"/>
  <c r="M17" i="12" s="1"/>
  <c r="E19" i="2"/>
  <c r="E22" i="2" s="1"/>
  <c r="E16" i="12" s="1"/>
  <c r="D39" i="2"/>
  <c r="E38" i="2"/>
  <c r="J13" i="2"/>
  <c r="H17" i="12" s="1"/>
  <c r="J14" i="2"/>
  <c r="J15" i="2"/>
  <c r="J16" i="2"/>
  <c r="J17" i="2"/>
  <c r="K17" i="12" l="1"/>
  <c r="J17" i="12"/>
  <c r="N21" i="12"/>
  <c r="N38" i="12"/>
  <c r="N20" i="12"/>
  <c r="P21" i="12"/>
  <c r="P38" i="12"/>
  <c r="F17" i="12"/>
  <c r="G17" i="12"/>
  <c r="I21" i="12"/>
  <c r="I38" i="12"/>
  <c r="H38" i="12"/>
  <c r="H21" i="12"/>
  <c r="M21" i="12"/>
  <c r="M38" i="12"/>
  <c r="L21" i="12"/>
  <c r="L38" i="12"/>
  <c r="O21" i="12"/>
  <c r="O38" i="12"/>
  <c r="E24" i="2"/>
  <c r="E25" i="2"/>
  <c r="I39" i="2"/>
  <c r="J39" i="2" s="1"/>
  <c r="B17" i="12" s="1"/>
  <c r="E39" i="2"/>
  <c r="B16" i="12" s="1"/>
  <c r="E35" i="2"/>
  <c r="E34" i="2"/>
  <c r="P16" i="12" s="1"/>
  <c r="P20" i="12" s="1"/>
  <c r="E30" i="2"/>
  <c r="E31" i="2"/>
  <c r="E37" i="2"/>
  <c r="E33" i="2"/>
  <c r="O16" i="12" s="1"/>
  <c r="O20" i="12" s="1"/>
  <c r="E29" i="2"/>
  <c r="E36" i="2"/>
  <c r="E32" i="2"/>
  <c r="L16" i="12" s="1"/>
  <c r="L20" i="12" s="1"/>
  <c r="E21" i="2"/>
  <c r="I16" i="12" s="1"/>
  <c r="I20" i="12" s="1"/>
  <c r="I28" i="12" s="1"/>
  <c r="E20" i="2"/>
  <c r="M16" i="12" s="1"/>
  <c r="M20" i="12" s="1"/>
  <c r="M28" i="12" s="1"/>
  <c r="J22" i="2"/>
  <c r="E17" i="12" s="1"/>
  <c r="J27" i="2"/>
  <c r="C17" i="12" s="1"/>
  <c r="J18" i="2"/>
  <c r="D17" i="12" s="1"/>
  <c r="E18" i="2"/>
  <c r="D16" i="12" s="1"/>
  <c r="E17" i="2"/>
  <c r="E16" i="2"/>
  <c r="E15" i="2"/>
  <c r="E14" i="2"/>
  <c r="E13" i="2"/>
  <c r="H16" i="12" s="1"/>
  <c r="H20" i="12" s="1"/>
  <c r="H28" i="12" s="1"/>
  <c r="E12" i="2"/>
  <c r="D20" i="12" l="1"/>
  <c r="D28" i="12" s="1"/>
  <c r="D38" i="12"/>
  <c r="D21" i="12"/>
  <c r="H29" i="12"/>
  <c r="H36" i="12"/>
  <c r="H35" i="12" s="1"/>
  <c r="E21" i="12"/>
  <c r="E38" i="12"/>
  <c r="E20" i="12"/>
  <c r="E28" i="12" s="1"/>
  <c r="C21" i="12"/>
  <c r="C38" i="12"/>
  <c r="J16" i="12"/>
  <c r="J20" i="12" s="1"/>
  <c r="K16" i="12"/>
  <c r="K20" i="12" s="1"/>
  <c r="I29" i="12"/>
  <c r="I36" i="12"/>
  <c r="I35" i="12" s="1"/>
  <c r="B21" i="12"/>
  <c r="B38" i="12"/>
  <c r="B20" i="12"/>
  <c r="B28" i="12" s="1"/>
  <c r="F16" i="12"/>
  <c r="F20" i="12" s="1"/>
  <c r="G16" i="12"/>
  <c r="G20" i="12"/>
  <c r="G21" i="12"/>
  <c r="G38" i="12"/>
  <c r="J21" i="12"/>
  <c r="J38" i="12"/>
  <c r="M29" i="12"/>
  <c r="M36" i="12"/>
  <c r="M35" i="12" s="1"/>
  <c r="F21" i="12"/>
  <c r="F38" i="12"/>
  <c r="K21" i="12"/>
  <c r="K38" i="12"/>
  <c r="I27" i="2"/>
  <c r="I22" i="2"/>
  <c r="E27" i="2"/>
  <c r="C16" i="12" s="1"/>
  <c r="C20" i="12" s="1"/>
  <c r="C28" i="12" s="1"/>
  <c r="I18" i="2"/>
  <c r="E29" i="12" l="1"/>
  <c r="E36" i="12"/>
  <c r="E35" i="12" s="1"/>
  <c r="D29" i="12"/>
  <c r="D36" i="12"/>
  <c r="D35" i="12" s="1"/>
  <c r="B29" i="12"/>
  <c r="B36" i="12"/>
  <c r="B35" i="12" s="1"/>
  <c r="C29" i="12"/>
  <c r="C36" i="12"/>
  <c r="C35" i="12" s="1"/>
</calcChain>
</file>

<file path=xl/sharedStrings.xml><?xml version="1.0" encoding="utf-8"?>
<sst xmlns="http://schemas.openxmlformats.org/spreadsheetml/2006/main" count="623" uniqueCount="168">
  <si>
    <t xml:space="preserve"> </t>
  </si>
  <si>
    <t>RTO</t>
  </si>
  <si>
    <t>Notes:</t>
  </si>
  <si>
    <t xml:space="preserve">Installed Reserve Margin (IRM) </t>
  </si>
  <si>
    <t>Pool-Wide Average EFORd</t>
  </si>
  <si>
    <t>Forecast Pool Requirement (FPR)</t>
  </si>
  <si>
    <t>Preliminary Forecast Peak Load</t>
  </si>
  <si>
    <t>Locational Deliverability Area</t>
  </si>
  <si>
    <t>MAAC</t>
  </si>
  <si>
    <t>EMAAC</t>
  </si>
  <si>
    <t>SWMAAC</t>
  </si>
  <si>
    <t>PS</t>
  </si>
  <si>
    <t>PS NORTH</t>
  </si>
  <si>
    <t>DPL SOUTH</t>
  </si>
  <si>
    <t>PEPCO</t>
  </si>
  <si>
    <t>ATSI</t>
  </si>
  <si>
    <t>ATSI-Cleveland</t>
  </si>
  <si>
    <t>COMED</t>
  </si>
  <si>
    <t>BGE</t>
  </si>
  <si>
    <t>PL</t>
  </si>
  <si>
    <t>DAYTON</t>
  </si>
  <si>
    <t>DEOK</t>
  </si>
  <si>
    <t>CETO</t>
  </si>
  <si>
    <t>NA</t>
  </si>
  <si>
    <t>CETL</t>
  </si>
  <si>
    <t>Reliability Requirement</t>
  </si>
  <si>
    <t>Total Peak Load of FRR Entities</t>
  </si>
  <si>
    <t>Preliminary FRR Obligation</t>
  </si>
  <si>
    <t>Reliability Requirement adjusted for FRR</t>
  </si>
  <si>
    <t>Gross CONE, $/MW-Day (UCAP Price)</t>
  </si>
  <si>
    <t>Net CONE, $/MW-Day (UCAP Price)</t>
  </si>
  <si>
    <t>EE Addback (UCAP)</t>
  </si>
  <si>
    <t>Variable Resource Requirement Curve:</t>
  </si>
  <si>
    <t>Point (a) UCAP Price, $/MW-Day</t>
  </si>
  <si>
    <t>Point (b) UCAP Price, $/MW-Day</t>
  </si>
  <si>
    <t>Point (c) UCAP Price, $/MW-Day</t>
  </si>
  <si>
    <t>Point (a) UCAP Level, MW</t>
  </si>
  <si>
    <t>Point (b) UCAP Level, MW</t>
  </si>
  <si>
    <t>Point (c) UCAP Level, MW</t>
  </si>
  <si>
    <t>Nominated PRD Value, MW</t>
  </si>
  <si>
    <t>VRR Curve adjusted for PRD:</t>
  </si>
  <si>
    <t>Point (a1) UCAP Price, $/MW-Day</t>
  </si>
  <si>
    <t>Point (b1) UCAP Price, $/MW-Day</t>
  </si>
  <si>
    <t>Point (prd1) UCAP Price, $/MW-Day</t>
  </si>
  <si>
    <t>Point (prd2) UCAP Price, $/MW-Day</t>
  </si>
  <si>
    <t>Point (a1) UCAP Level, MW</t>
  </si>
  <si>
    <t>Point (b1) UCAP Level, MW</t>
  </si>
  <si>
    <t>Point (prd1) UCAP Level, MW</t>
  </si>
  <si>
    <t>Point (prd2) UCAP Level, MW</t>
  </si>
  <si>
    <t>Pre-Auction Credit Rate, $/MW</t>
  </si>
  <si>
    <t>Participant-Funded ICTRs Awarded</t>
  </si>
  <si>
    <t>FRR Load Requirement (% Obligation):</t>
  </si>
  <si>
    <t>Minimum Internal Resource Requirement</t>
  </si>
  <si>
    <t>LDA CETO/CETL Data; Zonal Peak Loads, Base Zonal FRR Scaling Factors, and FRR load.</t>
  </si>
  <si>
    <t>LDA/Zone</t>
  </si>
  <si>
    <t>CETL to CETO Ratio %</t>
  </si>
  <si>
    <t>Preliminary Zonal Peak Load Forecast</t>
  </si>
  <si>
    <t>Base Zonal FRR Scaling Factor</t>
  </si>
  <si>
    <t xml:space="preserve">FRR Portion of the Preliminary Peak Load Forecast       </t>
  </si>
  <si>
    <t>Preliminary Zonal Peak Load Forecast less FRR load</t>
  </si>
  <si>
    <t>AE</t>
  </si>
  <si>
    <t>&gt;115%</t>
  </si>
  <si>
    <t>AEP</t>
  </si>
  <si>
    <t>*</t>
  </si>
  <si>
    <t>APS</t>
  </si>
  <si>
    <t>ATSI-CLEVELAND</t>
  </si>
  <si>
    <t>DLCO</t>
  </si>
  <si>
    <t>DOM</t>
  </si>
  <si>
    <t>DPL</t>
  </si>
  <si>
    <t>EKPC</t>
  </si>
  <si>
    <t>JCPL</t>
  </si>
  <si>
    <t>METED</t>
  </si>
  <si>
    <t>OVEC</t>
  </si>
  <si>
    <t>PECO</t>
  </si>
  <si>
    <t>PENLC</t>
  </si>
  <si>
    <t>PL (incl. UGI)</t>
  </si>
  <si>
    <t>RECO</t>
  </si>
  <si>
    <t xml:space="preserve">  </t>
  </si>
  <si>
    <t>Western MAAC</t>
  </si>
  <si>
    <t>Western PJM</t>
  </si>
  <si>
    <t>* LDA has adequate internal resources to meet the reliability criterion.</t>
  </si>
  <si>
    <t>Limiting conditions at the CETL for modeled LDAs:</t>
  </si>
  <si>
    <t xml:space="preserve">LDA      </t>
  </si>
  <si>
    <t>Violation</t>
  </si>
  <si>
    <t>Limiting Facility</t>
  </si>
  <si>
    <t xml:space="preserve">Thermal </t>
  </si>
  <si>
    <t>Voltage</t>
  </si>
  <si>
    <t>Thermal</t>
  </si>
  <si>
    <t>PSNORTH</t>
  </si>
  <si>
    <t>DPLSOUTH</t>
  </si>
  <si>
    <t>ICAP to UCAP Conversion Factor:</t>
  </si>
  <si>
    <t>UCAP Price = ICAP Price / (1 - Pool-Wide Average EFORd)</t>
  </si>
  <si>
    <t>CONE Area 1: AE, DPL, JCPL, PECO, PS, RECO</t>
  </si>
  <si>
    <t>CONE Area 2: BGE, PEPCO</t>
  </si>
  <si>
    <t>CONE Area 3: AEP, APS, ATSI, ComEd, Dayton, DEOK, Dominion, Duquesne (DLCo), EKPC, OVEC</t>
  </si>
  <si>
    <t>CONE Area 4: MetEd, Penelec, PPL</t>
  </si>
  <si>
    <t>Zone/LDA</t>
  </si>
  <si>
    <t>Escalation</t>
  </si>
  <si>
    <t>Gross CONE, $/MW-Day, UCAP Price</t>
  </si>
  <si>
    <t>Ancillary Services Offset,          $/MW-Year        per Tariff</t>
  </si>
  <si>
    <t>Net E&amp;AS Revenue Offset, $/MW-Year</t>
  </si>
  <si>
    <t>Net CONE,         $/MW-Day,    ICAP Price</t>
  </si>
  <si>
    <t>Net CONE,   $/MW-Day,  UCAP Price</t>
  </si>
  <si>
    <t>LDA Modeled with VRR Curve</t>
  </si>
  <si>
    <t>CONE Area 1</t>
  </si>
  <si>
    <t>PE</t>
  </si>
  <si>
    <t>PSEG</t>
  </si>
  <si>
    <t>PS, PSEG NORTH</t>
  </si>
  <si>
    <t>CONE Area 2</t>
  </si>
  <si>
    <t>CONE Area 4</t>
  </si>
  <si>
    <t>PENELEC</t>
  </si>
  <si>
    <t>PPL</t>
  </si>
  <si>
    <t>CONE Area 3</t>
  </si>
  <si>
    <t>ATSI, ATSI CLEVELAND</t>
  </si>
  <si>
    <t>Upgrade ID</t>
  </si>
  <si>
    <t>Description</t>
  </si>
  <si>
    <t>Transmission Owner</t>
  </si>
  <si>
    <t>Dominion</t>
  </si>
  <si>
    <t>None</t>
  </si>
  <si>
    <t>Pool-Wide Average EFORd for 2023/2024 BRA</t>
  </si>
  <si>
    <t>2021 IRM Study, endorsed at the October 20, 2021 MRC meeting.</t>
  </si>
  <si>
    <t>2021 Zonal W/N Coincident Peak Loads</t>
  </si>
  <si>
    <t xml:space="preserve">Shelby - Sidney 138 kV for the loss of the Miami - West Milton -Miami Fort 345 kV </t>
  </si>
  <si>
    <t>2022 Load Report with adjustments for load served outside PJM.</t>
  </si>
  <si>
    <t>Historic Net Energy Revenue Offset, $/MW-Year</t>
  </si>
  <si>
    <t>2024-2025 RPM Base Residual Auction Planning Parameters</t>
  </si>
  <si>
    <t>RPM CONE and E&amp;AS Values for 2024/2025 Base Residual Auction</t>
  </si>
  <si>
    <t>2023/2024 BRA CONE: Levelized Revenue Requirement,     $/MW-Year *</t>
  </si>
  <si>
    <t>2024/2025 BRA CONE: Levelized Revenue Requirement, $/MW-Year</t>
  </si>
  <si>
    <t>2021 IRM Study, endorsed at the October 20, 2021 MRC meeting...https://pjm.com/planning/resource-adequacy-planning/reserve-requirement-dev-process</t>
  </si>
  <si>
    <t>CETL (Capacity Emergency Transfer Limit)</t>
  </si>
  <si>
    <t>CETO (Capacity Emergency Transfer Objective)</t>
  </si>
  <si>
    <t>TIDD  - Collier  345 kV  for the loss of Wylie Ridge - Toronto 345 kV line</t>
  </si>
  <si>
    <t>Voltage collapse for the loss of the Conastone - Brighton 500 kV line</t>
  </si>
  <si>
    <t>Voltage drop at Crestwood Q-1 and Crestwood Q-3 for the loss of ATSI_P1-2_CEI-138-006A_SRT-A</t>
  </si>
  <si>
    <t>Mitchell-Wilson 138 kV line for the loss of the Cabot-Keystone 500 kV line
Bosserman-Michigan City 138 kV line for the loss of the Bosserman-Trail Creek 138 kV line
New Carlisle-Bosserman 138 kV circuit No. 2 for the loss of the New Carlisle-Bosserman 138 kV circuit No.1
South Bend 138 kV bus tie for the loss of the Olive 345/138 kV No. 2 transformer
Gosney Hill-Stull Run 138 kV for the loss of the Kammer 765/500 kV No. 5 transformer
Krendale-Shanor Manor 138 kV for the loss of the Cabot-Cranberry 500 kV line</t>
  </si>
  <si>
    <t>Cedar Creek - Silver Run 230 kV for the loss of Cartanza - Silver Run 230 kV
Keeney - Rock Springs 500 kV for the loss of Peach Bottom - Limerick 500 kV</t>
  </si>
  <si>
    <t>Voltage drop at Black Oak 500 kV for the loss of the 500/138 kV transformer, SVC and Capacitor at Black Oak</t>
  </si>
  <si>
    <t>Doubs - Brighton 500 kV for the loss of Burches Hill - Possum Point 500 kV</t>
  </si>
  <si>
    <t>Brighton - Waugh Chapel 500 kV  for the loss of  Burches Hill - Possum Point 500 kV
Chalk Point 500/230 kV transformer for the loss 223983 CHALK230      230  1 for Chalk Point 230 kV bus tie
safe Horbor - Graceton 230 kV for the loss of Peach Bottom - Conastone 500 kV
North West - Conastone 230 kV ckt 2310 for the loss of the  North West - Conastone 230 kV ckt 2322</t>
  </si>
  <si>
    <t>Eldred - Sunbury 230 kV for the loss of Montour - Columbia 230 kV
Wescosville 500/230 kV transformer pre-contingency</t>
  </si>
  <si>
    <t>Brunswick - Meadow Road 230 kV ckt Z2331 for the loss of Metuchen -Pierson Ave - Meadow Rd- Deans 230 kV ckt s2219
Aldene - Stanley Terrance  230kV  for the loss of WEST ORANGE - ORANGE HEIGHTS 230 kV
Roseland - Williams 230 kV for the loss of Roseland - Cedar Grove 230 kV</t>
  </si>
  <si>
    <t>Aldene - Stanley Terrance  230kV   for the loss of WEST ORANGE - ORANGE HEIGHTS 230 kV
Aldene - Stanley Terrance  230kV   for the loss of ALDENE TO SPRINGFIELD ROAD 230 kV
ROSELAND - Williams PIPE   230 kV for the loss of Roseland - Cedar Grove 230 kV</t>
  </si>
  <si>
    <t>Voltage collapse for the loss of Conastone - Brighton 500 kV line</t>
  </si>
  <si>
    <t>b3021</t>
  </si>
  <si>
    <t>Rebuild 500kV Line #581 Ladysmith to Chancellor - 15.2 miles long</t>
  </si>
  <si>
    <t>b3332</t>
  </si>
  <si>
    <t>Rerate the 23076 Steel-Milford 230 kV line</t>
  </si>
  <si>
    <t>b3698</t>
  </si>
  <si>
    <t>Reconductor the 14.2 miles of the existing Juniata-Cumberland 230 kV line with 1272 ACSS/TW HS285 "Pheasant" conductor.</t>
  </si>
  <si>
    <t>b3321</t>
  </si>
  <si>
    <t>Rebuild Cranes Corner-Stafford 230 kV line</t>
  </si>
  <si>
    <t>b3318</t>
  </si>
  <si>
    <t>Reconductor the Shanor Manor - Butler 138 kV line with an upgraded circuit breaker at Butler</t>
  </si>
  <si>
    <t>&gt;2,001.0</t>
  </si>
  <si>
    <t>&gt;1,725.0</t>
  </si>
  <si>
    <t>&gt;1,127.0</t>
  </si>
  <si>
    <t>&gt;3,530.5</t>
  </si>
  <si>
    <t>&gt;1,426.0</t>
  </si>
  <si>
    <t>&gt;793.5</t>
  </si>
  <si>
    <t>&gt;3,231.5</t>
  </si>
  <si>
    <t>&gt;2,909.5</t>
  </si>
  <si>
    <t>&gt;1,794.0</t>
  </si>
  <si>
    <t>* The 2023/2024 BRA CONE values are based on PJM’s Quadrennial Review filing (Docket No. ER19-105) which was FERC approved on April 15, 2019.</t>
  </si>
  <si>
    <t>PeachBottom-Conastone 500 kv Line pre contingency
Beckjord - Pierce 138kV line for the loss of Pierce - Foster 345 kv line</t>
  </si>
  <si>
    <t>New Key Transmission Upgrades included for 2024/2025 model</t>
  </si>
  <si>
    <t>Key Transmission Upgrades included for 2023/2024 model but not included for 2024/2025 model</t>
  </si>
  <si>
    <t>Post-Auction Credit Rate, $/MW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</si>
</sst>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#,##0.0"/>
    <numFmt numFmtId="165" formatCode="&quot;$&quot;#,##0.00"/>
    <numFmt numFmtId="166" formatCode="0.0%"/>
    <numFmt numFmtId="167" formatCode="0.0000"/>
    <numFmt numFmtId="168" formatCode="0.0"/>
    <numFmt numFmtId="169" formatCode="0.00000"/>
    <numFmt numFmtId="170" formatCode="0.000"/>
    <numFmt numFmtId="171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E4EC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wrapText="1"/>
    </xf>
    <xf numFmtId="0" fontId="16" fillId="0" borderId="0"/>
    <xf numFmtId="0" fontId="9" fillId="0" borderId="0"/>
    <xf numFmtId="0" fontId="9" fillId="0" borderId="0">
      <alignment wrapText="1"/>
    </xf>
    <xf numFmtId="0" fontId="1" fillId="0" borderId="0"/>
    <xf numFmtId="0" fontId="9" fillId="0" borderId="0"/>
  </cellStyleXfs>
  <cellXfs count="219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" fontId="5" fillId="0" borderId="0" xfId="0" applyNumberFormat="1" applyFont="1" applyBorder="1" applyAlignment="1">
      <alignment horizontal="left" vertical="center"/>
    </xf>
    <xf numFmtId="165" fontId="5" fillId="0" borderId="0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0" fontId="6" fillId="2" borderId="8" xfId="0" applyFont="1" applyFill="1" applyBorder="1" applyAlignment="1">
      <alignment horizontal="left" vertical="center" wrapText="1"/>
    </xf>
    <xf numFmtId="165" fontId="6" fillId="2" borderId="9" xfId="0" applyNumberFormat="1" applyFont="1" applyFill="1" applyBorder="1" applyAlignment="1">
      <alignment horizontal="right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right" vertical="center" wrapText="1"/>
    </xf>
    <xf numFmtId="165" fontId="6" fillId="2" borderId="11" xfId="0" applyNumberFormat="1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65" fontId="7" fillId="0" borderId="4" xfId="0" applyNumberFormat="1" applyFont="1" applyFill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 wrapText="1"/>
    </xf>
    <xf numFmtId="168" fontId="6" fillId="0" borderId="1" xfId="0" applyNumberFormat="1" applyFont="1" applyBorder="1" applyAlignment="1">
      <alignment horizontal="right" vertical="center"/>
    </xf>
    <xf numFmtId="168" fontId="6" fillId="0" borderId="1" xfId="0" applyNumberFormat="1" applyFont="1" applyFill="1" applyBorder="1" applyAlignment="1">
      <alignment horizontal="right" vertical="center"/>
    </xf>
    <xf numFmtId="166" fontId="6" fillId="0" borderId="1" xfId="2" applyNumberFormat="1" applyFont="1" applyFill="1" applyBorder="1" applyAlignment="1">
      <alignment horizontal="right" vertical="center"/>
    </xf>
    <xf numFmtId="166" fontId="6" fillId="0" borderId="1" xfId="2" applyNumberFormat="1" applyFont="1" applyBorder="1" applyAlignment="1">
      <alignment horizontal="right" vertical="center"/>
    </xf>
    <xf numFmtId="0" fontId="6" fillId="0" borderId="15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164" fontId="0" fillId="0" borderId="0" xfId="0" applyNumberFormat="1" applyBorder="1" applyAlignment="1">
      <alignment horizontal="left"/>
    </xf>
    <xf numFmtId="0" fontId="9" fillId="0" borderId="0" xfId="0" applyFont="1"/>
    <xf numFmtId="0" fontId="9" fillId="0" borderId="0" xfId="0" applyFont="1" applyFill="1" applyBorder="1"/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164" fontId="6" fillId="0" borderId="1" xfId="2" applyNumberFormat="1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Border="1"/>
    <xf numFmtId="0" fontId="2" fillId="0" borderId="0" xfId="0" applyFont="1" applyAlignment="1"/>
    <xf numFmtId="0" fontId="5" fillId="0" borderId="0" xfId="0" applyFont="1" applyAlignment="1">
      <alignment horizontal="left" vertical="center" wrapText="1"/>
    </xf>
    <xf numFmtId="10" fontId="4" fillId="3" borderId="1" xfId="2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/>
    </xf>
    <xf numFmtId="8" fontId="0" fillId="0" borderId="0" xfId="0" applyNumberFormat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4" fillId="4" borderId="21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wrapText="1"/>
    </xf>
    <xf numFmtId="6" fontId="6" fillId="0" borderId="9" xfId="0" applyNumberFormat="1" applyFont="1" applyBorder="1" applyAlignment="1">
      <alignment horizontal="center" vertical="center" wrapText="1"/>
    </xf>
    <xf numFmtId="170" fontId="6" fillId="0" borderId="9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6" fillId="4" borderId="5" xfId="0" applyFont="1" applyFill="1" applyBorder="1" applyAlignment="1">
      <alignment horizontal="left" vertical="center" wrapText="1"/>
    </xf>
    <xf numFmtId="6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71" fontId="6" fillId="0" borderId="1" xfId="0" applyNumberFormat="1" applyFont="1" applyBorder="1" applyAlignment="1">
      <alignment horizontal="center"/>
    </xf>
    <xf numFmtId="171" fontId="6" fillId="0" borderId="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left" vertical="center" wrapText="1"/>
    </xf>
    <xf numFmtId="6" fontId="6" fillId="0" borderId="13" xfId="0" applyNumberFormat="1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 wrapText="1"/>
    </xf>
    <xf numFmtId="171" fontId="6" fillId="0" borderId="13" xfId="0" applyNumberFormat="1" applyFont="1" applyFill="1" applyBorder="1" applyAlignment="1">
      <alignment horizontal="center" vertical="center" wrapText="1"/>
    </xf>
    <xf numFmtId="171" fontId="6" fillId="0" borderId="13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171" fontId="6" fillId="0" borderId="9" xfId="0" applyNumberFormat="1" applyFont="1" applyFill="1" applyBorder="1" applyAlignment="1">
      <alignment horizontal="center" vertical="center" wrapText="1"/>
    </xf>
    <xf numFmtId="171" fontId="6" fillId="0" borderId="9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6" fillId="4" borderId="5" xfId="0" applyFont="1" applyFill="1" applyBorder="1" applyAlignment="1">
      <alignment wrapText="1"/>
    </xf>
    <xf numFmtId="171" fontId="6" fillId="0" borderId="1" xfId="0" applyNumberFormat="1" applyFont="1" applyFill="1" applyBorder="1" applyAlignment="1">
      <alignment horizontal="center"/>
    </xf>
    <xf numFmtId="0" fontId="4" fillId="4" borderId="21" xfId="0" applyFont="1" applyFill="1" applyBorder="1" applyAlignment="1">
      <alignment horizontal="left" vertical="center" wrapText="1"/>
    </xf>
    <xf numFmtId="6" fontId="6" fillId="0" borderId="22" xfId="0" applyNumberFormat="1" applyFont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171" fontId="6" fillId="0" borderId="22" xfId="0" applyNumberFormat="1" applyFont="1" applyBorder="1" applyAlignment="1">
      <alignment horizontal="center"/>
    </xf>
    <xf numFmtId="171" fontId="6" fillId="0" borderId="22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171" fontId="6" fillId="0" borderId="0" xfId="0" applyNumberFormat="1" applyFont="1" applyFill="1" applyBorder="1" applyAlignment="1">
      <alignment vertical="center" wrapText="1"/>
    </xf>
    <xf numFmtId="0" fontId="6" fillId="5" borderId="8" xfId="0" applyFont="1" applyFill="1" applyBorder="1" applyAlignment="1">
      <alignment horizontal="left" vertical="center" wrapText="1"/>
    </xf>
    <xf numFmtId="165" fontId="6" fillId="5" borderId="9" xfId="0" applyNumberFormat="1" applyFont="1" applyFill="1" applyBorder="1" applyAlignment="1">
      <alignment horizontal="right" vertical="center" wrapText="1"/>
    </xf>
    <xf numFmtId="165" fontId="6" fillId="5" borderId="10" xfId="0" applyNumberFormat="1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left" vertical="center" wrapText="1"/>
    </xf>
    <xf numFmtId="165" fontId="6" fillId="5" borderId="1" xfId="0" applyNumberFormat="1" applyFont="1" applyFill="1" applyBorder="1" applyAlignment="1">
      <alignment horizontal="right" vertical="center" wrapText="1"/>
    </xf>
    <xf numFmtId="165" fontId="6" fillId="5" borderId="11" xfId="0" applyNumberFormat="1" applyFont="1" applyFill="1" applyBorder="1" applyAlignment="1">
      <alignment horizontal="right" vertical="center" wrapText="1"/>
    </xf>
    <xf numFmtId="164" fontId="6" fillId="5" borderId="1" xfId="0" applyNumberFormat="1" applyFont="1" applyFill="1" applyBorder="1" applyAlignment="1">
      <alignment horizontal="right" vertical="center" wrapText="1"/>
    </xf>
    <xf numFmtId="164" fontId="6" fillId="5" borderId="11" xfId="0" applyNumberFormat="1" applyFont="1" applyFill="1" applyBorder="1" applyAlignment="1">
      <alignment horizontal="right" vertical="center" wrapText="1"/>
    </xf>
    <xf numFmtId="0" fontId="6" fillId="5" borderId="12" xfId="0" applyFont="1" applyFill="1" applyBorder="1" applyAlignment="1">
      <alignment horizontal="left" vertical="center" wrapText="1"/>
    </xf>
    <xf numFmtId="164" fontId="6" fillId="5" borderId="13" xfId="0" applyNumberFormat="1" applyFont="1" applyFill="1" applyBorder="1" applyAlignment="1">
      <alignment horizontal="right" vertical="center" wrapText="1"/>
    </xf>
    <xf numFmtId="164" fontId="6" fillId="5" borderId="14" xfId="0" applyNumberFormat="1" applyFont="1" applyFill="1" applyBorder="1" applyAlignment="1">
      <alignment horizontal="right" vertical="center" wrapText="1"/>
    </xf>
    <xf numFmtId="164" fontId="6" fillId="6" borderId="4" xfId="0" applyNumberFormat="1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horizontal="lef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165" fontId="6" fillId="2" borderId="14" xfId="0" applyNumberFormat="1" applyFont="1" applyFill="1" applyBorder="1" applyAlignment="1">
      <alignment horizontal="right" vertical="center" wrapText="1"/>
    </xf>
    <xf numFmtId="0" fontId="6" fillId="8" borderId="8" xfId="0" applyFont="1" applyFill="1" applyBorder="1" applyAlignment="1">
      <alignment horizontal="left" vertical="center" wrapText="1"/>
    </xf>
    <xf numFmtId="164" fontId="6" fillId="8" borderId="9" xfId="0" applyNumberFormat="1" applyFont="1" applyFill="1" applyBorder="1" applyAlignment="1">
      <alignment horizontal="right" vertical="center" wrapText="1"/>
    </xf>
    <xf numFmtId="0" fontId="6" fillId="8" borderId="5" xfId="0" applyFont="1" applyFill="1" applyBorder="1" applyAlignment="1">
      <alignment horizontal="left" vertical="center" wrapText="1"/>
    </xf>
    <xf numFmtId="164" fontId="6" fillId="8" borderId="1" xfId="0" applyNumberFormat="1" applyFont="1" applyFill="1" applyBorder="1" applyAlignment="1">
      <alignment horizontal="right" vertical="center" wrapText="1"/>
    </xf>
    <xf numFmtId="0" fontId="6" fillId="8" borderId="12" xfId="0" applyFont="1" applyFill="1" applyBorder="1" applyAlignment="1">
      <alignment horizontal="left" vertical="center" wrapText="1"/>
    </xf>
    <xf numFmtId="164" fontId="6" fillId="8" borderId="13" xfId="0" applyNumberFormat="1" applyFont="1" applyFill="1" applyBorder="1" applyAlignment="1">
      <alignment horizontal="right" vertical="center" wrapText="1"/>
    </xf>
    <xf numFmtId="0" fontId="15" fillId="0" borderId="21" xfId="3" applyFont="1" applyBorder="1" applyAlignment="1">
      <alignment vertical="center"/>
    </xf>
    <xf numFmtId="0" fontId="15" fillId="0" borderId="22" xfId="3" applyFont="1" applyBorder="1" applyAlignment="1">
      <alignment horizontal="center" vertical="center"/>
    </xf>
    <xf numFmtId="0" fontId="15" fillId="0" borderId="23" xfId="3" applyFont="1" applyBorder="1" applyAlignment="1">
      <alignment horizontal="center" vertical="center" wrapText="1"/>
    </xf>
    <xf numFmtId="0" fontId="9" fillId="0" borderId="1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0" fillId="0" borderId="0" xfId="0" applyFill="1"/>
    <xf numFmtId="0" fontId="15" fillId="0" borderId="5" xfId="3" applyFont="1" applyBorder="1" applyAlignment="1">
      <alignment vertical="center"/>
    </xf>
    <xf numFmtId="0" fontId="15" fillId="0" borderId="1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11" xfId="0" applyFont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0" fillId="0" borderId="12" xfId="0" applyFont="1" applyBorder="1" applyAlignment="1">
      <alignment vertical="top"/>
    </xf>
    <xf numFmtId="0" fontId="0" fillId="0" borderId="13" xfId="0" applyFont="1" applyBorder="1" applyAlignment="1">
      <alignment vertical="top" wrapText="1"/>
    </xf>
    <xf numFmtId="0" fontId="0" fillId="0" borderId="14" xfId="0" applyFont="1" applyBorder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164" fontId="9" fillId="0" borderId="0" xfId="0" applyNumberFormat="1" applyFont="1" applyFill="1" applyBorder="1" applyAlignment="1">
      <alignment vertical="center"/>
    </xf>
    <xf numFmtId="164" fontId="0" fillId="0" borderId="0" xfId="0" applyNumberFormat="1"/>
    <xf numFmtId="166" fontId="6" fillId="9" borderId="2" xfId="0" applyNumberFormat="1" applyFont="1" applyFill="1" applyBorder="1" applyAlignment="1">
      <alignment horizontal="right" vertical="center"/>
    </xf>
    <xf numFmtId="10" fontId="6" fillId="9" borderId="2" xfId="0" applyNumberFormat="1" applyFont="1" applyFill="1" applyBorder="1" applyAlignment="1">
      <alignment horizontal="right" vertical="center"/>
    </xf>
    <xf numFmtId="167" fontId="6" fillId="9" borderId="2" xfId="0" applyNumberFormat="1" applyFont="1" applyFill="1" applyBorder="1" applyAlignment="1">
      <alignment horizontal="right" vertical="center"/>
    </xf>
    <xf numFmtId="164" fontId="7" fillId="9" borderId="2" xfId="0" applyNumberFormat="1" applyFont="1" applyFill="1" applyBorder="1" applyAlignment="1">
      <alignment horizontal="right" vertical="center"/>
    </xf>
    <xf numFmtId="0" fontId="2" fillId="10" borderId="0" xfId="0" applyFont="1" applyFill="1" applyAlignment="1"/>
    <xf numFmtId="0" fontId="6" fillId="9" borderId="5" xfId="0" applyFont="1" applyFill="1" applyBorder="1" applyAlignment="1">
      <alignment horizontal="left" vertical="center" wrapText="1"/>
    </xf>
    <xf numFmtId="1" fontId="6" fillId="9" borderId="5" xfId="0" applyNumberFormat="1" applyFont="1" applyFill="1" applyBorder="1" applyAlignment="1">
      <alignment horizontal="left" vertical="center" wrapText="1"/>
    </xf>
    <xf numFmtId="1" fontId="6" fillId="9" borderId="5" xfId="0" applyNumberFormat="1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1" fontId="6" fillId="9" borderId="6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3" fontId="6" fillId="0" borderId="0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164" fontId="4" fillId="0" borderId="7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168" fontId="7" fillId="0" borderId="1" xfId="0" applyNumberFormat="1" applyFont="1" applyFill="1" applyBorder="1" applyAlignment="1">
      <alignment horizontal="right" vertical="center" wrapText="1"/>
    </xf>
    <xf numFmtId="164" fontId="7" fillId="0" borderId="1" xfId="2" applyNumberFormat="1" applyFont="1" applyFill="1" applyBorder="1" applyAlignment="1">
      <alignment horizontal="right" vertical="center"/>
    </xf>
    <xf numFmtId="164" fontId="7" fillId="0" borderId="6" xfId="2" applyNumberFormat="1" applyFont="1" applyFill="1" applyBorder="1" applyAlignment="1">
      <alignment horizontal="right" vertical="center"/>
    </xf>
    <xf numFmtId="169" fontId="7" fillId="0" borderId="1" xfId="2" applyNumberFormat="1" applyFont="1" applyFill="1" applyBorder="1" applyAlignment="1">
      <alignment horizontal="right" vertical="center"/>
    </xf>
    <xf numFmtId="164" fontId="6" fillId="0" borderId="4" xfId="2" applyNumberFormat="1" applyFont="1" applyFill="1" applyBorder="1" applyAlignment="1">
      <alignment horizontal="right" vertical="center"/>
    </xf>
    <xf numFmtId="169" fontId="6" fillId="0" borderId="1" xfId="2" applyNumberFormat="1" applyFont="1" applyFill="1" applyBorder="1" applyAlignment="1">
      <alignment horizontal="right" vertical="center"/>
    </xf>
    <xf numFmtId="9" fontId="6" fillId="0" borderId="1" xfId="2" applyFont="1" applyFill="1" applyBorder="1" applyAlignment="1">
      <alignment horizontal="right" vertical="center" wrapText="1"/>
    </xf>
    <xf numFmtId="164" fontId="6" fillId="0" borderId="1" xfId="2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168" fontId="6" fillId="0" borderId="1" xfId="2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/>
    </xf>
    <xf numFmtId="164" fontId="10" fillId="0" borderId="1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14" fontId="2" fillId="0" borderId="0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2" xfId="0" quotePrefix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64" fontId="11" fillId="0" borderId="7" xfId="2" applyNumberFormat="1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2" fillId="10" borderId="28" xfId="3" applyFont="1" applyFill="1" applyBorder="1" applyAlignment="1">
      <alignment horizontal="center" vertical="center"/>
    </xf>
    <xf numFmtId="0" fontId="2" fillId="10" borderId="29" xfId="3" applyFont="1" applyFill="1" applyBorder="1" applyAlignment="1">
      <alignment horizontal="center" vertical="center"/>
    </xf>
    <xf numFmtId="0" fontId="2" fillId="10" borderId="30" xfId="3" applyFont="1" applyFill="1" applyBorder="1" applyAlignment="1">
      <alignment horizontal="center" vertical="center"/>
    </xf>
    <xf numFmtId="0" fontId="2" fillId="10" borderId="25" xfId="6" applyFont="1" applyFill="1" applyBorder="1" applyAlignment="1">
      <alignment horizontal="center" vertical="center"/>
    </xf>
    <xf numFmtId="0" fontId="2" fillId="10" borderId="26" xfId="6" applyFont="1" applyFill="1" applyBorder="1" applyAlignment="1">
      <alignment horizontal="center" vertical="center"/>
    </xf>
    <xf numFmtId="0" fontId="2" fillId="10" borderId="27" xfId="6" applyFont="1" applyFill="1" applyBorder="1" applyAlignment="1">
      <alignment horizontal="center" vertical="center"/>
    </xf>
  </cellXfs>
  <cellStyles count="9">
    <cellStyle name="Comma" xfId="1" builtinId="3"/>
    <cellStyle name="Normal" xfId="0" builtinId="0"/>
    <cellStyle name="Normal 10 2" xfId="5"/>
    <cellStyle name="Normal 2 2" xfId="3"/>
    <cellStyle name="Normal 2 2 2" xfId="6"/>
    <cellStyle name="Normal 3 7" xfId="4"/>
    <cellStyle name="Normal 4 3" xfId="8"/>
    <cellStyle name="Normal 5" xfId="7"/>
    <cellStyle name="Percent" xfId="2" builtinId="5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E4DFEC"/>
      <color rgb="FFEEE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tabSelected="1" zoomScale="85" zoomScaleNormal="85" workbookViewId="0"/>
  </sheetViews>
  <sheetFormatPr defaultRowHeight="15" x14ac:dyDescent="0.25"/>
  <cols>
    <col min="1" max="1" width="60.85546875" customWidth="1"/>
    <col min="2" max="16" width="16.85546875" customWidth="1"/>
  </cols>
  <sheetData>
    <row r="1" spans="1:19" ht="18" x14ac:dyDescent="0.25">
      <c r="A1" s="1" t="s">
        <v>125</v>
      </c>
      <c r="B1" s="1"/>
      <c r="C1" s="2"/>
      <c r="D1" s="181">
        <v>45420</v>
      </c>
      <c r="E1" s="2"/>
      <c r="F1" s="3" t="s">
        <v>0</v>
      </c>
      <c r="G1" s="160"/>
      <c r="H1" s="5"/>
      <c r="I1" s="6" t="s">
        <v>0</v>
      </c>
      <c r="J1" s="7" t="s">
        <v>0</v>
      </c>
    </row>
    <row r="2" spans="1:19" ht="15.75" x14ac:dyDescent="0.25">
      <c r="A2" s="8" t="s">
        <v>0</v>
      </c>
      <c r="B2" s="9"/>
      <c r="C2" s="9"/>
      <c r="D2" s="9"/>
      <c r="E2" s="9"/>
      <c r="F2" s="9"/>
      <c r="G2" s="9"/>
      <c r="H2" s="9"/>
      <c r="I2" s="7" t="s">
        <v>0</v>
      </c>
      <c r="J2" s="10" t="s">
        <v>0</v>
      </c>
      <c r="K2" s="9" t="s">
        <v>0</v>
      </c>
      <c r="L2" s="9"/>
      <c r="M2" s="11" t="s">
        <v>0</v>
      </c>
      <c r="N2" s="9"/>
    </row>
    <row r="3" spans="1:19" ht="18" x14ac:dyDescent="0.25">
      <c r="A3" s="156" t="s">
        <v>0</v>
      </c>
      <c r="B3" s="12" t="s">
        <v>1</v>
      </c>
      <c r="C3" s="205" t="s">
        <v>2</v>
      </c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</row>
    <row r="4" spans="1:19" x14ac:dyDescent="0.25">
      <c r="A4" s="156" t="s">
        <v>3</v>
      </c>
      <c r="B4" s="145">
        <v>0.14699999999999999</v>
      </c>
      <c r="C4" s="206" t="s">
        <v>129</v>
      </c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</row>
    <row r="5" spans="1:19" x14ac:dyDescent="0.25">
      <c r="A5" s="156" t="s">
        <v>4</v>
      </c>
      <c r="B5" s="146">
        <v>5.0200000000000002E-2</v>
      </c>
      <c r="C5" s="206" t="s">
        <v>120</v>
      </c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</row>
    <row r="6" spans="1:19" x14ac:dyDescent="0.25">
      <c r="A6" s="156" t="s">
        <v>5</v>
      </c>
      <c r="B6" s="147">
        <v>1.0893999999999999</v>
      </c>
      <c r="C6" s="206" t="s">
        <v>120</v>
      </c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</row>
    <row r="7" spans="1:19" x14ac:dyDescent="0.25">
      <c r="A7" s="156" t="s">
        <v>6</v>
      </c>
      <c r="B7" s="148">
        <f>F46</f>
        <v>150640.31537688442</v>
      </c>
      <c r="C7" s="207" t="s">
        <v>123</v>
      </c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</row>
    <row r="8" spans="1:19" ht="15.75" x14ac:dyDescent="0.25">
      <c r="A8" s="156" t="s">
        <v>0</v>
      </c>
      <c r="B8" s="13" t="s">
        <v>0</v>
      </c>
      <c r="C8" s="190" t="s">
        <v>7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</row>
    <row r="9" spans="1:19" ht="15.75" x14ac:dyDescent="0.25">
      <c r="A9" s="14" t="s">
        <v>0</v>
      </c>
      <c r="B9" s="15" t="s">
        <v>1</v>
      </c>
      <c r="C9" s="15" t="s">
        <v>8</v>
      </c>
      <c r="D9" s="15" t="s">
        <v>9</v>
      </c>
      <c r="E9" s="15" t="s">
        <v>10</v>
      </c>
      <c r="F9" s="15" t="s">
        <v>11</v>
      </c>
      <c r="G9" s="15" t="s">
        <v>12</v>
      </c>
      <c r="H9" s="15" t="s">
        <v>13</v>
      </c>
      <c r="I9" s="15" t="s">
        <v>14</v>
      </c>
      <c r="J9" s="16" t="s">
        <v>15</v>
      </c>
      <c r="K9" s="16" t="s">
        <v>16</v>
      </c>
      <c r="L9" s="17" t="s">
        <v>17</v>
      </c>
      <c r="M9" s="17" t="s">
        <v>18</v>
      </c>
      <c r="N9" s="17" t="s">
        <v>19</v>
      </c>
      <c r="O9" s="17" t="s">
        <v>20</v>
      </c>
      <c r="P9" s="17" t="s">
        <v>21</v>
      </c>
    </row>
    <row r="10" spans="1:19" x14ac:dyDescent="0.25">
      <c r="A10" s="150" t="s">
        <v>22</v>
      </c>
      <c r="B10" s="19" t="s">
        <v>23</v>
      </c>
      <c r="C10" s="20">
        <v>-4760</v>
      </c>
      <c r="D10" s="20">
        <v>2740</v>
      </c>
      <c r="E10" s="20">
        <v>6060</v>
      </c>
      <c r="F10" s="20">
        <v>5630</v>
      </c>
      <c r="G10" s="20">
        <v>2560</v>
      </c>
      <c r="H10" s="20">
        <v>1420</v>
      </c>
      <c r="I10" s="20">
        <v>4220</v>
      </c>
      <c r="J10" s="20">
        <v>5080</v>
      </c>
      <c r="K10" s="20">
        <v>3560</v>
      </c>
      <c r="L10" s="20">
        <v>-4570</v>
      </c>
      <c r="M10" s="20">
        <v>4660</v>
      </c>
      <c r="N10" s="20">
        <v>-30</v>
      </c>
      <c r="O10" s="20">
        <v>2470</v>
      </c>
      <c r="P10" s="20">
        <v>3270</v>
      </c>
    </row>
    <row r="11" spans="1:19" x14ac:dyDescent="0.25">
      <c r="A11" s="150" t="s">
        <v>24</v>
      </c>
      <c r="B11" s="19" t="s">
        <v>23</v>
      </c>
      <c r="C11" s="20">
        <v>5965</v>
      </c>
      <c r="D11" s="20">
        <v>8594</v>
      </c>
      <c r="E11" s="20">
        <v>7947</v>
      </c>
      <c r="F11" s="20">
        <v>8287</v>
      </c>
      <c r="G11" s="20">
        <v>4253</v>
      </c>
      <c r="H11" s="20">
        <v>2009</v>
      </c>
      <c r="I11" s="20">
        <v>7033</v>
      </c>
      <c r="J11" s="20">
        <v>10465</v>
      </c>
      <c r="K11" s="20">
        <v>4941</v>
      </c>
      <c r="L11" s="20">
        <v>4640.3999999999996</v>
      </c>
      <c r="M11" s="20">
        <v>5397</v>
      </c>
      <c r="N11" s="20">
        <v>4337</v>
      </c>
      <c r="O11" s="20">
        <v>3918</v>
      </c>
      <c r="P11" s="20">
        <v>4999</v>
      </c>
    </row>
    <row r="12" spans="1:19" x14ac:dyDescent="0.25">
      <c r="A12" s="151" t="s">
        <v>25</v>
      </c>
      <c r="B12" s="19">
        <v>164107.6</v>
      </c>
      <c r="C12" s="20">
        <v>63518</v>
      </c>
      <c r="D12" s="20">
        <v>35415</v>
      </c>
      <c r="E12" s="20">
        <v>14299</v>
      </c>
      <c r="F12" s="20">
        <v>11166</v>
      </c>
      <c r="G12" s="20">
        <v>5715</v>
      </c>
      <c r="H12" s="20">
        <v>3514</v>
      </c>
      <c r="I12" s="20">
        <v>7151</v>
      </c>
      <c r="J12" s="20">
        <v>14434</v>
      </c>
      <c r="K12" s="20">
        <v>5374</v>
      </c>
      <c r="L12" s="20">
        <v>23859</v>
      </c>
      <c r="M12" s="20">
        <v>7514</v>
      </c>
      <c r="N12" s="20">
        <v>10214</v>
      </c>
      <c r="O12" s="20">
        <v>3922</v>
      </c>
      <c r="P12" s="20">
        <v>6881</v>
      </c>
    </row>
    <row r="13" spans="1:19" x14ac:dyDescent="0.25">
      <c r="A13" s="150" t="s">
        <v>26</v>
      </c>
      <c r="B13" s="21">
        <f>H46</f>
        <v>29421.618915533316</v>
      </c>
      <c r="C13" s="22">
        <f>H74</f>
        <v>0</v>
      </c>
      <c r="D13" s="22">
        <f>H71</f>
        <v>0</v>
      </c>
      <c r="E13" s="22">
        <f>H72</f>
        <v>0</v>
      </c>
      <c r="F13" s="22">
        <f>H68</f>
        <v>0</v>
      </c>
      <c r="G13" s="22">
        <f>H69</f>
        <v>0</v>
      </c>
      <c r="H13" s="22">
        <f>H59</f>
        <v>0</v>
      </c>
      <c r="I13" s="22">
        <f>H66</f>
        <v>0</v>
      </c>
      <c r="J13" s="22">
        <f>H50</f>
        <v>0</v>
      </c>
      <c r="K13" s="22">
        <f>H51</f>
        <v>0</v>
      </c>
      <c r="L13" s="21">
        <f>H53</f>
        <v>0</v>
      </c>
      <c r="M13" s="22">
        <f>H52</f>
        <v>0</v>
      </c>
      <c r="N13" s="22">
        <f>H67</f>
        <v>0</v>
      </c>
      <c r="O13" s="22">
        <f>H54</f>
        <v>0</v>
      </c>
      <c r="P13" s="23">
        <f>H55</f>
        <v>787.92430861723449</v>
      </c>
    </row>
    <row r="14" spans="1:19" x14ac:dyDescent="0.25">
      <c r="A14" s="150" t="s">
        <v>27</v>
      </c>
      <c r="B14" s="21">
        <f t="shared" ref="B14:P14" si="0">ROUND(B13*$B$6,1)</f>
        <v>32051.9</v>
      </c>
      <c r="C14" s="22">
        <f t="shared" si="0"/>
        <v>0</v>
      </c>
      <c r="D14" s="22">
        <f t="shared" si="0"/>
        <v>0</v>
      </c>
      <c r="E14" s="22">
        <f t="shared" si="0"/>
        <v>0</v>
      </c>
      <c r="F14" s="22">
        <f t="shared" si="0"/>
        <v>0</v>
      </c>
      <c r="G14" s="22">
        <f t="shared" si="0"/>
        <v>0</v>
      </c>
      <c r="H14" s="22">
        <f t="shared" si="0"/>
        <v>0</v>
      </c>
      <c r="I14" s="22">
        <f t="shared" si="0"/>
        <v>0</v>
      </c>
      <c r="J14" s="22">
        <f t="shared" si="0"/>
        <v>0</v>
      </c>
      <c r="K14" s="22">
        <f t="shared" si="0"/>
        <v>0</v>
      </c>
      <c r="L14" s="21">
        <f t="shared" si="0"/>
        <v>0</v>
      </c>
      <c r="M14" s="22">
        <f t="shared" si="0"/>
        <v>0</v>
      </c>
      <c r="N14" s="22">
        <f t="shared" si="0"/>
        <v>0</v>
      </c>
      <c r="O14" s="22">
        <f t="shared" si="0"/>
        <v>0</v>
      </c>
      <c r="P14" s="23">
        <f t="shared" si="0"/>
        <v>858.4</v>
      </c>
      <c r="Q14" s="144"/>
      <c r="R14" s="161"/>
      <c r="S14" s="144"/>
    </row>
    <row r="15" spans="1:19" ht="15.75" x14ac:dyDescent="0.25">
      <c r="A15" s="152" t="s">
        <v>28</v>
      </c>
      <c r="B15" s="24">
        <f>B12-B14</f>
        <v>132055.70000000001</v>
      </c>
      <c r="C15" s="24">
        <f>C12-C14*C42</f>
        <v>63518</v>
      </c>
      <c r="D15" s="24">
        <f>D12-D14*D42</f>
        <v>35415</v>
      </c>
      <c r="E15" s="24">
        <f>E12-E14*E42</f>
        <v>14299</v>
      </c>
      <c r="F15" s="24">
        <f>F12-F14*F42</f>
        <v>11166</v>
      </c>
      <c r="G15" s="24">
        <f>G12-G14</f>
        <v>5715</v>
      </c>
      <c r="H15" s="24">
        <f>H12-H14</f>
        <v>3514</v>
      </c>
      <c r="I15" s="24">
        <f>I12-I14</f>
        <v>7151</v>
      </c>
      <c r="J15" s="24">
        <f>J12-J14*J42</f>
        <v>14434</v>
      </c>
      <c r="K15" s="24">
        <f>K12-K14</f>
        <v>5374</v>
      </c>
      <c r="L15" s="24">
        <f>L12-L14*L42</f>
        <v>23859</v>
      </c>
      <c r="M15" s="24">
        <f>M12-M14*M42</f>
        <v>7514</v>
      </c>
      <c r="N15" s="24">
        <f>N12-N14</f>
        <v>10214</v>
      </c>
      <c r="O15" s="24">
        <f>O12-O14</f>
        <v>3922</v>
      </c>
      <c r="P15" s="24">
        <f>P12-P14*P42</f>
        <v>6589.1440000000002</v>
      </c>
    </row>
    <row r="16" spans="1:19" x14ac:dyDescent="0.25">
      <c r="A16" s="153" t="s">
        <v>29</v>
      </c>
      <c r="B16" s="26">
        <f>'Net CONE'!E39</f>
        <v>348.94</v>
      </c>
      <c r="C16" s="26">
        <f>'Net CONE'!E27</f>
        <v>351.93</v>
      </c>
      <c r="D16" s="26">
        <f>'Net CONE'!E18</f>
        <v>355.14</v>
      </c>
      <c r="E16" s="26">
        <f>'Net CONE'!E22</f>
        <v>357.45</v>
      </c>
      <c r="F16" s="26">
        <f>'Net CONE'!E16</f>
        <v>355.14</v>
      </c>
      <c r="G16" s="26">
        <f>'Net CONE'!E16</f>
        <v>355.14</v>
      </c>
      <c r="H16" s="26">
        <f>'Net CONE'!E13</f>
        <v>355.14</v>
      </c>
      <c r="I16" s="26">
        <f>'Net CONE'!E21</f>
        <v>357.45</v>
      </c>
      <c r="J16" s="26">
        <f>'Net CONE'!E31</f>
        <v>341.33</v>
      </c>
      <c r="K16" s="26">
        <f>'Net CONE'!E31</f>
        <v>341.33</v>
      </c>
      <c r="L16" s="26">
        <f>'Net CONE'!E32</f>
        <v>341.33</v>
      </c>
      <c r="M16" s="26">
        <f>'Net CONE'!E20</f>
        <v>357.45</v>
      </c>
      <c r="N16" s="26">
        <f>'Net CONE'!E26</f>
        <v>341.83</v>
      </c>
      <c r="O16" s="26">
        <f>'Net CONE'!E33</f>
        <v>341.33</v>
      </c>
      <c r="P16" s="26">
        <f>'Net CONE'!E34</f>
        <v>341.33</v>
      </c>
    </row>
    <row r="17" spans="1:16" ht="15.75" x14ac:dyDescent="0.25">
      <c r="A17" s="154" t="s">
        <v>30</v>
      </c>
      <c r="B17" s="28">
        <f>'Net CONE'!J39</f>
        <v>293.19</v>
      </c>
      <c r="C17" s="28">
        <f>'Net CONE'!J27</f>
        <v>294.06</v>
      </c>
      <c r="D17" s="28">
        <f>'Net CONE'!J18</f>
        <v>312.39</v>
      </c>
      <c r="E17" s="28">
        <f>'Net CONE'!J22</f>
        <v>261.07</v>
      </c>
      <c r="F17" s="28">
        <f>'Net CONE'!J16</f>
        <v>321.20999999999998</v>
      </c>
      <c r="G17" s="28">
        <f>'Net CONE'!J16</f>
        <v>321.20999999999998</v>
      </c>
      <c r="H17" s="28">
        <f>'Net CONE'!J13</f>
        <v>284.11</v>
      </c>
      <c r="I17" s="28">
        <f>'Net CONE'!J21</f>
        <v>288.07</v>
      </c>
      <c r="J17" s="28">
        <f>'Net CONE'!J31</f>
        <v>279.35000000000002</v>
      </c>
      <c r="K17" s="28">
        <f>'Net CONE'!J31</f>
        <v>279.35000000000002</v>
      </c>
      <c r="L17" s="28">
        <f>'Net CONE'!J32</f>
        <v>302.76</v>
      </c>
      <c r="M17" s="28">
        <f>'Net CONE'!J20</f>
        <v>234.07</v>
      </c>
      <c r="N17" s="28">
        <f>'Net CONE'!J26</f>
        <v>297.25</v>
      </c>
      <c r="O17" s="28">
        <f>'Net CONE'!J33</f>
        <v>262.17</v>
      </c>
      <c r="P17" s="28">
        <f>'Net CONE'!J34</f>
        <v>268.26</v>
      </c>
    </row>
    <row r="18" spans="1:16" x14ac:dyDescent="0.25">
      <c r="A18" s="155" t="s">
        <v>31</v>
      </c>
      <c r="B18" s="162">
        <v>7667.2000000000007</v>
      </c>
      <c r="C18" s="19">
        <v>3392.3</v>
      </c>
      <c r="D18" s="19">
        <v>1906.6999999999998</v>
      </c>
      <c r="E18" s="19">
        <v>766.2</v>
      </c>
      <c r="F18" s="19">
        <v>676.5</v>
      </c>
      <c r="G18" s="19">
        <v>329.50000000000006</v>
      </c>
      <c r="H18" s="19">
        <v>99.800000000000011</v>
      </c>
      <c r="I18" s="19">
        <v>387.6</v>
      </c>
      <c r="J18" s="162">
        <v>579.59999999999991</v>
      </c>
      <c r="K18" s="19">
        <v>54.9</v>
      </c>
      <c r="L18" s="19">
        <v>1063.3</v>
      </c>
      <c r="M18" s="19">
        <v>378.59999999999997</v>
      </c>
      <c r="N18" s="19">
        <v>377.59999999999997</v>
      </c>
      <c r="O18" s="19">
        <v>126.99999999999999</v>
      </c>
      <c r="P18" s="19">
        <v>183.9</v>
      </c>
    </row>
    <row r="19" spans="1:16" ht="16.5" thickBot="1" x14ac:dyDescent="0.3">
      <c r="A19" s="191" t="s">
        <v>32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</row>
    <row r="20" spans="1:16" x14ac:dyDescent="0.25">
      <c r="A20" s="102" t="s">
        <v>33</v>
      </c>
      <c r="B20" s="103">
        <f t="shared" ref="B20:P20" si="1">ROUND(MAX(B16,1.5*B17),2)</f>
        <v>439.79</v>
      </c>
      <c r="C20" s="103">
        <f t="shared" si="1"/>
        <v>441.09</v>
      </c>
      <c r="D20" s="103">
        <f t="shared" si="1"/>
        <v>468.59</v>
      </c>
      <c r="E20" s="103">
        <f t="shared" si="1"/>
        <v>391.61</v>
      </c>
      <c r="F20" s="103">
        <f>ROUND(MAX(F16,1.5*F17),2)</f>
        <v>481.82</v>
      </c>
      <c r="G20" s="103">
        <f t="shared" si="1"/>
        <v>481.82</v>
      </c>
      <c r="H20" s="103">
        <f t="shared" si="1"/>
        <v>426.17</v>
      </c>
      <c r="I20" s="103">
        <f t="shared" si="1"/>
        <v>432.11</v>
      </c>
      <c r="J20" s="103">
        <f t="shared" si="1"/>
        <v>419.03</v>
      </c>
      <c r="K20" s="103">
        <f t="shared" si="1"/>
        <v>419.03</v>
      </c>
      <c r="L20" s="103">
        <f t="shared" si="1"/>
        <v>454.14</v>
      </c>
      <c r="M20" s="103">
        <f t="shared" si="1"/>
        <v>357.45</v>
      </c>
      <c r="N20" s="103">
        <f t="shared" si="1"/>
        <v>445.88</v>
      </c>
      <c r="O20" s="103">
        <f t="shared" si="1"/>
        <v>393.26</v>
      </c>
      <c r="P20" s="104">
        <f t="shared" si="1"/>
        <v>402.39</v>
      </c>
    </row>
    <row r="21" spans="1:16" x14ac:dyDescent="0.25">
      <c r="A21" s="105" t="s">
        <v>34</v>
      </c>
      <c r="B21" s="106">
        <f t="shared" ref="B21:P21" si="2">ROUND(B$17*0.75,2)</f>
        <v>219.89</v>
      </c>
      <c r="C21" s="106">
        <f t="shared" si="2"/>
        <v>220.55</v>
      </c>
      <c r="D21" s="106">
        <f t="shared" si="2"/>
        <v>234.29</v>
      </c>
      <c r="E21" s="106">
        <f t="shared" si="2"/>
        <v>195.8</v>
      </c>
      <c r="F21" s="106">
        <f t="shared" si="2"/>
        <v>240.91</v>
      </c>
      <c r="G21" s="106">
        <f t="shared" si="2"/>
        <v>240.91</v>
      </c>
      <c r="H21" s="106">
        <f t="shared" si="2"/>
        <v>213.08</v>
      </c>
      <c r="I21" s="106">
        <f t="shared" si="2"/>
        <v>216.05</v>
      </c>
      <c r="J21" s="106">
        <f t="shared" si="2"/>
        <v>209.51</v>
      </c>
      <c r="K21" s="106">
        <f t="shared" si="2"/>
        <v>209.51</v>
      </c>
      <c r="L21" s="106">
        <f t="shared" si="2"/>
        <v>227.07</v>
      </c>
      <c r="M21" s="106">
        <f t="shared" si="2"/>
        <v>175.55</v>
      </c>
      <c r="N21" s="106">
        <f t="shared" si="2"/>
        <v>222.94</v>
      </c>
      <c r="O21" s="106">
        <f t="shared" si="2"/>
        <v>196.63</v>
      </c>
      <c r="P21" s="107">
        <f t="shared" si="2"/>
        <v>201.2</v>
      </c>
    </row>
    <row r="22" spans="1:16" x14ac:dyDescent="0.25">
      <c r="A22" s="105" t="s">
        <v>35</v>
      </c>
      <c r="B22" s="106">
        <v>0</v>
      </c>
      <c r="C22" s="106">
        <v>0</v>
      </c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106">
        <v>0</v>
      </c>
      <c r="L22" s="106">
        <v>0</v>
      </c>
      <c r="M22" s="106">
        <v>0</v>
      </c>
      <c r="N22" s="106">
        <v>0</v>
      </c>
      <c r="O22" s="106">
        <v>0</v>
      </c>
      <c r="P22" s="107">
        <v>0</v>
      </c>
    </row>
    <row r="23" spans="1:16" x14ac:dyDescent="0.25">
      <c r="A23" s="105" t="s">
        <v>36</v>
      </c>
      <c r="B23" s="108">
        <f t="shared" ref="B23:P23" si="3">ROUND(B$15*(1+$B$4-1.2%)/(1+$B$4),1)+B$18</f>
        <v>138341.30000000002</v>
      </c>
      <c r="C23" s="108">
        <f t="shared" si="3"/>
        <v>66245.8</v>
      </c>
      <c r="D23" s="108">
        <f t="shared" si="3"/>
        <v>36951.199999999997</v>
      </c>
      <c r="E23" s="108">
        <f t="shared" si="3"/>
        <v>14915.6</v>
      </c>
      <c r="F23" s="108">
        <f t="shared" si="3"/>
        <v>11725.7</v>
      </c>
      <c r="G23" s="108">
        <f t="shared" si="3"/>
        <v>5984.7</v>
      </c>
      <c r="H23" s="108">
        <f t="shared" si="3"/>
        <v>3577</v>
      </c>
      <c r="I23" s="108">
        <f t="shared" si="3"/>
        <v>7463.8</v>
      </c>
      <c r="J23" s="108">
        <f t="shared" si="3"/>
        <v>14862.6</v>
      </c>
      <c r="K23" s="108">
        <f t="shared" si="3"/>
        <v>5372.7</v>
      </c>
      <c r="L23" s="108">
        <f t="shared" si="3"/>
        <v>24672.7</v>
      </c>
      <c r="M23" s="108">
        <f t="shared" si="3"/>
        <v>7814</v>
      </c>
      <c r="N23" s="108">
        <f t="shared" si="3"/>
        <v>10484.700000000001</v>
      </c>
      <c r="O23" s="108">
        <f t="shared" si="3"/>
        <v>4008</v>
      </c>
      <c r="P23" s="109">
        <f t="shared" si="3"/>
        <v>6704.0999999999995</v>
      </c>
    </row>
    <row r="24" spans="1:16" x14ac:dyDescent="0.25">
      <c r="A24" s="105" t="s">
        <v>37</v>
      </c>
      <c r="B24" s="108">
        <f t="shared" ref="B24:P24" si="4">ROUND(B$15*(1+$B$4+1.9%)/(1+$B$4),1)+B$18</f>
        <v>141910.40000000002</v>
      </c>
      <c r="C24" s="108">
        <f t="shared" si="4"/>
        <v>67962.5</v>
      </c>
      <c r="D24" s="108">
        <f t="shared" si="4"/>
        <v>37908.299999999996</v>
      </c>
      <c r="E24" s="108">
        <f t="shared" si="4"/>
        <v>15302.1</v>
      </c>
      <c r="F24" s="108">
        <f t="shared" si="4"/>
        <v>12027.5</v>
      </c>
      <c r="G24" s="108">
        <f t="shared" si="4"/>
        <v>6139.2</v>
      </c>
      <c r="H24" s="108">
        <f t="shared" si="4"/>
        <v>3672</v>
      </c>
      <c r="I24" s="108">
        <f t="shared" si="4"/>
        <v>7657.1</v>
      </c>
      <c r="J24" s="108">
        <f t="shared" si="4"/>
        <v>15252.7</v>
      </c>
      <c r="K24" s="108">
        <f t="shared" si="4"/>
        <v>5517.9</v>
      </c>
      <c r="L24" s="108">
        <f t="shared" si="4"/>
        <v>25317.5</v>
      </c>
      <c r="M24" s="108">
        <f t="shared" si="4"/>
        <v>8017.1</v>
      </c>
      <c r="N24" s="108">
        <f t="shared" si="4"/>
        <v>10760.800000000001</v>
      </c>
      <c r="O24" s="108">
        <f t="shared" si="4"/>
        <v>4114</v>
      </c>
      <c r="P24" s="109">
        <f t="shared" si="4"/>
        <v>6882.2</v>
      </c>
    </row>
    <row r="25" spans="1:16" ht="15.75" thickBot="1" x14ac:dyDescent="0.3">
      <c r="A25" s="110" t="s">
        <v>38</v>
      </c>
      <c r="B25" s="111">
        <f t="shared" ref="B25:P25" si="5">ROUND(B$15*(1+$B$4+7.8%)/(1+$B$4),1)+B$18</f>
        <v>148703.1</v>
      </c>
      <c r="C25" s="111">
        <f t="shared" si="5"/>
        <v>71229.7</v>
      </c>
      <c r="D25" s="111">
        <f t="shared" si="5"/>
        <v>39730</v>
      </c>
      <c r="E25" s="111">
        <f t="shared" si="5"/>
        <v>16037.6</v>
      </c>
      <c r="F25" s="111">
        <f t="shared" si="5"/>
        <v>12601.8</v>
      </c>
      <c r="G25" s="111">
        <f t="shared" si="5"/>
        <v>6433.1</v>
      </c>
      <c r="H25" s="111">
        <f t="shared" si="5"/>
        <v>3852.8</v>
      </c>
      <c r="I25" s="111">
        <f t="shared" si="5"/>
        <v>8024.9000000000005</v>
      </c>
      <c r="J25" s="111">
        <f t="shared" si="5"/>
        <v>15995.2</v>
      </c>
      <c r="K25" s="111">
        <f t="shared" si="5"/>
        <v>5794.4</v>
      </c>
      <c r="L25" s="111">
        <f t="shared" si="5"/>
        <v>26544.799999999999</v>
      </c>
      <c r="M25" s="111">
        <f t="shared" si="5"/>
        <v>8403.6</v>
      </c>
      <c r="N25" s="111">
        <f t="shared" si="5"/>
        <v>11286.2</v>
      </c>
      <c r="O25" s="111">
        <f t="shared" si="5"/>
        <v>4315.7</v>
      </c>
      <c r="P25" s="112">
        <f t="shared" si="5"/>
        <v>7221.0999999999995</v>
      </c>
    </row>
    <row r="26" spans="1:16" ht="15.75" x14ac:dyDescent="0.25">
      <c r="A26" s="114" t="s">
        <v>39</v>
      </c>
      <c r="B26" s="113">
        <f>C26+J26+L26+O26+P26</f>
        <v>305</v>
      </c>
      <c r="C26" s="113">
        <f>D26+E26+N26</f>
        <v>305</v>
      </c>
      <c r="D26" s="113">
        <f>22+H26</f>
        <v>35</v>
      </c>
      <c r="E26" s="113">
        <f>I26+M26</f>
        <v>270</v>
      </c>
      <c r="F26" s="113">
        <v>0</v>
      </c>
      <c r="G26" s="113">
        <v>0</v>
      </c>
      <c r="H26" s="113">
        <v>13</v>
      </c>
      <c r="I26" s="113">
        <v>110</v>
      </c>
      <c r="J26" s="113">
        <v>0</v>
      </c>
      <c r="K26" s="113">
        <v>0</v>
      </c>
      <c r="L26" s="113">
        <v>0</v>
      </c>
      <c r="M26" s="113">
        <v>160</v>
      </c>
      <c r="N26" s="113">
        <v>0</v>
      </c>
      <c r="O26" s="113">
        <v>0</v>
      </c>
      <c r="P26" s="113">
        <v>0</v>
      </c>
    </row>
    <row r="27" spans="1:16" ht="16.5" thickBot="1" x14ac:dyDescent="0.3">
      <c r="A27" s="192" t="s">
        <v>40</v>
      </c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</row>
    <row r="28" spans="1:16" x14ac:dyDescent="0.25">
      <c r="A28" s="29" t="s">
        <v>41</v>
      </c>
      <c r="B28" s="30">
        <f t="shared" ref="B28:E29" si="6">B20</f>
        <v>439.79</v>
      </c>
      <c r="C28" s="30">
        <f t="shared" si="6"/>
        <v>441.09</v>
      </c>
      <c r="D28" s="30">
        <f t="shared" si="6"/>
        <v>468.59</v>
      </c>
      <c r="E28" s="30">
        <f t="shared" si="6"/>
        <v>391.61</v>
      </c>
      <c r="F28" s="30" t="s">
        <v>0</v>
      </c>
      <c r="G28" s="30" t="s">
        <v>0</v>
      </c>
      <c r="H28" s="30">
        <f>H20</f>
        <v>426.17</v>
      </c>
      <c r="I28" s="30">
        <f>I20</f>
        <v>432.11</v>
      </c>
      <c r="J28" s="30" t="s">
        <v>0</v>
      </c>
      <c r="K28" s="30" t="s">
        <v>0</v>
      </c>
      <c r="L28" s="30" t="s">
        <v>0</v>
      </c>
      <c r="M28" s="30">
        <f>M20</f>
        <v>357.45</v>
      </c>
      <c r="N28" s="30" t="s">
        <v>0</v>
      </c>
      <c r="O28" s="30" t="s">
        <v>0</v>
      </c>
      <c r="P28" s="31" t="s">
        <v>0</v>
      </c>
    </row>
    <row r="29" spans="1:16" x14ac:dyDescent="0.25">
      <c r="A29" s="32" t="s">
        <v>42</v>
      </c>
      <c r="B29" s="33">
        <f t="shared" si="6"/>
        <v>219.89</v>
      </c>
      <c r="C29" s="33">
        <f t="shared" si="6"/>
        <v>220.55</v>
      </c>
      <c r="D29" s="33">
        <f t="shared" si="6"/>
        <v>234.29</v>
      </c>
      <c r="E29" s="33">
        <f t="shared" si="6"/>
        <v>195.8</v>
      </c>
      <c r="F29" s="33" t="s">
        <v>0</v>
      </c>
      <c r="G29" s="33" t="s">
        <v>0</v>
      </c>
      <c r="H29" s="33">
        <f>H21</f>
        <v>213.08</v>
      </c>
      <c r="I29" s="33">
        <f>I21</f>
        <v>216.05</v>
      </c>
      <c r="J29" s="33" t="s">
        <v>0</v>
      </c>
      <c r="K29" s="33" t="s">
        <v>0</v>
      </c>
      <c r="L29" s="33" t="s">
        <v>0</v>
      </c>
      <c r="M29" s="33">
        <f>M21</f>
        <v>175.55</v>
      </c>
      <c r="N29" s="33" t="s">
        <v>0</v>
      </c>
      <c r="O29" s="33" t="s">
        <v>0</v>
      </c>
      <c r="P29" s="34" t="s">
        <v>0</v>
      </c>
    </row>
    <row r="30" spans="1:16" x14ac:dyDescent="0.25">
      <c r="A30" s="32" t="s">
        <v>43</v>
      </c>
      <c r="B30" s="33">
        <v>0.01</v>
      </c>
      <c r="C30" s="33">
        <v>0.01</v>
      </c>
      <c r="D30" s="33">
        <v>0.01</v>
      </c>
      <c r="E30" s="33">
        <v>0.01</v>
      </c>
      <c r="F30" s="33" t="s">
        <v>0</v>
      </c>
      <c r="G30" s="33" t="s">
        <v>0</v>
      </c>
      <c r="H30" s="33">
        <v>0.01</v>
      </c>
      <c r="I30" s="33">
        <v>0.01</v>
      </c>
      <c r="J30" s="33" t="s">
        <v>0</v>
      </c>
      <c r="K30" s="33" t="s">
        <v>0</v>
      </c>
      <c r="L30" s="33" t="s">
        <v>0</v>
      </c>
      <c r="M30" s="33">
        <v>0.01</v>
      </c>
      <c r="N30" s="33" t="s">
        <v>0</v>
      </c>
      <c r="O30" s="33" t="s">
        <v>0</v>
      </c>
      <c r="P30" s="34" t="s">
        <v>0</v>
      </c>
    </row>
    <row r="31" spans="1:16" x14ac:dyDescent="0.25">
      <c r="A31" s="32" t="s">
        <v>44</v>
      </c>
      <c r="B31" s="33">
        <v>0.01</v>
      </c>
      <c r="C31" s="33">
        <v>0.01</v>
      </c>
      <c r="D31" s="33">
        <v>0.01</v>
      </c>
      <c r="E31" s="33">
        <v>0.01</v>
      </c>
      <c r="F31" s="33" t="s">
        <v>0</v>
      </c>
      <c r="G31" s="33" t="s">
        <v>0</v>
      </c>
      <c r="H31" s="33">
        <v>0.01</v>
      </c>
      <c r="I31" s="33">
        <v>0.01</v>
      </c>
      <c r="J31" s="33" t="s">
        <v>0</v>
      </c>
      <c r="K31" s="33" t="s">
        <v>0</v>
      </c>
      <c r="L31" s="33" t="s">
        <v>0</v>
      </c>
      <c r="M31" s="33">
        <v>0.01</v>
      </c>
      <c r="N31" s="33" t="s">
        <v>0</v>
      </c>
      <c r="O31" s="33" t="s">
        <v>0</v>
      </c>
      <c r="P31" s="34" t="s">
        <v>0</v>
      </c>
    </row>
    <row r="32" spans="1:16" ht="15.75" thickBot="1" x14ac:dyDescent="0.3">
      <c r="A32" s="35" t="s">
        <v>35</v>
      </c>
      <c r="B32" s="115">
        <f>B22</f>
        <v>0</v>
      </c>
      <c r="C32" s="115">
        <f>C22</f>
        <v>0</v>
      </c>
      <c r="D32" s="115">
        <f>D22</f>
        <v>0</v>
      </c>
      <c r="E32" s="115">
        <f>E22</f>
        <v>0</v>
      </c>
      <c r="F32" s="115" t="s">
        <v>0</v>
      </c>
      <c r="G32" s="115" t="s">
        <v>0</v>
      </c>
      <c r="H32" s="115">
        <f>H22</f>
        <v>0</v>
      </c>
      <c r="I32" s="115">
        <f>I22</f>
        <v>0</v>
      </c>
      <c r="J32" s="115" t="s">
        <v>0</v>
      </c>
      <c r="K32" s="115" t="s">
        <v>0</v>
      </c>
      <c r="L32" s="115" t="s">
        <v>0</v>
      </c>
      <c r="M32" s="115">
        <f>M22</f>
        <v>0</v>
      </c>
      <c r="N32" s="115" t="s">
        <v>0</v>
      </c>
      <c r="O32" s="115" t="s">
        <v>0</v>
      </c>
      <c r="P32" s="116" t="s">
        <v>0</v>
      </c>
    </row>
    <row r="33" spans="1:16" x14ac:dyDescent="0.25">
      <c r="A33" s="117" t="s">
        <v>45</v>
      </c>
      <c r="B33" s="118">
        <f t="shared" ref="B33:E34" si="7">ROUND(B23-B$26*$B$6,1)</f>
        <v>138009</v>
      </c>
      <c r="C33" s="118">
        <f t="shared" si="7"/>
        <v>65913.5</v>
      </c>
      <c r="D33" s="118">
        <f t="shared" si="7"/>
        <v>36913.1</v>
      </c>
      <c r="E33" s="118">
        <f t="shared" si="7"/>
        <v>14621.5</v>
      </c>
      <c r="F33" s="118" t="s">
        <v>0</v>
      </c>
      <c r="G33" s="118" t="s">
        <v>0</v>
      </c>
      <c r="H33" s="118">
        <f>ROUND(H23-H$26*$B$6,1)</f>
        <v>3562.8</v>
      </c>
      <c r="I33" s="118">
        <f>ROUND(I23-I$26*$B$6,1)</f>
        <v>7344</v>
      </c>
      <c r="J33" s="118" t="s">
        <v>0</v>
      </c>
      <c r="K33" s="118" t="s">
        <v>0</v>
      </c>
      <c r="L33" s="118" t="s">
        <v>0</v>
      </c>
      <c r="M33" s="118">
        <f>ROUND(M23-M$26*$B$6,1)</f>
        <v>7639.7</v>
      </c>
      <c r="N33" s="118" t="s">
        <v>0</v>
      </c>
      <c r="O33" s="118" t="s">
        <v>0</v>
      </c>
      <c r="P33" s="118" t="s">
        <v>0</v>
      </c>
    </row>
    <row r="34" spans="1:16" x14ac:dyDescent="0.25">
      <c r="A34" s="119" t="s">
        <v>46</v>
      </c>
      <c r="B34" s="120">
        <f t="shared" si="7"/>
        <v>141578.1</v>
      </c>
      <c r="C34" s="120">
        <f t="shared" si="7"/>
        <v>67630.2</v>
      </c>
      <c r="D34" s="120">
        <f t="shared" si="7"/>
        <v>37870.199999999997</v>
      </c>
      <c r="E34" s="120">
        <f t="shared" si="7"/>
        <v>15008</v>
      </c>
      <c r="F34" s="120" t="s">
        <v>0</v>
      </c>
      <c r="G34" s="120" t="s">
        <v>0</v>
      </c>
      <c r="H34" s="120">
        <f>ROUND(H24-H$26*$B$6,1)</f>
        <v>3657.8</v>
      </c>
      <c r="I34" s="120">
        <f>ROUND(I24-I$26*$B$6,1)</f>
        <v>7537.3</v>
      </c>
      <c r="J34" s="120" t="s">
        <v>0</v>
      </c>
      <c r="K34" s="120" t="s">
        <v>0</v>
      </c>
      <c r="L34" s="120" t="s">
        <v>0</v>
      </c>
      <c r="M34" s="120">
        <f>ROUND(M24-M$26*$B$6,1)</f>
        <v>7842.8</v>
      </c>
      <c r="N34" s="120" t="s">
        <v>0</v>
      </c>
      <c r="O34" s="120" t="s">
        <v>0</v>
      </c>
      <c r="P34" s="120" t="s">
        <v>0</v>
      </c>
    </row>
    <row r="35" spans="1:16" x14ac:dyDescent="0.25">
      <c r="A35" s="119" t="s">
        <v>47</v>
      </c>
      <c r="B35" s="120">
        <f>ROUND(B36-B$26*$B$6,1)</f>
        <v>148370.5</v>
      </c>
      <c r="C35" s="120">
        <f>ROUND(C36-C$26*$B$6,1)</f>
        <v>70897.3</v>
      </c>
      <c r="D35" s="120">
        <f>ROUND(D36-D$26*$B$6,1)</f>
        <v>39691.800000000003</v>
      </c>
      <c r="E35" s="120">
        <f>ROUND(E36-E$26*$B$6,1)</f>
        <v>15743.5</v>
      </c>
      <c r="F35" s="120" t="s">
        <v>0</v>
      </c>
      <c r="G35" s="120" t="s">
        <v>0</v>
      </c>
      <c r="H35" s="120">
        <f>ROUND(H36-H$26*$B$6,1)</f>
        <v>3838.6</v>
      </c>
      <c r="I35" s="120">
        <f>ROUND(I36-I$26*$B$6,1)</f>
        <v>7905.1</v>
      </c>
      <c r="J35" s="120" t="s">
        <v>0</v>
      </c>
      <c r="K35" s="120" t="s">
        <v>0</v>
      </c>
      <c r="L35" s="120" t="s">
        <v>0</v>
      </c>
      <c r="M35" s="120">
        <f>ROUND(M36-M$26*$B$6,1)</f>
        <v>8229.2999999999993</v>
      </c>
      <c r="N35" s="120" t="s">
        <v>0</v>
      </c>
      <c r="O35" s="120" t="s">
        <v>0</v>
      </c>
      <c r="P35" s="120" t="s">
        <v>0</v>
      </c>
    </row>
    <row r="36" spans="1:16" x14ac:dyDescent="0.25">
      <c r="A36" s="119" t="s">
        <v>48</v>
      </c>
      <c r="B36" s="120">
        <f>ROUND(B25-B31*(B25-B24)/B21,1)</f>
        <v>148702.79999999999</v>
      </c>
      <c r="C36" s="120">
        <f>ROUND(C25-C31*(C25-C24)/C21,1)</f>
        <v>71229.600000000006</v>
      </c>
      <c r="D36" s="120">
        <f>ROUND(D25-D31*(D25-D24)/D21,1)</f>
        <v>39729.9</v>
      </c>
      <c r="E36" s="120">
        <f>ROUND(E25-E31*(E25-E24)/E21,1)</f>
        <v>16037.6</v>
      </c>
      <c r="F36" s="120" t="s">
        <v>0</v>
      </c>
      <c r="G36" s="120" t="s">
        <v>0</v>
      </c>
      <c r="H36" s="120">
        <f>ROUND(H25-H31*(H25-H24)/H21,1)</f>
        <v>3852.8</v>
      </c>
      <c r="I36" s="120">
        <f>ROUND(I25-I31*(I25-I24)/I21,1)</f>
        <v>8024.9</v>
      </c>
      <c r="J36" s="120" t="s">
        <v>0</v>
      </c>
      <c r="K36" s="120" t="s">
        <v>0</v>
      </c>
      <c r="L36" s="120" t="s">
        <v>0</v>
      </c>
      <c r="M36" s="120">
        <f>ROUND(M25-M31*(M25-M24)/M21,1)</f>
        <v>8403.6</v>
      </c>
      <c r="N36" s="120" t="s">
        <v>0</v>
      </c>
      <c r="O36" s="120" t="s">
        <v>0</v>
      </c>
      <c r="P36" s="120" t="s">
        <v>0</v>
      </c>
    </row>
    <row r="37" spans="1:16" ht="15.75" thickBot="1" x14ac:dyDescent="0.3">
      <c r="A37" s="121" t="s">
        <v>38</v>
      </c>
      <c r="B37" s="122">
        <f>B25</f>
        <v>148703.1</v>
      </c>
      <c r="C37" s="122">
        <f>C25</f>
        <v>71229.7</v>
      </c>
      <c r="D37" s="122">
        <f>D25</f>
        <v>39730</v>
      </c>
      <c r="E37" s="122">
        <f>E25</f>
        <v>16037.6</v>
      </c>
      <c r="F37" s="122" t="s">
        <v>0</v>
      </c>
      <c r="G37" s="122" t="s">
        <v>0</v>
      </c>
      <c r="H37" s="122">
        <f>H25</f>
        <v>3852.8</v>
      </c>
      <c r="I37" s="122">
        <f>I25</f>
        <v>8024.9000000000005</v>
      </c>
      <c r="J37" s="122" t="s">
        <v>0</v>
      </c>
      <c r="K37" s="122" t="s">
        <v>0</v>
      </c>
      <c r="L37" s="122" t="s">
        <v>0</v>
      </c>
      <c r="M37" s="122">
        <f>M25</f>
        <v>8403.6</v>
      </c>
      <c r="N37" s="122" t="s">
        <v>0</v>
      </c>
      <c r="O37" s="122" t="s">
        <v>0</v>
      </c>
      <c r="P37" s="122" t="s">
        <v>0</v>
      </c>
    </row>
    <row r="38" spans="1:16" ht="15.75" x14ac:dyDescent="0.25">
      <c r="A38" s="36" t="s">
        <v>49</v>
      </c>
      <c r="B38" s="37">
        <f t="shared" ref="B38:P39" si="8">ROUND(MAX(B$17*0.5, 20)*((DATE(LEFT($A$1,4)*1+1,5,31)-(DATE(LEFT($A$1,4)*1,6,1))+1)),2)</f>
        <v>53507.18</v>
      </c>
      <c r="C38" s="37">
        <f t="shared" si="8"/>
        <v>53665.95</v>
      </c>
      <c r="D38" s="37">
        <f t="shared" si="8"/>
        <v>57011.18</v>
      </c>
      <c r="E38" s="37">
        <f t="shared" si="8"/>
        <v>47645.279999999999</v>
      </c>
      <c r="F38" s="37">
        <f t="shared" si="8"/>
        <v>58620.83</v>
      </c>
      <c r="G38" s="37">
        <f t="shared" si="8"/>
        <v>58620.83</v>
      </c>
      <c r="H38" s="37">
        <f t="shared" si="8"/>
        <v>51850.080000000002</v>
      </c>
      <c r="I38" s="37">
        <f t="shared" si="8"/>
        <v>52572.78</v>
      </c>
      <c r="J38" s="37">
        <f t="shared" si="8"/>
        <v>50981.38</v>
      </c>
      <c r="K38" s="37">
        <f t="shared" si="8"/>
        <v>50981.38</v>
      </c>
      <c r="L38" s="37">
        <f t="shared" si="8"/>
        <v>55253.7</v>
      </c>
      <c r="M38" s="37">
        <f t="shared" si="8"/>
        <v>42717.78</v>
      </c>
      <c r="N38" s="37">
        <f t="shared" si="8"/>
        <v>54248.13</v>
      </c>
      <c r="O38" s="37">
        <f t="shared" si="8"/>
        <v>47846.03</v>
      </c>
      <c r="P38" s="37">
        <f t="shared" si="8"/>
        <v>48957.45</v>
      </c>
    </row>
    <row r="39" spans="1:16" ht="15.75" x14ac:dyDescent="0.25">
      <c r="A39" s="36" t="s">
        <v>167</v>
      </c>
      <c r="B39" s="37">
        <f t="shared" si="8"/>
        <v>53507.18</v>
      </c>
      <c r="C39" s="37">
        <f t="shared" si="8"/>
        <v>53665.95</v>
      </c>
      <c r="D39" s="37">
        <f t="shared" si="8"/>
        <v>57011.18</v>
      </c>
      <c r="E39" s="37">
        <f t="shared" si="8"/>
        <v>47645.279999999999</v>
      </c>
      <c r="F39" s="37">
        <f t="shared" si="8"/>
        <v>58620.83</v>
      </c>
      <c r="G39" s="37">
        <f t="shared" si="8"/>
        <v>58620.83</v>
      </c>
      <c r="H39" s="37">
        <v>31110.410000000003</v>
      </c>
      <c r="I39" s="37">
        <f t="shared" si="8"/>
        <v>52572.78</v>
      </c>
      <c r="J39" s="37">
        <f t="shared" si="8"/>
        <v>50981.38</v>
      </c>
      <c r="K39" s="37">
        <f t="shared" si="8"/>
        <v>50981.38</v>
      </c>
      <c r="L39" s="37">
        <f t="shared" si="8"/>
        <v>55253.7</v>
      </c>
      <c r="M39" s="37">
        <f t="shared" si="8"/>
        <v>42717.78</v>
      </c>
      <c r="N39" s="37">
        <f t="shared" si="8"/>
        <v>54248.13</v>
      </c>
      <c r="O39" s="37">
        <f t="shared" si="8"/>
        <v>47846.03</v>
      </c>
      <c r="P39" s="37">
        <f t="shared" si="8"/>
        <v>48957.45</v>
      </c>
    </row>
    <row r="40" spans="1:16" x14ac:dyDescent="0.25">
      <c r="A40" s="18" t="s">
        <v>50</v>
      </c>
      <c r="B40" s="38" t="s">
        <v>23</v>
      </c>
      <c r="C40" s="39">
        <v>1557</v>
      </c>
      <c r="D40" s="39">
        <v>40</v>
      </c>
      <c r="E40" s="39" t="s">
        <v>23</v>
      </c>
      <c r="F40" s="39">
        <v>1070</v>
      </c>
      <c r="G40" s="39">
        <v>639</v>
      </c>
      <c r="H40" s="39">
        <v>72</v>
      </c>
      <c r="I40" s="39" t="s">
        <v>23</v>
      </c>
      <c r="J40" s="39" t="s">
        <v>23</v>
      </c>
      <c r="K40" s="39" t="s">
        <v>23</v>
      </c>
      <c r="L40" s="40">
        <v>1376</v>
      </c>
      <c r="M40" s="39">
        <v>65.7</v>
      </c>
      <c r="N40" s="39" t="s">
        <v>23</v>
      </c>
      <c r="O40" s="39" t="s">
        <v>23</v>
      </c>
      <c r="P40" s="39">
        <v>155</v>
      </c>
    </row>
    <row r="41" spans="1:16" ht="15.75" x14ac:dyDescent="0.25">
      <c r="A41" s="199" t="s">
        <v>51</v>
      </c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</row>
    <row r="42" spans="1:16" x14ac:dyDescent="0.25">
      <c r="A42" s="18" t="s">
        <v>52</v>
      </c>
      <c r="B42" s="38" t="s">
        <v>23</v>
      </c>
      <c r="C42" s="41">
        <f>MIN(ROUND((C12-C11)/(F74*$B$6),3),100%)</f>
        <v>0.97699999999999998</v>
      </c>
      <c r="D42" s="42">
        <f>ROUND((D12-D11)/(F71*$B$6),3)</f>
        <v>0.83299999999999996</v>
      </c>
      <c r="E42" s="42">
        <f>ROUND((E12-E11)/(F72*$B$6),3)</f>
        <v>0.48799999999999999</v>
      </c>
      <c r="F42" s="42">
        <f>ROUND((F12-F11)/(F68*$B$6),3)</f>
        <v>0.28499999999999998</v>
      </c>
      <c r="G42" s="38" t="s">
        <v>23</v>
      </c>
      <c r="H42" s="182">
        <f>ROUND((H12-H11)/(F59*$B$6),3)</f>
        <v>0.58499999999999996</v>
      </c>
      <c r="I42" s="38" t="s">
        <v>23</v>
      </c>
      <c r="J42" s="42">
        <f>ROUND((J12-J11)/(F50*$B$6),3)</f>
        <v>0.30299999999999999</v>
      </c>
      <c r="K42" s="38" t="s">
        <v>23</v>
      </c>
      <c r="L42" s="42">
        <f>ROUND((L12-L11)/(F53*$B$6),3)</f>
        <v>0.89</v>
      </c>
      <c r="M42" s="42">
        <f>ROUND((M12-M11)/(F52*$B$6),3)</f>
        <v>0.313</v>
      </c>
      <c r="N42" s="38" t="s">
        <v>23</v>
      </c>
      <c r="O42" s="38" t="s">
        <v>23</v>
      </c>
      <c r="P42" s="42">
        <f>ROUND((P12-P11)/(F55*$B$6),3)</f>
        <v>0.34</v>
      </c>
    </row>
    <row r="43" spans="1:16" ht="15.75" x14ac:dyDescent="0.25">
      <c r="A43" s="43" t="s">
        <v>0</v>
      </c>
      <c r="B43" s="44"/>
      <c r="C43" s="44"/>
      <c r="D43" s="44"/>
      <c r="E43" s="44"/>
      <c r="F43" s="44"/>
      <c r="G43" s="157"/>
      <c r="H43" s="157"/>
      <c r="I43" s="157"/>
      <c r="J43" s="157"/>
      <c r="K43" s="157"/>
      <c r="L43" s="157"/>
      <c r="M43" s="157"/>
      <c r="N43" s="157"/>
    </row>
    <row r="44" spans="1:16" ht="15.75" x14ac:dyDescent="0.25">
      <c r="A44" s="195" t="s">
        <v>53</v>
      </c>
      <c r="B44" s="195"/>
      <c r="C44" s="195"/>
      <c r="D44" s="195"/>
      <c r="E44" s="195"/>
      <c r="F44" s="195"/>
      <c r="G44" s="195"/>
      <c r="H44" s="195"/>
      <c r="I44" s="195"/>
      <c r="J44" s="45" t="s">
        <v>0</v>
      </c>
      <c r="K44" s="46" t="s">
        <v>0</v>
      </c>
      <c r="M44" s="47" t="s">
        <v>0</v>
      </c>
    </row>
    <row r="45" spans="1:16" ht="78.75" x14ac:dyDescent="0.25">
      <c r="A45" s="48" t="s">
        <v>54</v>
      </c>
      <c r="B45" s="49" t="s">
        <v>131</v>
      </c>
      <c r="C45" s="158" t="s">
        <v>130</v>
      </c>
      <c r="D45" s="158" t="s">
        <v>55</v>
      </c>
      <c r="E45" s="158" t="s">
        <v>121</v>
      </c>
      <c r="F45" s="49" t="s">
        <v>56</v>
      </c>
      <c r="G45" s="49" t="s">
        <v>57</v>
      </c>
      <c r="H45" s="49" t="s">
        <v>58</v>
      </c>
      <c r="I45" s="49" t="s">
        <v>59</v>
      </c>
      <c r="J45" s="27" t="s">
        <v>54</v>
      </c>
      <c r="K45" t="s">
        <v>0</v>
      </c>
      <c r="O45" s="50" t="s">
        <v>0</v>
      </c>
      <c r="P45" s="50" t="s">
        <v>0</v>
      </c>
    </row>
    <row r="46" spans="1:16" ht="15.75" x14ac:dyDescent="0.25">
      <c r="A46" s="51" t="s">
        <v>1</v>
      </c>
      <c r="B46" s="164" t="s">
        <v>23</v>
      </c>
      <c r="C46" s="162" t="s">
        <v>23</v>
      </c>
      <c r="D46" s="162" t="s">
        <v>23</v>
      </c>
      <c r="E46" s="165">
        <v>148881.40000000002</v>
      </c>
      <c r="F46" s="166">
        <v>150640.31537688442</v>
      </c>
      <c r="G46" s="167" t="s">
        <v>23</v>
      </c>
      <c r="H46" s="166">
        <v>29421.618915533316</v>
      </c>
      <c r="I46" s="24">
        <v>121218.69646135109</v>
      </c>
      <c r="J46" s="25" t="s">
        <v>1</v>
      </c>
      <c r="K46" t="s">
        <v>0</v>
      </c>
      <c r="L46" s="50" t="s">
        <v>0</v>
      </c>
      <c r="M46" s="50" t="s">
        <v>0</v>
      </c>
      <c r="N46" s="50" t="s">
        <v>0</v>
      </c>
      <c r="P46" s="50" t="s">
        <v>0</v>
      </c>
    </row>
    <row r="47" spans="1:16" x14ac:dyDescent="0.25">
      <c r="A47" s="52" t="s">
        <v>60</v>
      </c>
      <c r="B47" s="23">
        <v>1740</v>
      </c>
      <c r="C47" s="23" t="s">
        <v>154</v>
      </c>
      <c r="D47" s="162" t="s">
        <v>61</v>
      </c>
      <c r="E47" s="168">
        <v>2430</v>
      </c>
      <c r="F47" s="169">
        <v>2399</v>
      </c>
      <c r="G47" s="170">
        <v>0.98724279835390949</v>
      </c>
      <c r="H47" s="20">
        <v>0</v>
      </c>
      <c r="I47" s="53">
        <v>2399</v>
      </c>
      <c r="J47" s="156" t="s">
        <v>60</v>
      </c>
      <c r="K47" t="s">
        <v>0</v>
      </c>
      <c r="L47" s="163"/>
      <c r="M47" s="163"/>
      <c r="N47" s="50" t="s">
        <v>0</v>
      </c>
      <c r="P47" s="50" t="s">
        <v>0</v>
      </c>
    </row>
    <row r="48" spans="1:16" x14ac:dyDescent="0.25">
      <c r="A48" s="54" t="s">
        <v>62</v>
      </c>
      <c r="B48" s="23">
        <v>-2730</v>
      </c>
      <c r="C48" s="23" t="s">
        <v>63</v>
      </c>
      <c r="D48" s="162" t="s">
        <v>63</v>
      </c>
      <c r="E48" s="168">
        <v>21304.3</v>
      </c>
      <c r="F48" s="169">
        <v>21659</v>
      </c>
      <c r="G48" s="170">
        <v>1.0166492210492717</v>
      </c>
      <c r="H48" s="20">
        <v>10611.072914857565</v>
      </c>
      <c r="I48" s="53">
        <v>11047.927085142435</v>
      </c>
      <c r="J48" s="159" t="s">
        <v>62</v>
      </c>
      <c r="K48" t="s">
        <v>0</v>
      </c>
      <c r="L48" s="163"/>
      <c r="M48" s="163"/>
      <c r="N48" s="50" t="s">
        <v>0</v>
      </c>
      <c r="P48" s="50" t="s">
        <v>0</v>
      </c>
    </row>
    <row r="49" spans="1:16" x14ac:dyDescent="0.25">
      <c r="A49" s="54" t="s">
        <v>64</v>
      </c>
      <c r="B49" s="23">
        <v>1500</v>
      </c>
      <c r="C49" s="23" t="s">
        <v>155</v>
      </c>
      <c r="D49" s="162" t="s">
        <v>61</v>
      </c>
      <c r="E49" s="171">
        <v>8440</v>
      </c>
      <c r="F49" s="169">
        <v>8535</v>
      </c>
      <c r="G49" s="172">
        <v>1.011255924170616</v>
      </c>
      <c r="H49" s="162">
        <v>0</v>
      </c>
      <c r="I49" s="53">
        <v>8535</v>
      </c>
      <c r="J49" s="159" t="s">
        <v>64</v>
      </c>
      <c r="K49" t="s">
        <v>0</v>
      </c>
      <c r="L49" s="163"/>
      <c r="M49" s="163"/>
      <c r="N49" s="50" t="s">
        <v>0</v>
      </c>
      <c r="O49" s="50" t="s">
        <v>0</v>
      </c>
      <c r="P49" s="50" t="s">
        <v>0</v>
      </c>
    </row>
    <row r="50" spans="1:16" x14ac:dyDescent="0.25">
      <c r="A50" s="54" t="s">
        <v>15</v>
      </c>
      <c r="B50" s="23">
        <v>5080</v>
      </c>
      <c r="C50" s="23">
        <v>10465</v>
      </c>
      <c r="D50" s="173">
        <v>2.0600393700787403</v>
      </c>
      <c r="E50" s="174">
        <v>11860</v>
      </c>
      <c r="F50" s="169">
        <v>12014</v>
      </c>
      <c r="G50" s="172">
        <v>1.0129848229342326</v>
      </c>
      <c r="H50" s="162">
        <v>0</v>
      </c>
      <c r="I50" s="53">
        <v>12014</v>
      </c>
      <c r="J50" s="159" t="s">
        <v>15</v>
      </c>
      <c r="K50" t="s">
        <v>0</v>
      </c>
      <c r="L50" s="163"/>
      <c r="M50" s="163"/>
      <c r="N50" s="50" t="s">
        <v>0</v>
      </c>
      <c r="O50" s="50" t="s">
        <v>0</v>
      </c>
      <c r="P50" s="50" t="s">
        <v>0</v>
      </c>
    </row>
    <row r="51" spans="1:16" x14ac:dyDescent="0.25">
      <c r="A51" s="54" t="s">
        <v>65</v>
      </c>
      <c r="B51" s="23">
        <v>3560</v>
      </c>
      <c r="C51" s="23">
        <v>4941</v>
      </c>
      <c r="D51" s="173">
        <v>1.3879213483146067</v>
      </c>
      <c r="E51" s="174" t="s">
        <v>23</v>
      </c>
      <c r="F51" s="169">
        <v>4156.8440000000001</v>
      </c>
      <c r="G51" s="172" t="s">
        <v>23</v>
      </c>
      <c r="H51" s="162">
        <v>0</v>
      </c>
      <c r="I51" s="53" t="s">
        <v>23</v>
      </c>
      <c r="J51" s="159" t="s">
        <v>65</v>
      </c>
      <c r="K51" t="s">
        <v>0</v>
      </c>
      <c r="L51" s="50" t="s">
        <v>0</v>
      </c>
      <c r="M51" s="50" t="s">
        <v>0</v>
      </c>
      <c r="N51" s="50" t="s">
        <v>0</v>
      </c>
      <c r="O51" s="50" t="s">
        <v>0</v>
      </c>
      <c r="P51" s="50" t="s">
        <v>0</v>
      </c>
    </row>
    <row r="52" spans="1:16" x14ac:dyDescent="0.25">
      <c r="A52" s="54" t="s">
        <v>18</v>
      </c>
      <c r="B52" s="23">
        <v>4660</v>
      </c>
      <c r="C52" s="23">
        <v>5397</v>
      </c>
      <c r="D52" s="173">
        <v>1.1581545064377683</v>
      </c>
      <c r="E52" s="168">
        <v>6180</v>
      </c>
      <c r="F52" s="169">
        <v>6211</v>
      </c>
      <c r="G52" s="170">
        <v>1.0050161812297735</v>
      </c>
      <c r="H52" s="162">
        <v>0</v>
      </c>
      <c r="I52" s="53">
        <v>6211</v>
      </c>
      <c r="J52" s="156" t="s">
        <v>18</v>
      </c>
      <c r="K52" t="s">
        <v>0</v>
      </c>
      <c r="L52" s="50"/>
      <c r="M52" s="50" t="s">
        <v>0</v>
      </c>
      <c r="N52" s="50" t="s">
        <v>0</v>
      </c>
      <c r="O52" s="50" t="s">
        <v>0</v>
      </c>
      <c r="P52" s="50" t="s">
        <v>0</v>
      </c>
    </row>
    <row r="53" spans="1:16" x14ac:dyDescent="0.25">
      <c r="A53" s="52" t="s">
        <v>17</v>
      </c>
      <c r="B53" s="23">
        <v>-4570</v>
      </c>
      <c r="C53" s="23">
        <v>4640.3999999999996</v>
      </c>
      <c r="D53" s="162" t="s">
        <v>63</v>
      </c>
      <c r="E53" s="168">
        <v>20290</v>
      </c>
      <c r="F53" s="169">
        <v>19827</v>
      </c>
      <c r="G53" s="170">
        <v>0.97718087727944802</v>
      </c>
      <c r="H53" s="162">
        <v>0</v>
      </c>
      <c r="I53" s="53">
        <v>19827</v>
      </c>
      <c r="J53" s="156" t="s">
        <v>17</v>
      </c>
      <c r="K53" t="s">
        <v>0</v>
      </c>
      <c r="L53" s="50" t="s">
        <v>0</v>
      </c>
      <c r="M53" s="50" t="s">
        <v>0</v>
      </c>
      <c r="N53" s="50" t="s">
        <v>0</v>
      </c>
      <c r="O53" s="50" t="s">
        <v>0</v>
      </c>
      <c r="P53" s="50" t="s">
        <v>0</v>
      </c>
    </row>
    <row r="54" spans="1:16" x14ac:dyDescent="0.25">
      <c r="A54" s="52" t="s">
        <v>20</v>
      </c>
      <c r="B54" s="23">
        <v>2470</v>
      </c>
      <c r="C54" s="23">
        <v>3918</v>
      </c>
      <c r="D54" s="173">
        <v>1.5862348178137651</v>
      </c>
      <c r="E54" s="174">
        <v>3150</v>
      </c>
      <c r="F54" s="169">
        <v>3149</v>
      </c>
      <c r="G54" s="172">
        <v>0.99968253968253973</v>
      </c>
      <c r="H54" s="162">
        <v>0</v>
      </c>
      <c r="I54" s="53">
        <v>3149</v>
      </c>
      <c r="J54" s="156" t="s">
        <v>20</v>
      </c>
      <c r="K54" t="s">
        <v>0</v>
      </c>
      <c r="L54" s="50" t="s">
        <v>0</v>
      </c>
      <c r="M54" s="50" t="s">
        <v>0</v>
      </c>
      <c r="N54" s="50" t="s">
        <v>0</v>
      </c>
      <c r="O54" s="50" t="s">
        <v>0</v>
      </c>
      <c r="P54" s="50" t="s">
        <v>0</v>
      </c>
    </row>
    <row r="55" spans="1:16" x14ac:dyDescent="0.25">
      <c r="A55" s="52" t="s">
        <v>21</v>
      </c>
      <c r="B55" s="23">
        <v>3270</v>
      </c>
      <c r="C55" s="23">
        <v>4999</v>
      </c>
      <c r="D55" s="173">
        <v>1.5287461773700306</v>
      </c>
      <c r="E55" s="174">
        <v>4990</v>
      </c>
      <c r="F55" s="169">
        <v>5087</v>
      </c>
      <c r="G55" s="172">
        <v>1.019438877755511</v>
      </c>
      <c r="H55" s="20">
        <v>787.92430861723449</v>
      </c>
      <c r="I55" s="53">
        <v>4299.0756913827654</v>
      </c>
      <c r="J55" s="156" t="s">
        <v>21</v>
      </c>
      <c r="K55" t="s">
        <v>0</v>
      </c>
      <c r="L55" s="143"/>
      <c r="N55" s="50" t="s">
        <v>0</v>
      </c>
      <c r="O55" s="50" t="s">
        <v>0</v>
      </c>
      <c r="P55" s="50" t="s">
        <v>0</v>
      </c>
    </row>
    <row r="56" spans="1:16" x14ac:dyDescent="0.25">
      <c r="A56" s="52" t="s">
        <v>66</v>
      </c>
      <c r="B56" s="23">
        <v>1560</v>
      </c>
      <c r="C56" s="23" t="s">
        <v>162</v>
      </c>
      <c r="D56" s="162" t="s">
        <v>61</v>
      </c>
      <c r="E56" s="174">
        <v>2660</v>
      </c>
      <c r="F56" s="169">
        <v>2678</v>
      </c>
      <c r="G56" s="172">
        <v>1.006766917293233</v>
      </c>
      <c r="H56" s="20">
        <v>0</v>
      </c>
      <c r="I56" s="53">
        <v>2678</v>
      </c>
      <c r="J56" s="156" t="s">
        <v>66</v>
      </c>
      <c r="K56" t="s">
        <v>0</v>
      </c>
      <c r="L56" s="50" t="s">
        <v>0</v>
      </c>
      <c r="N56" s="50" t="s">
        <v>0</v>
      </c>
      <c r="O56" s="50" t="s">
        <v>0</v>
      </c>
      <c r="P56" s="50" t="s">
        <v>0</v>
      </c>
    </row>
    <row r="57" spans="1:16" x14ac:dyDescent="0.25">
      <c r="A57" s="52" t="s">
        <v>67</v>
      </c>
      <c r="B57" s="23">
        <v>2810</v>
      </c>
      <c r="C57" s="23" t="s">
        <v>160</v>
      </c>
      <c r="D57" s="162" t="s">
        <v>61</v>
      </c>
      <c r="E57" s="174">
        <v>19447.900000000001</v>
      </c>
      <c r="F57" s="169">
        <v>21128</v>
      </c>
      <c r="G57" s="172">
        <v>1.0863897901572919</v>
      </c>
      <c r="H57" s="20">
        <v>18000.066516179122</v>
      </c>
      <c r="I57" s="53">
        <v>3127.9334838208779</v>
      </c>
      <c r="J57" s="156" t="s">
        <v>67</v>
      </c>
      <c r="K57" t="s">
        <v>0</v>
      </c>
      <c r="L57" s="50" t="s">
        <v>0</v>
      </c>
      <c r="N57" s="50" t="s">
        <v>0</v>
      </c>
      <c r="O57" s="50" t="s">
        <v>0</v>
      </c>
      <c r="P57" s="50" t="s">
        <v>0</v>
      </c>
    </row>
    <row r="58" spans="1:16" x14ac:dyDescent="0.25">
      <c r="A58" s="52" t="s">
        <v>68</v>
      </c>
      <c r="B58" s="23">
        <v>690</v>
      </c>
      <c r="C58" s="23" t="s">
        <v>159</v>
      </c>
      <c r="D58" s="162" t="s">
        <v>61</v>
      </c>
      <c r="E58" s="174">
        <v>3760</v>
      </c>
      <c r="F58" s="169">
        <v>3787</v>
      </c>
      <c r="G58" s="172">
        <v>1.0071808510638298</v>
      </c>
      <c r="H58" s="20">
        <v>0</v>
      </c>
      <c r="I58" s="53">
        <v>3787</v>
      </c>
      <c r="J58" s="156" t="s">
        <v>68</v>
      </c>
      <c r="K58" t="s">
        <v>0</v>
      </c>
      <c r="L58" s="50" t="s">
        <v>0</v>
      </c>
      <c r="M58" s="50" t="s">
        <v>0</v>
      </c>
      <c r="P58" s="50" t="s">
        <v>0</v>
      </c>
    </row>
    <row r="59" spans="1:16" x14ac:dyDescent="0.25">
      <c r="A59" s="52" t="s">
        <v>13</v>
      </c>
      <c r="B59" s="23">
        <v>1420</v>
      </c>
      <c r="C59" s="23">
        <v>2009</v>
      </c>
      <c r="D59" s="173">
        <v>1.79375</v>
      </c>
      <c r="E59" s="174" t="s">
        <v>23</v>
      </c>
      <c r="F59" s="169">
        <v>2363.0880000000002</v>
      </c>
      <c r="G59" s="172" t="s">
        <v>23</v>
      </c>
      <c r="H59" s="20">
        <v>0</v>
      </c>
      <c r="I59" s="53">
        <v>2363.0880000000002</v>
      </c>
      <c r="J59" s="156" t="s">
        <v>13</v>
      </c>
      <c r="K59" t="s">
        <v>0</v>
      </c>
      <c r="L59" s="50" t="s">
        <v>0</v>
      </c>
      <c r="M59" s="50" t="s">
        <v>0</v>
      </c>
      <c r="P59" s="50" t="s">
        <v>0</v>
      </c>
    </row>
    <row r="60" spans="1:16" x14ac:dyDescent="0.25">
      <c r="A60" s="52" t="s">
        <v>69</v>
      </c>
      <c r="B60" s="23">
        <v>1240</v>
      </c>
      <c r="C60" s="23" t="s">
        <v>158</v>
      </c>
      <c r="D60" s="162" t="s">
        <v>61</v>
      </c>
      <c r="E60" s="174">
        <v>2309.1999999999998</v>
      </c>
      <c r="F60" s="169">
        <v>2411.3153768844218</v>
      </c>
      <c r="G60" s="172">
        <v>1.044221105527638</v>
      </c>
      <c r="H60" s="20">
        <v>22.555175879396987</v>
      </c>
      <c r="I60" s="53">
        <v>2388.7602010050246</v>
      </c>
      <c r="J60" s="156" t="s">
        <v>69</v>
      </c>
      <c r="K60" t="s">
        <v>0</v>
      </c>
      <c r="L60" s="50" t="s">
        <v>0</v>
      </c>
      <c r="M60" s="50" t="s">
        <v>0</v>
      </c>
      <c r="P60" s="50" t="s">
        <v>0</v>
      </c>
    </row>
    <row r="61" spans="1:16" x14ac:dyDescent="0.25">
      <c r="A61" s="52" t="s">
        <v>70</v>
      </c>
      <c r="B61" s="23">
        <v>3070</v>
      </c>
      <c r="C61" s="23" t="s">
        <v>157</v>
      </c>
      <c r="D61" s="162" t="s">
        <v>61</v>
      </c>
      <c r="E61" s="174">
        <v>5700</v>
      </c>
      <c r="F61" s="169">
        <v>5585</v>
      </c>
      <c r="G61" s="172">
        <v>0.97982456140350882</v>
      </c>
      <c r="H61" s="162">
        <v>0</v>
      </c>
      <c r="I61" s="53">
        <v>5585</v>
      </c>
      <c r="J61" s="156" t="s">
        <v>70</v>
      </c>
      <c r="K61" t="s">
        <v>0</v>
      </c>
      <c r="L61" s="50" t="s">
        <v>0</v>
      </c>
      <c r="M61" s="50" t="s">
        <v>0</v>
      </c>
      <c r="N61" s="50" t="s">
        <v>0</v>
      </c>
      <c r="P61" s="50" t="s">
        <v>0</v>
      </c>
    </row>
    <row r="62" spans="1:16" x14ac:dyDescent="0.25">
      <c r="A62" s="52" t="s">
        <v>71</v>
      </c>
      <c r="B62" s="23">
        <v>980</v>
      </c>
      <c r="C62" s="23" t="s">
        <v>156</v>
      </c>
      <c r="D62" s="162" t="s">
        <v>61</v>
      </c>
      <c r="E62" s="174">
        <v>2890</v>
      </c>
      <c r="F62" s="169">
        <v>2859</v>
      </c>
      <c r="G62" s="172">
        <v>0.98927335640138403</v>
      </c>
      <c r="H62" s="162">
        <v>0</v>
      </c>
      <c r="I62" s="53">
        <v>2859</v>
      </c>
      <c r="J62" s="156" t="s">
        <v>71</v>
      </c>
      <c r="K62" t="s">
        <v>0</v>
      </c>
      <c r="L62" s="50" t="s">
        <v>0</v>
      </c>
      <c r="M62" s="50" t="s">
        <v>0</v>
      </c>
      <c r="N62" s="50" t="s">
        <v>0</v>
      </c>
      <c r="P62" s="50" t="s">
        <v>0</v>
      </c>
    </row>
    <row r="63" spans="1:16" x14ac:dyDescent="0.25">
      <c r="A63" s="52" t="s">
        <v>72</v>
      </c>
      <c r="B63" s="23" t="s">
        <v>23</v>
      </c>
      <c r="C63" s="23" t="s">
        <v>23</v>
      </c>
      <c r="D63" s="162" t="s">
        <v>23</v>
      </c>
      <c r="E63" s="174">
        <v>70</v>
      </c>
      <c r="F63" s="169">
        <v>70</v>
      </c>
      <c r="G63" s="172">
        <v>1</v>
      </c>
      <c r="H63" s="162">
        <v>0</v>
      </c>
      <c r="I63" s="53">
        <v>70</v>
      </c>
      <c r="J63" s="156" t="s">
        <v>72</v>
      </c>
      <c r="K63" t="s">
        <v>0</v>
      </c>
      <c r="L63" s="50" t="s">
        <v>0</v>
      </c>
      <c r="M63" s="50" t="s">
        <v>0</v>
      </c>
      <c r="N63" s="50" t="s">
        <v>0</v>
      </c>
      <c r="P63" s="50" t="s">
        <v>0</v>
      </c>
    </row>
    <row r="64" spans="1:16" x14ac:dyDescent="0.25">
      <c r="A64" s="52" t="s">
        <v>73</v>
      </c>
      <c r="B64" s="23">
        <v>2530</v>
      </c>
      <c r="C64" s="23" t="s">
        <v>161</v>
      </c>
      <c r="D64" s="162" t="s">
        <v>61</v>
      </c>
      <c r="E64" s="174">
        <v>8140</v>
      </c>
      <c r="F64" s="169">
        <v>8131</v>
      </c>
      <c r="G64" s="172">
        <v>0.99889434889434892</v>
      </c>
      <c r="H64" s="162">
        <v>0</v>
      </c>
      <c r="I64" s="53">
        <v>8131</v>
      </c>
      <c r="J64" s="156" t="s">
        <v>73</v>
      </c>
      <c r="K64" t="s">
        <v>0</v>
      </c>
      <c r="L64" s="50" t="s">
        <v>0</v>
      </c>
      <c r="M64" s="50" t="s">
        <v>0</v>
      </c>
      <c r="N64" s="50" t="s">
        <v>0</v>
      </c>
      <c r="P64" s="50" t="s">
        <v>0</v>
      </c>
    </row>
    <row r="65" spans="1:16" x14ac:dyDescent="0.25">
      <c r="A65" s="52" t="s">
        <v>74</v>
      </c>
      <c r="B65" s="23">
        <v>-570</v>
      </c>
      <c r="C65" s="23" t="s">
        <v>63</v>
      </c>
      <c r="D65" s="162" t="s">
        <v>63</v>
      </c>
      <c r="E65" s="174">
        <v>2780</v>
      </c>
      <c r="F65" s="169">
        <v>2708</v>
      </c>
      <c r="G65" s="172">
        <v>0.97410071942446042</v>
      </c>
      <c r="H65" s="162">
        <v>0</v>
      </c>
      <c r="I65" s="53">
        <v>2708</v>
      </c>
      <c r="J65" s="156" t="s">
        <v>74</v>
      </c>
      <c r="K65" t="s">
        <v>0</v>
      </c>
      <c r="L65" s="50" t="s">
        <v>0</v>
      </c>
      <c r="M65" s="50" t="s">
        <v>0</v>
      </c>
      <c r="N65" s="50" t="s">
        <v>0</v>
      </c>
      <c r="P65" s="50" t="s">
        <v>0</v>
      </c>
    </row>
    <row r="66" spans="1:16" x14ac:dyDescent="0.25">
      <c r="A66" s="52" t="s">
        <v>14</v>
      </c>
      <c r="B66" s="23">
        <v>4220</v>
      </c>
      <c r="C66" s="23">
        <v>7033</v>
      </c>
      <c r="D66" s="173">
        <v>1.6665876777251185</v>
      </c>
      <c r="E66" s="174">
        <v>5750</v>
      </c>
      <c r="F66" s="169">
        <v>5734</v>
      </c>
      <c r="G66" s="172">
        <v>0.99721739130434783</v>
      </c>
      <c r="H66" s="162">
        <v>0</v>
      </c>
      <c r="I66" s="53">
        <v>5734</v>
      </c>
      <c r="J66" s="156" t="s">
        <v>14</v>
      </c>
      <c r="K66" t="s">
        <v>0</v>
      </c>
      <c r="L66" s="50" t="s">
        <v>0</v>
      </c>
      <c r="M66" s="50" t="s">
        <v>0</v>
      </c>
      <c r="N66" s="50" t="s">
        <v>0</v>
      </c>
      <c r="P66" s="50" t="s">
        <v>0</v>
      </c>
    </row>
    <row r="67" spans="1:16" ht="15.75" x14ac:dyDescent="0.25">
      <c r="A67" s="52" t="s">
        <v>75</v>
      </c>
      <c r="B67" s="23">
        <v>-30</v>
      </c>
      <c r="C67" s="175">
        <v>4337</v>
      </c>
      <c r="D67" s="162" t="s">
        <v>63</v>
      </c>
      <c r="E67" s="174">
        <v>7080</v>
      </c>
      <c r="F67" s="169">
        <v>7030</v>
      </c>
      <c r="G67" s="172">
        <v>0.99293785310734461</v>
      </c>
      <c r="H67" s="162">
        <v>0</v>
      </c>
      <c r="I67" s="53">
        <v>7030</v>
      </c>
      <c r="J67" s="156" t="s">
        <v>75</v>
      </c>
      <c r="K67" t="s">
        <v>0</v>
      </c>
      <c r="L67" s="50" t="s">
        <v>0</v>
      </c>
      <c r="M67" s="50" t="s">
        <v>0</v>
      </c>
      <c r="N67" s="50" t="s">
        <v>0</v>
      </c>
      <c r="P67" s="50" t="s">
        <v>0</v>
      </c>
    </row>
    <row r="68" spans="1:16" x14ac:dyDescent="0.25">
      <c r="A68" s="52" t="s">
        <v>11</v>
      </c>
      <c r="B68" s="23">
        <v>5630</v>
      </c>
      <c r="C68" s="23">
        <v>8287</v>
      </c>
      <c r="D68" s="173">
        <v>1.652561669829222</v>
      </c>
      <c r="E68" s="174">
        <v>9270</v>
      </c>
      <c r="F68" s="169">
        <v>9264</v>
      </c>
      <c r="G68" s="172">
        <v>0.9993527508090615</v>
      </c>
      <c r="H68" s="162">
        <v>0</v>
      </c>
      <c r="I68" s="53">
        <v>9264</v>
      </c>
      <c r="J68" s="156" t="s">
        <v>11</v>
      </c>
      <c r="K68" t="s">
        <v>0</v>
      </c>
      <c r="L68" s="50" t="s">
        <v>0</v>
      </c>
      <c r="M68" s="50" t="s">
        <v>0</v>
      </c>
      <c r="N68" s="50" t="s">
        <v>0</v>
      </c>
      <c r="P68" s="50" t="s">
        <v>0</v>
      </c>
    </row>
    <row r="69" spans="1:16" x14ac:dyDescent="0.25">
      <c r="A69" s="52" t="s">
        <v>12</v>
      </c>
      <c r="B69" s="23">
        <v>2560</v>
      </c>
      <c r="C69" s="23">
        <v>4253</v>
      </c>
      <c r="D69" s="173">
        <v>1.6365384615384615</v>
      </c>
      <c r="E69" s="174" t="s">
        <v>23</v>
      </c>
      <c r="F69" s="169">
        <v>4817.28</v>
      </c>
      <c r="G69" s="172" t="s">
        <v>23</v>
      </c>
      <c r="H69" s="162">
        <v>0</v>
      </c>
      <c r="I69" s="53">
        <v>4817.28</v>
      </c>
      <c r="J69" s="156" t="s">
        <v>12</v>
      </c>
      <c r="K69" t="s">
        <v>0</v>
      </c>
      <c r="L69" s="50" t="s">
        <v>0</v>
      </c>
      <c r="M69" s="50" t="s">
        <v>0</v>
      </c>
      <c r="N69" s="50" t="s">
        <v>0</v>
      </c>
      <c r="P69" s="50" t="s">
        <v>0</v>
      </c>
    </row>
    <row r="70" spans="1:16" x14ac:dyDescent="0.25">
      <c r="A70" s="52" t="s">
        <v>76</v>
      </c>
      <c r="B70" s="23" t="s">
        <v>23</v>
      </c>
      <c r="C70" s="23" t="s">
        <v>23</v>
      </c>
      <c r="D70" s="162" t="s">
        <v>23</v>
      </c>
      <c r="E70" s="174">
        <v>380</v>
      </c>
      <c r="F70" s="169">
        <v>374</v>
      </c>
      <c r="G70" s="172">
        <v>0.98421052631578942</v>
      </c>
      <c r="H70" s="162">
        <v>0</v>
      </c>
      <c r="I70" s="53">
        <v>374</v>
      </c>
      <c r="J70" s="156" t="s">
        <v>76</v>
      </c>
      <c r="K70" t="s">
        <v>77</v>
      </c>
      <c r="L70" s="50" t="s">
        <v>0</v>
      </c>
      <c r="M70" s="50" t="s">
        <v>0</v>
      </c>
      <c r="N70" s="50" t="s">
        <v>0</v>
      </c>
      <c r="P70" s="50" t="s">
        <v>0</v>
      </c>
    </row>
    <row r="71" spans="1:16" x14ac:dyDescent="0.25">
      <c r="A71" s="52" t="s">
        <v>9</v>
      </c>
      <c r="B71" s="23">
        <v>2740</v>
      </c>
      <c r="C71" s="23">
        <v>8594</v>
      </c>
      <c r="D71" s="173">
        <v>3.1971887550200804</v>
      </c>
      <c r="E71" s="174" t="s">
        <v>23</v>
      </c>
      <c r="F71" s="174">
        <v>29540</v>
      </c>
      <c r="G71" s="176" t="s">
        <v>23</v>
      </c>
      <c r="H71" s="174">
        <v>0</v>
      </c>
      <c r="I71" s="200" t="s">
        <v>0</v>
      </c>
      <c r="J71" s="156" t="s">
        <v>9</v>
      </c>
      <c r="K71" t="s">
        <v>0</v>
      </c>
      <c r="L71" s="50" t="s">
        <v>0</v>
      </c>
      <c r="M71" s="50" t="s">
        <v>0</v>
      </c>
      <c r="N71" s="50" t="s">
        <v>0</v>
      </c>
      <c r="P71" s="50" t="s">
        <v>0</v>
      </c>
    </row>
    <row r="72" spans="1:16" x14ac:dyDescent="0.25">
      <c r="A72" s="54" t="s">
        <v>10</v>
      </c>
      <c r="B72" s="23">
        <v>6060</v>
      </c>
      <c r="C72" s="23">
        <v>7947</v>
      </c>
      <c r="D72" s="173">
        <v>1.3113861386138614</v>
      </c>
      <c r="E72" s="168" t="s">
        <v>23</v>
      </c>
      <c r="F72" s="168">
        <v>11945</v>
      </c>
      <c r="G72" s="176" t="s">
        <v>23</v>
      </c>
      <c r="H72" s="174">
        <v>0</v>
      </c>
      <c r="I72" s="201"/>
      <c r="J72" s="156" t="s">
        <v>10</v>
      </c>
      <c r="K72" t="s">
        <v>0</v>
      </c>
      <c r="L72" s="50" t="s">
        <v>0</v>
      </c>
      <c r="M72" s="50" t="s">
        <v>0</v>
      </c>
      <c r="N72" s="50" t="s">
        <v>0</v>
      </c>
      <c r="P72" s="50" t="s">
        <v>0</v>
      </c>
    </row>
    <row r="73" spans="1:16" ht="15.75" x14ac:dyDescent="0.25">
      <c r="A73" s="54" t="s">
        <v>78</v>
      </c>
      <c r="B73" s="23">
        <v>-10060</v>
      </c>
      <c r="C73" s="177" t="s">
        <v>63</v>
      </c>
      <c r="D73" s="162" t="s">
        <v>63</v>
      </c>
      <c r="E73" s="168" t="s">
        <v>23</v>
      </c>
      <c r="F73" s="168">
        <v>12597</v>
      </c>
      <c r="G73" s="176" t="s">
        <v>23</v>
      </c>
      <c r="H73" s="174">
        <v>0</v>
      </c>
      <c r="I73" s="201"/>
      <c r="J73" s="159" t="s">
        <v>78</v>
      </c>
      <c r="K73" t="s">
        <v>0</v>
      </c>
      <c r="L73" s="50" t="s">
        <v>0</v>
      </c>
      <c r="M73" s="50" t="s">
        <v>0</v>
      </c>
      <c r="N73" s="50" t="s">
        <v>0</v>
      </c>
      <c r="P73" s="55"/>
    </row>
    <row r="74" spans="1:16" ht="15.75" x14ac:dyDescent="0.25">
      <c r="A74" s="54" t="s">
        <v>8</v>
      </c>
      <c r="B74" s="23">
        <v>-4760</v>
      </c>
      <c r="C74" s="178" t="s">
        <v>63</v>
      </c>
      <c r="D74" s="162" t="s">
        <v>63</v>
      </c>
      <c r="E74" s="168" t="s">
        <v>23</v>
      </c>
      <c r="F74" s="168">
        <v>54082</v>
      </c>
      <c r="G74" s="176" t="s">
        <v>23</v>
      </c>
      <c r="H74" s="174">
        <v>0</v>
      </c>
      <c r="I74" s="201"/>
      <c r="J74" s="156" t="s">
        <v>8</v>
      </c>
      <c r="K74" t="s">
        <v>0</v>
      </c>
      <c r="O74" s="55"/>
      <c r="P74" s="55"/>
    </row>
    <row r="75" spans="1:16" ht="15.75" x14ac:dyDescent="0.25">
      <c r="A75" s="54" t="s">
        <v>79</v>
      </c>
      <c r="B75" s="23">
        <v>-7250</v>
      </c>
      <c r="C75" s="23" t="s">
        <v>63</v>
      </c>
      <c r="D75" s="162" t="s">
        <v>63</v>
      </c>
      <c r="E75" s="174" t="s">
        <v>23</v>
      </c>
      <c r="F75" s="174">
        <v>75430.31537688442</v>
      </c>
      <c r="G75" s="176" t="s">
        <v>23</v>
      </c>
      <c r="H75" s="174">
        <v>11421.552399354196</v>
      </c>
      <c r="I75" s="202"/>
      <c r="J75" s="159" t="s">
        <v>79</v>
      </c>
      <c r="K75" t="s">
        <v>0</v>
      </c>
      <c r="O75" s="55"/>
      <c r="P75" s="55"/>
    </row>
    <row r="76" spans="1:16" ht="15.75" x14ac:dyDescent="0.25">
      <c r="A76" s="203" t="s">
        <v>80</v>
      </c>
      <c r="B76" s="204"/>
      <c r="C76" s="204"/>
      <c r="D76" s="204"/>
      <c r="E76" s="204"/>
      <c r="F76" s="204"/>
      <c r="G76" s="204"/>
      <c r="H76" s="204"/>
      <c r="I76" s="204"/>
      <c r="J76" s="204"/>
      <c r="K76" t="s">
        <v>0</v>
      </c>
      <c r="O76" s="55"/>
      <c r="P76" s="55"/>
    </row>
    <row r="77" spans="1:16" ht="15.75" x14ac:dyDescent="0.25">
      <c r="A77" s="193" t="s">
        <v>0</v>
      </c>
      <c r="B77" s="194"/>
      <c r="C77" s="194"/>
      <c r="D77" s="194"/>
      <c r="E77" s="194"/>
      <c r="F77" s="194"/>
      <c r="G77" s="194"/>
      <c r="H77" s="194"/>
      <c r="I77" s="194"/>
      <c r="J77" s="194"/>
      <c r="K77" t="s">
        <v>0</v>
      </c>
      <c r="O77" s="55"/>
      <c r="P77" s="55"/>
    </row>
    <row r="78" spans="1:16" ht="15.75" x14ac:dyDescent="0.25">
      <c r="A78" s="195" t="s">
        <v>81</v>
      </c>
      <c r="B78" s="195"/>
      <c r="C78" s="195"/>
      <c r="D78" s="195"/>
      <c r="E78" s="195"/>
      <c r="F78" s="195"/>
      <c r="G78" s="195"/>
      <c r="H78" s="195"/>
      <c r="I78" s="195"/>
      <c r="J78" s="195"/>
      <c r="K78" t="s">
        <v>0</v>
      </c>
    </row>
    <row r="79" spans="1:16" ht="15.75" x14ac:dyDescent="0.25">
      <c r="A79" s="48" t="s">
        <v>82</v>
      </c>
      <c r="B79" s="196" t="s">
        <v>83</v>
      </c>
      <c r="C79" s="197"/>
      <c r="D79" s="196" t="s">
        <v>84</v>
      </c>
      <c r="E79" s="198"/>
      <c r="F79" s="198"/>
      <c r="G79" s="198"/>
      <c r="H79" s="198"/>
      <c r="I79" s="198"/>
      <c r="J79" s="197"/>
      <c r="K79" t="s">
        <v>0</v>
      </c>
    </row>
    <row r="80" spans="1:16" ht="34.5" customHeight="1" x14ac:dyDescent="0.25">
      <c r="A80" s="52" t="s">
        <v>8</v>
      </c>
      <c r="B80" s="183" t="s">
        <v>85</v>
      </c>
      <c r="C80" s="184"/>
      <c r="D80" s="185" t="s">
        <v>138</v>
      </c>
      <c r="E80" s="187"/>
      <c r="F80" s="187"/>
      <c r="G80" s="187"/>
      <c r="H80" s="187"/>
      <c r="I80" s="187"/>
      <c r="J80" s="188"/>
      <c r="K80" t="s">
        <v>0</v>
      </c>
    </row>
    <row r="81" spans="1:11" ht="46.5" customHeight="1" x14ac:dyDescent="0.25">
      <c r="A81" s="52" t="s">
        <v>9</v>
      </c>
      <c r="B81" s="183" t="s">
        <v>86</v>
      </c>
      <c r="C81" s="184"/>
      <c r="D81" s="185" t="s">
        <v>137</v>
      </c>
      <c r="E81" s="186"/>
      <c r="F81" s="186"/>
      <c r="G81" s="186"/>
      <c r="H81" s="186"/>
      <c r="I81" s="186"/>
      <c r="J81" s="184"/>
      <c r="K81" t="s">
        <v>0</v>
      </c>
    </row>
    <row r="82" spans="1:11" ht="36.75" customHeight="1" x14ac:dyDescent="0.25">
      <c r="A82" s="52" t="s">
        <v>10</v>
      </c>
      <c r="B82" s="183" t="s">
        <v>86</v>
      </c>
      <c r="C82" s="184"/>
      <c r="D82" s="185" t="s">
        <v>143</v>
      </c>
      <c r="E82" s="187"/>
      <c r="F82" s="187"/>
      <c r="G82" s="187"/>
      <c r="H82" s="187"/>
      <c r="I82" s="187"/>
      <c r="J82" s="188"/>
      <c r="K82" t="s">
        <v>0</v>
      </c>
    </row>
    <row r="83" spans="1:11" ht="64.5" customHeight="1" x14ac:dyDescent="0.25">
      <c r="A83" s="52" t="s">
        <v>11</v>
      </c>
      <c r="B83" s="183" t="s">
        <v>87</v>
      </c>
      <c r="C83" s="184"/>
      <c r="D83" s="185" t="s">
        <v>141</v>
      </c>
      <c r="E83" s="187"/>
      <c r="F83" s="187"/>
      <c r="G83" s="187"/>
      <c r="H83" s="187"/>
      <c r="I83" s="187"/>
      <c r="J83" s="188"/>
      <c r="K83" t="s">
        <v>0</v>
      </c>
    </row>
    <row r="84" spans="1:11" ht="48.95" customHeight="1" x14ac:dyDescent="0.25">
      <c r="A84" s="52" t="s">
        <v>88</v>
      </c>
      <c r="B84" s="183" t="s">
        <v>87</v>
      </c>
      <c r="C84" s="184"/>
      <c r="D84" s="189" t="s">
        <v>142</v>
      </c>
      <c r="E84" s="187"/>
      <c r="F84" s="187"/>
      <c r="G84" s="187"/>
      <c r="H84" s="187"/>
      <c r="I84" s="187"/>
      <c r="J84" s="188"/>
      <c r="K84" t="s">
        <v>0</v>
      </c>
    </row>
    <row r="85" spans="1:11" ht="50.45" customHeight="1" x14ac:dyDescent="0.25">
      <c r="A85" s="52" t="s">
        <v>89</v>
      </c>
      <c r="B85" s="183" t="s">
        <v>87</v>
      </c>
      <c r="C85" s="184"/>
      <c r="D85" s="185" t="s">
        <v>136</v>
      </c>
      <c r="E85" s="187"/>
      <c r="F85" s="187"/>
      <c r="G85" s="187"/>
      <c r="H85" s="187"/>
      <c r="I85" s="187"/>
      <c r="J85" s="188"/>
      <c r="K85" t="s">
        <v>0</v>
      </c>
    </row>
    <row r="86" spans="1:11" ht="63" customHeight="1" x14ac:dyDescent="0.25">
      <c r="A86" s="52" t="s">
        <v>14</v>
      </c>
      <c r="B86" s="183" t="s">
        <v>87</v>
      </c>
      <c r="C86" s="184"/>
      <c r="D86" s="185" t="s">
        <v>139</v>
      </c>
      <c r="E86" s="187"/>
      <c r="F86" s="187"/>
      <c r="G86" s="187"/>
      <c r="H86" s="187"/>
      <c r="I86" s="187"/>
      <c r="J86" s="188"/>
      <c r="K86" t="s">
        <v>0</v>
      </c>
    </row>
    <row r="87" spans="1:11" ht="49.5" customHeight="1" x14ac:dyDescent="0.25">
      <c r="A87" s="54" t="s">
        <v>15</v>
      </c>
      <c r="B87" s="183" t="s">
        <v>87</v>
      </c>
      <c r="C87" s="184"/>
      <c r="D87" s="185" t="s">
        <v>132</v>
      </c>
      <c r="E87" s="186"/>
      <c r="F87" s="186"/>
      <c r="G87" s="186"/>
      <c r="H87" s="186"/>
      <c r="I87" s="186"/>
      <c r="J87" s="184"/>
      <c r="K87" t="s">
        <v>0</v>
      </c>
    </row>
    <row r="88" spans="1:11" ht="49.5" customHeight="1" x14ac:dyDescent="0.25">
      <c r="A88" s="54" t="s">
        <v>65</v>
      </c>
      <c r="B88" s="183" t="s">
        <v>86</v>
      </c>
      <c r="C88" s="184"/>
      <c r="D88" s="185" t="s">
        <v>134</v>
      </c>
      <c r="E88" s="186"/>
      <c r="F88" s="186"/>
      <c r="G88" s="186"/>
      <c r="H88" s="186"/>
      <c r="I88" s="186"/>
      <c r="J88" s="184"/>
      <c r="K88" t="s">
        <v>0</v>
      </c>
    </row>
    <row r="89" spans="1:11" ht="102" customHeight="1" x14ac:dyDescent="0.25">
      <c r="A89" s="54" t="s">
        <v>17</v>
      </c>
      <c r="B89" s="183" t="s">
        <v>87</v>
      </c>
      <c r="C89" s="184"/>
      <c r="D89" s="185" t="s">
        <v>135</v>
      </c>
      <c r="E89" s="186"/>
      <c r="F89" s="186"/>
      <c r="G89" s="186"/>
      <c r="H89" s="186"/>
      <c r="I89" s="186"/>
      <c r="J89" s="184"/>
      <c r="K89" t="s">
        <v>0</v>
      </c>
    </row>
    <row r="90" spans="1:11" ht="23.45" customHeight="1" x14ac:dyDescent="0.25">
      <c r="A90" s="54" t="s">
        <v>18</v>
      </c>
      <c r="B90" s="183" t="s">
        <v>86</v>
      </c>
      <c r="C90" s="184"/>
      <c r="D90" s="183" t="s">
        <v>133</v>
      </c>
      <c r="E90" s="186"/>
      <c r="F90" s="186"/>
      <c r="G90" s="186"/>
      <c r="H90" s="186"/>
      <c r="I90" s="186"/>
      <c r="J90" s="184"/>
      <c r="K90" t="s">
        <v>0</v>
      </c>
    </row>
    <row r="91" spans="1:11" ht="34.5" customHeight="1" x14ac:dyDescent="0.25">
      <c r="A91" s="54" t="s">
        <v>19</v>
      </c>
      <c r="B91" s="183" t="s">
        <v>87</v>
      </c>
      <c r="C91" s="184"/>
      <c r="D91" s="185" t="s">
        <v>140</v>
      </c>
      <c r="E91" s="187"/>
      <c r="F91" s="187"/>
      <c r="G91" s="187"/>
      <c r="H91" s="187"/>
      <c r="I91" s="187"/>
      <c r="J91" s="188"/>
      <c r="K91" t="s">
        <v>0</v>
      </c>
    </row>
    <row r="92" spans="1:11" ht="36" customHeight="1" x14ac:dyDescent="0.25">
      <c r="A92" s="54" t="s">
        <v>20</v>
      </c>
      <c r="B92" s="183" t="s">
        <v>87</v>
      </c>
      <c r="C92" s="184"/>
      <c r="D92" s="185" t="s">
        <v>122</v>
      </c>
      <c r="E92" s="187"/>
      <c r="F92" s="187"/>
      <c r="G92" s="187"/>
      <c r="H92" s="187"/>
      <c r="I92" s="187"/>
      <c r="J92" s="188"/>
      <c r="K92" t="s">
        <v>0</v>
      </c>
    </row>
    <row r="93" spans="1:11" ht="35.1" customHeight="1" x14ac:dyDescent="0.25">
      <c r="A93" s="54" t="s">
        <v>21</v>
      </c>
      <c r="B93" s="183" t="s">
        <v>87</v>
      </c>
      <c r="C93" s="184"/>
      <c r="D93" s="185" t="s">
        <v>164</v>
      </c>
      <c r="E93" s="187"/>
      <c r="F93" s="187"/>
      <c r="G93" s="187"/>
      <c r="H93" s="187"/>
      <c r="I93" s="187"/>
      <c r="J93" s="188"/>
      <c r="K93" t="s">
        <v>0</v>
      </c>
    </row>
  </sheetData>
  <mergeCells count="44">
    <mergeCell ref="C3:P3"/>
    <mergeCell ref="C4:P4"/>
    <mergeCell ref="C5:P5"/>
    <mergeCell ref="C6:P6"/>
    <mergeCell ref="C7:P7"/>
    <mergeCell ref="B79:C79"/>
    <mergeCell ref="D79:J79"/>
    <mergeCell ref="A41:P41"/>
    <mergeCell ref="A44:I44"/>
    <mergeCell ref="I71:I75"/>
    <mergeCell ref="A76:J76"/>
    <mergeCell ref="C8:P8"/>
    <mergeCell ref="A19:P19"/>
    <mergeCell ref="A27:P27"/>
    <mergeCell ref="A77:J77"/>
    <mergeCell ref="A78:J78"/>
    <mergeCell ref="B80:C80"/>
    <mergeCell ref="D80:J80"/>
    <mergeCell ref="B81:C81"/>
    <mergeCell ref="D81:J81"/>
    <mergeCell ref="B82:C82"/>
    <mergeCell ref="D82:J82"/>
    <mergeCell ref="B83:C83"/>
    <mergeCell ref="D83:J83"/>
    <mergeCell ref="B84:C84"/>
    <mergeCell ref="D84:J84"/>
    <mergeCell ref="B85:C85"/>
    <mergeCell ref="D85:J85"/>
    <mergeCell ref="B86:C86"/>
    <mergeCell ref="D86:J86"/>
    <mergeCell ref="B87:C87"/>
    <mergeCell ref="D87:J87"/>
    <mergeCell ref="B88:C88"/>
    <mergeCell ref="D88:J88"/>
    <mergeCell ref="B89:C89"/>
    <mergeCell ref="D89:J89"/>
    <mergeCell ref="B93:C93"/>
    <mergeCell ref="D93:J93"/>
    <mergeCell ref="B90:C90"/>
    <mergeCell ref="D90:J90"/>
    <mergeCell ref="B91:C91"/>
    <mergeCell ref="D91:J91"/>
    <mergeCell ref="B92:C92"/>
    <mergeCell ref="D92:J92"/>
  </mergeCells>
  <conditionalFormatting sqref="C47:C72">
    <cfRule type="expression" dxfId="0" priority="1">
      <formula>COUNTIF($C$9:$P$9,"="&amp;A47)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="90" zoomScaleNormal="90" workbookViewId="0"/>
  </sheetViews>
  <sheetFormatPr defaultRowHeight="15" x14ac:dyDescent="0.25"/>
  <cols>
    <col min="1" max="4" width="21.85546875" customWidth="1"/>
    <col min="5" max="10" width="18.85546875" customWidth="1"/>
    <col min="11" max="11" width="27.140625" customWidth="1"/>
  </cols>
  <sheetData>
    <row r="1" spans="1:13" ht="18" x14ac:dyDescent="0.25">
      <c r="A1" s="149" t="s">
        <v>126</v>
      </c>
      <c r="B1" s="149"/>
      <c r="C1" s="149"/>
      <c r="D1" s="149"/>
      <c r="E1" s="56"/>
      <c r="F1" s="56"/>
      <c r="G1" s="56"/>
      <c r="H1" s="56"/>
      <c r="I1" s="56"/>
      <c r="J1" s="56"/>
      <c r="K1" s="56"/>
    </row>
    <row r="2" spans="1:13" ht="15.75" x14ac:dyDescent="0.25">
      <c r="A2" s="206" t="s">
        <v>90</v>
      </c>
      <c r="B2" s="206"/>
      <c r="C2" s="206"/>
      <c r="D2" s="206"/>
      <c r="E2" s="206"/>
      <c r="F2" s="206"/>
      <c r="G2" s="206"/>
      <c r="H2" s="206"/>
      <c r="I2" s="57"/>
      <c r="J2" s="46" t="s">
        <v>0</v>
      </c>
      <c r="K2" s="46" t="s">
        <v>0</v>
      </c>
    </row>
    <row r="3" spans="1:13" ht="15.75" x14ac:dyDescent="0.25">
      <c r="A3" s="206" t="s">
        <v>91</v>
      </c>
      <c r="B3" s="206"/>
      <c r="C3" s="206"/>
      <c r="D3" s="206"/>
      <c r="E3" s="206"/>
      <c r="F3" s="206"/>
      <c r="G3" s="206"/>
      <c r="H3" s="206"/>
      <c r="I3" s="142" t="s">
        <v>0</v>
      </c>
      <c r="J3" s="46" t="s">
        <v>0</v>
      </c>
      <c r="K3" s="46" t="s">
        <v>0</v>
      </c>
      <c r="L3" s="46" t="s">
        <v>0</v>
      </c>
      <c r="M3" s="46" t="s">
        <v>0</v>
      </c>
    </row>
    <row r="4" spans="1:13" ht="15.75" x14ac:dyDescent="0.25">
      <c r="A4" s="206" t="s">
        <v>119</v>
      </c>
      <c r="B4" s="206"/>
      <c r="C4" s="206"/>
      <c r="D4" s="206"/>
      <c r="E4" s="206"/>
      <c r="F4" s="206"/>
      <c r="G4" s="206"/>
      <c r="H4" s="58">
        <f>'Planning Parameters'!B5</f>
        <v>5.0200000000000002E-2</v>
      </c>
      <c r="I4" s="179"/>
      <c r="J4" s="180"/>
      <c r="K4" s="180"/>
      <c r="L4" s="46" t="s">
        <v>0</v>
      </c>
      <c r="M4" s="46" t="s">
        <v>0</v>
      </c>
    </row>
    <row r="5" spans="1:13" x14ac:dyDescent="0.25">
      <c r="A5" s="209" t="s">
        <v>92</v>
      </c>
      <c r="B5" s="209"/>
      <c r="C5" s="209"/>
      <c r="D5" s="209"/>
      <c r="E5" s="209"/>
      <c r="F5" s="209"/>
      <c r="G5" s="209"/>
      <c r="H5" s="209"/>
      <c r="J5" s="59"/>
      <c r="K5" s="60" t="s">
        <v>0</v>
      </c>
    </row>
    <row r="6" spans="1:13" x14ac:dyDescent="0.25">
      <c r="A6" s="209" t="s">
        <v>93</v>
      </c>
      <c r="B6" s="209"/>
      <c r="C6" s="209"/>
      <c r="D6" s="209"/>
      <c r="E6" s="209"/>
      <c r="F6" s="209"/>
      <c r="G6" s="209"/>
      <c r="H6" s="209"/>
      <c r="I6" s="59"/>
      <c r="J6" s="59"/>
    </row>
    <row r="7" spans="1:13" x14ac:dyDescent="0.25">
      <c r="A7" s="208" t="s">
        <v>94</v>
      </c>
      <c r="B7" s="208"/>
      <c r="C7" s="208"/>
      <c r="D7" s="208"/>
      <c r="E7" s="208"/>
      <c r="F7" s="208"/>
      <c r="G7" s="208"/>
      <c r="H7" s="208"/>
      <c r="I7" s="59"/>
      <c r="J7" s="59"/>
    </row>
    <row r="8" spans="1:13" x14ac:dyDescent="0.25">
      <c r="A8" s="209" t="s">
        <v>95</v>
      </c>
      <c r="B8" s="209"/>
      <c r="C8" s="209"/>
      <c r="D8" s="209"/>
      <c r="E8" s="209"/>
      <c r="F8" s="209"/>
      <c r="G8" s="209"/>
      <c r="H8" s="209"/>
      <c r="I8" s="59"/>
      <c r="J8" s="59"/>
      <c r="K8" s="61" t="s">
        <v>0</v>
      </c>
    </row>
    <row r="9" spans="1:13" ht="15.75" thickBot="1" x14ac:dyDescent="0.3">
      <c r="E9" s="62" t="s">
        <v>0</v>
      </c>
      <c r="H9" s="63" t="s">
        <v>0</v>
      </c>
    </row>
    <row r="10" spans="1:13" ht="75.75" thickBot="1" x14ac:dyDescent="0.3">
      <c r="A10" s="64" t="s">
        <v>96</v>
      </c>
      <c r="B10" s="65" t="s">
        <v>127</v>
      </c>
      <c r="C10" s="65" t="s">
        <v>97</v>
      </c>
      <c r="D10" s="65" t="s">
        <v>128</v>
      </c>
      <c r="E10" s="65" t="s">
        <v>98</v>
      </c>
      <c r="F10" s="65" t="s">
        <v>124</v>
      </c>
      <c r="G10" s="65" t="s">
        <v>99</v>
      </c>
      <c r="H10" s="65" t="s">
        <v>100</v>
      </c>
      <c r="I10" s="65" t="s">
        <v>101</v>
      </c>
      <c r="J10" s="65" t="s">
        <v>102</v>
      </c>
      <c r="K10" s="66" t="s">
        <v>103</v>
      </c>
    </row>
    <row r="11" spans="1:13" ht="15.75" x14ac:dyDescent="0.25">
      <c r="A11" s="67" t="s">
        <v>104</v>
      </c>
      <c r="B11" s="68">
        <v>115311.31268058448</v>
      </c>
      <c r="C11" s="69">
        <f>1.04471363956462*1.022</f>
        <v>1.0676973396350415</v>
      </c>
      <c r="D11" s="68">
        <f>B11*C11</f>
        <v>123117.58177888449</v>
      </c>
      <c r="E11" s="70">
        <f>ROUND(D11/(((DATE(LEFT('Planning Parameters'!$A$1,4)*1+1,5,31)-(DATE(LEFT('Planning Parameters'!$A$1,4)*1,6,1))+1))*(1-$H$4)),2)</f>
        <v>355.14</v>
      </c>
      <c r="F11" s="71"/>
      <c r="G11" s="71"/>
      <c r="H11" s="71"/>
      <c r="I11" s="71"/>
      <c r="J11" s="72"/>
      <c r="K11" s="73"/>
    </row>
    <row r="12" spans="1:13" ht="15.75" x14ac:dyDescent="0.25">
      <c r="A12" s="74" t="s">
        <v>60</v>
      </c>
      <c r="B12" s="75" t="s">
        <v>0</v>
      </c>
      <c r="C12" s="75"/>
      <c r="D12" s="75"/>
      <c r="E12" s="76">
        <f t="shared" ref="E12:E18" si="0">$E$11</f>
        <v>355.14</v>
      </c>
      <c r="F12" s="77">
        <v>9847.31</v>
      </c>
      <c r="G12" s="78">
        <v>2199</v>
      </c>
      <c r="H12" s="77">
        <f>F12+G12</f>
        <v>12046.31</v>
      </c>
      <c r="I12" s="76">
        <f>($D$11-H12)/((DATE(LEFT('Planning Parameters'!$A$1,4)*1+1,5,31)-(DATE(LEFT('Planning Parameters'!$A$1,4)*1,6,1))+1))</f>
        <v>304.30485418872462</v>
      </c>
      <c r="J12" s="76">
        <f t="shared" ref="J12:J17" si="1">ROUND(I12/(1-$H$4),2)</f>
        <v>320.39</v>
      </c>
      <c r="K12" s="79"/>
    </row>
    <row r="13" spans="1:13" ht="15.75" x14ac:dyDescent="0.25">
      <c r="A13" s="74" t="s">
        <v>68</v>
      </c>
      <c r="B13" s="75" t="s">
        <v>0</v>
      </c>
      <c r="C13" s="75"/>
      <c r="D13" s="75"/>
      <c r="E13" s="76">
        <f t="shared" si="0"/>
        <v>355.14</v>
      </c>
      <c r="F13" s="77">
        <v>22422.45</v>
      </c>
      <c r="G13" s="78">
        <v>2199</v>
      </c>
      <c r="H13" s="77">
        <f t="shared" ref="H13:H17" si="2">F13+G13</f>
        <v>24621.45</v>
      </c>
      <c r="I13" s="76">
        <f>($D$11-H13)/((DATE(LEFT('Planning Parameters'!$A$1,4)*1+1,5,31)-(DATE(LEFT('Planning Parameters'!$A$1,4)*1,6,1))+1))</f>
        <v>269.85241583256027</v>
      </c>
      <c r="J13" s="76">
        <f t="shared" si="1"/>
        <v>284.11</v>
      </c>
      <c r="K13" s="80" t="s">
        <v>13</v>
      </c>
    </row>
    <row r="14" spans="1:13" ht="15.75" x14ac:dyDescent="0.25">
      <c r="A14" s="74" t="s">
        <v>70</v>
      </c>
      <c r="B14" s="75" t="s">
        <v>0</v>
      </c>
      <c r="C14" s="75"/>
      <c r="D14" s="75"/>
      <c r="E14" s="76">
        <f t="shared" si="0"/>
        <v>355.14</v>
      </c>
      <c r="F14" s="77">
        <v>9798.49</v>
      </c>
      <c r="G14" s="78">
        <v>2199</v>
      </c>
      <c r="H14" s="77">
        <f t="shared" si="2"/>
        <v>11997.49</v>
      </c>
      <c r="I14" s="76">
        <f>($D$11-H14)/((DATE(LEFT('Planning Parameters'!$A$1,4)*1+1,5,31)-(DATE(LEFT('Planning Parameters'!$A$1,4)*1,6,1))+1))</f>
        <v>304.43860761338215</v>
      </c>
      <c r="J14" s="76">
        <f t="shared" si="1"/>
        <v>320.52999999999997</v>
      </c>
      <c r="K14" s="79"/>
    </row>
    <row r="15" spans="1:13" ht="15.75" x14ac:dyDescent="0.25">
      <c r="A15" s="74" t="s">
        <v>105</v>
      </c>
      <c r="B15" s="75" t="s">
        <v>0</v>
      </c>
      <c r="C15" s="75"/>
      <c r="D15" s="75"/>
      <c r="E15" s="76">
        <f t="shared" si="0"/>
        <v>355.14</v>
      </c>
      <c r="F15" s="77">
        <v>9905.77</v>
      </c>
      <c r="G15" s="78">
        <v>2199</v>
      </c>
      <c r="H15" s="77">
        <f t="shared" si="2"/>
        <v>12104.77</v>
      </c>
      <c r="I15" s="76">
        <f>($D$11-H15)/((DATE(LEFT('Planning Parameters'!$A$1,4)*1+1,5,31)-(DATE(LEFT('Planning Parameters'!$A$1,4)*1,6,1))+1))</f>
        <v>304.14468980516295</v>
      </c>
      <c r="J15" s="76">
        <f t="shared" si="1"/>
        <v>320.22000000000003</v>
      </c>
      <c r="K15" s="79"/>
    </row>
    <row r="16" spans="1:13" ht="15.75" x14ac:dyDescent="0.25">
      <c r="A16" s="74" t="s">
        <v>106</v>
      </c>
      <c r="B16" s="75" t="s">
        <v>0</v>
      </c>
      <c r="C16" s="75"/>
      <c r="D16" s="75"/>
      <c r="E16" s="76">
        <f t="shared" si="0"/>
        <v>355.14</v>
      </c>
      <c r="F16" s="77">
        <v>9563.0400000000009</v>
      </c>
      <c r="G16" s="78">
        <v>2199</v>
      </c>
      <c r="H16" s="77">
        <f t="shared" si="2"/>
        <v>11762.04</v>
      </c>
      <c r="I16" s="76">
        <f>($D$11-H16)/((DATE(LEFT('Planning Parameters'!$A$1,4)*1+1,5,31)-(DATE(LEFT('Planning Parameters'!$A$1,4)*1,6,1))+1))</f>
        <v>305.08367610653283</v>
      </c>
      <c r="J16" s="76">
        <f t="shared" si="1"/>
        <v>321.20999999999998</v>
      </c>
      <c r="K16" s="81" t="s">
        <v>107</v>
      </c>
    </row>
    <row r="17" spans="1:11" ht="15.75" x14ac:dyDescent="0.25">
      <c r="A17" s="74" t="s">
        <v>76</v>
      </c>
      <c r="B17" s="75" t="s">
        <v>0</v>
      </c>
      <c r="C17" s="75"/>
      <c r="D17" s="75"/>
      <c r="E17" s="76">
        <f t="shared" si="0"/>
        <v>355.14</v>
      </c>
      <c r="F17" s="77">
        <v>14195.31</v>
      </c>
      <c r="G17" s="78">
        <v>2199</v>
      </c>
      <c r="H17" s="77">
        <f t="shared" si="2"/>
        <v>16394.309999999998</v>
      </c>
      <c r="I17" s="76">
        <f>($D$11-H17)/((DATE(LEFT('Planning Parameters'!$A$1,4)*1+1,5,31)-(DATE(LEFT('Planning Parameters'!$A$1,4)*1,6,1))+1))</f>
        <v>292.39252542160136</v>
      </c>
      <c r="J17" s="76">
        <f t="shared" si="1"/>
        <v>307.85000000000002</v>
      </c>
      <c r="K17" s="79"/>
    </row>
    <row r="18" spans="1:11" ht="16.5" thickBot="1" x14ac:dyDescent="0.3">
      <c r="A18" s="82" t="s">
        <v>9</v>
      </c>
      <c r="B18" s="83" t="s">
        <v>0</v>
      </c>
      <c r="C18" s="83"/>
      <c r="D18" s="83"/>
      <c r="E18" s="84">
        <f t="shared" si="0"/>
        <v>355.14</v>
      </c>
      <c r="F18" s="85" t="s">
        <v>0</v>
      </c>
      <c r="G18" s="86" t="s">
        <v>0</v>
      </c>
      <c r="H18" s="86"/>
      <c r="I18" s="84">
        <f>ROUND(J18*(1-$H$4),2)</f>
        <v>296.70999999999998</v>
      </c>
      <c r="J18" s="84">
        <f>ROUND(AVERAGE(J12:J17),2)</f>
        <v>312.39</v>
      </c>
      <c r="K18" s="87" t="s">
        <v>9</v>
      </c>
    </row>
    <row r="19" spans="1:11" ht="15.75" x14ac:dyDescent="0.25">
      <c r="A19" s="67" t="s">
        <v>108</v>
      </c>
      <c r="B19" s="68">
        <v>116593.19382436293</v>
      </c>
      <c r="C19" s="69">
        <f>1.03995770197285*1.022</f>
        <v>1.0628367714162528</v>
      </c>
      <c r="D19" s="68">
        <f>B19*C19</f>
        <v>123919.53369339528</v>
      </c>
      <c r="E19" s="70">
        <f>ROUND(D19/(((DATE(LEFT('Planning Parameters'!$A$1,4)*1+1,5,31)-(DATE(LEFT('Planning Parameters'!$A$1,4)*1,6,1))+1))*(1-$H$4)),2)</f>
        <v>357.45</v>
      </c>
      <c r="F19" s="88"/>
      <c r="G19" s="89"/>
      <c r="H19" s="89"/>
      <c r="I19" s="70"/>
      <c r="J19" s="90" t="s">
        <v>0</v>
      </c>
      <c r="K19" s="73"/>
    </row>
    <row r="20" spans="1:11" ht="15.75" x14ac:dyDescent="0.25">
      <c r="A20" s="74" t="s">
        <v>18</v>
      </c>
      <c r="B20" s="75" t="s">
        <v>0</v>
      </c>
      <c r="C20" s="75"/>
      <c r="D20" s="75"/>
      <c r="E20" s="76">
        <f>$E$19</f>
        <v>357.45</v>
      </c>
      <c r="F20" s="77">
        <v>40572.89</v>
      </c>
      <c r="G20" s="78">
        <v>2199</v>
      </c>
      <c r="H20" s="77">
        <f>F20+G20</f>
        <v>42771.89</v>
      </c>
      <c r="I20" s="76">
        <f>($D$19-H20)/((DATE(LEFT('Planning Parameters'!$A$1,4)*1+1,5,31)-(DATE(LEFT('Planning Parameters'!$A$1,4)*1,6,1))+1))</f>
        <v>222.3223114887542</v>
      </c>
      <c r="J20" s="76">
        <f>ROUND(I20/(1-$H$4),2)</f>
        <v>234.07</v>
      </c>
      <c r="K20" s="81" t="s">
        <v>18</v>
      </c>
    </row>
    <row r="21" spans="1:11" ht="15.75" x14ac:dyDescent="0.25">
      <c r="A21" s="74" t="s">
        <v>14</v>
      </c>
      <c r="B21" s="75"/>
      <c r="C21" s="75"/>
      <c r="D21" s="75"/>
      <c r="E21" s="76">
        <f>$E$19</f>
        <v>357.45</v>
      </c>
      <c r="F21" s="77">
        <v>21852.59</v>
      </c>
      <c r="G21" s="78">
        <v>2199</v>
      </c>
      <c r="H21" s="77">
        <f>F21+G21</f>
        <v>24051.59</v>
      </c>
      <c r="I21" s="76">
        <f>($D$19-H21)/((DATE(LEFT('Planning Parameters'!$A$1,4)*1+1,5,31)-(DATE(LEFT('Planning Parameters'!$A$1,4)*1,6,1))+1))</f>
        <v>273.61080463943915</v>
      </c>
      <c r="J21" s="76">
        <f>ROUND(I21/(1-$H$4),2)</f>
        <v>288.07</v>
      </c>
      <c r="K21" s="81" t="s">
        <v>14</v>
      </c>
    </row>
    <row r="22" spans="1:11" ht="16.5" thickBot="1" x14ac:dyDescent="0.3">
      <c r="A22" s="82" t="s">
        <v>10</v>
      </c>
      <c r="B22" s="83"/>
      <c r="C22" s="83"/>
      <c r="D22" s="83"/>
      <c r="E22" s="84">
        <f>$E$19</f>
        <v>357.45</v>
      </c>
      <c r="F22" s="85" t="s">
        <v>0</v>
      </c>
      <c r="G22" s="86" t="s">
        <v>0</v>
      </c>
      <c r="H22" s="86"/>
      <c r="I22" s="84">
        <f>ROUND(J22*(1-$H$4),2)</f>
        <v>247.96</v>
      </c>
      <c r="J22" s="84">
        <f>ROUND(AVERAGE(J20:J21),2)</f>
        <v>261.07</v>
      </c>
      <c r="K22" s="87" t="s">
        <v>10</v>
      </c>
    </row>
    <row r="23" spans="1:11" ht="15.75" x14ac:dyDescent="0.25">
      <c r="A23" s="67" t="s">
        <v>109</v>
      </c>
      <c r="B23" s="68">
        <v>111813.58322350307</v>
      </c>
      <c r="C23" s="69">
        <f>1.03702973654022*1.022</f>
        <v>1.0598443907441049</v>
      </c>
      <c r="D23" s="68">
        <f>B23*C23</f>
        <v>118504.99898842888</v>
      </c>
      <c r="E23" s="70">
        <f>ROUND(D23/(((DATE(LEFT('Planning Parameters'!$A$1,4)*1+1,5,31)-(DATE(LEFT('Planning Parameters'!$A$1,4)*1,6,1))+1))*(1-$H$4)),2)</f>
        <v>341.83</v>
      </c>
      <c r="F23" s="88"/>
      <c r="G23" s="89" t="s">
        <v>0</v>
      </c>
      <c r="H23" s="89"/>
      <c r="I23" s="70"/>
      <c r="J23" s="90"/>
      <c r="K23" s="73"/>
    </row>
    <row r="24" spans="1:11" ht="15.75" x14ac:dyDescent="0.25">
      <c r="A24" s="74" t="s">
        <v>71</v>
      </c>
      <c r="B24" s="75" t="s">
        <v>0</v>
      </c>
      <c r="C24" s="75"/>
      <c r="D24" s="75"/>
      <c r="E24" s="76">
        <f>$E$23</f>
        <v>341.83</v>
      </c>
      <c r="F24" s="77">
        <v>20830.900000000001</v>
      </c>
      <c r="G24" s="78">
        <v>2199</v>
      </c>
      <c r="H24" s="77">
        <f>F24+G24</f>
        <v>23029.9</v>
      </c>
      <c r="I24" s="76">
        <f>($D$23-H24)/((DATE(LEFT('Planning Parameters'!$A$1,4)*1+1,5,31)-(DATE(LEFT('Planning Parameters'!$A$1,4)*1,6,1))+1))</f>
        <v>261.57561366692846</v>
      </c>
      <c r="J24" s="76">
        <f>ROUND(I24/(1-$H$4),2)</f>
        <v>275.39999999999998</v>
      </c>
      <c r="K24" s="79"/>
    </row>
    <row r="25" spans="1:11" ht="15.75" x14ac:dyDescent="0.25">
      <c r="A25" s="74" t="s">
        <v>110</v>
      </c>
      <c r="B25" s="75"/>
      <c r="C25" s="75"/>
      <c r="D25" s="75"/>
      <c r="E25" s="76">
        <f>$E$23</f>
        <v>341.83</v>
      </c>
      <c r="F25" s="77">
        <v>24250.94</v>
      </c>
      <c r="G25" s="78">
        <v>2199</v>
      </c>
      <c r="H25" s="77">
        <f>F25+G25</f>
        <v>26449.94</v>
      </c>
      <c r="I25" s="76">
        <f>($D$23-H25)/((DATE(LEFT('Planning Parameters'!$A$1,4)*1+1,5,31)-(DATE(LEFT('Planning Parameters'!$A$1,4)*1,6,1))+1))</f>
        <v>252.20564106418871</v>
      </c>
      <c r="J25" s="76">
        <f>ROUND(I25/(1-$H$4),2)</f>
        <v>265.54000000000002</v>
      </c>
      <c r="K25" s="79"/>
    </row>
    <row r="26" spans="1:11" ht="15.75" x14ac:dyDescent="0.25">
      <c r="A26" s="74" t="s">
        <v>111</v>
      </c>
      <c r="B26" s="75"/>
      <c r="C26" s="75"/>
      <c r="D26" s="75"/>
      <c r="E26" s="76">
        <f>$E$23</f>
        <v>341.83</v>
      </c>
      <c r="F26" s="77">
        <v>13256.42</v>
      </c>
      <c r="G26" s="78">
        <v>2199</v>
      </c>
      <c r="H26" s="77">
        <f>F26+G26</f>
        <v>15455.42</v>
      </c>
      <c r="I26" s="76">
        <f>($D$23-H26)/((DATE(LEFT('Planning Parameters'!$A$1,4)*1+1,5,31)-(DATE(LEFT('Planning Parameters'!$A$1,4)*1,6,1))+1))</f>
        <v>282.32761366692847</v>
      </c>
      <c r="J26" s="76">
        <f>ROUND(I26/(1-$H$4),2)</f>
        <v>297.25</v>
      </c>
      <c r="K26" s="81" t="s">
        <v>111</v>
      </c>
    </row>
    <row r="27" spans="1:11" ht="16.5" thickBot="1" x14ac:dyDescent="0.3">
      <c r="A27" s="82" t="s">
        <v>8</v>
      </c>
      <c r="B27" s="83" t="s">
        <v>0</v>
      </c>
      <c r="C27" s="83"/>
      <c r="D27" s="83"/>
      <c r="E27" s="84">
        <f>ROUND(AVERAGE(E12,E13,E14,E15,E16,E17,E20,E21,E24,E25,E26),2)</f>
        <v>351.93</v>
      </c>
      <c r="F27" s="85" t="s">
        <v>0</v>
      </c>
      <c r="G27" s="86" t="s">
        <v>0</v>
      </c>
      <c r="H27" s="86"/>
      <c r="I27" s="84">
        <f>ROUND(J27*(1-$H$4),2)</f>
        <v>279.3</v>
      </c>
      <c r="J27" s="84">
        <f>ROUND(AVERAGE(J12,J13,J14,J15,J16,J17,J20,J21,J24,J25,J26),2)</f>
        <v>294.06</v>
      </c>
      <c r="K27" s="87" t="s">
        <v>8</v>
      </c>
    </row>
    <row r="28" spans="1:11" ht="15.75" x14ac:dyDescent="0.25">
      <c r="A28" s="67" t="s">
        <v>112</v>
      </c>
      <c r="B28" s="68">
        <v>111730.78233578455</v>
      </c>
      <c r="C28" s="69">
        <f>1.03626178885175*1.022</f>
        <v>1.0590595482064886</v>
      </c>
      <c r="D28" s="68">
        <f>B28*C28</f>
        <v>118329.5518612935</v>
      </c>
      <c r="E28" s="70">
        <f>ROUND(D28/(((DATE(LEFT('Planning Parameters'!$A$1,4)*1+1,5,31)-(DATE(LEFT('Planning Parameters'!$A$1,4)*1,6,1))+1))*(1-$H$4)),2)</f>
        <v>341.33</v>
      </c>
      <c r="F28" s="88"/>
      <c r="G28" s="89" t="s">
        <v>0</v>
      </c>
      <c r="H28" s="89"/>
      <c r="I28" s="70"/>
      <c r="J28" s="90"/>
      <c r="K28" s="73"/>
    </row>
    <row r="29" spans="1:11" ht="15.75" x14ac:dyDescent="0.25">
      <c r="A29" s="91" t="s">
        <v>62</v>
      </c>
      <c r="B29" s="75"/>
      <c r="C29" s="75"/>
      <c r="D29" s="75"/>
      <c r="E29" s="76">
        <f>$E$28</f>
        <v>341.33</v>
      </c>
      <c r="F29" s="77">
        <v>24383.119999999999</v>
      </c>
      <c r="G29" s="78">
        <v>2199</v>
      </c>
      <c r="H29" s="77">
        <f t="shared" ref="H29:H38" si="3">F29+G29</f>
        <v>26582.12</v>
      </c>
      <c r="I29" s="76">
        <f>($D$28-H29)/((DATE(LEFT('Planning Parameters'!$A$1,4)*1+1,5,31)-(DATE(LEFT('Planning Parameters'!$A$1,4)*1,6,1))+1))</f>
        <v>251.36282701724247</v>
      </c>
      <c r="J29" s="76">
        <f>ROUND(I29/(1-$H$4),2)</f>
        <v>264.64999999999998</v>
      </c>
      <c r="K29" s="79"/>
    </row>
    <row r="30" spans="1:11" ht="15.75" x14ac:dyDescent="0.25">
      <c r="A30" s="91" t="s">
        <v>64</v>
      </c>
      <c r="B30" s="75"/>
      <c r="C30" s="75"/>
      <c r="D30" s="75"/>
      <c r="E30" s="76">
        <f t="shared" ref="E30:E38" si="4">$E$28</f>
        <v>341.33</v>
      </c>
      <c r="F30" s="77">
        <v>29845.91</v>
      </c>
      <c r="G30" s="78">
        <v>2199</v>
      </c>
      <c r="H30" s="77">
        <f t="shared" si="3"/>
        <v>32044.91</v>
      </c>
      <c r="I30" s="76">
        <f>($D$28-H30)/((DATE(LEFT('Planning Parameters'!$A$1,4)*1+1,5,31)-(DATE(LEFT('Planning Parameters'!$A$1,4)*1,6,1))+1))</f>
        <v>236.39627907203698</v>
      </c>
      <c r="J30" s="76">
        <f>ROUND(I30/(1-$H$4),2)</f>
        <v>248.89</v>
      </c>
      <c r="K30" s="79"/>
    </row>
    <row r="31" spans="1:11" ht="15.75" x14ac:dyDescent="0.25">
      <c r="A31" s="74" t="s">
        <v>15</v>
      </c>
      <c r="B31" s="75" t="s">
        <v>0</v>
      </c>
      <c r="C31" s="75"/>
      <c r="D31" s="75"/>
      <c r="E31" s="76">
        <f t="shared" si="4"/>
        <v>341.33</v>
      </c>
      <c r="F31" s="77">
        <v>19285.96</v>
      </c>
      <c r="G31" s="78">
        <v>2199</v>
      </c>
      <c r="H31" s="77">
        <f t="shared" si="3"/>
        <v>21484.959999999999</v>
      </c>
      <c r="I31" s="76">
        <f>($D$28-H31)/((DATE(LEFT('Planning Parameters'!$A$1,4)*1+1,5,31)-(DATE(LEFT('Planning Parameters'!$A$1,4)*1,6,1))+1))</f>
        <v>265.32764893505072</v>
      </c>
      <c r="J31" s="76">
        <f>ROUND(I31/(1-$H$4),2)</f>
        <v>279.35000000000002</v>
      </c>
      <c r="K31" s="81" t="s">
        <v>113</v>
      </c>
    </row>
    <row r="32" spans="1:11" ht="15.75" x14ac:dyDescent="0.25">
      <c r="A32" s="74" t="s">
        <v>17</v>
      </c>
      <c r="B32" s="75"/>
      <c r="C32" s="75"/>
      <c r="D32" s="75"/>
      <c r="E32" s="76">
        <f t="shared" si="4"/>
        <v>341.33</v>
      </c>
      <c r="F32" s="77">
        <v>11171.73</v>
      </c>
      <c r="G32" s="78">
        <v>2199</v>
      </c>
      <c r="H32" s="77">
        <f t="shared" si="3"/>
        <v>13370.73</v>
      </c>
      <c r="I32" s="76">
        <f>($D$28-H32)/((DATE(LEFT('Planning Parameters'!$A$1,4)*1+1,5,31)-(DATE(LEFT('Planning Parameters'!$A$1,4)*1,6,1))+1))</f>
        <v>287.55841605833837</v>
      </c>
      <c r="J32" s="76">
        <f t="shared" ref="J32:J38" si="5">ROUND(I32/(1-$H$4),2)</f>
        <v>302.76</v>
      </c>
      <c r="K32" s="81" t="s">
        <v>17</v>
      </c>
    </row>
    <row r="33" spans="1:11" ht="15.75" x14ac:dyDescent="0.25">
      <c r="A33" s="74" t="s">
        <v>20</v>
      </c>
      <c r="B33" s="75"/>
      <c r="C33" s="75"/>
      <c r="D33" s="75"/>
      <c r="E33" s="76">
        <f t="shared" si="4"/>
        <v>341.33</v>
      </c>
      <c r="F33" s="77">
        <v>25243.89</v>
      </c>
      <c r="G33" s="78">
        <v>2199</v>
      </c>
      <c r="H33" s="77">
        <f t="shared" si="3"/>
        <v>27442.89</v>
      </c>
      <c r="I33" s="76">
        <f>($D$28-H33)/((DATE(LEFT('Planning Parameters'!$A$1,4)*1+1,5,31)-(DATE(LEFT('Planning Parameters'!$A$1,4)*1,6,1))+1))</f>
        <v>249.00455304463972</v>
      </c>
      <c r="J33" s="76">
        <f t="shared" si="5"/>
        <v>262.17</v>
      </c>
      <c r="K33" s="80" t="s">
        <v>20</v>
      </c>
    </row>
    <row r="34" spans="1:11" ht="15.75" x14ac:dyDescent="0.25">
      <c r="A34" s="74" t="s">
        <v>21</v>
      </c>
      <c r="B34" s="75"/>
      <c r="C34" s="75"/>
      <c r="D34" s="75"/>
      <c r="E34" s="76">
        <f t="shared" si="4"/>
        <v>341.33</v>
      </c>
      <c r="F34" s="77">
        <v>23130.93</v>
      </c>
      <c r="G34" s="78">
        <v>2199</v>
      </c>
      <c r="H34" s="77">
        <f t="shared" si="3"/>
        <v>25329.93</v>
      </c>
      <c r="I34" s="76">
        <f>($D$28-H34)/((DATE(LEFT('Planning Parameters'!$A$1,4)*1+1,5,31)-(DATE(LEFT('Planning Parameters'!$A$1,4)*1,6,1))+1))</f>
        <v>254.79348455148906</v>
      </c>
      <c r="J34" s="76">
        <f t="shared" si="5"/>
        <v>268.26</v>
      </c>
      <c r="K34" s="80" t="s">
        <v>21</v>
      </c>
    </row>
    <row r="35" spans="1:11" ht="15.75" x14ac:dyDescent="0.25">
      <c r="A35" s="74" t="s">
        <v>66</v>
      </c>
      <c r="B35" s="75"/>
      <c r="C35" s="75"/>
      <c r="D35" s="75"/>
      <c r="E35" s="76">
        <f t="shared" si="4"/>
        <v>341.33</v>
      </c>
      <c r="F35" s="77">
        <v>22846.92</v>
      </c>
      <c r="G35" s="78">
        <v>2199</v>
      </c>
      <c r="H35" s="77">
        <f t="shared" si="3"/>
        <v>25045.919999999998</v>
      </c>
      <c r="I35" s="76">
        <f>($D$28-H35)/((DATE(LEFT('Planning Parameters'!$A$1,4)*1+1,5,31)-(DATE(LEFT('Planning Parameters'!$A$1,4)*1,6,1))+1))</f>
        <v>255.57159414053012</v>
      </c>
      <c r="J35" s="76">
        <f t="shared" si="5"/>
        <v>269.08</v>
      </c>
      <c r="K35" s="79"/>
    </row>
    <row r="36" spans="1:11" ht="15.75" x14ac:dyDescent="0.25">
      <c r="A36" s="74" t="s">
        <v>67</v>
      </c>
      <c r="B36" s="75"/>
      <c r="C36" s="75"/>
      <c r="D36" s="75"/>
      <c r="E36" s="76">
        <f t="shared" si="4"/>
        <v>341.33</v>
      </c>
      <c r="F36" s="77">
        <v>22540.06</v>
      </c>
      <c r="G36" s="78">
        <v>2199</v>
      </c>
      <c r="H36" s="77">
        <f t="shared" si="3"/>
        <v>24739.06</v>
      </c>
      <c r="I36" s="76">
        <f>($D$28-H36)/((DATE(LEFT('Planning Parameters'!$A$1,4)*1+1,5,31)-(DATE(LEFT('Planning Parameters'!$A$1,4)*1,6,1))+1))</f>
        <v>256.41230646929728</v>
      </c>
      <c r="J36" s="76">
        <f t="shared" si="5"/>
        <v>269.95999999999998</v>
      </c>
      <c r="K36" s="79"/>
    </row>
    <row r="37" spans="1:11" ht="15.75" x14ac:dyDescent="0.25">
      <c r="A37" s="74" t="s">
        <v>69</v>
      </c>
      <c r="B37" s="75"/>
      <c r="C37" s="75"/>
      <c r="D37" s="75"/>
      <c r="E37" s="76">
        <f>$E$28</f>
        <v>341.33</v>
      </c>
      <c r="F37" s="77">
        <v>17126.23</v>
      </c>
      <c r="G37" s="78">
        <v>2199</v>
      </c>
      <c r="H37" s="77">
        <f t="shared" si="3"/>
        <v>19325.23</v>
      </c>
      <c r="I37" s="76">
        <f>($D$28-H37)/((DATE(LEFT('Planning Parameters'!$A$1,4)*1+1,5,31)-(DATE(LEFT('Planning Parameters'!$A$1,4)*1,6,1))+1))</f>
        <v>271.2447174282014</v>
      </c>
      <c r="J37" s="76">
        <f t="shared" si="5"/>
        <v>285.58</v>
      </c>
      <c r="K37" s="79"/>
    </row>
    <row r="38" spans="1:11" ht="16.5" thickBot="1" x14ac:dyDescent="0.3">
      <c r="A38" s="74" t="s">
        <v>72</v>
      </c>
      <c r="B38" s="75"/>
      <c r="C38" s="75"/>
      <c r="D38" s="75"/>
      <c r="E38" s="76">
        <f t="shared" si="4"/>
        <v>341.33</v>
      </c>
      <c r="F38" s="92">
        <v>21325.25</v>
      </c>
      <c r="G38" s="78">
        <v>2199</v>
      </c>
      <c r="H38" s="77">
        <f t="shared" si="3"/>
        <v>23524.25</v>
      </c>
      <c r="I38" s="76">
        <f>($D$28-H38)/((DATE(LEFT('Planning Parameters'!$A$1,4)*1+1,5,31)-(DATE(LEFT('Planning Parameters'!$A$1,4)*1,6,1))+1))</f>
        <v>259.74055304463974</v>
      </c>
      <c r="J38" s="76">
        <f t="shared" si="5"/>
        <v>273.47000000000003</v>
      </c>
      <c r="K38" s="79"/>
    </row>
    <row r="39" spans="1:11" ht="16.5" thickBot="1" x14ac:dyDescent="0.3">
      <c r="A39" s="93" t="s">
        <v>1</v>
      </c>
      <c r="B39" s="94">
        <f>AVERAGE(B11,B19,B23,B28)</f>
        <v>113862.21801605876</v>
      </c>
      <c r="C39" s="94"/>
      <c r="D39" s="94">
        <f>AVERAGE(D11,D19,D23,D28)</f>
        <v>120967.91658050055</v>
      </c>
      <c r="E39" s="95">
        <f>ROUND(D39/(((DATE(LEFT('Planning Parameters'!$A$1,4)*1+1,5,31)-(DATE(LEFT('Planning Parameters'!$A$1,4)*1,6,1))+1))*(1-$H$4)),2)</f>
        <v>348.94</v>
      </c>
      <c r="F39" s="96">
        <v>17127.740000000002</v>
      </c>
      <c r="G39" s="97">
        <f>G31</f>
        <v>2199</v>
      </c>
      <c r="H39" s="96">
        <f>F39+G39</f>
        <v>19326.740000000002</v>
      </c>
      <c r="I39" s="95">
        <f>($D$39-H39)/((DATE(LEFT('Planning Parameters'!$A$1,4)*1+1,5,31)-(DATE(LEFT('Planning Parameters'!$A$1,4)*1,6,1))+1))</f>
        <v>278.46897693287821</v>
      </c>
      <c r="J39" s="95">
        <f>ROUND(I39/(1-$H$4),2)</f>
        <v>293.19</v>
      </c>
      <c r="K39" s="98" t="s">
        <v>1</v>
      </c>
    </row>
    <row r="40" spans="1:11" ht="15.75" thickBot="1" x14ac:dyDescent="0.3">
      <c r="A40" s="99" t="s">
        <v>0</v>
      </c>
      <c r="B40" s="100"/>
      <c r="C40" s="100"/>
      <c r="D40" s="100"/>
      <c r="E40" s="100"/>
      <c r="F40" s="101"/>
      <c r="G40" s="100"/>
      <c r="H40" s="100"/>
      <c r="I40" s="100"/>
      <c r="J40" s="100"/>
      <c r="K40" s="100"/>
    </row>
    <row r="41" spans="1:11" ht="15.75" thickBot="1" x14ac:dyDescent="0.3">
      <c r="A41" s="210" t="s">
        <v>163</v>
      </c>
      <c r="B41" s="211"/>
      <c r="C41" s="211"/>
      <c r="D41" s="211"/>
      <c r="E41" s="211"/>
      <c r="F41" s="211"/>
      <c r="G41" s="211"/>
      <c r="H41" s="211"/>
      <c r="I41" s="211"/>
      <c r="J41" s="212"/>
    </row>
  </sheetData>
  <mergeCells count="8">
    <mergeCell ref="A7:H7"/>
    <mergeCell ref="A8:H8"/>
    <mergeCell ref="A41:J41"/>
    <mergeCell ref="A2:H2"/>
    <mergeCell ref="A3:H3"/>
    <mergeCell ref="A4:G4"/>
    <mergeCell ref="A5:H5"/>
    <mergeCell ref="A6:H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sqref="A1:C1"/>
    </sheetView>
  </sheetViews>
  <sheetFormatPr defaultRowHeight="15" x14ac:dyDescent="0.25"/>
  <cols>
    <col min="1" max="1" width="12.85546875" customWidth="1"/>
    <col min="2" max="2" width="100.85546875" customWidth="1"/>
    <col min="3" max="3" width="15.85546875" customWidth="1"/>
  </cols>
  <sheetData>
    <row r="1" spans="1:7" ht="18" x14ac:dyDescent="0.25">
      <c r="A1" s="213" t="s">
        <v>165</v>
      </c>
      <c r="B1" s="214"/>
      <c r="C1" s="215"/>
    </row>
    <row r="2" spans="1:7" ht="30" x14ac:dyDescent="0.25">
      <c r="A2" s="130" t="s">
        <v>114</v>
      </c>
      <c r="B2" s="131" t="s">
        <v>115</v>
      </c>
      <c r="C2" s="132" t="s">
        <v>116</v>
      </c>
      <c r="E2" s="129"/>
      <c r="F2" s="129"/>
      <c r="G2" s="129"/>
    </row>
    <row r="3" spans="1:7" x14ac:dyDescent="0.25">
      <c r="A3" s="133" t="s">
        <v>144</v>
      </c>
      <c r="B3" s="134" t="s">
        <v>145</v>
      </c>
      <c r="C3" s="79" t="s">
        <v>117</v>
      </c>
    </row>
    <row r="4" spans="1:7" x14ac:dyDescent="0.25">
      <c r="A4" s="135" t="s">
        <v>146</v>
      </c>
      <c r="B4" s="136" t="s">
        <v>147</v>
      </c>
      <c r="C4" s="137" t="s">
        <v>68</v>
      </c>
    </row>
    <row r="5" spans="1:7" ht="30" x14ac:dyDescent="0.25">
      <c r="A5" s="135" t="s">
        <v>148</v>
      </c>
      <c r="B5" s="136" t="s">
        <v>149</v>
      </c>
      <c r="C5" s="138" t="s">
        <v>111</v>
      </c>
    </row>
    <row r="6" spans="1:7" x14ac:dyDescent="0.25">
      <c r="A6" s="135" t="s">
        <v>150</v>
      </c>
      <c r="B6" s="136" t="s">
        <v>151</v>
      </c>
      <c r="C6" s="138" t="s">
        <v>117</v>
      </c>
    </row>
    <row r="7" spans="1:7" x14ac:dyDescent="0.25">
      <c r="A7" s="135" t="s">
        <v>152</v>
      </c>
      <c r="B7" s="136" t="s">
        <v>153</v>
      </c>
      <c r="C7" s="138" t="s">
        <v>64</v>
      </c>
    </row>
    <row r="8" spans="1:7" ht="15.75" thickBot="1" x14ac:dyDescent="0.3">
      <c r="A8" s="139"/>
      <c r="B8" s="140"/>
      <c r="C8" s="141"/>
    </row>
    <row r="9" spans="1:7" x14ac:dyDescent="0.25">
      <c r="C9" s="4"/>
    </row>
    <row r="10" spans="1:7" ht="15.75" thickBot="1" x14ac:dyDescent="0.3">
      <c r="C10" s="4"/>
    </row>
    <row r="11" spans="1:7" ht="18.75" thickBot="1" x14ac:dyDescent="0.3">
      <c r="A11" s="216" t="s">
        <v>166</v>
      </c>
      <c r="B11" s="217"/>
      <c r="C11" s="218"/>
    </row>
    <row r="12" spans="1:7" ht="30.75" thickBot="1" x14ac:dyDescent="0.3">
      <c r="A12" s="123" t="s">
        <v>114</v>
      </c>
      <c r="B12" s="124" t="s">
        <v>115</v>
      </c>
      <c r="C12" s="125" t="s">
        <v>116</v>
      </c>
    </row>
    <row r="13" spans="1:7" x14ac:dyDescent="0.25">
      <c r="A13" s="128" t="s">
        <v>118</v>
      </c>
      <c r="B13" s="126"/>
      <c r="C13" s="127"/>
    </row>
  </sheetData>
  <mergeCells count="2">
    <mergeCell ref="A1:C1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Planning Parameters</vt:lpstr>
      <vt:lpstr>Net CONE</vt:lpstr>
      <vt:lpstr>Key Transmission Upgrades</vt:lpstr>
    </vt:vector>
  </TitlesOfParts>
  <Company>PJM Interconnection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Marzewski, Skyler</dc:creator>
  <cp:lastModifiedBy>Bachus, Tim D</cp:lastModifiedBy>
  <dcterms:created xsi:type="dcterms:W3CDTF">2021-08-09T11:52:54Z</dcterms:created>
  <dcterms:modified xsi:type="dcterms:W3CDTF">2024-05-08T18:48:17Z</dcterms:modified>
</cp:coreProperties>
</file>